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10650"/>
  </bookViews>
  <sheets>
    <sheet name="价值工程部核算" sheetId="1" r:id="rId1"/>
    <sheet name="河北测算成本" sheetId="4" r:id="rId2"/>
    <sheet name="明细" sheetId="2" r:id="rId3"/>
    <sheet name="Sheet3" sheetId="3" r:id="rId4"/>
  </sheets>
  <definedNames>
    <definedName name="_1_?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" l="1"/>
  <c r="AF7" i="1"/>
  <c r="AF8" i="1"/>
  <c r="AF5" i="1"/>
  <c r="G8" i="1"/>
  <c r="AX6" i="3" l="1"/>
  <c r="A6" i="3"/>
  <c r="AX5" i="3"/>
  <c r="A5" i="3"/>
  <c r="AX4" i="3"/>
  <c r="A4" i="3"/>
  <c r="A3" i="3"/>
  <c r="AX2" i="3"/>
  <c r="A2" i="3"/>
  <c r="BA17" i="2"/>
  <c r="AF17" i="2"/>
  <c r="AE17" i="2"/>
  <c r="A17" i="2"/>
  <c r="BA16" i="2"/>
  <c r="AF16" i="2"/>
  <c r="AE16" i="2"/>
  <c r="A16" i="2"/>
  <c r="BA15" i="2"/>
  <c r="AF15" i="2"/>
  <c r="AE15" i="2"/>
  <c r="A15" i="2"/>
  <c r="BA14" i="2"/>
  <c r="AF14" i="2"/>
  <c r="AE14" i="2"/>
  <c r="A14" i="2"/>
  <c r="A13" i="2"/>
  <c r="AF12" i="2"/>
  <c r="AE12" i="2"/>
  <c r="A12" i="2"/>
  <c r="AF11" i="2"/>
  <c r="AE11" i="2"/>
  <c r="A11" i="2"/>
  <c r="AF10" i="2"/>
  <c r="AE10" i="2"/>
  <c r="A10" i="2"/>
  <c r="AF9" i="2"/>
  <c r="AE9" i="2"/>
  <c r="A9" i="2"/>
  <c r="A8" i="2"/>
  <c r="A7" i="2"/>
  <c r="A6" i="2"/>
  <c r="A5" i="2"/>
  <c r="A4" i="2"/>
  <c r="W8" i="4"/>
  <c r="U8" i="4"/>
  <c r="V8" i="4" s="1"/>
  <c r="R8" i="4"/>
  <c r="P8" i="4"/>
  <c r="O8" i="4"/>
  <c r="L8" i="4"/>
  <c r="E8" i="4"/>
  <c r="W7" i="4"/>
  <c r="U7" i="4"/>
  <c r="V7" i="4" s="1"/>
  <c r="R7" i="4"/>
  <c r="P7" i="4"/>
  <c r="O7" i="4"/>
  <c r="L7" i="4"/>
  <c r="E7" i="4"/>
  <c r="W6" i="4"/>
  <c r="U6" i="4"/>
  <c r="V6" i="4" s="1"/>
  <c r="R6" i="4"/>
  <c r="P6" i="4"/>
  <c r="O6" i="4"/>
  <c r="L6" i="4"/>
  <c r="W5" i="4"/>
  <c r="U5" i="4"/>
  <c r="V5" i="4" s="1"/>
  <c r="R5" i="4"/>
  <c r="P5" i="4"/>
  <c r="O5" i="4"/>
  <c r="L5" i="4"/>
  <c r="X8" i="1"/>
  <c r="U8" i="1"/>
  <c r="S8" i="1"/>
  <c r="R8" i="1"/>
  <c r="Q8" i="1"/>
  <c r="O8" i="1"/>
  <c r="N8" i="1"/>
  <c r="H8" i="1"/>
  <c r="E8" i="1"/>
  <c r="AH7" i="1"/>
  <c r="AG7" i="1"/>
  <c r="AE7" i="1"/>
  <c r="AD7" i="1"/>
  <c r="Z7" i="1"/>
  <c r="Y7" i="1"/>
  <c r="X7" i="1"/>
  <c r="U7" i="1"/>
  <c r="S7" i="1"/>
  <c r="R7" i="1"/>
  <c r="Q7" i="1"/>
  <c r="O7" i="1"/>
  <c r="N7" i="1"/>
  <c r="H7" i="1"/>
  <c r="G7" i="1"/>
  <c r="E7" i="1"/>
  <c r="AH6" i="1"/>
  <c r="AG6" i="1"/>
  <c r="AE6" i="1"/>
  <c r="AD6" i="1"/>
  <c r="AB6" i="1"/>
  <c r="Z6" i="1"/>
  <c r="Y6" i="1"/>
  <c r="X6" i="1"/>
  <c r="U6" i="1"/>
  <c r="S6" i="1"/>
  <c r="R6" i="1"/>
  <c r="Q6" i="1"/>
  <c r="O6" i="1"/>
  <c r="N6" i="1"/>
  <c r="H6" i="1"/>
  <c r="G6" i="1"/>
  <c r="E6" i="1"/>
  <c r="D6" i="1"/>
  <c r="AH5" i="1"/>
  <c r="AG5" i="1"/>
  <c r="AE5" i="1"/>
  <c r="AD5" i="1"/>
  <c r="AB5" i="1"/>
  <c r="Z5" i="1"/>
  <c r="Y5" i="1"/>
  <c r="X5" i="1"/>
  <c r="U5" i="1"/>
  <c r="S5" i="1"/>
  <c r="R5" i="1"/>
  <c r="Q5" i="1"/>
  <c r="O5" i="1"/>
  <c r="N5" i="1"/>
  <c r="H5" i="1"/>
  <c r="G5" i="1"/>
  <c r="E5" i="1"/>
  <c r="Y8" i="1" l="1"/>
  <c r="Z8" i="1" s="1"/>
  <c r="AD8" i="1" s="1"/>
  <c r="AE8" i="1" s="1"/>
  <c r="AH8" i="1" s="1"/>
  <c r="AG8" i="1" l="1"/>
</calcChain>
</file>

<file path=xl/sharedStrings.xml><?xml version="1.0" encoding="utf-8"?>
<sst xmlns="http://schemas.openxmlformats.org/spreadsheetml/2006/main" count="618" uniqueCount="173">
  <si>
    <t>QAD号</t>
  </si>
  <si>
    <t>名称</t>
  </si>
  <si>
    <t>百斯特报价（未税）</t>
  </si>
  <si>
    <t>目标价格</t>
  </si>
  <si>
    <t>差额</t>
  </si>
  <si>
    <t>差异率</t>
  </si>
  <si>
    <t>钢丝工艺数据</t>
  </si>
  <si>
    <t>目标价格（差价5%）</t>
  </si>
  <si>
    <t>产品价格</t>
  </si>
  <si>
    <t>净重</t>
  </si>
  <si>
    <t>百斯毛重</t>
  </si>
  <si>
    <t>材料成本</t>
  </si>
  <si>
    <t>辅料成本</t>
  </si>
  <si>
    <t>人工制费</t>
  </si>
  <si>
    <t>管财利销</t>
  </si>
  <si>
    <t>包装</t>
  </si>
  <si>
    <t>运费</t>
  </si>
  <si>
    <t>公斤价</t>
  </si>
  <si>
    <t>产品目标价格</t>
  </si>
  <si>
    <t>工艺毛重</t>
  </si>
  <si>
    <t>SHT0018379</t>
  </si>
  <si>
    <t>J6P副驾靠背泡沫总成（有安全带）</t>
  </si>
  <si>
    <t>5根</t>
  </si>
  <si>
    <t>SHT0016046</t>
  </si>
  <si>
    <t>J6P副驾靠背泡沫</t>
  </si>
  <si>
    <t>SHT0018130</t>
  </si>
  <si>
    <t>驾驶员座垫泡沫总成（通风）</t>
  </si>
  <si>
    <t>3根</t>
  </si>
  <si>
    <t>SHT0018128</t>
  </si>
  <si>
    <t>驾驶员座垫泡沫总成</t>
  </si>
  <si>
    <t>J6P新开坐垫泡沫EBOM</t>
  </si>
  <si>
    <t>序号</t>
  </si>
  <si>
    <t>装配等级</t>
  </si>
  <si>
    <t>来源</t>
  </si>
  <si>
    <t>零件号</t>
  </si>
  <si>
    <t>零件名称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</si>
  <si>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</si>
  <si>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</si>
  <si>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</si>
  <si>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</si>
  <si>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</si>
  <si>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</si>
  <si>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</si>
  <si>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</si>
  <si>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</si>
  <si>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</si>
  <si>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</si>
  <si>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</si>
  <si>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</si>
  <si>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轮廓尺寸(长*宽*高)</t>
  </si>
  <si>
    <t>设计密度</t>
  </si>
  <si>
    <t>设计重量（Kg）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</si>
  <si>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</si>
  <si>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</si>
  <si>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</si>
  <si>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</si>
  <si>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</si>
  <si>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</si>
  <si>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</si>
  <si>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</si>
  <si>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</si>
  <si>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</si>
  <si>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6"/>
        <rFont val="宋体"/>
        <family val="3"/>
        <charset val="134"/>
      </rPr>
      <t>涂装面积
（m</t>
    </r>
    <r>
      <rPr>
        <vertAlign val="superscript"/>
        <sz val="16"/>
        <rFont val="宋体"/>
        <family val="3"/>
        <charset val="134"/>
      </rPr>
      <t>2</t>
    </r>
    <r>
      <rPr>
        <sz val="16"/>
        <rFont val="宋体"/>
        <family val="3"/>
        <charset val="134"/>
      </rPr>
      <t>）</t>
    </r>
  </si>
  <si>
    <t>外购/自制</t>
  </si>
  <si>
    <t>供应商</t>
  </si>
  <si>
    <t>实物重量</t>
  </si>
  <si>
    <t>原材料价格</t>
  </si>
  <si>
    <t>系数</t>
  </si>
  <si>
    <t>目标价</t>
  </si>
  <si>
    <t>采购每公斤单价</t>
  </si>
  <si>
    <t>采购价格</t>
  </si>
  <si>
    <t>差异价格</t>
  </si>
  <si>
    <t>差价比率</t>
  </si>
  <si>
    <t>数量</t>
  </si>
  <si>
    <t>备注</t>
  </si>
  <si>
    <t>SHT0016956</t>
  </si>
  <si>
    <t>SHT0016954</t>
  </si>
  <si>
    <t>SHT0017187</t>
  </si>
  <si>
    <t>长</t>
  </si>
  <si>
    <t>宽</t>
  </si>
  <si>
    <t>高</t>
  </si>
  <si>
    <r>
      <rPr>
        <sz val="11"/>
        <color theme="1"/>
        <rFont val="宋体"/>
        <family val="3"/>
        <charset val="134"/>
        <scheme val="minor"/>
      </rPr>
      <t>J</t>
    </r>
    <r>
      <rPr>
        <sz val="11"/>
        <color theme="1"/>
        <rFont val="宋体"/>
        <family val="3"/>
        <charset val="134"/>
        <scheme val="minor"/>
      </rPr>
      <t>6P经典版</t>
    </r>
  </si>
  <si>
    <t>驾驶员坐垫泡沫总成（通风）</t>
  </si>
  <si>
    <t>——</t>
  </si>
  <si>
    <t>C</t>
  </si>
  <si>
    <t>Ea</t>
  </si>
  <si>
    <t>A</t>
  </si>
  <si>
    <t>Y</t>
  </si>
  <si>
    <t>N</t>
  </si>
  <si>
    <t>注塑件</t>
  </si>
  <si>
    <t>ASSY</t>
  </si>
  <si>
    <t>495*540*130</t>
  </si>
  <si>
    <t>55kg/m³</t>
  </si>
  <si>
    <t>长春外购</t>
  </si>
  <si>
    <t>长春百思特聚氨酯科技有限公司</t>
  </si>
  <si>
    <t>非通风坐垫泡沫总成</t>
  </si>
  <si>
    <t>SHT0016955</t>
  </si>
  <si>
    <t>驾驶员坐垫泡沫本体（通风）</t>
  </si>
  <si>
    <t>发泡</t>
  </si>
  <si>
    <t>SHT0018129</t>
  </si>
  <si>
    <t>SHT0018131</t>
  </si>
  <si>
    <t>SHT0016957</t>
  </si>
  <si>
    <t>非通风坐垫泡沫本体</t>
  </si>
  <si>
    <t>SHT0017189</t>
  </si>
  <si>
    <t>坐垫泡沫无纺布</t>
  </si>
  <si>
    <t>无纺布</t>
  </si>
  <si>
    <t>黑色</t>
  </si>
  <si>
    <t>EST</t>
  </si>
  <si>
    <t>SHT0011070</t>
  </si>
  <si>
    <t>坐垫预埋钢丝A</t>
  </si>
  <si>
    <t>线材</t>
  </si>
  <si>
    <t>20#</t>
  </si>
  <si>
    <t>GB/T699</t>
  </si>
  <si>
    <t>258.7*9*2.5</t>
  </si>
  <si>
    <t>折弯</t>
  </si>
  <si>
    <t>SHT0011071</t>
  </si>
  <si>
    <t>坐垫预埋钢丝B</t>
  </si>
  <si>
    <t>370.4*3.7*25</t>
  </si>
  <si>
    <t>SHT0011603</t>
  </si>
  <si>
    <t>坐垫预埋钢丝C</t>
  </si>
  <si>
    <t>418.8*95.23.6</t>
  </si>
  <si>
    <t>SHT0011604</t>
  </si>
  <si>
    <t>坐垫预埋钢丝D</t>
  </si>
  <si>
    <t>418.8*95*23.6</t>
  </si>
  <si>
    <t>QAD</t>
  </si>
  <si>
    <r>
      <rPr>
        <sz val="14"/>
        <color theme="1"/>
        <rFont val="宋体"/>
        <family val="3"/>
        <charset val="134"/>
      </rPr>
      <t>零件描述</t>
    </r>
  </si>
  <si>
    <t>图示</t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</si>
  <si>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</si>
  <si>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</si>
  <si>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</si>
  <si>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</si>
  <si>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轮廓尺寸
(长*宽*高)</t>
  </si>
  <si>
    <t>设计重量
（Kg）</t>
  </si>
  <si>
    <t>工艺重量(kg)</t>
  </si>
  <si>
    <t>焊接长度(cm)</t>
  </si>
  <si>
    <t>涂装面积(㎡)</t>
  </si>
  <si>
    <t>供应商/工序</t>
  </si>
  <si>
    <t>供应商联系人</t>
  </si>
  <si>
    <t>采购价格比重</t>
  </si>
  <si>
    <t>差差价比率</t>
  </si>
  <si>
    <r>
      <rPr>
        <sz val="14"/>
        <color theme="1"/>
        <rFont val="宋体"/>
        <family val="3"/>
        <charset val="134"/>
      </rPr>
      <t>备注</t>
    </r>
  </si>
  <si>
    <t>用量</t>
  </si>
  <si>
    <t>单价</t>
  </si>
  <si>
    <t>成本</t>
  </si>
  <si>
    <t>J6P新能源</t>
  </si>
  <si>
    <t>靠背泡棉总成</t>
  </si>
  <si>
    <t>在SHT0011062基础上取消安全带出口</t>
  </si>
  <si>
    <t>泡沫总成</t>
  </si>
  <si>
    <t>562*462*41</t>
  </si>
  <si>
    <t>45±5</t>
  </si>
  <si>
    <t>河北自制</t>
  </si>
  <si>
    <t>发泡车间</t>
  </si>
  <si>
    <t>SHT0011063</t>
  </si>
  <si>
    <t>靠背泡沫本体</t>
  </si>
  <si>
    <t>PUR</t>
  </si>
  <si>
    <t>过程虚拟件</t>
  </si>
  <si>
    <t>H4</t>
  </si>
  <si>
    <t>H4681020024A0</t>
  </si>
  <si>
    <t>安全带固定片</t>
  </si>
  <si>
    <t>镶在泡沫里</t>
  </si>
  <si>
    <t>冲压件</t>
  </si>
  <si>
    <t>65Mn</t>
  </si>
  <si>
    <t>t=1.0</t>
  </si>
  <si>
    <t>GB/T 1222</t>
  </si>
  <si>
    <t>33*112*82</t>
  </si>
  <si>
    <t>河北外购</t>
  </si>
  <si>
    <t>黄骅市鑫祺汽车配件有限公司</t>
  </si>
  <si>
    <t>SLT0000740</t>
  </si>
  <si>
    <t>钢丝2.5*160</t>
  </si>
  <si>
    <t>SLT0000314</t>
  </si>
  <si>
    <t>泰行</t>
  </si>
  <si>
    <t>SLT0001093</t>
  </si>
  <si>
    <t>钢丝2.5*270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</si>
</sst>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0.000_ "/>
    <numFmt numFmtId="177" formatCode="_ * #,##0.0000_ ;_ * \-#,##0.0000_ ;_ * &quot;-&quot;????_ ;_ @_ "/>
    <numFmt numFmtId="178" formatCode="0.00_);[Red]\(0.00\)"/>
    <numFmt numFmtId="179" formatCode="0.0_);[Red]\(0.0\)"/>
    <numFmt numFmtId="180" formatCode="0.0000_ "/>
    <numFmt numFmtId="181" formatCode="0.0000_);[Red]\(0.0000\)"/>
    <numFmt numFmtId="182" formatCode="0.000_);[Red]\(0.000\)"/>
    <numFmt numFmtId="183" formatCode="0.0000"/>
    <numFmt numFmtId="184" formatCode="_ * #,##0.0000_ ;_ * \-#,##0.0000_ ;_ * &quot;-&quot;??.00_ ;_ @_ "/>
  </numFmts>
  <fonts count="21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sz val="10"/>
      <name val="微软雅黑"/>
      <family val="2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Arial"/>
      <family val="2"/>
    </font>
    <font>
      <b/>
      <sz val="22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vertAlign val="superscript"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1" applyNumberFormat="0" applyFill="0" applyBorder="0" applyAlignment="0" applyProtection="0">
      <alignment vertical="center"/>
    </xf>
    <xf numFmtId="0" fontId="14" fillId="0" borderId="0"/>
    <xf numFmtId="0" fontId="16" fillId="0" borderId="1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/>
    <xf numFmtId="0" fontId="14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Alignment="1" applyProtection="1">
      <alignment horizontal="left" vertical="center" wrapText="1"/>
      <protection locked="0"/>
    </xf>
    <xf numFmtId="0" fontId="3" fillId="0" borderId="1" xfId="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177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178" fontId="8" fillId="0" borderId="2" xfId="7" applyNumberFormat="1" applyFont="1" applyFill="1" applyBorder="1" applyAlignment="1">
      <alignment horizontal="left" vertical="center" wrapText="1"/>
    </xf>
    <xf numFmtId="180" fontId="8" fillId="0" borderId="2" xfId="7" applyNumberFormat="1" applyFont="1" applyFill="1" applyBorder="1" applyAlignment="1">
      <alignment horizontal="left" vertical="center" wrapText="1"/>
    </xf>
    <xf numFmtId="10" fontId="8" fillId="0" borderId="2" xfId="7" applyNumberFormat="1" applyFont="1" applyFill="1" applyBorder="1" applyAlignment="1">
      <alignment horizontal="left" vertical="center" wrapText="1"/>
    </xf>
    <xf numFmtId="180" fontId="4" fillId="0" borderId="1" xfId="3" applyNumberFormat="1" applyFont="1" applyFill="1" applyBorder="1" applyAlignment="1" applyProtection="1">
      <alignment horizontal="left" vertical="center" wrapText="1"/>
      <protection locked="0"/>
    </xf>
    <xf numFmtId="10" fontId="4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8" fillId="0" borderId="2" xfId="7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9" fillId="0" borderId="2" xfId="2" applyFont="1" applyFill="1" applyBorder="1" applyAlignment="1" applyProtection="1">
      <alignment horizontal="left" vertical="center" wrapText="1"/>
      <protection locked="0"/>
    </xf>
    <xf numFmtId="182" fontId="9" fillId="0" borderId="2" xfId="2" applyNumberFormat="1" applyFont="1" applyFill="1" applyBorder="1" applyAlignment="1" applyProtection="1">
      <alignment horizontal="left" vertical="center" wrapText="1"/>
      <protection locked="0"/>
    </xf>
    <xf numFmtId="178" fontId="9" fillId="0" borderId="2" xfId="2" applyNumberFormat="1" applyFont="1" applyFill="1" applyBorder="1" applyAlignment="1" applyProtection="1">
      <alignment horizontal="left" vertical="center" wrapText="1"/>
      <protection locked="0"/>
    </xf>
    <xf numFmtId="43" fontId="9" fillId="0" borderId="2" xfId="2" applyNumberFormat="1" applyFont="1" applyFill="1" applyBorder="1" applyAlignment="1" applyProtection="1">
      <alignment horizontal="left" vertical="center" wrapText="1"/>
      <protection locked="0"/>
    </xf>
    <xf numFmtId="10" fontId="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Fill="1" applyBorder="1" applyAlignment="1" applyProtection="1">
      <alignment horizontal="left" vertical="center" wrapText="1" shrinkToFit="1"/>
      <protection locked="0"/>
    </xf>
    <xf numFmtId="0" fontId="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2" applyNumberFormat="1" applyFont="1" applyFill="1" applyBorder="1" applyAlignment="1" applyProtection="1">
      <alignment horizontal="left" vertical="center" wrapText="1"/>
      <protection locked="0"/>
    </xf>
    <xf numFmtId="43" fontId="3" fillId="0" borderId="0" xfId="2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4" applyAlignment="1">
      <alignment horizontal="center" vertical="center" wrapText="1"/>
    </xf>
    <xf numFmtId="0" fontId="14" fillId="2" borderId="0" xfId="4" applyFill="1" applyAlignment="1">
      <alignment horizontal="center" vertical="center" wrapText="1"/>
    </xf>
    <xf numFmtId="0" fontId="14" fillId="0" borderId="0" xfId="4" applyAlignment="1">
      <alignment horizontal="left" vertical="center" wrapText="1"/>
    </xf>
    <xf numFmtId="176" fontId="14" fillId="0" borderId="0" xfId="4" applyNumberFormat="1" applyAlignment="1">
      <alignment horizontal="center" vertical="center" wrapText="1"/>
    </xf>
    <xf numFmtId="10" fontId="14" fillId="0" borderId="0" xfId="4" applyNumberFormat="1" applyAlignment="1">
      <alignment horizontal="center" vertical="center" wrapText="1"/>
    </xf>
    <xf numFmtId="0" fontId="14" fillId="0" borderId="1" xfId="4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4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183" fontId="14" fillId="0" borderId="0" xfId="4" applyNumberFormat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/>
    </xf>
    <xf numFmtId="184" fontId="0" fillId="0" borderId="1" xfId="0" applyNumberFormat="1" applyFill="1" applyBorder="1" applyAlignment="1">
      <alignment horizontal="center" vertical="center"/>
    </xf>
    <xf numFmtId="184" fontId="13" fillId="2" borderId="1" xfId="0" applyNumberFormat="1" applyFont="1" applyFill="1" applyBorder="1" applyAlignment="1">
      <alignment horizontal="center" vertical="center" wrapText="1"/>
    </xf>
    <xf numFmtId="184" fontId="13" fillId="2" borderId="1" xfId="0" applyNumberFormat="1" applyFont="1" applyFill="1" applyBorder="1" applyAlignment="1">
      <alignment horizontal="center" vertical="center"/>
    </xf>
    <xf numFmtId="18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4" fontId="0" fillId="3" borderId="1" xfId="0" applyNumberForma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43" fontId="0" fillId="0" borderId="0" xfId="1" applyNumberFormat="1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184" fontId="13" fillId="2" borderId="1" xfId="0" applyNumberFormat="1" applyFont="1" applyFill="1" applyBorder="1" applyAlignment="1">
      <alignment vertical="center"/>
    </xf>
    <xf numFmtId="43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43" fontId="0" fillId="2" borderId="0" xfId="1" applyNumberFormat="1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3" fontId="13" fillId="0" borderId="0" xfId="1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84" fontId="13" fillId="0" borderId="6" xfId="0" applyNumberFormat="1" applyFont="1" applyBorder="1" applyAlignment="1">
      <alignment horizontal="center" vertical="center"/>
    </xf>
    <xf numFmtId="184" fontId="13" fillId="0" borderId="7" xfId="0" applyNumberFormat="1" applyFont="1" applyBorder="1" applyAlignment="1">
      <alignment horizontal="center" vertical="center"/>
    </xf>
    <xf numFmtId="184" fontId="13" fillId="0" borderId="8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2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182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81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181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14" fillId="0" borderId="2" xfId="4" applyBorder="1" applyAlignment="1">
      <alignment horizontal="center" vertical="center" wrapText="1"/>
    </xf>
    <xf numFmtId="0" fontId="14" fillId="0" borderId="5" xfId="4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176" fontId="11" fillId="0" borderId="0" xfId="4" applyNumberFormat="1" applyFont="1" applyAlignment="1">
      <alignment horizontal="center" vertical="center" wrapText="1"/>
    </xf>
    <xf numFmtId="10" fontId="11" fillId="0" borderId="0" xfId="4" applyNumberFormat="1" applyFont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9" fontId="8" fillId="0" borderId="3" xfId="7" applyNumberFormat="1" applyFont="1" applyFill="1" applyBorder="1" applyAlignment="1">
      <alignment horizontal="left" vertical="center" wrapText="1"/>
    </xf>
    <xf numFmtId="179" fontId="8" fillId="0" borderId="4" xfId="7" applyNumberFormat="1" applyFont="1" applyFill="1" applyBorder="1" applyAlignment="1">
      <alignment horizontal="left" vertical="center" wrapText="1"/>
    </xf>
  </cellXfs>
  <cellStyles count="10">
    <cellStyle name="BOM_Level_Below3 2" xfId="6"/>
    <cellStyle name="BOM_Level_Below3 4" xfId="5"/>
    <cellStyle name="BOM_Level_Below3 4 2" xfId="3"/>
    <cellStyle name="RowLevel_1" xfId="8"/>
    <cellStyle name="百分比" xfId="1" builtinId="5"/>
    <cellStyle name="常规" xfId="0" builtinId="0"/>
    <cellStyle name="常规 3" xfId="7"/>
    <cellStyle name="常规 41" xfId="9"/>
    <cellStyle name="常规 42" xfId="4"/>
    <cellStyle name="样式 1" xfId="2"/>
  </cellStyles>
  <dxfs count="1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624205</xdr:colOff>
      <xdr:row>9</xdr:row>
      <xdr:rowOff>36830</xdr:rowOff>
    </xdr:from>
    <xdr:to>
      <xdr:col>11</xdr:col>
      <xdr:colOff>205105</xdr:colOff>
      <xdr:row>40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55" y="3567430"/>
          <a:ext cx="7321550" cy="5535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287193</xdr:colOff>
      <xdr:row>13</xdr:row>
      <xdr:rowOff>130787</xdr:rowOff>
    </xdr:from>
    <xdr:to>
      <xdr:col>8</xdr:col>
      <xdr:colOff>572943</xdr:colOff>
      <xdr:row>13</xdr:row>
      <xdr:rowOff>464162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6298565"/>
          <a:ext cx="28575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14</xdr:row>
      <xdr:rowOff>122465</xdr:rowOff>
    </xdr:from>
    <xdr:to>
      <xdr:col>8</xdr:col>
      <xdr:colOff>686640</xdr:colOff>
      <xdr:row>14</xdr:row>
      <xdr:rowOff>326572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850" y="6736080"/>
          <a:ext cx="475615" cy="20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15</xdr:row>
      <xdr:rowOff>136071</xdr:rowOff>
    </xdr:from>
    <xdr:to>
      <xdr:col>8</xdr:col>
      <xdr:colOff>598714</xdr:colOff>
      <xdr:row>15</xdr:row>
      <xdr:rowOff>476250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37100" y="7195820"/>
          <a:ext cx="36703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16</xdr:row>
      <xdr:rowOff>81643</xdr:rowOff>
    </xdr:from>
    <xdr:to>
      <xdr:col>8</xdr:col>
      <xdr:colOff>625929</xdr:colOff>
      <xdr:row>16</xdr:row>
      <xdr:rowOff>489858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7586980"/>
          <a:ext cx="44831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4</xdr:row>
      <xdr:rowOff>125506</xdr:rowOff>
    </xdr:from>
    <xdr:to>
      <xdr:col>8</xdr:col>
      <xdr:colOff>603358</xdr:colOff>
      <xdr:row>4</xdr:row>
      <xdr:rowOff>550048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228155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3</xdr:row>
      <xdr:rowOff>125506</xdr:rowOff>
    </xdr:from>
    <xdr:to>
      <xdr:col>8</xdr:col>
      <xdr:colOff>603358</xdr:colOff>
      <xdr:row>3</xdr:row>
      <xdr:rowOff>550048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83578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7</xdr:row>
      <xdr:rowOff>125506</xdr:rowOff>
    </xdr:from>
    <xdr:to>
      <xdr:col>8</xdr:col>
      <xdr:colOff>603358</xdr:colOff>
      <xdr:row>7</xdr:row>
      <xdr:rowOff>550048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61886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11</xdr:row>
      <xdr:rowOff>125506</xdr:rowOff>
    </xdr:from>
    <xdr:to>
      <xdr:col>8</xdr:col>
      <xdr:colOff>603358</xdr:colOff>
      <xdr:row>11</xdr:row>
      <xdr:rowOff>550048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540194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8</xdr:row>
      <xdr:rowOff>125506</xdr:rowOff>
    </xdr:from>
    <xdr:to>
      <xdr:col>8</xdr:col>
      <xdr:colOff>603358</xdr:colOff>
      <xdr:row>8</xdr:row>
      <xdr:rowOff>550048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06463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6</xdr:row>
      <xdr:rowOff>125506</xdr:rowOff>
    </xdr:from>
    <xdr:to>
      <xdr:col>8</xdr:col>
      <xdr:colOff>603358</xdr:colOff>
      <xdr:row>6</xdr:row>
      <xdr:rowOff>550048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17309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5</xdr:row>
      <xdr:rowOff>125506</xdr:rowOff>
    </xdr:from>
    <xdr:to>
      <xdr:col>8</xdr:col>
      <xdr:colOff>603358</xdr:colOff>
      <xdr:row>5</xdr:row>
      <xdr:rowOff>550048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272732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9</xdr:row>
      <xdr:rowOff>125506</xdr:rowOff>
    </xdr:from>
    <xdr:to>
      <xdr:col>8</xdr:col>
      <xdr:colOff>603358</xdr:colOff>
      <xdr:row>9</xdr:row>
      <xdr:rowOff>550048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51040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10</xdr:row>
      <xdr:rowOff>125506</xdr:rowOff>
    </xdr:from>
    <xdr:to>
      <xdr:col>8</xdr:col>
      <xdr:colOff>603358</xdr:colOff>
      <xdr:row>10</xdr:row>
      <xdr:rowOff>550048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495617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99695</xdr:colOff>
      <xdr:row>3</xdr:row>
      <xdr:rowOff>121920</xdr:rowOff>
    </xdr:from>
    <xdr:to>
      <xdr:col>9</xdr:col>
      <xdr:colOff>614045</xdr:colOff>
      <xdr:row>3</xdr:row>
      <xdr:rowOff>466725</xdr:rowOff>
    </xdr:to>
    <xdr:pic>
      <xdr:nvPicPr>
        <xdr:cNvPr id="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11295" y="1581785"/>
          <a:ext cx="313055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195405</xdr:colOff>
      <xdr:row>1</xdr:row>
      <xdr:rowOff>37185</xdr:rowOff>
    </xdr:from>
    <xdr:to>
      <xdr:col>9</xdr:col>
      <xdr:colOff>503464</xdr:colOff>
      <xdr:row>1</xdr:row>
      <xdr:rowOff>546153</xdr:rowOff>
    </xdr:to>
    <xdr:pic>
      <xdr:nvPicPr>
        <xdr:cNvPr id="4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6545" y="353695"/>
          <a:ext cx="21780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11"/>
  <sheetViews>
    <sheetView tabSelected="1" topLeftCell="Q1" zoomScale="90" zoomScaleNormal="90" workbookViewId="0">
      <selection activeCell="AH11" sqref="AH11"/>
    </sheetView>
  </sheetViews>
  <sheetFormatPr defaultColWidth="9" defaultRowHeight="13.5" x14ac:dyDescent="0.15"/>
  <cols>
    <col min="1" max="1" width="2.125" style="64" customWidth="1"/>
    <col min="2" max="2" width="11.375" style="64" customWidth="1"/>
    <col min="3" max="4" width="14.75" style="64" customWidth="1"/>
    <col min="5" max="14" width="10" style="65" customWidth="1"/>
    <col min="15" max="23" width="10" style="64" customWidth="1"/>
    <col min="24" max="24" width="10.625" style="64" customWidth="1"/>
    <col min="25" max="26" width="10" style="64" customWidth="1"/>
    <col min="27" max="28" width="9" style="64"/>
    <col min="29" max="30" width="3.5" style="64" hidden="1" customWidth="1"/>
    <col min="31" max="31" width="10.875" style="79" customWidth="1"/>
    <col min="32" max="32" width="12.875" style="64"/>
    <col min="33" max="33" width="10.75" style="64" customWidth="1"/>
    <col min="34" max="34" width="14" style="64"/>
    <col min="35" max="16384" width="9" style="64"/>
  </cols>
  <sheetData>
    <row r="3" spans="2:34" s="63" customFormat="1" ht="26.1" customHeight="1" x14ac:dyDescent="0.15">
      <c r="B3" s="93" t="s">
        <v>0</v>
      </c>
      <c r="C3" s="93" t="s">
        <v>1</v>
      </c>
      <c r="D3" s="80"/>
      <c r="E3" s="94" t="s">
        <v>2</v>
      </c>
      <c r="F3" s="95"/>
      <c r="G3" s="95"/>
      <c r="H3" s="95"/>
      <c r="I3" s="95"/>
      <c r="J3" s="95"/>
      <c r="K3" s="95"/>
      <c r="L3" s="95"/>
      <c r="M3" s="95"/>
      <c r="N3" s="96"/>
      <c r="O3" s="97" t="s">
        <v>3</v>
      </c>
      <c r="P3" s="98"/>
      <c r="Q3" s="98"/>
      <c r="R3" s="98"/>
      <c r="S3" s="98"/>
      <c r="T3" s="98"/>
      <c r="U3" s="98"/>
      <c r="V3" s="98"/>
      <c r="W3" s="98"/>
      <c r="X3" s="99"/>
      <c r="Y3" s="91" t="s">
        <v>4</v>
      </c>
      <c r="Z3" s="91" t="s">
        <v>5</v>
      </c>
      <c r="AA3" s="93" t="s">
        <v>6</v>
      </c>
      <c r="AB3" s="93"/>
      <c r="AE3" s="92" t="s">
        <v>7</v>
      </c>
    </row>
    <row r="4" spans="2:34" s="63" customFormat="1" ht="26.1" customHeight="1" x14ac:dyDescent="0.15">
      <c r="B4" s="93"/>
      <c r="C4" s="93"/>
      <c r="D4" s="66"/>
      <c r="E4" s="67" t="s">
        <v>8</v>
      </c>
      <c r="F4" s="67" t="s">
        <v>9</v>
      </c>
      <c r="G4" s="68" t="s">
        <v>10</v>
      </c>
      <c r="H4" s="67" t="s">
        <v>11</v>
      </c>
      <c r="I4" s="67" t="s">
        <v>12</v>
      </c>
      <c r="J4" s="67" t="s">
        <v>13</v>
      </c>
      <c r="K4" s="67" t="s">
        <v>14</v>
      </c>
      <c r="L4" s="67" t="s">
        <v>15</v>
      </c>
      <c r="M4" s="67" t="s">
        <v>16</v>
      </c>
      <c r="N4" s="67" t="s">
        <v>17</v>
      </c>
      <c r="O4" s="73" t="s">
        <v>18</v>
      </c>
      <c r="P4" s="73" t="s">
        <v>9</v>
      </c>
      <c r="Q4" s="74" t="s">
        <v>19</v>
      </c>
      <c r="R4" s="74" t="s">
        <v>11</v>
      </c>
      <c r="S4" s="74" t="s">
        <v>12</v>
      </c>
      <c r="T4" s="74" t="s">
        <v>13</v>
      </c>
      <c r="U4" s="74" t="s">
        <v>14</v>
      </c>
      <c r="V4" s="74" t="s">
        <v>15</v>
      </c>
      <c r="W4" s="74" t="s">
        <v>16</v>
      </c>
      <c r="X4" s="83" t="s">
        <v>17</v>
      </c>
      <c r="Y4" s="91"/>
      <c r="Z4" s="91"/>
      <c r="AA4" s="93"/>
      <c r="AB4" s="93"/>
      <c r="AE4" s="92"/>
    </row>
    <row r="5" spans="2:34" ht="45.95" customHeight="1" x14ac:dyDescent="0.15">
      <c r="B5" s="69" t="s">
        <v>20</v>
      </c>
      <c r="C5" s="70" t="s">
        <v>21</v>
      </c>
      <c r="D5" s="81">
        <v>32.380000000000003</v>
      </c>
      <c r="E5" s="71">
        <f t="shared" ref="E5:E8" si="0">H5+I5+J5+K5+L5+M5</f>
        <v>32.781599999999997</v>
      </c>
      <c r="F5" s="71">
        <v>1.22</v>
      </c>
      <c r="G5" s="72">
        <f>F5*1.08</f>
        <v>1.3176000000000001</v>
      </c>
      <c r="H5" s="71">
        <f>16*G5+1.24</f>
        <v>22.3216</v>
      </c>
      <c r="I5" s="71">
        <v>3.19</v>
      </c>
      <c r="J5" s="71">
        <v>2.85</v>
      </c>
      <c r="K5" s="71">
        <v>3.23</v>
      </c>
      <c r="L5" s="71">
        <v>0.28000000000000003</v>
      </c>
      <c r="M5" s="71">
        <v>0.91</v>
      </c>
      <c r="N5" s="82">
        <f>E5/F5</f>
        <v>26.870163934426198</v>
      </c>
      <c r="O5" s="75">
        <f>R5+S5+T5+U5+V5+W5</f>
        <v>30.667777999999998</v>
      </c>
      <c r="P5" s="75">
        <v>1.216</v>
      </c>
      <c r="Q5" s="76">
        <f t="shared" ref="Q5:Q8" si="1">P5*1.08</f>
        <v>1.31328</v>
      </c>
      <c r="R5" s="75">
        <f>16*Q5+0.95</f>
        <v>21.962479999999999</v>
      </c>
      <c r="S5" s="75">
        <f>10.5*AB5+1.45</f>
        <v>1.9855</v>
      </c>
      <c r="T5" s="75">
        <v>2.85</v>
      </c>
      <c r="U5" s="75">
        <f t="shared" ref="U5:U8" si="2">(R5+S5+T5)*0.1</f>
        <v>2.6797979999999999</v>
      </c>
      <c r="V5" s="75">
        <v>0.28000000000000003</v>
      </c>
      <c r="W5" s="75">
        <v>0.91</v>
      </c>
      <c r="X5" s="84">
        <f t="shared" ref="X5:X8" si="3">O5/P5</f>
        <v>25.220212171052601</v>
      </c>
      <c r="Y5" s="77">
        <f>E5-O5</f>
        <v>2.1138219999999999</v>
      </c>
      <c r="Z5" s="78">
        <f>Y5/O5</f>
        <v>6.8926480425155007E-2</v>
      </c>
      <c r="AA5" s="69" t="s">
        <v>22</v>
      </c>
      <c r="AB5" s="69">
        <f>0.04+0.011</f>
        <v>5.0999999999999997E-2</v>
      </c>
      <c r="AC5" s="85">
        <v>0.05</v>
      </c>
      <c r="AD5" s="86">
        <f>Z5-AC5</f>
        <v>1.8926480425155E-2</v>
      </c>
      <c r="AE5" s="87">
        <f>O5*(1+AD5)</f>
        <v>31.248211099999999</v>
      </c>
      <c r="AF5" s="89">
        <f>D5-AE5</f>
        <v>1.1317889000000037</v>
      </c>
      <c r="AG5" s="90">
        <f>AF5/AE5</f>
        <v>3.6219318167624762E-2</v>
      </c>
      <c r="AH5" s="88">
        <f>AE5-D5</f>
        <v>-1.1317889000000037</v>
      </c>
    </row>
    <row r="6" spans="2:34" ht="45.95" customHeight="1" x14ac:dyDescent="0.15">
      <c r="B6" s="69" t="s">
        <v>23</v>
      </c>
      <c r="C6" s="70" t="s">
        <v>24</v>
      </c>
      <c r="D6" s="81">
        <f>E6*0.99</f>
        <v>30.800484000000001</v>
      </c>
      <c r="E6" s="71">
        <f t="shared" si="0"/>
        <v>31.111599999999999</v>
      </c>
      <c r="F6" s="71">
        <v>1.22</v>
      </c>
      <c r="G6" s="72">
        <f t="shared" ref="G6:G7" si="4">F6*1.08</f>
        <v>1.3176000000000001</v>
      </c>
      <c r="H6" s="71">
        <f>16*G6+1.24</f>
        <v>22.3216</v>
      </c>
      <c r="I6" s="71">
        <v>1.69</v>
      </c>
      <c r="J6" s="71">
        <v>2.85</v>
      </c>
      <c r="K6" s="71">
        <v>3.06</v>
      </c>
      <c r="L6" s="71">
        <v>0.28000000000000003</v>
      </c>
      <c r="M6" s="71">
        <v>0.91</v>
      </c>
      <c r="N6" s="82">
        <f>E6/F6</f>
        <v>25.5013114754098</v>
      </c>
      <c r="O6" s="75">
        <f>R6+S6+T6+U6+V6+W6</f>
        <v>29.110793999999999</v>
      </c>
      <c r="P6" s="75">
        <v>1.218</v>
      </c>
      <c r="Q6" s="76">
        <f t="shared" si="1"/>
        <v>1.3154399999999999</v>
      </c>
      <c r="R6" s="75">
        <f>16*Q6+0.95</f>
        <v>21.997039999999998</v>
      </c>
      <c r="S6" s="75">
        <f>10.5*AB6</f>
        <v>0.53549999999999998</v>
      </c>
      <c r="T6" s="75">
        <v>2.85</v>
      </c>
      <c r="U6" s="75">
        <f t="shared" si="2"/>
        <v>2.5382539999999998</v>
      </c>
      <c r="V6" s="75">
        <v>0.28000000000000003</v>
      </c>
      <c r="W6" s="75">
        <v>0.91</v>
      </c>
      <c r="X6" s="84">
        <f t="shared" si="3"/>
        <v>23.9004876847291</v>
      </c>
      <c r="Y6" s="77">
        <f>E6-O6</f>
        <v>2.0008059999999999</v>
      </c>
      <c r="Z6" s="78">
        <f>Y6/O6</f>
        <v>6.8730725791951996E-2</v>
      </c>
      <c r="AA6" s="69" t="s">
        <v>22</v>
      </c>
      <c r="AB6" s="69">
        <f>0.04+0.011</f>
        <v>5.0999999999999997E-2</v>
      </c>
      <c r="AC6" s="85">
        <v>0.05</v>
      </c>
      <c r="AD6" s="86">
        <f>Z6-AC6</f>
        <v>1.8730725791952001E-2</v>
      </c>
      <c r="AE6" s="87">
        <f>O6*(1+AD6)</f>
        <v>29.6560603</v>
      </c>
      <c r="AF6" s="89">
        <f t="shared" ref="AF6:AF8" si="5">D6-AE6</f>
        <v>1.1444237000000008</v>
      </c>
      <c r="AG6" s="90">
        <f>AF6/AE6</f>
        <v>3.8589876349826573E-2</v>
      </c>
      <c r="AH6" s="88">
        <f>AE6-D6</f>
        <v>-1.1444236999999999</v>
      </c>
    </row>
    <row r="7" spans="2:34" ht="45.95" customHeight="1" x14ac:dyDescent="0.15">
      <c r="B7" s="69" t="s">
        <v>25</v>
      </c>
      <c r="C7" s="70" t="s">
        <v>26</v>
      </c>
      <c r="D7" s="81">
        <v>20.7</v>
      </c>
      <c r="E7" s="71">
        <f t="shared" si="0"/>
        <v>21.3887944444444</v>
      </c>
      <c r="F7" s="71">
        <v>0.77</v>
      </c>
      <c r="G7" s="72">
        <f t="shared" si="4"/>
        <v>0.83160000000000001</v>
      </c>
      <c r="H7" s="71">
        <f>16*G7+0.92</f>
        <v>14.2256</v>
      </c>
      <c r="I7" s="71">
        <v>0.85</v>
      </c>
      <c r="J7" s="71">
        <v>2.85</v>
      </c>
      <c r="K7" s="71">
        <v>2.2999999999999998</v>
      </c>
      <c r="L7" s="71">
        <v>0.20833333333333301</v>
      </c>
      <c r="M7" s="71">
        <v>0.95486111111111105</v>
      </c>
      <c r="N7" s="82">
        <f>E7/F7</f>
        <v>27.777655122655101</v>
      </c>
      <c r="O7" s="75">
        <f>R7+S7+T7+U7+V7+W7</f>
        <v>19.680866301587301</v>
      </c>
      <c r="P7" s="75">
        <v>0.76300000000000001</v>
      </c>
      <c r="Q7" s="76">
        <f t="shared" si="1"/>
        <v>0.82403999999999999</v>
      </c>
      <c r="R7" s="75">
        <f>16*Q7+0.95</f>
        <v>14.134639999999999</v>
      </c>
      <c r="S7" s="75">
        <f>10.5*AB7</f>
        <v>0.35175000000000001</v>
      </c>
      <c r="T7" s="75">
        <v>2.3478571428571402</v>
      </c>
      <c r="U7" s="75">
        <f t="shared" si="2"/>
        <v>1.6834247142857099</v>
      </c>
      <c r="V7" s="75">
        <v>0.20833333333333301</v>
      </c>
      <c r="W7" s="75">
        <v>0.95486111111111105</v>
      </c>
      <c r="X7" s="84">
        <f t="shared" si="3"/>
        <v>25.794058062368698</v>
      </c>
      <c r="Y7" s="77">
        <f>E7-O7</f>
        <v>1.70792814285715</v>
      </c>
      <c r="Z7" s="78">
        <f>Y7/O7</f>
        <v>8.6781146555494904E-2</v>
      </c>
      <c r="AA7" s="69" t="s">
        <v>27</v>
      </c>
      <c r="AB7" s="69">
        <v>3.3500000000000002E-2</v>
      </c>
      <c r="AC7" s="85">
        <v>0.05</v>
      </c>
      <c r="AD7" s="86">
        <f>Z7-AC7</f>
        <v>3.6781146555494901E-2</v>
      </c>
      <c r="AE7" s="87">
        <f>O7*(1+AD7)</f>
        <v>20.404751129365099</v>
      </c>
      <c r="AF7" s="89">
        <f t="shared" si="5"/>
        <v>0.29524887063490013</v>
      </c>
      <c r="AG7" s="90">
        <f>AF7/AE7</f>
        <v>1.4469613903303064E-2</v>
      </c>
      <c r="AH7" s="88">
        <f>AE7-D7</f>
        <v>-0.29524887063490013</v>
      </c>
    </row>
    <row r="8" spans="2:34" ht="45.95" customHeight="1" x14ac:dyDescent="0.15">
      <c r="B8" s="69" t="s">
        <v>28</v>
      </c>
      <c r="C8" s="70" t="s">
        <v>29</v>
      </c>
      <c r="D8" s="81">
        <v>23.1</v>
      </c>
      <c r="E8" s="71">
        <f t="shared" si="0"/>
        <v>23.362394444444444</v>
      </c>
      <c r="F8" s="71">
        <v>0.89</v>
      </c>
      <c r="G8" s="72">
        <f>F8*1.08</f>
        <v>0.96120000000000005</v>
      </c>
      <c r="H8" s="71">
        <f>16*G8+0.92</f>
        <v>16.299199999999999</v>
      </c>
      <c r="I8" s="71">
        <v>0.85</v>
      </c>
      <c r="J8" s="71">
        <v>2.85</v>
      </c>
      <c r="K8" s="71">
        <v>2.2000000000000002</v>
      </c>
      <c r="L8" s="71">
        <v>0.20833333333333301</v>
      </c>
      <c r="M8" s="71">
        <v>0.95486111111111105</v>
      </c>
      <c r="N8" s="82">
        <f>E8/F8</f>
        <v>26.249881398252185</v>
      </c>
      <c r="O8" s="75">
        <f>R8+S8+T8+U8+V8+W8</f>
        <v>21.9998423015873</v>
      </c>
      <c r="P8" s="75">
        <v>0.88500000000000001</v>
      </c>
      <c r="Q8" s="76">
        <f t="shared" si="1"/>
        <v>0.95579999999999998</v>
      </c>
      <c r="R8" s="75">
        <f>16*Q8+0.95</f>
        <v>16.242799999999999</v>
      </c>
      <c r="S8" s="75">
        <f>S7</f>
        <v>0.35175000000000001</v>
      </c>
      <c r="T8" s="75">
        <v>2.3478571428571402</v>
      </c>
      <c r="U8" s="75">
        <f t="shared" si="2"/>
        <v>1.8942407142857101</v>
      </c>
      <c r="V8" s="75">
        <v>0.20833333333333301</v>
      </c>
      <c r="W8" s="75">
        <v>0.95486111111111105</v>
      </c>
      <c r="X8" s="84">
        <f t="shared" si="3"/>
        <v>24.858578871850099</v>
      </c>
      <c r="Y8" s="77">
        <f>E8-O8</f>
        <v>1.3625521428571439</v>
      </c>
      <c r="Z8" s="78">
        <f>Y8/O8</f>
        <v>6.1934632265924695E-2</v>
      </c>
      <c r="AA8" s="69" t="s">
        <v>27</v>
      </c>
      <c r="AB8" s="69">
        <v>3.3500000000000002E-2</v>
      </c>
      <c r="AC8" s="85">
        <v>0.05</v>
      </c>
      <c r="AD8" s="86">
        <f>Z8-AC8</f>
        <v>1.1934632265924693E-2</v>
      </c>
      <c r="AE8" s="87">
        <f>O8*(1+AD8)</f>
        <v>22.262402329365077</v>
      </c>
      <c r="AF8" s="89">
        <f t="shared" si="5"/>
        <v>0.83759767063492419</v>
      </c>
      <c r="AG8" s="90">
        <f>AF8/AE8</f>
        <v>3.7623867282736888E-2</v>
      </c>
      <c r="AH8" s="88">
        <f>AE8-D8</f>
        <v>-0.83759767063492419</v>
      </c>
    </row>
    <row r="11" spans="2:34" x14ac:dyDescent="0.15">
      <c r="B11"/>
    </row>
  </sheetData>
  <mergeCells count="8">
    <mergeCell ref="B3:B4"/>
    <mergeCell ref="C3:C4"/>
    <mergeCell ref="Y3:Y4"/>
    <mergeCell ref="Z3:Z4"/>
    <mergeCell ref="AE3:AE4"/>
    <mergeCell ref="AA3:AB4"/>
    <mergeCell ref="E3:N3"/>
    <mergeCell ref="O3:X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8"/>
  <sheetViews>
    <sheetView workbookViewId="0">
      <selection activeCell="U13" sqref="U13"/>
    </sheetView>
  </sheetViews>
  <sheetFormatPr defaultColWidth="9" defaultRowHeight="13.5" x14ac:dyDescent="0.15"/>
  <cols>
    <col min="1" max="1" width="2.125" style="64" customWidth="1"/>
    <col min="2" max="2" width="11.375" style="64" customWidth="1"/>
    <col min="3" max="3" width="14.75" style="64" customWidth="1"/>
    <col min="4" max="11" width="10" style="65" customWidth="1"/>
    <col min="12" max="22" width="10" style="64" customWidth="1"/>
    <col min="23" max="23" width="12.875" style="64"/>
    <col min="24" max="16384" width="9" style="64"/>
  </cols>
  <sheetData>
    <row r="3" spans="2:23" s="63" customFormat="1" ht="26.1" customHeight="1" x14ac:dyDescent="0.15">
      <c r="B3" s="93" t="s">
        <v>0</v>
      </c>
      <c r="C3" s="93" t="s">
        <v>1</v>
      </c>
      <c r="D3" s="100" t="s">
        <v>2</v>
      </c>
      <c r="E3" s="100"/>
      <c r="F3" s="100"/>
      <c r="G3" s="100"/>
      <c r="H3" s="100"/>
      <c r="I3" s="100"/>
      <c r="J3" s="100"/>
      <c r="K3" s="100"/>
      <c r="L3" s="101" t="s">
        <v>3</v>
      </c>
      <c r="M3" s="101"/>
      <c r="N3" s="101"/>
      <c r="O3" s="101"/>
      <c r="P3" s="101"/>
      <c r="Q3" s="101"/>
      <c r="R3" s="101"/>
      <c r="S3" s="101"/>
      <c r="T3" s="101"/>
      <c r="U3" s="91" t="s">
        <v>4</v>
      </c>
      <c r="V3" s="91" t="s">
        <v>5</v>
      </c>
    </row>
    <row r="4" spans="2:23" s="63" customFormat="1" ht="26.1" customHeight="1" x14ac:dyDescent="0.15">
      <c r="B4" s="93"/>
      <c r="C4" s="93"/>
      <c r="D4" s="67" t="s">
        <v>8</v>
      </c>
      <c r="E4" s="68" t="s">
        <v>10</v>
      </c>
      <c r="F4" s="67" t="s">
        <v>11</v>
      </c>
      <c r="G4" s="67" t="s">
        <v>12</v>
      </c>
      <c r="H4" s="67" t="s">
        <v>13</v>
      </c>
      <c r="I4" s="67" t="s">
        <v>14</v>
      </c>
      <c r="J4" s="67" t="s">
        <v>15</v>
      </c>
      <c r="K4" s="67" t="s">
        <v>16</v>
      </c>
      <c r="L4" s="73" t="s">
        <v>18</v>
      </c>
      <c r="M4" s="73" t="s">
        <v>9</v>
      </c>
      <c r="N4" s="74" t="s">
        <v>19</v>
      </c>
      <c r="O4" s="74" t="s">
        <v>11</v>
      </c>
      <c r="P4" s="74" t="s">
        <v>12</v>
      </c>
      <c r="Q4" s="74" t="s">
        <v>13</v>
      </c>
      <c r="R4" s="74" t="s">
        <v>14</v>
      </c>
      <c r="S4" s="74" t="s">
        <v>15</v>
      </c>
      <c r="T4" s="74" t="s">
        <v>16</v>
      </c>
      <c r="U4" s="91"/>
      <c r="V4" s="91"/>
    </row>
    <row r="5" spans="2:23" ht="45.95" customHeight="1" x14ac:dyDescent="0.15">
      <c r="B5" s="69" t="s">
        <v>20</v>
      </c>
      <c r="C5" s="70" t="s">
        <v>21</v>
      </c>
      <c r="D5" s="71">
        <v>32.380000000000003</v>
      </c>
      <c r="E5" s="72">
        <v>1.38</v>
      </c>
      <c r="F5" s="71">
        <v>23.32</v>
      </c>
      <c r="G5" s="71">
        <v>3.19</v>
      </c>
      <c r="H5" s="71">
        <v>2.85</v>
      </c>
      <c r="I5" s="71">
        <v>3.23</v>
      </c>
      <c r="J5" s="71">
        <v>0.28000000000000003</v>
      </c>
      <c r="K5" s="71">
        <v>0.91</v>
      </c>
      <c r="L5" s="75">
        <f t="shared" ref="L5:L8" si="0">O5+P5+Q5+R5+S5+T5</f>
        <v>35.951815199999999</v>
      </c>
      <c r="M5" s="75">
        <v>1.216</v>
      </c>
      <c r="N5" s="76">
        <v>1.31328</v>
      </c>
      <c r="O5" s="75">
        <f>14.4*N5+0.95</f>
        <v>19.861232000000001</v>
      </c>
      <c r="P5" s="75">
        <f>Sheet3!AX2</f>
        <v>2.3086000000000002</v>
      </c>
      <c r="Q5" s="75">
        <v>2.85</v>
      </c>
      <c r="R5" s="75">
        <f t="shared" ref="R5:R8" si="1">(O5+P5+Q5)*0.1</f>
        <v>2.5019832000000002</v>
      </c>
      <c r="S5" s="75">
        <v>0.28000000000000003</v>
      </c>
      <c r="T5" s="75">
        <v>8.15</v>
      </c>
      <c r="U5" s="77">
        <f t="shared" ref="U5:U8" si="2">D5-L5</f>
        <v>-3.5718151999999961</v>
      </c>
      <c r="V5" s="78">
        <f t="shared" ref="V5:V8" si="3">U5/L5</f>
        <v>-9.9350065640079172E-2</v>
      </c>
      <c r="W5" s="64">
        <f>L5/M5</f>
        <v>29.565637500000001</v>
      </c>
    </row>
    <row r="6" spans="2:23" ht="45.95" customHeight="1" x14ac:dyDescent="0.15">
      <c r="B6" s="69" t="s">
        <v>23</v>
      </c>
      <c r="C6" s="70" t="s">
        <v>24</v>
      </c>
      <c r="D6" s="71">
        <v>30.74</v>
      </c>
      <c r="E6" s="72">
        <v>1.38</v>
      </c>
      <c r="F6" s="71">
        <v>23.32</v>
      </c>
      <c r="G6" s="71">
        <v>1.69</v>
      </c>
      <c r="H6" s="71">
        <v>2.85</v>
      </c>
      <c r="I6" s="71">
        <v>3.06</v>
      </c>
      <c r="J6" s="71">
        <v>0.28000000000000003</v>
      </c>
      <c r="K6" s="71">
        <v>0.91</v>
      </c>
      <c r="L6" s="75">
        <f t="shared" si="0"/>
        <v>34.391029600000003</v>
      </c>
      <c r="M6" s="75">
        <v>1.218</v>
      </c>
      <c r="N6" s="76">
        <v>1.3154399999999999</v>
      </c>
      <c r="O6" s="75">
        <f>14.4*N6+0.95</f>
        <v>19.892336</v>
      </c>
      <c r="P6" s="75">
        <f>Sheet3!AX6+Sheet3!AX5</f>
        <v>0.85860000000000003</v>
      </c>
      <c r="Q6" s="75">
        <v>2.85</v>
      </c>
      <c r="R6" s="75">
        <f t="shared" si="1"/>
        <v>2.3600935999999999</v>
      </c>
      <c r="S6" s="75">
        <v>0.28000000000000003</v>
      </c>
      <c r="T6" s="75">
        <v>8.15</v>
      </c>
      <c r="U6" s="77">
        <f t="shared" si="2"/>
        <v>-3.6510296000000046</v>
      </c>
      <c r="V6" s="78">
        <f t="shared" si="3"/>
        <v>-0.10616226505763016</v>
      </c>
      <c r="W6" s="64">
        <f>L6/M6</f>
        <v>28.2356564860427</v>
      </c>
    </row>
    <row r="7" spans="2:23" ht="45.95" customHeight="1" x14ac:dyDescent="0.15">
      <c r="B7" s="69" t="s">
        <v>25</v>
      </c>
      <c r="C7" s="70" t="s">
        <v>26</v>
      </c>
      <c r="D7" s="71">
        <v>20.7</v>
      </c>
      <c r="E7" s="72">
        <f>D7*1.08</f>
        <v>22.356000000000002</v>
      </c>
      <c r="F7" s="71">
        <v>15.05</v>
      </c>
      <c r="G7" s="71">
        <v>0.85</v>
      </c>
      <c r="H7" s="71">
        <v>2.85</v>
      </c>
      <c r="I7" s="71">
        <v>2.2999999999999998</v>
      </c>
      <c r="J7" s="71">
        <v>0.20833333333333301</v>
      </c>
      <c r="K7" s="71">
        <v>0.95486111111111105</v>
      </c>
      <c r="L7" s="75">
        <f t="shared" si="0"/>
        <v>21.425389790476199</v>
      </c>
      <c r="M7" s="75">
        <v>0.76300000000000001</v>
      </c>
      <c r="N7" s="76">
        <v>0.82403999999999999</v>
      </c>
      <c r="O7" s="75">
        <f>14.4*N7+0.95</f>
        <v>12.816176</v>
      </c>
      <c r="P7" s="75">
        <f>明细!BA14+明细!BA15+明细!BA16+明细!BA17</f>
        <v>0.42420000000000002</v>
      </c>
      <c r="Q7" s="75">
        <v>2.3478571428571402</v>
      </c>
      <c r="R7" s="75">
        <f t="shared" si="1"/>
        <v>1.55882331428571</v>
      </c>
      <c r="S7" s="75">
        <v>0.20833333333333301</v>
      </c>
      <c r="T7" s="75">
        <v>4.07</v>
      </c>
      <c r="U7" s="77">
        <f t="shared" si="2"/>
        <v>-0.72538979047619989</v>
      </c>
      <c r="V7" s="78">
        <f t="shared" si="3"/>
        <v>-3.3856550455788809E-2</v>
      </c>
      <c r="W7" s="64">
        <f>L7/M7</f>
        <v>28.080458440991102</v>
      </c>
    </row>
    <row r="8" spans="2:23" ht="45.95" customHeight="1" x14ac:dyDescent="0.15">
      <c r="B8" s="69" t="s">
        <v>28</v>
      </c>
      <c r="C8" s="70" t="s">
        <v>29</v>
      </c>
      <c r="D8" s="71">
        <v>23.1</v>
      </c>
      <c r="E8" s="72">
        <f>D8*1.08</f>
        <v>24.948000000000004</v>
      </c>
      <c r="F8" s="71">
        <v>17.239999999999998</v>
      </c>
      <c r="G8" s="71">
        <v>0.85</v>
      </c>
      <c r="H8" s="71">
        <v>2.85</v>
      </c>
      <c r="I8" s="71">
        <v>2.06</v>
      </c>
      <c r="J8" s="71">
        <v>0.20833333333333301</v>
      </c>
      <c r="K8" s="71">
        <v>0.95486111111111105</v>
      </c>
      <c r="L8" s="75">
        <f t="shared" si="0"/>
        <v>23.512468190476199</v>
      </c>
      <c r="M8" s="75">
        <v>0.88500000000000001</v>
      </c>
      <c r="N8" s="76">
        <v>0.95579999999999998</v>
      </c>
      <c r="O8" s="75">
        <f>14.4*N8+0.95</f>
        <v>14.713520000000001</v>
      </c>
      <c r="P8" s="75">
        <f>P7</f>
        <v>0.42420000000000002</v>
      </c>
      <c r="Q8" s="75">
        <v>2.3478571428571402</v>
      </c>
      <c r="R8" s="75">
        <f t="shared" si="1"/>
        <v>1.7485577142857101</v>
      </c>
      <c r="S8" s="75">
        <v>0.20833333333333301</v>
      </c>
      <c r="T8" s="75">
        <v>4.07</v>
      </c>
      <c r="U8" s="77">
        <f t="shared" si="2"/>
        <v>-0.41246819047619709</v>
      </c>
      <c r="V8" s="78">
        <f t="shared" si="3"/>
        <v>-1.7542530504869272E-2</v>
      </c>
      <c r="W8" s="64">
        <f>L8/M8</f>
        <v>26.567760667204698</v>
      </c>
    </row>
  </sheetData>
  <mergeCells count="6">
    <mergeCell ref="V3:V4"/>
    <mergeCell ref="D3:K3"/>
    <mergeCell ref="L3:T3"/>
    <mergeCell ref="B3:B4"/>
    <mergeCell ref="C3:C4"/>
    <mergeCell ref="U3:U4"/>
  </mergeCells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B4" zoomScale="55" zoomScaleNormal="55" workbookViewId="0">
      <selection activeCell="D28" sqref="D28"/>
    </sheetView>
  </sheetViews>
  <sheetFormatPr defaultColWidth="9" defaultRowHeight="13.5" outlineLevelCol="1" x14ac:dyDescent="0.15"/>
  <cols>
    <col min="1" max="1" width="4.625" style="35" customWidth="1"/>
    <col min="2" max="2" width="5" style="35" customWidth="1"/>
    <col min="3" max="3" width="5.125" style="35" customWidth="1"/>
    <col min="4" max="4" width="17.75" style="35" customWidth="1"/>
    <col min="5" max="5" width="32" style="37" customWidth="1"/>
    <col min="6" max="6" width="18" style="35" hidden="1" customWidth="1" outlineLevel="1"/>
    <col min="7" max="7" width="6.125" style="35" hidden="1" customWidth="1" outlineLevel="1"/>
    <col min="8" max="8" width="5.375" style="35" hidden="1" customWidth="1" outlineLevel="1"/>
    <col min="9" max="9" width="8.75" style="35" customWidth="1" collapsed="1"/>
    <col min="10" max="10" width="5.125" style="35" customWidth="1" outlineLevel="1"/>
    <col min="11" max="11" width="12.5" style="35" customWidth="1" outlineLevel="1"/>
    <col min="12" max="12" width="5.375" style="35" customWidth="1" outlineLevel="1"/>
    <col min="13" max="14" width="9" style="35" customWidth="1" outlineLevel="1"/>
    <col min="15" max="15" width="7.375" style="35" customWidth="1"/>
    <col min="16" max="17" width="8.375" style="35" customWidth="1" outlineLevel="1"/>
    <col min="18" max="18" width="12.5" style="35" customWidth="1" outlineLevel="1"/>
    <col min="19" max="19" width="11.375" style="35" customWidth="1" outlineLevel="1"/>
    <col min="20" max="20" width="7.375" style="35" customWidth="1" outlineLevel="1"/>
    <col min="21" max="21" width="10.75" style="35" customWidth="1"/>
    <col min="22" max="22" width="7.125" style="35" hidden="1" customWidth="1"/>
    <col min="23" max="25" width="6.375" style="35" hidden="1" customWidth="1"/>
    <col min="26" max="26" width="11.625" style="35" customWidth="1"/>
    <col min="27" max="27" width="11.625" style="35" customWidth="1" outlineLevel="1"/>
    <col min="28" max="30" width="11.625" style="35" hidden="1" customWidth="1" outlineLevel="1"/>
    <col min="31" max="31" width="11.625" style="38" customWidth="1" outlineLevel="1"/>
    <col min="32" max="32" width="11.625" style="39" customWidth="1" outlineLevel="1"/>
    <col min="33" max="34" width="11.625" style="35" customWidth="1" outlineLevel="1"/>
    <col min="35" max="36" width="11.625" style="35" customWidth="1"/>
    <col min="37" max="45" width="11.625" style="35" hidden="1" customWidth="1" outlineLevel="1"/>
    <col min="46" max="46" width="6.375" style="35" customWidth="1" collapsed="1"/>
    <col min="47" max="47" width="6.375" style="35" customWidth="1"/>
    <col min="48" max="48" width="7.25" style="35" customWidth="1"/>
    <col min="49" max="49" width="7.5" style="35" customWidth="1"/>
    <col min="50" max="50" width="15.375" style="36" customWidth="1"/>
    <col min="51" max="51" width="16.875" style="36" customWidth="1"/>
    <col min="52" max="52" width="16.875" style="35" customWidth="1"/>
    <col min="53" max="62" width="15.625" style="35" customWidth="1"/>
    <col min="63" max="16384" width="9" style="35"/>
  </cols>
  <sheetData>
    <row r="1" spans="1:53" ht="64.5" customHeight="1" x14ac:dyDescent="0.15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20"/>
      <c r="AF1" s="121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22"/>
      <c r="AV1" s="44"/>
      <c r="AW1" s="42"/>
      <c r="AX1" s="62"/>
      <c r="AY1" s="62"/>
      <c r="AZ1" s="44"/>
    </row>
    <row r="2" spans="1:53" ht="35.1" customHeight="1" x14ac:dyDescent="0.15">
      <c r="A2" s="114" t="s">
        <v>31</v>
      </c>
      <c r="B2" s="114" t="s">
        <v>32</v>
      </c>
      <c r="C2" s="114" t="s">
        <v>33</v>
      </c>
      <c r="D2" s="114" t="s">
        <v>34</v>
      </c>
      <c r="E2" s="114" t="s">
        <v>35</v>
      </c>
      <c r="F2" s="114" t="s">
        <v>36</v>
      </c>
      <c r="G2" s="114" t="s">
        <v>37</v>
      </c>
      <c r="H2" s="114" t="s">
        <v>38</v>
      </c>
      <c r="I2" s="114" t="s">
        <v>39</v>
      </c>
      <c r="J2" s="114" t="s">
        <v>40</v>
      </c>
      <c r="K2" s="114" t="s">
        <v>41</v>
      </c>
      <c r="L2" s="114" t="s">
        <v>42</v>
      </c>
      <c r="M2" s="114" t="s">
        <v>43</v>
      </c>
      <c r="N2" s="114" t="s">
        <v>44</v>
      </c>
      <c r="O2" s="114" t="s">
        <v>45</v>
      </c>
      <c r="P2" s="114" t="s">
        <v>46</v>
      </c>
      <c r="Q2" s="114" t="s">
        <v>47</v>
      </c>
      <c r="R2" s="114" t="s">
        <v>48</v>
      </c>
      <c r="S2" s="114" t="s">
        <v>49</v>
      </c>
      <c r="T2" s="114" t="s">
        <v>50</v>
      </c>
      <c r="U2" s="114" t="s">
        <v>51</v>
      </c>
      <c r="V2" s="114" t="s">
        <v>52</v>
      </c>
      <c r="W2" s="114" t="s">
        <v>53</v>
      </c>
      <c r="X2" s="114" t="s">
        <v>54</v>
      </c>
      <c r="Y2" s="114" t="s">
        <v>55</v>
      </c>
      <c r="Z2" s="116" t="s">
        <v>56</v>
      </c>
      <c r="AA2" s="116" t="s">
        <v>57</v>
      </c>
      <c r="AB2" s="123" t="s">
        <v>58</v>
      </c>
      <c r="AC2" s="124"/>
      <c r="AD2" s="125"/>
      <c r="AE2" s="117" t="s">
        <v>59</v>
      </c>
      <c r="AF2" s="118" t="s">
        <v>60</v>
      </c>
      <c r="AG2" s="110" t="s">
        <v>61</v>
      </c>
      <c r="AH2" s="111" t="s">
        <v>62</v>
      </c>
      <c r="AI2" s="112" t="s">
        <v>63</v>
      </c>
      <c r="AJ2" s="112" t="s">
        <v>64</v>
      </c>
      <c r="AK2" s="104" t="s">
        <v>65</v>
      </c>
      <c r="AL2" s="102" t="s">
        <v>66</v>
      </c>
      <c r="AM2" s="102" t="s">
        <v>11</v>
      </c>
      <c r="AN2" s="106" t="s">
        <v>67</v>
      </c>
      <c r="AO2" s="102" t="s">
        <v>68</v>
      </c>
      <c r="AP2" s="108" t="s">
        <v>69</v>
      </c>
      <c r="AQ2" s="102" t="s">
        <v>70</v>
      </c>
      <c r="AR2" s="104" t="s">
        <v>71</v>
      </c>
      <c r="AS2" s="104" t="s">
        <v>72</v>
      </c>
      <c r="AT2" s="40" t="s">
        <v>73</v>
      </c>
      <c r="AU2" s="40" t="s">
        <v>74</v>
      </c>
      <c r="AV2" s="44" t="s">
        <v>75</v>
      </c>
      <c r="AW2" s="42" t="s">
        <v>76</v>
      </c>
      <c r="AX2" s="46" t="s">
        <v>28</v>
      </c>
      <c r="AY2" s="46" t="s">
        <v>25</v>
      </c>
      <c r="AZ2" s="44" t="s">
        <v>77</v>
      </c>
    </row>
    <row r="3" spans="1:53" ht="35.1" customHeight="1" x14ac:dyDescent="0.1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6"/>
      <c r="AA3" s="116"/>
      <c r="AB3" s="53" t="s">
        <v>78</v>
      </c>
      <c r="AC3" s="53" t="s">
        <v>79</v>
      </c>
      <c r="AD3" s="53" t="s">
        <v>80</v>
      </c>
      <c r="AE3" s="117"/>
      <c r="AF3" s="118"/>
      <c r="AG3" s="110"/>
      <c r="AH3" s="111"/>
      <c r="AI3" s="113"/>
      <c r="AJ3" s="113"/>
      <c r="AK3" s="105"/>
      <c r="AL3" s="103"/>
      <c r="AM3" s="103"/>
      <c r="AN3" s="107"/>
      <c r="AO3" s="103"/>
      <c r="AP3" s="109"/>
      <c r="AQ3" s="103"/>
      <c r="AR3" s="105"/>
      <c r="AS3" s="105"/>
      <c r="AT3" s="40"/>
      <c r="AU3" s="40"/>
      <c r="AV3" s="44"/>
      <c r="AW3" s="42"/>
      <c r="AX3" s="62"/>
      <c r="AY3" s="62"/>
      <c r="AZ3" s="44"/>
    </row>
    <row r="4" spans="1:53" ht="35.1" customHeight="1" x14ac:dyDescent="0.15">
      <c r="A4" s="40">
        <f t="shared" ref="A4:A17" si="0">ROW()-3</f>
        <v>1</v>
      </c>
      <c r="B4" s="40">
        <v>1</v>
      </c>
      <c r="C4" s="41" t="s">
        <v>81</v>
      </c>
      <c r="D4" s="42" t="s">
        <v>76</v>
      </c>
      <c r="E4" s="43" t="s">
        <v>82</v>
      </c>
      <c r="F4" s="44" t="s">
        <v>83</v>
      </c>
      <c r="G4" s="44" t="s">
        <v>84</v>
      </c>
      <c r="H4" s="44" t="s">
        <v>85</v>
      </c>
      <c r="I4" s="44"/>
      <c r="J4" s="44" t="s">
        <v>86</v>
      </c>
      <c r="K4" s="44" t="s">
        <v>75</v>
      </c>
      <c r="L4" s="44" t="s">
        <v>86</v>
      </c>
      <c r="M4" s="44" t="s">
        <v>87</v>
      </c>
      <c r="N4" s="44" t="s">
        <v>88</v>
      </c>
      <c r="O4" s="44" t="s">
        <v>89</v>
      </c>
      <c r="P4" s="44" t="s">
        <v>90</v>
      </c>
      <c r="Q4" s="44" t="s">
        <v>83</v>
      </c>
      <c r="R4" s="44" t="s">
        <v>83</v>
      </c>
      <c r="S4" s="44" t="s">
        <v>91</v>
      </c>
      <c r="T4" s="44" t="s">
        <v>92</v>
      </c>
      <c r="U4" s="50">
        <v>0.83730000000000004</v>
      </c>
      <c r="V4" s="44" t="s">
        <v>83</v>
      </c>
      <c r="W4" s="44" t="s">
        <v>83</v>
      </c>
      <c r="X4" s="44" t="s">
        <v>83</v>
      </c>
      <c r="Y4" s="44" t="s">
        <v>83</v>
      </c>
      <c r="Z4" s="44"/>
      <c r="AA4" s="44"/>
      <c r="AB4" s="44"/>
      <c r="AC4" s="44"/>
      <c r="AD4" s="44"/>
      <c r="AE4" s="54"/>
      <c r="AF4" s="55"/>
      <c r="AG4" s="44"/>
      <c r="AH4" s="44"/>
      <c r="AI4" s="58" t="s">
        <v>93</v>
      </c>
      <c r="AJ4" s="44" t="s">
        <v>94</v>
      </c>
      <c r="AK4" s="44"/>
      <c r="AL4" s="44"/>
      <c r="AM4" s="44"/>
      <c r="AN4" s="44"/>
      <c r="AO4" s="44"/>
      <c r="AP4" s="44"/>
      <c r="AQ4" s="44"/>
      <c r="AR4" s="44"/>
      <c r="AS4" s="44"/>
      <c r="AT4" s="44" t="s">
        <v>83</v>
      </c>
      <c r="AU4" s="44" t="s">
        <v>83</v>
      </c>
      <c r="AV4" s="40">
        <v>1</v>
      </c>
      <c r="AW4" s="40">
        <v>0</v>
      </c>
      <c r="AX4" s="49">
        <v>0</v>
      </c>
      <c r="AY4" s="49">
        <v>0</v>
      </c>
      <c r="AZ4" s="40">
        <v>0</v>
      </c>
    </row>
    <row r="5" spans="1:53" ht="35.1" customHeight="1" x14ac:dyDescent="0.15">
      <c r="A5" s="40">
        <f t="shared" si="0"/>
        <v>2</v>
      </c>
      <c r="B5" s="40">
        <v>1</v>
      </c>
      <c r="C5" s="41" t="s">
        <v>81</v>
      </c>
      <c r="D5" s="42" t="s">
        <v>75</v>
      </c>
      <c r="E5" s="43" t="s">
        <v>95</v>
      </c>
      <c r="F5" s="44" t="s">
        <v>83</v>
      </c>
      <c r="G5" s="44" t="s">
        <v>84</v>
      </c>
      <c r="H5" s="44" t="s">
        <v>85</v>
      </c>
      <c r="I5" s="44"/>
      <c r="J5" s="44" t="s">
        <v>86</v>
      </c>
      <c r="K5" s="44" t="s">
        <v>75</v>
      </c>
      <c r="L5" s="44" t="s">
        <v>86</v>
      </c>
      <c r="M5" s="44" t="s">
        <v>87</v>
      </c>
      <c r="N5" s="44" t="s">
        <v>88</v>
      </c>
      <c r="O5" s="44" t="s">
        <v>89</v>
      </c>
      <c r="P5" s="44" t="s">
        <v>90</v>
      </c>
      <c r="Q5" s="44" t="s">
        <v>83</v>
      </c>
      <c r="R5" s="44" t="s">
        <v>83</v>
      </c>
      <c r="S5" s="44" t="s">
        <v>91</v>
      </c>
      <c r="T5" s="44" t="s">
        <v>92</v>
      </c>
      <c r="U5" s="50">
        <v>0.83730000000000004</v>
      </c>
      <c r="V5" s="44" t="s">
        <v>83</v>
      </c>
      <c r="W5" s="44" t="s">
        <v>83</v>
      </c>
      <c r="X5" s="44" t="s">
        <v>83</v>
      </c>
      <c r="Y5" s="44" t="s">
        <v>83</v>
      </c>
      <c r="Z5" s="44"/>
      <c r="AA5" s="44"/>
      <c r="AB5" s="44"/>
      <c r="AC5" s="44"/>
      <c r="AD5" s="44"/>
      <c r="AE5" s="54"/>
      <c r="AF5" s="55"/>
      <c r="AG5" s="44"/>
      <c r="AH5" s="44"/>
      <c r="AI5" s="58" t="s">
        <v>93</v>
      </c>
      <c r="AJ5" s="44" t="s">
        <v>94</v>
      </c>
      <c r="AK5" s="44"/>
      <c r="AL5" s="44"/>
      <c r="AM5" s="44"/>
      <c r="AN5" s="44"/>
      <c r="AO5" s="44"/>
      <c r="AP5" s="44"/>
      <c r="AQ5" s="44"/>
      <c r="AR5" s="44"/>
      <c r="AS5" s="44"/>
      <c r="AT5" s="44" t="s">
        <v>83</v>
      </c>
      <c r="AU5" s="44" t="s">
        <v>83</v>
      </c>
      <c r="AV5" s="40">
        <v>0</v>
      </c>
      <c r="AW5" s="40">
        <v>1</v>
      </c>
      <c r="AX5" s="49">
        <v>0</v>
      </c>
      <c r="AY5" s="49">
        <v>0</v>
      </c>
      <c r="AZ5" s="40">
        <v>0</v>
      </c>
    </row>
    <row r="6" spans="1:53" s="36" customFormat="1" ht="35.1" customHeight="1" x14ac:dyDescent="0.15">
      <c r="A6" s="40">
        <f t="shared" si="0"/>
        <v>3</v>
      </c>
      <c r="B6" s="45">
        <v>1</v>
      </c>
      <c r="C6" s="45" t="s">
        <v>81</v>
      </c>
      <c r="D6" s="46" t="s">
        <v>28</v>
      </c>
      <c r="E6" s="47" t="s">
        <v>82</v>
      </c>
      <c r="F6" s="48" t="s">
        <v>83</v>
      </c>
      <c r="G6" s="48" t="s">
        <v>84</v>
      </c>
      <c r="H6" s="48" t="s">
        <v>85</v>
      </c>
      <c r="I6" s="48"/>
      <c r="J6" s="48" t="s">
        <v>86</v>
      </c>
      <c r="K6" s="48" t="s">
        <v>75</v>
      </c>
      <c r="L6" s="48" t="s">
        <v>86</v>
      </c>
      <c r="M6" s="48" t="s">
        <v>87</v>
      </c>
      <c r="N6" s="48" t="s">
        <v>88</v>
      </c>
      <c r="O6" s="48" t="s">
        <v>89</v>
      </c>
      <c r="P6" s="48" t="s">
        <v>90</v>
      </c>
      <c r="Q6" s="48" t="s">
        <v>83</v>
      </c>
      <c r="R6" s="48" t="s">
        <v>83</v>
      </c>
      <c r="S6" s="48" t="s">
        <v>91</v>
      </c>
      <c r="T6" s="48" t="s">
        <v>92</v>
      </c>
      <c r="U6" s="51">
        <v>0.83730000000000004</v>
      </c>
      <c r="V6" s="48" t="s">
        <v>83</v>
      </c>
      <c r="W6" s="48" t="s">
        <v>83</v>
      </c>
      <c r="X6" s="48" t="s">
        <v>83</v>
      </c>
      <c r="Y6" s="48" t="s">
        <v>83</v>
      </c>
      <c r="Z6" s="48"/>
      <c r="AA6" s="48"/>
      <c r="AB6" s="48"/>
      <c r="AC6" s="48"/>
      <c r="AD6" s="48"/>
      <c r="AE6" s="56"/>
      <c r="AF6" s="57"/>
      <c r="AG6" s="48"/>
      <c r="AH6" s="48"/>
      <c r="AI6" s="59" t="s">
        <v>93</v>
      </c>
      <c r="AJ6" s="48" t="s">
        <v>94</v>
      </c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9">
        <v>0</v>
      </c>
      <c r="AW6" s="49">
        <v>0</v>
      </c>
      <c r="AX6" s="49">
        <v>1</v>
      </c>
      <c r="AY6" s="49">
        <v>0</v>
      </c>
      <c r="AZ6" s="49">
        <v>0</v>
      </c>
    </row>
    <row r="7" spans="1:53" s="36" customFormat="1" ht="35.1" customHeight="1" x14ac:dyDescent="0.15">
      <c r="A7" s="40">
        <f t="shared" si="0"/>
        <v>4</v>
      </c>
      <c r="B7" s="45">
        <v>1</v>
      </c>
      <c r="C7" s="45" t="s">
        <v>81</v>
      </c>
      <c r="D7" s="46" t="s">
        <v>25</v>
      </c>
      <c r="E7" s="47" t="s">
        <v>95</v>
      </c>
      <c r="F7" s="48" t="s">
        <v>83</v>
      </c>
      <c r="G7" s="48" t="s">
        <v>84</v>
      </c>
      <c r="H7" s="48" t="s">
        <v>85</v>
      </c>
      <c r="I7" s="48"/>
      <c r="J7" s="48" t="s">
        <v>86</v>
      </c>
      <c r="K7" s="48" t="s">
        <v>75</v>
      </c>
      <c r="L7" s="48" t="s">
        <v>86</v>
      </c>
      <c r="M7" s="48" t="s">
        <v>87</v>
      </c>
      <c r="N7" s="48" t="s">
        <v>88</v>
      </c>
      <c r="O7" s="48" t="s">
        <v>89</v>
      </c>
      <c r="P7" s="48" t="s">
        <v>90</v>
      </c>
      <c r="Q7" s="48" t="s">
        <v>83</v>
      </c>
      <c r="R7" s="48" t="s">
        <v>83</v>
      </c>
      <c r="S7" s="48" t="s">
        <v>91</v>
      </c>
      <c r="T7" s="48" t="s">
        <v>92</v>
      </c>
      <c r="U7" s="51">
        <v>0.83730000000000004</v>
      </c>
      <c r="V7" s="48" t="s">
        <v>83</v>
      </c>
      <c r="W7" s="48" t="s">
        <v>83</v>
      </c>
      <c r="X7" s="48" t="s">
        <v>83</v>
      </c>
      <c r="Y7" s="48" t="s">
        <v>83</v>
      </c>
      <c r="Z7" s="48"/>
      <c r="AA7" s="48"/>
      <c r="AB7" s="48"/>
      <c r="AC7" s="48"/>
      <c r="AD7" s="48"/>
      <c r="AE7" s="56"/>
      <c r="AF7" s="57"/>
      <c r="AG7" s="48"/>
      <c r="AH7" s="48"/>
      <c r="AI7" s="59" t="s">
        <v>93</v>
      </c>
      <c r="AJ7" s="48" t="s">
        <v>94</v>
      </c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9">
        <v>0</v>
      </c>
      <c r="AW7" s="49">
        <v>0</v>
      </c>
      <c r="AX7" s="49">
        <v>0</v>
      </c>
      <c r="AY7" s="49">
        <v>1</v>
      </c>
      <c r="AZ7" s="49">
        <v>0</v>
      </c>
    </row>
    <row r="8" spans="1:53" ht="35.1" customHeight="1" x14ac:dyDescent="0.15">
      <c r="A8" s="40">
        <f t="shared" si="0"/>
        <v>5</v>
      </c>
      <c r="B8" s="40">
        <v>1</v>
      </c>
      <c r="C8" s="41" t="s">
        <v>81</v>
      </c>
      <c r="D8" s="42" t="s">
        <v>77</v>
      </c>
      <c r="E8" s="43" t="s">
        <v>95</v>
      </c>
      <c r="F8" s="44" t="s">
        <v>83</v>
      </c>
      <c r="G8" s="44" t="s">
        <v>84</v>
      </c>
      <c r="H8" s="44" t="s">
        <v>85</v>
      </c>
      <c r="I8" s="44"/>
      <c r="J8" s="44" t="s">
        <v>86</v>
      </c>
      <c r="K8" s="44" t="s">
        <v>75</v>
      </c>
      <c r="L8" s="44" t="s">
        <v>86</v>
      </c>
      <c r="M8" s="44" t="s">
        <v>87</v>
      </c>
      <c r="N8" s="44" t="s">
        <v>88</v>
      </c>
      <c r="O8" s="44" t="s">
        <v>89</v>
      </c>
      <c r="P8" s="44" t="s">
        <v>90</v>
      </c>
      <c r="Q8" s="44" t="s">
        <v>83</v>
      </c>
      <c r="R8" s="44" t="s">
        <v>83</v>
      </c>
      <c r="S8" s="44" t="s">
        <v>91</v>
      </c>
      <c r="T8" s="44" t="s">
        <v>92</v>
      </c>
      <c r="U8" s="50">
        <v>0.83730000000000004</v>
      </c>
      <c r="V8" s="44" t="s">
        <v>83</v>
      </c>
      <c r="W8" s="44" t="s">
        <v>83</v>
      </c>
      <c r="X8" s="44" t="s">
        <v>83</v>
      </c>
      <c r="Y8" s="44" t="s">
        <v>83</v>
      </c>
      <c r="Z8" s="44"/>
      <c r="AA8" s="44"/>
      <c r="AB8" s="44"/>
      <c r="AC8" s="44"/>
      <c r="AD8" s="44"/>
      <c r="AE8" s="54"/>
      <c r="AF8" s="55"/>
      <c r="AG8" s="44"/>
      <c r="AH8" s="44"/>
      <c r="AI8" s="58" t="s">
        <v>93</v>
      </c>
      <c r="AJ8" s="44" t="s">
        <v>94</v>
      </c>
      <c r="AK8" s="44"/>
      <c r="AL8" s="44"/>
      <c r="AM8" s="44"/>
      <c r="AN8" s="44"/>
      <c r="AO8" s="44"/>
      <c r="AP8" s="44"/>
      <c r="AQ8" s="44"/>
      <c r="AR8" s="44"/>
      <c r="AS8" s="44"/>
      <c r="AT8" s="44" t="s">
        <v>83</v>
      </c>
      <c r="AU8" s="44" t="s">
        <v>83</v>
      </c>
      <c r="AV8" s="40">
        <v>0</v>
      </c>
      <c r="AW8" s="40">
        <v>0</v>
      </c>
      <c r="AX8" s="49">
        <v>0</v>
      </c>
      <c r="AY8" s="49">
        <v>0</v>
      </c>
      <c r="AZ8" s="40">
        <v>1</v>
      </c>
    </row>
    <row r="9" spans="1:53" ht="35.1" customHeight="1" x14ac:dyDescent="0.15">
      <c r="A9" s="40">
        <f t="shared" si="0"/>
        <v>6</v>
      </c>
      <c r="B9" s="40">
        <v>2</v>
      </c>
      <c r="C9" s="41" t="s">
        <v>81</v>
      </c>
      <c r="D9" s="42" t="s">
        <v>96</v>
      </c>
      <c r="E9" s="43" t="s">
        <v>97</v>
      </c>
      <c r="F9" s="44" t="s">
        <v>83</v>
      </c>
      <c r="G9" s="44" t="s">
        <v>84</v>
      </c>
      <c r="H9" s="44" t="s">
        <v>85</v>
      </c>
      <c r="I9" s="44"/>
      <c r="J9" s="44" t="s">
        <v>86</v>
      </c>
      <c r="K9" s="44" t="s">
        <v>75</v>
      </c>
      <c r="L9" s="44" t="s">
        <v>86</v>
      </c>
      <c r="M9" s="44" t="s">
        <v>87</v>
      </c>
      <c r="N9" s="44" t="s">
        <v>88</v>
      </c>
      <c r="O9" s="44" t="s">
        <v>89</v>
      </c>
      <c r="P9" s="44" t="s">
        <v>90</v>
      </c>
      <c r="Q9" s="44" t="s">
        <v>83</v>
      </c>
      <c r="R9" s="44" t="s">
        <v>83</v>
      </c>
      <c r="S9" s="44" t="s">
        <v>91</v>
      </c>
      <c r="T9" s="44" t="s">
        <v>92</v>
      </c>
      <c r="U9" s="50">
        <v>0.82499999999999996</v>
      </c>
      <c r="V9" s="44" t="s">
        <v>83</v>
      </c>
      <c r="W9" s="44" t="s">
        <v>83</v>
      </c>
      <c r="X9" s="44" t="s">
        <v>83</v>
      </c>
      <c r="Y9" s="44" t="s">
        <v>83</v>
      </c>
      <c r="Z9" s="44" t="s">
        <v>98</v>
      </c>
      <c r="AA9" s="44"/>
      <c r="AB9" s="44"/>
      <c r="AC9" s="44"/>
      <c r="AD9" s="44"/>
      <c r="AE9" s="54">
        <f t="shared" ref="AE9:AE12" si="1">U9*1.08</f>
        <v>0.89100000000000001</v>
      </c>
      <c r="AF9" s="55">
        <f t="shared" ref="AF9:AF12" si="2">U9/AE9</f>
        <v>0.92592592592592604</v>
      </c>
      <c r="AG9" s="44"/>
      <c r="AH9" s="44"/>
      <c r="AI9" s="60"/>
      <c r="AJ9" s="60"/>
      <c r="AK9" s="44"/>
      <c r="AL9" s="44"/>
      <c r="AM9" s="44"/>
      <c r="AN9" s="44"/>
      <c r="AO9" s="44"/>
      <c r="AP9" s="44"/>
      <c r="AQ9" s="44"/>
      <c r="AR9" s="44"/>
      <c r="AS9" s="44"/>
      <c r="AT9" s="44" t="s">
        <v>83</v>
      </c>
      <c r="AU9" s="44" t="s">
        <v>83</v>
      </c>
      <c r="AV9" s="40">
        <v>1</v>
      </c>
      <c r="AW9" s="40">
        <v>0</v>
      </c>
      <c r="AX9" s="49">
        <v>0</v>
      </c>
      <c r="AY9" s="49">
        <v>0</v>
      </c>
      <c r="AZ9" s="40">
        <v>0</v>
      </c>
    </row>
    <row r="10" spans="1:53" s="36" customFormat="1" ht="35.1" customHeight="1" x14ac:dyDescent="0.15">
      <c r="A10" s="49">
        <f t="shared" si="0"/>
        <v>7</v>
      </c>
      <c r="B10" s="49">
        <v>2</v>
      </c>
      <c r="C10" s="45" t="s">
        <v>81</v>
      </c>
      <c r="D10" s="46" t="s">
        <v>99</v>
      </c>
      <c r="E10" s="47" t="s">
        <v>95</v>
      </c>
      <c r="F10" s="48" t="s">
        <v>83</v>
      </c>
      <c r="G10" s="48" t="s">
        <v>84</v>
      </c>
      <c r="H10" s="48" t="s">
        <v>85</v>
      </c>
      <c r="I10" s="48"/>
      <c r="J10" s="48" t="s">
        <v>86</v>
      </c>
      <c r="K10" s="48" t="s">
        <v>75</v>
      </c>
      <c r="L10" s="48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8" t="s">
        <v>83</v>
      </c>
      <c r="R10" s="48" t="s">
        <v>83</v>
      </c>
      <c r="S10" s="48" t="s">
        <v>91</v>
      </c>
      <c r="T10" s="48" t="s">
        <v>92</v>
      </c>
      <c r="U10" s="51">
        <v>0.83730000000000004</v>
      </c>
      <c r="V10" s="48" t="s">
        <v>83</v>
      </c>
      <c r="W10" s="48" t="s">
        <v>83</v>
      </c>
      <c r="X10" s="48" t="s">
        <v>83</v>
      </c>
      <c r="Y10" s="48" t="s">
        <v>83</v>
      </c>
      <c r="Z10" s="44" t="s">
        <v>98</v>
      </c>
      <c r="AA10" s="44"/>
      <c r="AB10" s="44"/>
      <c r="AC10" s="44"/>
      <c r="AD10" s="44"/>
      <c r="AE10" s="54">
        <f t="shared" si="1"/>
        <v>0.90428399999999998</v>
      </c>
      <c r="AF10" s="55">
        <f t="shared" si="2"/>
        <v>0.92592592592592604</v>
      </c>
      <c r="AG10" s="48"/>
      <c r="AH10" s="48"/>
      <c r="AI10" s="61"/>
      <c r="AJ10" s="61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9">
        <v>0</v>
      </c>
      <c r="AW10" s="49">
        <v>0</v>
      </c>
      <c r="AX10" s="49">
        <v>1</v>
      </c>
      <c r="AY10" s="49">
        <v>0</v>
      </c>
      <c r="AZ10" s="49">
        <v>0</v>
      </c>
    </row>
    <row r="11" spans="1:53" s="36" customFormat="1" ht="35.1" customHeight="1" x14ac:dyDescent="0.15">
      <c r="A11" s="49">
        <f t="shared" si="0"/>
        <v>8</v>
      </c>
      <c r="B11" s="49">
        <v>2</v>
      </c>
      <c r="C11" s="45" t="s">
        <v>81</v>
      </c>
      <c r="D11" s="46" t="s">
        <v>100</v>
      </c>
      <c r="E11" s="47" t="s">
        <v>97</v>
      </c>
      <c r="F11" s="48" t="s">
        <v>83</v>
      </c>
      <c r="G11" s="48" t="s">
        <v>84</v>
      </c>
      <c r="H11" s="48" t="s">
        <v>85</v>
      </c>
      <c r="I11" s="48"/>
      <c r="J11" s="48" t="s">
        <v>86</v>
      </c>
      <c r="K11" s="48" t="s">
        <v>75</v>
      </c>
      <c r="L11" s="48" t="s">
        <v>86</v>
      </c>
      <c r="M11" s="48" t="s">
        <v>87</v>
      </c>
      <c r="N11" s="48" t="s">
        <v>88</v>
      </c>
      <c r="O11" s="48" t="s">
        <v>89</v>
      </c>
      <c r="P11" s="48" t="s">
        <v>90</v>
      </c>
      <c r="Q11" s="48" t="s">
        <v>83</v>
      </c>
      <c r="R11" s="48" t="s">
        <v>83</v>
      </c>
      <c r="S11" s="48" t="s">
        <v>91</v>
      </c>
      <c r="T11" s="48" t="s">
        <v>92</v>
      </c>
      <c r="U11" s="51">
        <v>0.83730000000000004</v>
      </c>
      <c r="V11" s="48" t="s">
        <v>83</v>
      </c>
      <c r="W11" s="48" t="s">
        <v>83</v>
      </c>
      <c r="X11" s="48" t="s">
        <v>83</v>
      </c>
      <c r="Y11" s="48" t="s">
        <v>83</v>
      </c>
      <c r="Z11" s="44" t="s">
        <v>98</v>
      </c>
      <c r="AA11" s="44"/>
      <c r="AB11" s="44"/>
      <c r="AC11" s="44"/>
      <c r="AD11" s="44"/>
      <c r="AE11" s="54">
        <f t="shared" si="1"/>
        <v>0.90428399999999998</v>
      </c>
      <c r="AF11" s="55">
        <f t="shared" si="2"/>
        <v>0.92592592592592604</v>
      </c>
      <c r="AG11" s="48"/>
      <c r="AH11" s="48"/>
      <c r="AI11" s="61"/>
      <c r="AJ11" s="6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9">
        <v>0</v>
      </c>
      <c r="AW11" s="49">
        <v>0</v>
      </c>
      <c r="AX11" s="49">
        <v>0</v>
      </c>
      <c r="AY11" s="49">
        <v>1</v>
      </c>
      <c r="AZ11" s="49">
        <v>0</v>
      </c>
    </row>
    <row r="12" spans="1:53" ht="35.1" customHeight="1" x14ac:dyDescent="0.15">
      <c r="A12" s="40">
        <f t="shared" si="0"/>
        <v>9</v>
      </c>
      <c r="B12" s="40">
        <v>2</v>
      </c>
      <c r="C12" s="41" t="s">
        <v>81</v>
      </c>
      <c r="D12" s="42" t="s">
        <v>101</v>
      </c>
      <c r="E12" s="43" t="s">
        <v>102</v>
      </c>
      <c r="F12" s="44" t="s">
        <v>83</v>
      </c>
      <c r="G12" s="44" t="s">
        <v>84</v>
      </c>
      <c r="H12" s="44" t="s">
        <v>85</v>
      </c>
      <c r="I12" s="44"/>
      <c r="J12" s="44" t="s">
        <v>86</v>
      </c>
      <c r="K12" s="44" t="s">
        <v>75</v>
      </c>
      <c r="L12" s="44" t="s">
        <v>86</v>
      </c>
      <c r="M12" s="44" t="s">
        <v>87</v>
      </c>
      <c r="N12" s="44" t="s">
        <v>88</v>
      </c>
      <c r="O12" s="44" t="s">
        <v>89</v>
      </c>
      <c r="P12" s="44" t="s">
        <v>90</v>
      </c>
      <c r="Q12" s="44" t="s">
        <v>83</v>
      </c>
      <c r="R12" s="44" t="s">
        <v>83</v>
      </c>
      <c r="S12" s="44" t="s">
        <v>91</v>
      </c>
      <c r="T12" s="44" t="s">
        <v>92</v>
      </c>
      <c r="U12" s="50">
        <v>0.878</v>
      </c>
      <c r="V12" s="44" t="s">
        <v>83</v>
      </c>
      <c r="W12" s="44" t="s">
        <v>83</v>
      </c>
      <c r="X12" s="44" t="s">
        <v>83</v>
      </c>
      <c r="Y12" s="44" t="s">
        <v>83</v>
      </c>
      <c r="Z12" s="44" t="s">
        <v>98</v>
      </c>
      <c r="AA12" s="44"/>
      <c r="AB12" s="44"/>
      <c r="AC12" s="44"/>
      <c r="AD12" s="44"/>
      <c r="AE12" s="54">
        <f t="shared" si="1"/>
        <v>0.94823999999999997</v>
      </c>
      <c r="AF12" s="55">
        <f t="shared" si="2"/>
        <v>0.92592592592592604</v>
      </c>
      <c r="AG12" s="44"/>
      <c r="AH12" s="44"/>
      <c r="AI12" s="60"/>
      <c r="AJ12" s="60"/>
      <c r="AK12" s="44"/>
      <c r="AL12" s="44"/>
      <c r="AM12" s="44"/>
      <c r="AN12" s="44"/>
      <c r="AO12" s="44"/>
      <c r="AP12" s="44"/>
      <c r="AQ12" s="44"/>
      <c r="AR12" s="44"/>
      <c r="AS12" s="44"/>
      <c r="AT12" s="44" t="s">
        <v>83</v>
      </c>
      <c r="AU12" s="44" t="s">
        <v>83</v>
      </c>
      <c r="AV12" s="40">
        <v>0</v>
      </c>
      <c r="AW12" s="40">
        <v>1</v>
      </c>
      <c r="AX12" s="49">
        <v>0</v>
      </c>
      <c r="AY12" s="49">
        <v>0</v>
      </c>
      <c r="AZ12" s="40">
        <v>1</v>
      </c>
    </row>
    <row r="13" spans="1:53" ht="35.1" customHeight="1" x14ac:dyDescent="0.15">
      <c r="A13" s="40">
        <f t="shared" si="0"/>
        <v>10</v>
      </c>
      <c r="B13" s="40">
        <v>2</v>
      </c>
      <c r="C13" s="41" t="s">
        <v>81</v>
      </c>
      <c r="D13" s="42" t="s">
        <v>103</v>
      </c>
      <c r="E13" s="43" t="s">
        <v>104</v>
      </c>
      <c r="F13" s="44" t="s">
        <v>83</v>
      </c>
      <c r="G13" s="44" t="s">
        <v>84</v>
      </c>
      <c r="H13" s="44" t="s">
        <v>85</v>
      </c>
      <c r="I13" s="44"/>
      <c r="J13" s="44" t="s">
        <v>86</v>
      </c>
      <c r="K13" s="44"/>
      <c r="L13" s="44" t="s">
        <v>86</v>
      </c>
      <c r="M13" s="44" t="s">
        <v>87</v>
      </c>
      <c r="N13" s="44" t="s">
        <v>88</v>
      </c>
      <c r="O13" s="44" t="s">
        <v>105</v>
      </c>
      <c r="P13" s="44" t="s">
        <v>90</v>
      </c>
      <c r="Q13" s="44" t="s">
        <v>83</v>
      </c>
      <c r="R13" s="44" t="s">
        <v>83</v>
      </c>
      <c r="S13" s="44" t="s">
        <v>91</v>
      </c>
      <c r="T13" s="44" t="s">
        <v>83</v>
      </c>
      <c r="U13" s="44">
        <v>3.1E-2</v>
      </c>
      <c r="V13" s="44" t="s">
        <v>83</v>
      </c>
      <c r="W13" s="44" t="s">
        <v>83</v>
      </c>
      <c r="X13" s="44" t="s">
        <v>106</v>
      </c>
      <c r="Y13" s="44" t="s">
        <v>83</v>
      </c>
      <c r="AA13" s="44"/>
      <c r="AB13" s="44"/>
      <c r="AC13" s="44"/>
      <c r="AD13" s="44"/>
      <c r="AE13" s="54"/>
      <c r="AF13" s="55"/>
      <c r="AG13" s="44"/>
      <c r="AH13" s="44"/>
      <c r="AI13" s="60"/>
      <c r="AJ13" s="60"/>
      <c r="AK13" s="44"/>
      <c r="AL13" s="44"/>
      <c r="AM13" s="44"/>
      <c r="AN13" s="44"/>
      <c r="AO13" s="44"/>
      <c r="AP13" s="44"/>
      <c r="AQ13" s="44"/>
      <c r="AR13" s="44"/>
      <c r="AS13" s="44"/>
      <c r="AT13" s="44" t="s">
        <v>83</v>
      </c>
      <c r="AU13" s="44" t="s">
        <v>83</v>
      </c>
      <c r="AV13" s="40">
        <v>0</v>
      </c>
      <c r="AW13" s="40">
        <v>0</v>
      </c>
      <c r="AX13" s="49">
        <v>0</v>
      </c>
      <c r="AY13" s="49">
        <v>0</v>
      </c>
      <c r="AZ13" s="40">
        <v>1</v>
      </c>
    </row>
    <row r="14" spans="1:53" ht="35.1" customHeight="1" x14ac:dyDescent="0.15">
      <c r="A14" s="40">
        <f t="shared" si="0"/>
        <v>11</v>
      </c>
      <c r="B14" s="40">
        <v>2</v>
      </c>
      <c r="C14" s="41" t="s">
        <v>107</v>
      </c>
      <c r="D14" s="42" t="s">
        <v>108</v>
      </c>
      <c r="E14" s="43" t="s">
        <v>109</v>
      </c>
      <c r="F14" s="44" t="s">
        <v>110</v>
      </c>
      <c r="G14" s="44" t="s">
        <v>84</v>
      </c>
      <c r="H14" s="44" t="s">
        <v>85</v>
      </c>
      <c r="I14" s="44"/>
      <c r="J14" s="44" t="s">
        <v>86</v>
      </c>
      <c r="K14" s="44" t="s">
        <v>83</v>
      </c>
      <c r="L14" s="44" t="s">
        <v>86</v>
      </c>
      <c r="M14" s="44" t="s">
        <v>88</v>
      </c>
      <c r="N14" s="44" t="s">
        <v>87</v>
      </c>
      <c r="O14" s="44" t="s">
        <v>110</v>
      </c>
      <c r="P14" s="44" t="s">
        <v>111</v>
      </c>
      <c r="Q14" s="44"/>
      <c r="R14" s="44" t="s">
        <v>112</v>
      </c>
      <c r="S14" s="44" t="s">
        <v>113</v>
      </c>
      <c r="T14" s="44" t="s">
        <v>83</v>
      </c>
      <c r="U14" s="50">
        <v>7.1000000000000004E-3</v>
      </c>
      <c r="V14" s="44" t="s">
        <v>83</v>
      </c>
      <c r="W14" s="44" t="s">
        <v>83</v>
      </c>
      <c r="X14" s="44" t="s">
        <v>83</v>
      </c>
      <c r="Y14" s="44" t="s">
        <v>83</v>
      </c>
      <c r="Z14" s="44" t="s">
        <v>114</v>
      </c>
      <c r="AA14" s="44"/>
      <c r="AB14" s="44"/>
      <c r="AC14" s="44"/>
      <c r="AD14" s="44"/>
      <c r="AE14" s="54">
        <f t="shared" ref="AE14:AE17" si="3">U14</f>
        <v>7.1000000000000004E-3</v>
      </c>
      <c r="AF14" s="55">
        <f t="shared" ref="AF14:AF17" si="4">U14/AE14</f>
        <v>1</v>
      </c>
      <c r="AG14" s="44"/>
      <c r="AH14" s="44"/>
      <c r="AI14" s="60"/>
      <c r="AJ14" s="60"/>
      <c r="AK14" s="44"/>
      <c r="AL14" s="44"/>
      <c r="AM14" s="44"/>
      <c r="AN14" s="44"/>
      <c r="AO14" s="44"/>
      <c r="AP14" s="44"/>
      <c r="AQ14" s="44"/>
      <c r="AR14" s="44"/>
      <c r="AS14" s="44"/>
      <c r="AT14" s="44" t="s">
        <v>83</v>
      </c>
      <c r="AU14" s="44" t="s">
        <v>83</v>
      </c>
      <c r="AV14" s="40">
        <v>1</v>
      </c>
      <c r="AW14" s="40">
        <v>1</v>
      </c>
      <c r="AX14" s="49">
        <v>1</v>
      </c>
      <c r="AY14" s="49">
        <v>1</v>
      </c>
      <c r="AZ14" s="40">
        <v>1</v>
      </c>
      <c r="BA14" s="35">
        <f>10.5*U14</f>
        <v>7.4550000000000005E-2</v>
      </c>
    </row>
    <row r="15" spans="1:53" ht="35.1" customHeight="1" x14ac:dyDescent="0.15">
      <c r="A15" s="40">
        <f t="shared" si="0"/>
        <v>12</v>
      </c>
      <c r="B15" s="40">
        <v>2</v>
      </c>
      <c r="C15" s="41" t="s">
        <v>107</v>
      </c>
      <c r="D15" s="42" t="s">
        <v>115</v>
      </c>
      <c r="E15" s="43" t="s">
        <v>116</v>
      </c>
      <c r="F15" s="44" t="s">
        <v>110</v>
      </c>
      <c r="G15" s="44" t="s">
        <v>84</v>
      </c>
      <c r="H15" s="44" t="s">
        <v>85</v>
      </c>
      <c r="I15" s="44"/>
      <c r="J15" s="44" t="s">
        <v>86</v>
      </c>
      <c r="K15" s="44" t="s">
        <v>83</v>
      </c>
      <c r="L15" s="44" t="s">
        <v>86</v>
      </c>
      <c r="M15" s="44" t="s">
        <v>88</v>
      </c>
      <c r="N15" s="44" t="s">
        <v>87</v>
      </c>
      <c r="O15" s="44" t="s">
        <v>110</v>
      </c>
      <c r="P15" s="44" t="s">
        <v>111</v>
      </c>
      <c r="Q15" s="44"/>
      <c r="R15" s="44" t="s">
        <v>112</v>
      </c>
      <c r="S15" s="44" t="s">
        <v>117</v>
      </c>
      <c r="T15" s="44" t="s">
        <v>83</v>
      </c>
      <c r="U15" s="50">
        <v>1.01E-2</v>
      </c>
      <c r="V15" s="44" t="s">
        <v>83</v>
      </c>
      <c r="W15" s="44" t="s">
        <v>83</v>
      </c>
      <c r="X15" s="44" t="s">
        <v>83</v>
      </c>
      <c r="Y15" s="44" t="s">
        <v>83</v>
      </c>
      <c r="Z15" s="44" t="s">
        <v>114</v>
      </c>
      <c r="AA15" s="44"/>
      <c r="AB15" s="44"/>
      <c r="AC15" s="44"/>
      <c r="AD15" s="44"/>
      <c r="AE15" s="54">
        <f t="shared" si="3"/>
        <v>1.01E-2</v>
      </c>
      <c r="AF15" s="55">
        <f t="shared" si="4"/>
        <v>1</v>
      </c>
      <c r="AG15" s="44"/>
      <c r="AH15" s="44"/>
      <c r="AI15" s="60"/>
      <c r="AJ15" s="60"/>
      <c r="AK15" s="44"/>
      <c r="AL15" s="44"/>
      <c r="AM15" s="44"/>
      <c r="AN15" s="44"/>
      <c r="AO15" s="44"/>
      <c r="AP15" s="44"/>
      <c r="AQ15" s="44"/>
      <c r="AR15" s="44"/>
      <c r="AS15" s="44"/>
      <c r="AT15" s="44" t="s">
        <v>83</v>
      </c>
      <c r="AU15" s="44" t="s">
        <v>83</v>
      </c>
      <c r="AV15" s="40">
        <v>1</v>
      </c>
      <c r="AW15" s="40">
        <v>1</v>
      </c>
      <c r="AX15" s="49">
        <v>1</v>
      </c>
      <c r="AY15" s="49">
        <v>1</v>
      </c>
      <c r="AZ15" s="40">
        <v>1</v>
      </c>
      <c r="BA15" s="35">
        <f>10.5*U15</f>
        <v>0.10605000000000001</v>
      </c>
    </row>
    <row r="16" spans="1:53" ht="35.1" customHeight="1" x14ac:dyDescent="0.15">
      <c r="A16" s="40">
        <f t="shared" si="0"/>
        <v>13</v>
      </c>
      <c r="B16" s="40">
        <v>2</v>
      </c>
      <c r="C16" s="41" t="s">
        <v>107</v>
      </c>
      <c r="D16" s="42" t="s">
        <v>118</v>
      </c>
      <c r="E16" s="43" t="s">
        <v>119</v>
      </c>
      <c r="F16" s="44" t="s">
        <v>110</v>
      </c>
      <c r="G16" s="44" t="s">
        <v>84</v>
      </c>
      <c r="H16" s="44" t="s">
        <v>85</v>
      </c>
      <c r="I16" s="44"/>
      <c r="J16" s="44" t="s">
        <v>86</v>
      </c>
      <c r="K16" s="44" t="s">
        <v>83</v>
      </c>
      <c r="L16" s="44" t="s">
        <v>86</v>
      </c>
      <c r="M16" s="44" t="s">
        <v>88</v>
      </c>
      <c r="N16" s="44" t="s">
        <v>87</v>
      </c>
      <c r="O16" s="44" t="s">
        <v>110</v>
      </c>
      <c r="P16" s="44" t="s">
        <v>111</v>
      </c>
      <c r="Q16" s="44"/>
      <c r="R16" s="44" t="s">
        <v>112</v>
      </c>
      <c r="S16" s="44" t="s">
        <v>120</v>
      </c>
      <c r="T16" s="44" t="s">
        <v>83</v>
      </c>
      <c r="U16" s="50">
        <v>1.1599999999999999E-2</v>
      </c>
      <c r="V16" s="44" t="s">
        <v>83</v>
      </c>
      <c r="W16" s="44" t="s">
        <v>83</v>
      </c>
      <c r="X16" s="44" t="s">
        <v>83</v>
      </c>
      <c r="Y16" s="44" t="s">
        <v>83</v>
      </c>
      <c r="Z16" s="44" t="s">
        <v>114</v>
      </c>
      <c r="AA16" s="44"/>
      <c r="AB16" s="44"/>
      <c r="AC16" s="44"/>
      <c r="AD16" s="44"/>
      <c r="AE16" s="54">
        <f t="shared" si="3"/>
        <v>1.1599999999999999E-2</v>
      </c>
      <c r="AF16" s="55">
        <f t="shared" si="4"/>
        <v>1</v>
      </c>
      <c r="AG16" s="44"/>
      <c r="AH16" s="44"/>
      <c r="AI16" s="60"/>
      <c r="AJ16" s="60"/>
      <c r="AK16" s="44"/>
      <c r="AL16" s="44"/>
      <c r="AM16" s="44"/>
      <c r="AN16" s="44"/>
      <c r="AO16" s="44"/>
      <c r="AP16" s="44"/>
      <c r="AQ16" s="44"/>
      <c r="AR16" s="44"/>
      <c r="AS16" s="44"/>
      <c r="AT16" s="44" t="s">
        <v>83</v>
      </c>
      <c r="AU16" s="44" t="s">
        <v>83</v>
      </c>
      <c r="AV16" s="40">
        <v>1</v>
      </c>
      <c r="AW16" s="40">
        <v>1</v>
      </c>
      <c r="AX16" s="49">
        <v>1</v>
      </c>
      <c r="AY16" s="49">
        <v>1</v>
      </c>
      <c r="AZ16" s="40">
        <v>1</v>
      </c>
      <c r="BA16" s="35">
        <f>10.5*U16</f>
        <v>0.12180000000000001</v>
      </c>
    </row>
    <row r="17" spans="1:53" ht="35.1" customHeight="1" x14ac:dyDescent="0.15">
      <c r="A17" s="40">
        <f t="shared" si="0"/>
        <v>14</v>
      </c>
      <c r="B17" s="40">
        <v>2</v>
      </c>
      <c r="C17" s="41" t="s">
        <v>107</v>
      </c>
      <c r="D17" s="42" t="s">
        <v>121</v>
      </c>
      <c r="E17" s="43" t="s">
        <v>122</v>
      </c>
      <c r="F17" s="44" t="s">
        <v>110</v>
      </c>
      <c r="G17" s="44" t="s">
        <v>84</v>
      </c>
      <c r="H17" s="44" t="s">
        <v>85</v>
      </c>
      <c r="I17" s="44"/>
      <c r="J17" s="44" t="s">
        <v>86</v>
      </c>
      <c r="K17" s="44" t="s">
        <v>83</v>
      </c>
      <c r="L17" s="44" t="s">
        <v>86</v>
      </c>
      <c r="M17" s="44" t="s">
        <v>88</v>
      </c>
      <c r="N17" s="44" t="s">
        <v>87</v>
      </c>
      <c r="O17" s="44" t="s">
        <v>110</v>
      </c>
      <c r="P17" s="44" t="s">
        <v>111</v>
      </c>
      <c r="Q17" s="44"/>
      <c r="R17" s="44" t="s">
        <v>112</v>
      </c>
      <c r="S17" s="44" t="s">
        <v>123</v>
      </c>
      <c r="T17" s="44" t="s">
        <v>83</v>
      </c>
      <c r="U17" s="50">
        <v>1.1599999999999999E-2</v>
      </c>
      <c r="V17" s="44" t="s">
        <v>83</v>
      </c>
      <c r="W17" s="44" t="s">
        <v>83</v>
      </c>
      <c r="X17" s="44" t="s">
        <v>83</v>
      </c>
      <c r="Y17" s="44" t="s">
        <v>83</v>
      </c>
      <c r="Z17" s="44" t="s">
        <v>114</v>
      </c>
      <c r="AA17" s="44"/>
      <c r="AB17" s="44"/>
      <c r="AC17" s="44"/>
      <c r="AD17" s="44"/>
      <c r="AE17" s="54">
        <f t="shared" si="3"/>
        <v>1.1599999999999999E-2</v>
      </c>
      <c r="AF17" s="55">
        <f t="shared" si="4"/>
        <v>1</v>
      </c>
      <c r="AG17" s="44"/>
      <c r="AH17" s="44"/>
      <c r="AI17" s="60"/>
      <c r="AJ17" s="60"/>
      <c r="AK17" s="44"/>
      <c r="AL17" s="44"/>
      <c r="AM17" s="44"/>
      <c r="AN17" s="44"/>
      <c r="AO17" s="44"/>
      <c r="AP17" s="44"/>
      <c r="AQ17" s="44"/>
      <c r="AR17" s="44"/>
      <c r="AS17" s="44"/>
      <c r="AT17" s="44" t="s">
        <v>83</v>
      </c>
      <c r="AU17" s="44" t="s">
        <v>83</v>
      </c>
      <c r="AV17" s="40">
        <v>1</v>
      </c>
      <c r="AW17" s="40">
        <v>1</v>
      </c>
      <c r="AX17" s="49">
        <v>1</v>
      </c>
      <c r="AY17" s="49">
        <v>1</v>
      </c>
      <c r="AZ17" s="40">
        <v>1</v>
      </c>
      <c r="BA17" s="35">
        <f>10.5*U17</f>
        <v>0.12180000000000001</v>
      </c>
    </row>
    <row r="18" spans="1:53" ht="30" customHeight="1" x14ac:dyDescent="0.15">
      <c r="U18" s="52"/>
    </row>
    <row r="19" spans="1:53" ht="30" customHeight="1" x14ac:dyDescent="0.15">
      <c r="U19" s="52"/>
    </row>
    <row r="20" spans="1:53" ht="30" customHeight="1" x14ac:dyDescent="0.15">
      <c r="U20" s="52"/>
    </row>
    <row r="21" spans="1:53" ht="30" customHeight="1" x14ac:dyDescent="0.15">
      <c r="U21" s="52"/>
    </row>
    <row r="22" spans="1:53" ht="30" customHeight="1" x14ac:dyDescent="0.15">
      <c r="U22" s="52"/>
    </row>
    <row r="23" spans="1:53" ht="30" customHeight="1" x14ac:dyDescent="0.15">
      <c r="U23" s="52"/>
    </row>
    <row r="24" spans="1:53" ht="30" customHeight="1" x14ac:dyDescent="0.15">
      <c r="U24" s="52"/>
    </row>
    <row r="25" spans="1:53" ht="30" customHeight="1" x14ac:dyDescent="0.15">
      <c r="U25" s="52"/>
    </row>
    <row r="26" spans="1:53" ht="30" customHeight="1" x14ac:dyDescent="0.15">
      <c r="U26" s="52"/>
    </row>
    <row r="27" spans="1:53" ht="30" customHeight="1" x14ac:dyDescent="0.15"/>
    <row r="28" spans="1:53" ht="30" customHeight="1" x14ac:dyDescent="0.15"/>
    <row r="29" spans="1:53" ht="30" customHeight="1" x14ac:dyDescent="0.15"/>
    <row r="30" spans="1:53" ht="30" customHeight="1" x14ac:dyDescent="0.15"/>
    <row r="31" spans="1:53" ht="30" customHeight="1" x14ac:dyDescent="0.15"/>
    <row r="32" spans="1:53" ht="30" customHeight="1" x14ac:dyDescent="0.15"/>
    <row r="33" ht="30" customHeight="1" x14ac:dyDescent="0.15"/>
  </sheetData>
  <mergeCells count="44">
    <mergeCell ref="A1:AU1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E2:AE3"/>
    <mergeCell ref="AF2:AF3"/>
    <mergeCell ref="AG2:AG3"/>
    <mergeCell ref="AH2:AH3"/>
    <mergeCell ref="AI2:AI3"/>
    <mergeCell ref="AJ2:AJ3"/>
    <mergeCell ref="AK2:AK3"/>
    <mergeCell ref="AQ2:AQ3"/>
    <mergeCell ref="AR2:AR3"/>
    <mergeCell ref="AS2:AS3"/>
    <mergeCell ref="AL2:AL3"/>
    <mergeCell ref="AM2:AM3"/>
    <mergeCell ref="AN2:AN3"/>
    <mergeCell ref="AO2:AO3"/>
    <mergeCell ref="AP2:AP3"/>
  </mergeCells>
  <phoneticPr fontId="19" type="noConversion"/>
  <conditionalFormatting sqref="AX2:AY2">
    <cfRule type="duplicateValues" dxfId="9" priority="8"/>
  </conditionalFormatting>
  <conditionalFormatting sqref="D6:D7">
    <cfRule type="duplicateValues" dxfId="8" priority="12"/>
  </conditionalFormatting>
  <conditionalFormatting sqref="D10:D11">
    <cfRule type="duplicateValues" dxfId="7" priority="4"/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"/>
  <sheetViews>
    <sheetView zoomScale="70" zoomScaleNormal="70" workbookViewId="0">
      <selection activeCell="A11" sqref="A11"/>
    </sheetView>
  </sheetViews>
  <sheetFormatPr defaultColWidth="9" defaultRowHeight="13.5" x14ac:dyDescent="0.15"/>
  <cols>
    <col min="1" max="1" width="5.875" customWidth="1"/>
    <col min="2" max="2" width="11" customWidth="1"/>
    <col min="3" max="3" width="5.875" customWidth="1"/>
    <col min="4" max="4" width="4.625" customWidth="1"/>
    <col min="5" max="5" width="9.75" customWidth="1"/>
    <col min="6" max="6" width="18.875" customWidth="1"/>
    <col min="7" max="7" width="11" hidden="1" customWidth="1"/>
    <col min="8" max="8" width="8.5" hidden="1" customWidth="1"/>
    <col min="9" max="9" width="5.875" hidden="1" customWidth="1"/>
    <col min="10" max="10" width="5.875" customWidth="1"/>
    <col min="11" max="11" width="11" hidden="1" customWidth="1"/>
    <col min="12" max="12" width="9.75" hidden="1" customWidth="1"/>
    <col min="13" max="13" width="11" hidden="1" customWidth="1"/>
    <col min="14" max="14" width="21.125" hidden="1" customWidth="1"/>
    <col min="15" max="15" width="21.375" hidden="1" customWidth="1"/>
    <col min="16" max="16" width="11" customWidth="1"/>
    <col min="17" max="17" width="9.5" customWidth="1"/>
    <col min="18" max="18" width="7.125" hidden="1" customWidth="1"/>
    <col min="19" max="19" width="11" hidden="1" customWidth="1"/>
    <col min="20" max="20" width="8.875" hidden="1" customWidth="1"/>
    <col min="21" max="21" width="11" hidden="1" customWidth="1"/>
    <col min="22" max="22" width="11.875" customWidth="1"/>
    <col min="23" max="25" width="5.875" hidden="1" customWidth="1"/>
    <col min="26" max="26" width="11" hidden="1" customWidth="1"/>
    <col min="27" max="27" width="14.625" customWidth="1"/>
    <col min="28" max="30" width="8" customWidth="1"/>
    <col min="31" max="31" width="10.5" customWidth="1"/>
    <col min="32" max="34" width="5.625" customWidth="1"/>
    <col min="35" max="36" width="9.5" customWidth="1"/>
    <col min="37" max="37" width="18.5" hidden="1" customWidth="1"/>
    <col min="38" max="38" width="12.625" hidden="1" customWidth="1"/>
    <col min="39" max="39" width="15.5" hidden="1" customWidth="1"/>
    <col min="40" max="40" width="12.625" hidden="1" customWidth="1"/>
    <col min="41" max="41" width="6.875" hidden="1" customWidth="1"/>
    <col min="42" max="42" width="9.75" hidden="1" customWidth="1"/>
    <col min="43" max="43" width="18.5" hidden="1" customWidth="1"/>
    <col min="44" max="44" width="12.625" hidden="1" customWidth="1"/>
    <col min="45" max="45" width="14.125" hidden="1" customWidth="1"/>
    <col min="46" max="46" width="15.5" hidden="1" customWidth="1"/>
    <col min="47" max="47" width="6.125" customWidth="1"/>
    <col min="48" max="48" width="5.875" customWidth="1"/>
    <col min="49" max="50" width="9.375" customWidth="1"/>
  </cols>
  <sheetData>
    <row r="1" spans="1:61" s="1" customFormat="1" ht="24.95" customHeight="1" x14ac:dyDescent="0.15">
      <c r="A1" s="3" t="s">
        <v>31</v>
      </c>
      <c r="B1" s="3" t="s">
        <v>32</v>
      </c>
      <c r="C1" s="3" t="s">
        <v>33</v>
      </c>
      <c r="D1" s="3" t="s">
        <v>124</v>
      </c>
      <c r="E1" s="3" t="s">
        <v>34</v>
      </c>
      <c r="F1" s="3" t="s">
        <v>1</v>
      </c>
      <c r="G1" s="3" t="s">
        <v>125</v>
      </c>
      <c r="H1" s="3" t="s">
        <v>37</v>
      </c>
      <c r="I1" s="3" t="s">
        <v>38</v>
      </c>
      <c r="J1" s="3" t="s">
        <v>126</v>
      </c>
      <c r="K1" s="3" t="s">
        <v>40</v>
      </c>
      <c r="L1" s="3" t="s">
        <v>127</v>
      </c>
      <c r="M1" s="3" t="s">
        <v>128</v>
      </c>
      <c r="N1" s="3" t="s">
        <v>43</v>
      </c>
      <c r="O1" s="3" t="s">
        <v>129</v>
      </c>
      <c r="P1" s="3" t="s">
        <v>130</v>
      </c>
      <c r="Q1" s="3" t="s">
        <v>46</v>
      </c>
      <c r="R1" s="3" t="s">
        <v>47</v>
      </c>
      <c r="S1" s="3" t="s">
        <v>48</v>
      </c>
      <c r="T1" s="3" t="s">
        <v>131</v>
      </c>
      <c r="U1" s="3" t="s">
        <v>50</v>
      </c>
      <c r="V1" s="3" t="s">
        <v>132</v>
      </c>
      <c r="W1" s="3" t="s">
        <v>52</v>
      </c>
      <c r="X1" s="3" t="s">
        <v>53</v>
      </c>
      <c r="Y1" s="3" t="s">
        <v>54</v>
      </c>
      <c r="Z1" s="3" t="s">
        <v>55</v>
      </c>
      <c r="AA1" s="15" t="s">
        <v>56</v>
      </c>
      <c r="AB1" s="126" t="s">
        <v>58</v>
      </c>
      <c r="AC1" s="126"/>
      <c r="AD1" s="127"/>
      <c r="AE1" s="16" t="s">
        <v>133</v>
      </c>
      <c r="AF1" s="17" t="s">
        <v>60</v>
      </c>
      <c r="AG1" s="15" t="s">
        <v>134</v>
      </c>
      <c r="AH1" s="20" t="s">
        <v>135</v>
      </c>
      <c r="AI1" s="21" t="s">
        <v>63</v>
      </c>
      <c r="AJ1" s="21" t="s">
        <v>136</v>
      </c>
      <c r="AK1" s="22" t="s">
        <v>137</v>
      </c>
      <c r="AL1" s="23" t="s">
        <v>65</v>
      </c>
      <c r="AM1" s="24" t="s">
        <v>66</v>
      </c>
      <c r="AN1" s="24" t="s">
        <v>11</v>
      </c>
      <c r="AO1" s="23" t="s">
        <v>67</v>
      </c>
      <c r="AP1" s="23" t="s">
        <v>68</v>
      </c>
      <c r="AQ1" s="23" t="s">
        <v>138</v>
      </c>
      <c r="AR1" s="24" t="s">
        <v>70</v>
      </c>
      <c r="AS1" s="25" t="s">
        <v>71</v>
      </c>
      <c r="AT1" s="26" t="s">
        <v>139</v>
      </c>
      <c r="AU1" s="27" t="s">
        <v>140</v>
      </c>
      <c r="AV1" s="28" t="s">
        <v>141</v>
      </c>
      <c r="AW1" s="30" t="s">
        <v>142</v>
      </c>
      <c r="AX1" s="31" t="s">
        <v>143</v>
      </c>
    </row>
    <row r="2" spans="1:61" s="2" customFormat="1" ht="45" customHeight="1" x14ac:dyDescent="0.15">
      <c r="A2" s="4">
        <f>ROW()-9</f>
        <v>-7</v>
      </c>
      <c r="B2" s="5">
        <v>2</v>
      </c>
      <c r="C2" s="5" t="s">
        <v>144</v>
      </c>
      <c r="D2" s="6" t="s">
        <v>23</v>
      </c>
      <c r="E2" s="5" t="s">
        <v>23</v>
      </c>
      <c r="F2" s="7" t="s">
        <v>145</v>
      </c>
      <c r="G2" s="8" t="s">
        <v>146</v>
      </c>
      <c r="H2" s="8" t="s">
        <v>84</v>
      </c>
      <c r="I2" s="4" t="s">
        <v>85</v>
      </c>
      <c r="J2" s="9"/>
      <c r="K2" s="10" t="s">
        <v>86</v>
      </c>
      <c r="L2" s="5" t="s">
        <v>23</v>
      </c>
      <c r="M2" s="10" t="s">
        <v>86</v>
      </c>
      <c r="N2" s="5" t="s">
        <v>87</v>
      </c>
      <c r="O2" s="5" t="s">
        <v>88</v>
      </c>
      <c r="P2" s="8" t="s">
        <v>147</v>
      </c>
      <c r="Q2" s="8" t="s">
        <v>90</v>
      </c>
      <c r="R2" s="8" t="s">
        <v>83</v>
      </c>
      <c r="S2" s="8" t="s">
        <v>83</v>
      </c>
      <c r="T2" s="8" t="s">
        <v>148</v>
      </c>
      <c r="U2" s="8" t="s">
        <v>149</v>
      </c>
      <c r="V2" s="13">
        <v>1.3988</v>
      </c>
      <c r="W2" s="8" t="s">
        <v>83</v>
      </c>
      <c r="X2" s="8" t="s">
        <v>83</v>
      </c>
      <c r="Y2" s="8" t="s">
        <v>83</v>
      </c>
      <c r="Z2" s="8" t="s">
        <v>83</v>
      </c>
      <c r="AA2" s="8"/>
      <c r="AB2" s="8"/>
      <c r="AC2" s="8"/>
      <c r="AD2" s="8"/>
      <c r="AE2" s="18"/>
      <c r="AF2" s="19"/>
      <c r="AG2" s="8"/>
      <c r="AH2" s="8"/>
      <c r="AI2" s="8" t="s">
        <v>150</v>
      </c>
      <c r="AJ2" s="8" t="s">
        <v>151</v>
      </c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29">
        <v>0</v>
      </c>
      <c r="AW2" s="29">
        <v>0</v>
      </c>
      <c r="AX2" s="29">
        <f>SUM(AX4:AX6)</f>
        <v>2.3086000000000002</v>
      </c>
      <c r="AY2" s="32"/>
      <c r="AZ2" s="33"/>
      <c r="BA2" s="34"/>
      <c r="BB2" s="34"/>
      <c r="BC2" s="34"/>
      <c r="BD2" s="34"/>
      <c r="BE2" s="34"/>
      <c r="BF2" s="34"/>
      <c r="BG2" s="34"/>
      <c r="BH2" s="34"/>
      <c r="BI2" s="34"/>
    </row>
    <row r="3" spans="1:61" s="2" customFormat="1" ht="45" customHeight="1" x14ac:dyDescent="0.15">
      <c r="A3" s="4">
        <f>ROW()-9</f>
        <v>-6</v>
      </c>
      <c r="B3" s="5">
        <v>3</v>
      </c>
      <c r="C3" s="5" t="s">
        <v>107</v>
      </c>
      <c r="D3" s="5"/>
      <c r="E3" s="5" t="s">
        <v>152</v>
      </c>
      <c r="F3" s="7" t="s">
        <v>153</v>
      </c>
      <c r="G3" s="8" t="s">
        <v>83</v>
      </c>
      <c r="H3" s="8" t="s">
        <v>84</v>
      </c>
      <c r="I3" s="4" t="s">
        <v>85</v>
      </c>
      <c r="J3" s="9"/>
      <c r="K3" s="10" t="s">
        <v>86</v>
      </c>
      <c r="L3" s="8" t="s">
        <v>83</v>
      </c>
      <c r="M3" s="10" t="s">
        <v>86</v>
      </c>
      <c r="N3" s="11" t="s">
        <v>87</v>
      </c>
      <c r="O3" s="11" t="s">
        <v>88</v>
      </c>
      <c r="P3" s="8" t="s">
        <v>83</v>
      </c>
      <c r="Q3" s="8" t="s">
        <v>154</v>
      </c>
      <c r="R3" s="8" t="s">
        <v>83</v>
      </c>
      <c r="S3" s="8" t="s">
        <v>83</v>
      </c>
      <c r="T3" s="8" t="s">
        <v>83</v>
      </c>
      <c r="U3" s="8" t="s">
        <v>83</v>
      </c>
      <c r="V3" s="8" t="s">
        <v>83</v>
      </c>
      <c r="W3" s="8" t="s">
        <v>83</v>
      </c>
      <c r="X3" s="8" t="s">
        <v>83</v>
      </c>
      <c r="Y3" s="8" t="s">
        <v>83</v>
      </c>
      <c r="Z3" s="8" t="s">
        <v>83</v>
      </c>
      <c r="AA3" s="8"/>
      <c r="AB3" s="8"/>
      <c r="AC3" s="8"/>
      <c r="AD3" s="8"/>
      <c r="AE3" s="18">
        <v>1.3144</v>
      </c>
      <c r="AF3" s="19"/>
      <c r="AG3" s="8"/>
      <c r="AH3" s="8"/>
      <c r="AI3" s="8" t="s">
        <v>155</v>
      </c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9">
        <v>1</v>
      </c>
      <c r="AW3" s="32"/>
      <c r="AX3" s="33"/>
      <c r="AY3" s="34"/>
      <c r="AZ3" s="34"/>
      <c r="BA3" s="34"/>
    </row>
    <row r="4" spans="1:61" s="2" customFormat="1" ht="45" customHeight="1" x14ac:dyDescent="0.15">
      <c r="A4" s="4">
        <f>ROW()-9</f>
        <v>-5</v>
      </c>
      <c r="B4" s="5">
        <v>3</v>
      </c>
      <c r="C4" s="5" t="s">
        <v>156</v>
      </c>
      <c r="D4" s="5"/>
      <c r="E4" s="5" t="s">
        <v>157</v>
      </c>
      <c r="F4" s="7" t="s">
        <v>158</v>
      </c>
      <c r="G4" s="8" t="s">
        <v>159</v>
      </c>
      <c r="H4" s="8" t="s">
        <v>84</v>
      </c>
      <c r="I4" s="4" t="s">
        <v>85</v>
      </c>
      <c r="J4" s="9"/>
      <c r="K4" s="10" t="s">
        <v>86</v>
      </c>
      <c r="L4" s="5" t="s">
        <v>157</v>
      </c>
      <c r="M4" s="10" t="s">
        <v>86</v>
      </c>
      <c r="N4" s="11" t="s">
        <v>88</v>
      </c>
      <c r="O4" s="11" t="s">
        <v>87</v>
      </c>
      <c r="P4" s="12" t="s">
        <v>160</v>
      </c>
      <c r="Q4" s="12" t="s">
        <v>161</v>
      </c>
      <c r="R4" s="8" t="s">
        <v>162</v>
      </c>
      <c r="S4" s="14" t="s">
        <v>163</v>
      </c>
      <c r="T4" s="14" t="s">
        <v>164</v>
      </c>
      <c r="U4" s="8" t="s">
        <v>83</v>
      </c>
      <c r="V4" s="12">
        <v>3.3000000000000002E-2</v>
      </c>
      <c r="W4" s="8" t="s">
        <v>83</v>
      </c>
      <c r="X4" s="8" t="s">
        <v>83</v>
      </c>
      <c r="Y4" s="8" t="s">
        <v>83</v>
      </c>
      <c r="Z4" s="8" t="s">
        <v>83</v>
      </c>
      <c r="AA4" s="8"/>
      <c r="AB4" s="8"/>
      <c r="AC4" s="8"/>
      <c r="AD4" s="8"/>
      <c r="AE4" s="18">
        <v>6.5699999999999995E-2</v>
      </c>
      <c r="AF4" s="19"/>
      <c r="AG4" s="8"/>
      <c r="AH4" s="8"/>
      <c r="AI4" s="8" t="s">
        <v>165</v>
      </c>
      <c r="AJ4" s="8" t="s">
        <v>166</v>
      </c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9">
        <v>1</v>
      </c>
      <c r="AW4" s="32">
        <v>1.45</v>
      </c>
      <c r="AX4" s="33">
        <f>AW4*AV4</f>
        <v>1.45</v>
      </c>
      <c r="AY4" s="34"/>
      <c r="AZ4" s="34"/>
      <c r="BA4" s="34"/>
    </row>
    <row r="5" spans="1:61" s="2" customFormat="1" ht="45" customHeight="1" x14ac:dyDescent="0.15">
      <c r="A5" s="4">
        <f>ROW()-9</f>
        <v>-4</v>
      </c>
      <c r="B5" s="5">
        <v>3</v>
      </c>
      <c r="C5" s="5" t="s">
        <v>156</v>
      </c>
      <c r="D5" s="5"/>
      <c r="E5" s="5" t="s">
        <v>167</v>
      </c>
      <c r="F5" s="7" t="s">
        <v>168</v>
      </c>
      <c r="G5" s="8" t="s">
        <v>83</v>
      </c>
      <c r="H5" s="8" t="s">
        <v>84</v>
      </c>
      <c r="I5" s="4" t="s">
        <v>85</v>
      </c>
      <c r="J5" s="9"/>
      <c r="K5" s="10" t="s">
        <v>86</v>
      </c>
      <c r="L5" s="5" t="s">
        <v>169</v>
      </c>
      <c r="M5" s="10" t="s">
        <v>86</v>
      </c>
      <c r="N5" s="11" t="s">
        <v>88</v>
      </c>
      <c r="O5" s="11" t="s">
        <v>87</v>
      </c>
      <c r="P5" s="8" t="s">
        <v>83</v>
      </c>
      <c r="Q5" s="8" t="s">
        <v>83</v>
      </c>
      <c r="R5" s="8" t="s">
        <v>83</v>
      </c>
      <c r="S5" s="8" t="s">
        <v>83</v>
      </c>
      <c r="T5" s="8" t="s">
        <v>83</v>
      </c>
      <c r="U5" s="8" t="s">
        <v>83</v>
      </c>
      <c r="V5" s="8" t="s">
        <v>83</v>
      </c>
      <c r="W5" s="8" t="s">
        <v>83</v>
      </c>
      <c r="X5" s="8" t="s">
        <v>83</v>
      </c>
      <c r="Y5" s="8" t="s">
        <v>83</v>
      </c>
      <c r="Z5" s="8" t="s">
        <v>83</v>
      </c>
      <c r="AA5" s="8"/>
      <c r="AB5" s="8"/>
      <c r="AC5" s="8"/>
      <c r="AD5" s="8"/>
      <c r="AE5" s="18"/>
      <c r="AF5" s="19"/>
      <c r="AG5" s="8"/>
      <c r="AH5" s="8"/>
      <c r="AI5" s="8" t="s">
        <v>165</v>
      </c>
      <c r="AJ5" s="8" t="s">
        <v>170</v>
      </c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9">
        <v>6</v>
      </c>
      <c r="AW5" s="32">
        <v>8.9200000000000002E-2</v>
      </c>
      <c r="AX5" s="33">
        <f>AW5*AV5</f>
        <v>0.53520000000000001</v>
      </c>
      <c r="AY5" s="34"/>
      <c r="AZ5" s="34"/>
      <c r="BA5" s="34"/>
    </row>
    <row r="6" spans="1:61" s="2" customFormat="1" ht="45" customHeight="1" x14ac:dyDescent="0.15">
      <c r="A6" s="4">
        <f>ROW()-9</f>
        <v>-3</v>
      </c>
      <c r="B6" s="5">
        <v>3</v>
      </c>
      <c r="C6" s="5" t="s">
        <v>156</v>
      </c>
      <c r="D6" s="5"/>
      <c r="E6" s="5" t="s">
        <v>171</v>
      </c>
      <c r="F6" s="7" t="s">
        <v>172</v>
      </c>
      <c r="G6" s="8" t="s">
        <v>83</v>
      </c>
      <c r="H6" s="8" t="s">
        <v>84</v>
      </c>
      <c r="I6" s="4" t="s">
        <v>85</v>
      </c>
      <c r="J6" s="9"/>
      <c r="K6" s="10" t="s">
        <v>86</v>
      </c>
      <c r="L6" s="5" t="s">
        <v>171</v>
      </c>
      <c r="M6" s="10" t="s">
        <v>86</v>
      </c>
      <c r="N6" s="11" t="s">
        <v>88</v>
      </c>
      <c r="O6" s="11" t="s">
        <v>87</v>
      </c>
      <c r="P6" s="8" t="s">
        <v>83</v>
      </c>
      <c r="Q6" s="8" t="s">
        <v>83</v>
      </c>
      <c r="R6" s="8" t="s">
        <v>83</v>
      </c>
      <c r="S6" s="8" t="s">
        <v>83</v>
      </c>
      <c r="T6" s="8" t="s">
        <v>83</v>
      </c>
      <c r="U6" s="8" t="s">
        <v>83</v>
      </c>
      <c r="V6" s="8" t="s">
        <v>83</v>
      </c>
      <c r="W6" s="8" t="s">
        <v>83</v>
      </c>
      <c r="X6" s="8" t="s">
        <v>83</v>
      </c>
      <c r="Y6" s="8" t="s">
        <v>83</v>
      </c>
      <c r="Z6" s="8" t="s">
        <v>83</v>
      </c>
      <c r="AA6" s="8"/>
      <c r="AB6" s="8"/>
      <c r="AC6" s="8"/>
      <c r="AD6" s="8"/>
      <c r="AE6" s="18"/>
      <c r="AF6" s="19"/>
      <c r="AG6" s="8"/>
      <c r="AH6" s="8"/>
      <c r="AI6" s="8" t="s">
        <v>165</v>
      </c>
      <c r="AJ6" s="8" t="s">
        <v>170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9">
        <v>3</v>
      </c>
      <c r="AW6" s="32">
        <v>0.10780000000000001</v>
      </c>
      <c r="AX6" s="33">
        <f>AW6*AV6</f>
        <v>0.32340000000000002</v>
      </c>
      <c r="AY6" s="34"/>
      <c r="AZ6" s="34"/>
      <c r="BA6" s="34"/>
    </row>
  </sheetData>
  <mergeCells count="1">
    <mergeCell ref="AB1:AD1"/>
  </mergeCells>
  <phoneticPr fontId="19" type="noConversion"/>
  <conditionalFormatting sqref="AY2">
    <cfRule type="duplicateValues" dxfId="6" priority="3"/>
  </conditionalFormatting>
  <conditionalFormatting sqref="BA2:BI2">
    <cfRule type="cellIs" dxfId="5" priority="1" operator="equal">
      <formula>1</formula>
    </cfRule>
    <cfRule type="cellIs" dxfId="4" priority="2" operator="equal">
      <formula>0</formula>
    </cfRule>
  </conditionalFormatting>
  <conditionalFormatting sqref="AW3:AW6">
    <cfRule type="duplicateValues" dxfId="3" priority="8"/>
  </conditionalFormatting>
  <conditionalFormatting sqref="AW4:AW6">
    <cfRule type="duplicateValues" dxfId="2" priority="5"/>
  </conditionalFormatting>
  <conditionalFormatting sqref="AY3:BA6">
    <cfRule type="cellIs" dxfId="1" priority="6" operator="equal">
      <formula>1</formula>
    </cfRule>
    <cfRule type="cellIs" dxfId="0" priority="7" operator="equal">
      <formula>0</formula>
    </cfRule>
  </conditionalFormatting>
  <dataValidations count="1">
    <dataValidation allowBlank="1" showErrorMessage="1" sqref="Q2:Q3"/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价值工程部核算</vt:lpstr>
      <vt:lpstr>河北测算成本</vt:lpstr>
      <vt:lpstr>明细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2025-09-12T07:39:57Z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1B3778C8EC7246618390E58E1EF79D32_12</vt:lpwstr>
  </property>
</Properties>
</file>