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徐工1.0、2.0车型座椅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1" l="1"/>
  <c r="D26" i="51"/>
  <c r="J22" i="51" l="1"/>
  <c r="H27" i="53" l="1"/>
  <c r="H28" i="53" s="1"/>
  <c r="I27" i="53"/>
  <c r="I28" i="53"/>
  <c r="J5" i="53" l="1"/>
  <c r="G6" i="59" l="1"/>
  <c r="H6" i="59"/>
  <c r="H7" i="59" s="1"/>
  <c r="I6" i="59"/>
  <c r="J6" i="59"/>
  <c r="K6" i="59"/>
  <c r="L6" i="59"/>
  <c r="M6" i="59"/>
  <c r="N6" i="59"/>
  <c r="O6" i="59"/>
  <c r="P6" i="59"/>
  <c r="Q6" i="59"/>
  <c r="R6" i="59"/>
  <c r="G7" i="59"/>
  <c r="I7" i="59"/>
  <c r="J7" i="59"/>
  <c r="K7" i="59"/>
  <c r="L7" i="59"/>
  <c r="M7" i="59"/>
  <c r="N7" i="59"/>
  <c r="O7" i="59"/>
  <c r="P7" i="59"/>
  <c r="Q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F7" i="61" s="1"/>
  <c r="F9" i="61" s="1"/>
  <c r="F32" i="61" s="1"/>
  <c r="G6" i="61"/>
  <c r="H6" i="61"/>
  <c r="I6" i="61"/>
  <c r="I7" i="61" s="1"/>
  <c r="I9" i="61" s="1"/>
  <c r="I32" i="61" s="1"/>
  <c r="J6" i="61"/>
  <c r="K6" i="61"/>
  <c r="L6" i="61"/>
  <c r="L7" i="61" s="1"/>
  <c r="L9" i="61" s="1"/>
  <c r="L32" i="61" s="1"/>
  <c r="M6" i="61"/>
  <c r="N6" i="61"/>
  <c r="O6" i="61"/>
  <c r="O7" i="61" s="1"/>
  <c r="O9" i="61" s="1"/>
  <c r="O32" i="61" s="1"/>
  <c r="P6" i="61"/>
  <c r="Q6" i="61"/>
  <c r="R6" i="61"/>
  <c r="R7" i="61" s="1"/>
  <c r="R9" i="61" s="1"/>
  <c r="R32" i="61" s="1"/>
  <c r="D7" i="61"/>
  <c r="D9" i="61" s="1"/>
  <c r="D32" i="61" s="1"/>
  <c r="G7" i="61"/>
  <c r="H7" i="61"/>
  <c r="J7" i="61"/>
  <c r="K7" i="61"/>
  <c r="M7" i="61"/>
  <c r="N7" i="61"/>
  <c r="P7" i="61"/>
  <c r="Q7" i="61"/>
  <c r="G9" i="61"/>
  <c r="G32" i="61" s="1"/>
  <c r="H9" i="61"/>
  <c r="H32" i="61" s="1"/>
  <c r="J9" i="61"/>
  <c r="J32" i="61" s="1"/>
  <c r="K9" i="61"/>
  <c r="K32" i="61" s="1"/>
  <c r="M9" i="61"/>
  <c r="M32" i="61" s="1"/>
  <c r="N9" i="61"/>
  <c r="N32" i="61" s="1"/>
  <c r="P9" i="61"/>
  <c r="P32" i="61" s="1"/>
  <c r="Q9" i="61"/>
  <c r="Q32" i="61" s="1"/>
  <c r="C196" i="50"/>
  <c r="C183" i="50"/>
  <c r="C170" i="50"/>
  <c r="C157" i="50"/>
  <c r="C144" i="50"/>
  <c r="C131" i="50"/>
  <c r="C118" i="50"/>
  <c r="C105" i="50"/>
  <c r="C92" i="50"/>
  <c r="C79" i="50"/>
  <c r="C66" i="50"/>
  <c r="I197" i="50"/>
  <c r="E200" i="50" s="1"/>
  <c r="R37" i="61" s="1"/>
  <c r="I195" i="50"/>
  <c r="H205" i="50"/>
  <c r="H204" i="50"/>
  <c r="H203" i="50"/>
  <c r="H202" i="50"/>
  <c r="H201" i="50"/>
  <c r="H200" i="50"/>
  <c r="H199" i="50"/>
  <c r="H198" i="50"/>
  <c r="I184" i="50"/>
  <c r="E187" i="50" s="1"/>
  <c r="Q37" i="61" s="1"/>
  <c r="I182" i="50"/>
  <c r="H192" i="50"/>
  <c r="H191" i="50"/>
  <c r="H190" i="50"/>
  <c r="H189" i="50"/>
  <c r="H188" i="50"/>
  <c r="H187" i="50"/>
  <c r="H186" i="50"/>
  <c r="H185" i="50"/>
  <c r="I171" i="50"/>
  <c r="E174" i="50" s="1"/>
  <c r="P37" i="61" s="1"/>
  <c r="I169" i="50"/>
  <c r="H179" i="50"/>
  <c r="H178" i="50"/>
  <c r="H177" i="50"/>
  <c r="H176" i="50"/>
  <c r="H175" i="50"/>
  <c r="H174" i="50"/>
  <c r="H173" i="50"/>
  <c r="H172" i="50"/>
  <c r="I158" i="50"/>
  <c r="E161" i="50" s="1"/>
  <c r="O37" i="61" s="1"/>
  <c r="I156" i="50"/>
  <c r="H166" i="50"/>
  <c r="H165" i="50"/>
  <c r="H164" i="50"/>
  <c r="H163" i="50"/>
  <c r="H162" i="50"/>
  <c r="H161" i="50"/>
  <c r="H160" i="50"/>
  <c r="H159" i="50"/>
  <c r="I145" i="50"/>
  <c r="E147" i="50" s="1"/>
  <c r="N43" i="61" s="1"/>
  <c r="I143" i="50"/>
  <c r="H153" i="50"/>
  <c r="H152" i="50"/>
  <c r="H151" i="50"/>
  <c r="H150" i="50"/>
  <c r="H149" i="50"/>
  <c r="H148" i="50"/>
  <c r="H147" i="50"/>
  <c r="H146" i="50"/>
  <c r="I132" i="50"/>
  <c r="E135" i="50" s="1"/>
  <c r="M37" i="61" s="1"/>
  <c r="I130" i="50"/>
  <c r="H140" i="50"/>
  <c r="H139" i="50"/>
  <c r="H138" i="50"/>
  <c r="H137" i="50"/>
  <c r="H136" i="50"/>
  <c r="H135" i="50"/>
  <c r="H134" i="50"/>
  <c r="H133" i="50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I93" i="50"/>
  <c r="E97" i="50" s="1"/>
  <c r="I91" i="50"/>
  <c r="H101" i="50"/>
  <c r="H100" i="50"/>
  <c r="H99" i="50"/>
  <c r="H98" i="50"/>
  <c r="H97" i="50"/>
  <c r="H96" i="50"/>
  <c r="H95" i="50"/>
  <c r="H94" i="50"/>
  <c r="I80" i="50"/>
  <c r="E84" i="50" s="1"/>
  <c r="I78" i="50"/>
  <c r="I67" i="50"/>
  <c r="E70" i="50" s="1"/>
  <c r="H37" i="61" s="1"/>
  <c r="I54" i="50"/>
  <c r="E57" i="50" s="1"/>
  <c r="G37" i="61" s="1"/>
  <c r="I28" i="50"/>
  <c r="I41" i="50"/>
  <c r="E42" i="50" s="1"/>
  <c r="E56" i="50"/>
  <c r="G43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75" i="50" l="1"/>
  <c r="H47" i="61" s="1"/>
  <c r="E166" i="50"/>
  <c r="O47" i="61" s="1"/>
  <c r="O22" i="61" s="1"/>
  <c r="E205" i="50"/>
  <c r="R47" i="61" s="1"/>
  <c r="R47" i="59" s="1"/>
  <c r="R22" i="59" s="1"/>
  <c r="E114" i="50"/>
  <c r="K47" i="61" s="1"/>
  <c r="K47" i="57" s="1"/>
  <c r="K22" i="57" s="1"/>
  <c r="E69" i="50"/>
  <c r="H43" i="61" s="1"/>
  <c r="E96" i="50"/>
  <c r="J37" i="61" s="1"/>
  <c r="J37" i="57" s="1"/>
  <c r="J12" i="57" s="1"/>
  <c r="E149" i="50"/>
  <c r="E163" i="50"/>
  <c r="O45" i="61" s="1"/>
  <c r="E189" i="50"/>
  <c r="Q45" i="61" s="1"/>
  <c r="Q45" i="59" s="1"/>
  <c r="Q20" i="59" s="1"/>
  <c r="E202" i="50"/>
  <c r="R45" i="61" s="1"/>
  <c r="R45" i="59" s="1"/>
  <c r="R20" i="59" s="1"/>
  <c r="E173" i="50"/>
  <c r="P43" i="61" s="1"/>
  <c r="E111" i="50"/>
  <c r="K45" i="61" s="1"/>
  <c r="K45" i="59" s="1"/>
  <c r="K20" i="59" s="1"/>
  <c r="E140" i="50"/>
  <c r="M47" i="61" s="1"/>
  <c r="M47" i="58" s="1"/>
  <c r="M22" i="58" s="1"/>
  <c r="E146" i="50"/>
  <c r="N36" i="61" s="1"/>
  <c r="E179" i="50"/>
  <c r="P47" i="61" s="1"/>
  <c r="P47" i="57" s="1"/>
  <c r="P22" i="57" s="1"/>
  <c r="E186" i="50"/>
  <c r="Q43" i="61" s="1"/>
  <c r="Q43" i="57" s="1"/>
  <c r="E134" i="50"/>
  <c r="M43" i="61" s="1"/>
  <c r="N11" i="61"/>
  <c r="E62" i="50"/>
  <c r="G47" i="61" s="1"/>
  <c r="G47" i="43" s="1"/>
  <c r="G22" i="43" s="1"/>
  <c r="E72" i="50"/>
  <c r="H45" i="61" s="1"/>
  <c r="E59" i="50"/>
  <c r="G45" i="61" s="1"/>
  <c r="G45" i="43" s="1"/>
  <c r="G20" i="43" s="1"/>
  <c r="E101" i="50"/>
  <c r="J47" i="61" s="1"/>
  <c r="J22" i="61" s="1"/>
  <c r="E107" i="50"/>
  <c r="K36" i="61" s="1"/>
  <c r="K11" i="61" s="1"/>
  <c r="E137" i="50"/>
  <c r="M45" i="61" s="1"/>
  <c r="M45" i="57" s="1"/>
  <c r="M20" i="57" s="1"/>
  <c r="E152" i="50"/>
  <c r="N38" i="61" s="1"/>
  <c r="N38" i="59" s="1"/>
  <c r="N13" i="59" s="1"/>
  <c r="E160" i="50"/>
  <c r="O43" i="61" s="1"/>
  <c r="E176" i="50"/>
  <c r="P45" i="61" s="1"/>
  <c r="P45" i="58" s="1"/>
  <c r="P20" i="58" s="1"/>
  <c r="E192" i="50"/>
  <c r="Q47" i="61" s="1"/>
  <c r="Q22" i="61" s="1"/>
  <c r="E199" i="50"/>
  <c r="R43" i="61" s="1"/>
  <c r="N43" i="59"/>
  <c r="N43" i="58"/>
  <c r="N43" i="57"/>
  <c r="N43" i="43"/>
  <c r="Q37" i="59"/>
  <c r="Q12" i="59" s="1"/>
  <c r="Q37" i="58"/>
  <c r="Q12" i="58" s="1"/>
  <c r="Q37" i="57"/>
  <c r="Q12" i="57" s="1"/>
  <c r="Q37" i="43"/>
  <c r="Q12" i="43" s="1"/>
  <c r="O37" i="59"/>
  <c r="O12" i="59" s="1"/>
  <c r="O37" i="58"/>
  <c r="O12" i="58" s="1"/>
  <c r="O37" i="57"/>
  <c r="O12" i="57" s="1"/>
  <c r="O37" i="43"/>
  <c r="O12" i="43" s="1"/>
  <c r="O12" i="61"/>
  <c r="R37" i="59"/>
  <c r="R12" i="59" s="1"/>
  <c r="R37" i="58"/>
  <c r="R12" i="58" s="1"/>
  <c r="R37" i="57"/>
  <c r="R12" i="57" s="1"/>
  <c r="R37" i="43"/>
  <c r="R12" i="43" s="1"/>
  <c r="R12" i="61"/>
  <c r="M37" i="59"/>
  <c r="M12" i="59" s="1"/>
  <c r="M37" i="58"/>
  <c r="M12" i="58" s="1"/>
  <c r="M37" i="57"/>
  <c r="M12" i="57" s="1"/>
  <c r="M37" i="43"/>
  <c r="M12" i="43" s="1"/>
  <c r="M12" i="61"/>
  <c r="P37" i="59"/>
  <c r="P12" i="59" s="1"/>
  <c r="P37" i="58"/>
  <c r="P12" i="58" s="1"/>
  <c r="P37" i="57"/>
  <c r="P12" i="57" s="1"/>
  <c r="P37" i="43"/>
  <c r="P12" i="43" s="1"/>
  <c r="P12" i="61"/>
  <c r="E86" i="50"/>
  <c r="I44" i="61" s="1"/>
  <c r="I44" i="58" s="1"/>
  <c r="I19" i="58" s="1"/>
  <c r="E82" i="50"/>
  <c r="I43" i="61" s="1"/>
  <c r="E120" i="50"/>
  <c r="L36" i="61" s="1"/>
  <c r="L11" i="61" s="1"/>
  <c r="M47" i="59"/>
  <c r="M22" i="59" s="1"/>
  <c r="M43" i="59"/>
  <c r="M43" i="58"/>
  <c r="M43" i="57"/>
  <c r="M43" i="43"/>
  <c r="N38" i="57"/>
  <c r="N13" i="57" s="1"/>
  <c r="N36" i="59"/>
  <c r="N11" i="59" s="1"/>
  <c r="N36" i="58"/>
  <c r="N11" i="58" s="1"/>
  <c r="N36" i="57"/>
  <c r="N11" i="57" s="1"/>
  <c r="N36" i="43"/>
  <c r="N11" i="43" s="1"/>
  <c r="O45" i="59"/>
  <c r="O20" i="59" s="1"/>
  <c r="O45" i="58"/>
  <c r="O20" i="58" s="1"/>
  <c r="O45" i="57"/>
  <c r="O20" i="57" s="1"/>
  <c r="O45" i="43"/>
  <c r="O20" i="43" s="1"/>
  <c r="P45" i="59"/>
  <c r="P20" i="59" s="1"/>
  <c r="P45" i="43"/>
  <c r="P20" i="43" s="1"/>
  <c r="R47" i="57"/>
  <c r="R22" i="57" s="1"/>
  <c r="P20" i="61"/>
  <c r="Q5" i="59"/>
  <c r="Q5" i="43"/>
  <c r="Q5" i="58"/>
  <c r="Q5" i="57"/>
  <c r="K5" i="59"/>
  <c r="K5" i="58"/>
  <c r="K5" i="57"/>
  <c r="K5" i="43"/>
  <c r="Q4" i="59"/>
  <c r="Q4" i="58"/>
  <c r="Q4" i="57"/>
  <c r="Q4" i="43"/>
  <c r="K4" i="59"/>
  <c r="K4" i="58"/>
  <c r="K4" i="57"/>
  <c r="K4" i="43"/>
  <c r="N3" i="58"/>
  <c r="N3" i="57"/>
  <c r="N3" i="43"/>
  <c r="N3" i="59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J43" i="43" s="1"/>
  <c r="E109" i="50"/>
  <c r="K37" i="61" s="1"/>
  <c r="K12" i="61" s="1"/>
  <c r="E127" i="50"/>
  <c r="L47" i="61" s="1"/>
  <c r="E123" i="50"/>
  <c r="E139" i="50"/>
  <c r="M38" i="61" s="1"/>
  <c r="E136" i="50"/>
  <c r="E151" i="50"/>
  <c r="N44" i="61" s="1"/>
  <c r="E148" i="50"/>
  <c r="N37" i="61" s="1"/>
  <c r="N12" i="61" s="1"/>
  <c r="E165" i="50"/>
  <c r="O38" i="61" s="1"/>
  <c r="E162" i="50"/>
  <c r="E178" i="50"/>
  <c r="P38" i="61" s="1"/>
  <c r="E175" i="50"/>
  <c r="E191" i="50"/>
  <c r="Q38" i="61" s="1"/>
  <c r="Q13" i="61" s="1"/>
  <c r="E188" i="50"/>
  <c r="E204" i="50"/>
  <c r="R38" i="61" s="1"/>
  <c r="E201" i="50"/>
  <c r="R20" i="61"/>
  <c r="O20" i="61"/>
  <c r="P5" i="59"/>
  <c r="P5" i="58"/>
  <c r="P5" i="57"/>
  <c r="P5" i="43"/>
  <c r="M5" i="59"/>
  <c r="M5" i="58"/>
  <c r="M5" i="43"/>
  <c r="M5" i="57"/>
  <c r="J5" i="59"/>
  <c r="J5" i="58"/>
  <c r="J5" i="57"/>
  <c r="J5" i="43"/>
  <c r="P4" i="58"/>
  <c r="P4" i="57"/>
  <c r="P4" i="43"/>
  <c r="P4" i="59"/>
  <c r="M4" i="58"/>
  <c r="M4" i="57"/>
  <c r="M4" i="43"/>
  <c r="M4" i="59"/>
  <c r="J4" i="58"/>
  <c r="J4" i="57"/>
  <c r="J4" i="59"/>
  <c r="J4" i="43"/>
  <c r="P3" i="59"/>
  <c r="P3" i="57"/>
  <c r="P3" i="58"/>
  <c r="P3" i="43"/>
  <c r="M3" i="59"/>
  <c r="M3" i="58"/>
  <c r="M3" i="57"/>
  <c r="M3" i="43"/>
  <c r="J3" i="59"/>
  <c r="J3" i="43"/>
  <c r="J3" i="58"/>
  <c r="J3" i="57"/>
  <c r="E124" i="50"/>
  <c r="L45" i="61" s="1"/>
  <c r="L45" i="43" s="1"/>
  <c r="L20" i="43" s="1"/>
  <c r="M45" i="59"/>
  <c r="M20" i="59" s="1"/>
  <c r="M45" i="43"/>
  <c r="M20" i="43" s="1"/>
  <c r="M45" i="58"/>
  <c r="M20" i="58" s="1"/>
  <c r="O47" i="59"/>
  <c r="O22" i="59" s="1"/>
  <c r="O47" i="58"/>
  <c r="O22" i="58" s="1"/>
  <c r="O47" i="57"/>
  <c r="O22" i="57" s="1"/>
  <c r="O47" i="43"/>
  <c r="O22" i="43" s="1"/>
  <c r="O43" i="59"/>
  <c r="O43" i="58"/>
  <c r="O43" i="57"/>
  <c r="O43" i="43"/>
  <c r="P47" i="59"/>
  <c r="P22" i="59" s="1"/>
  <c r="P47" i="43"/>
  <c r="P22" i="43" s="1"/>
  <c r="P47" i="58"/>
  <c r="P22" i="58" s="1"/>
  <c r="P43" i="59"/>
  <c r="P43" i="43"/>
  <c r="P43" i="58"/>
  <c r="P43" i="57"/>
  <c r="Q45" i="58"/>
  <c r="Q20" i="58" s="1"/>
  <c r="Q45" i="57"/>
  <c r="Q20" i="57" s="1"/>
  <c r="Q45" i="43"/>
  <c r="Q20" i="43" s="1"/>
  <c r="R43" i="59"/>
  <c r="R43" i="58"/>
  <c r="R43" i="57"/>
  <c r="R43" i="43"/>
  <c r="M20" i="61"/>
  <c r="N5" i="59"/>
  <c r="N5" i="57"/>
  <c r="N5" i="58"/>
  <c r="N5" i="43"/>
  <c r="N4" i="59"/>
  <c r="N4" i="58"/>
  <c r="N4" i="43"/>
  <c r="N4" i="57"/>
  <c r="Q3" i="58"/>
  <c r="Q3" i="57"/>
  <c r="Q3" i="43"/>
  <c r="Q3" i="59"/>
  <c r="K3" i="58"/>
  <c r="K3" i="57"/>
  <c r="K3" i="59"/>
  <c r="K3" i="43"/>
  <c r="E88" i="50"/>
  <c r="I47" i="61" s="1"/>
  <c r="E83" i="50"/>
  <c r="I37" i="61" s="1"/>
  <c r="I12" i="61" s="1"/>
  <c r="E94" i="50"/>
  <c r="J36" i="61" s="1"/>
  <c r="J36" i="57" s="1"/>
  <c r="J11" i="57" s="1"/>
  <c r="E98" i="50"/>
  <c r="J45" i="61" s="1"/>
  <c r="J20" i="61" s="1"/>
  <c r="E112" i="50"/>
  <c r="K44" i="61" s="1"/>
  <c r="K44" i="58" s="1"/>
  <c r="K19" i="58" s="1"/>
  <c r="E108" i="50"/>
  <c r="K43" i="61" s="1"/>
  <c r="K43" i="58" s="1"/>
  <c r="E126" i="50"/>
  <c r="L38" i="61" s="1"/>
  <c r="L13" i="61" s="1"/>
  <c r="E121" i="50"/>
  <c r="L43" i="61" s="1"/>
  <c r="L43" i="59" s="1"/>
  <c r="E133" i="50"/>
  <c r="M36" i="61" s="1"/>
  <c r="E138" i="50"/>
  <c r="M44" i="61" s="1"/>
  <c r="E153" i="50"/>
  <c r="N47" i="61" s="1"/>
  <c r="E150" i="50"/>
  <c r="N45" i="61" s="1"/>
  <c r="E159" i="50"/>
  <c r="O36" i="61" s="1"/>
  <c r="E164" i="50"/>
  <c r="O44" i="61" s="1"/>
  <c r="E172" i="50"/>
  <c r="P36" i="61" s="1"/>
  <c r="E177" i="50"/>
  <c r="P44" i="61" s="1"/>
  <c r="E185" i="50"/>
  <c r="Q36" i="61" s="1"/>
  <c r="E190" i="50"/>
  <c r="Q44" i="61" s="1"/>
  <c r="E198" i="50"/>
  <c r="R36" i="61" s="1"/>
  <c r="E203" i="50"/>
  <c r="R44" i="61" s="1"/>
  <c r="P22" i="61"/>
  <c r="N20" i="61"/>
  <c r="Q12" i="61"/>
  <c r="R5" i="58"/>
  <c r="R5" i="57"/>
  <c r="R5" i="59"/>
  <c r="R5" i="43"/>
  <c r="O5" i="58"/>
  <c r="O5" i="57"/>
  <c r="O5" i="43"/>
  <c r="O5" i="59"/>
  <c r="L5" i="58"/>
  <c r="L5" i="57"/>
  <c r="L5" i="43"/>
  <c r="L5" i="59"/>
  <c r="I5" i="58"/>
  <c r="I5" i="57"/>
  <c r="I5" i="59"/>
  <c r="I5" i="43"/>
  <c r="R4" i="59"/>
  <c r="R4" i="57"/>
  <c r="R4" i="43"/>
  <c r="R4" i="58"/>
  <c r="O4" i="59"/>
  <c r="O4" i="57"/>
  <c r="O4" i="58"/>
  <c r="O4" i="43"/>
  <c r="L4" i="59"/>
  <c r="L4" i="58"/>
  <c r="L4" i="57"/>
  <c r="L4" i="43"/>
  <c r="I4" i="59"/>
  <c r="I4" i="58"/>
  <c r="I4" i="43"/>
  <c r="I4" i="57"/>
  <c r="R3" i="59"/>
  <c r="R3" i="58"/>
  <c r="R3" i="57"/>
  <c r="R3" i="43"/>
  <c r="O3" i="59"/>
  <c r="O3" i="58"/>
  <c r="O3" i="43"/>
  <c r="O3" i="57"/>
  <c r="L3" i="59"/>
  <c r="L3" i="58"/>
  <c r="L3" i="57"/>
  <c r="L3" i="43"/>
  <c r="I3" i="59"/>
  <c r="I3" i="58"/>
  <c r="I3" i="57"/>
  <c r="I3" i="43"/>
  <c r="G37" i="59"/>
  <c r="G12" i="59" s="1"/>
  <c r="G37" i="58"/>
  <c r="G12" i="58" s="1"/>
  <c r="G37" i="57"/>
  <c r="G12" i="57" s="1"/>
  <c r="G37" i="43"/>
  <c r="G12" i="43" s="1"/>
  <c r="G12" i="61"/>
  <c r="H45" i="59"/>
  <c r="H20" i="59" s="1"/>
  <c r="H45" i="58"/>
  <c r="H20" i="58" s="1"/>
  <c r="H45" i="43"/>
  <c r="H20" i="43" s="1"/>
  <c r="H45" i="57"/>
  <c r="H20" i="57" s="1"/>
  <c r="G47" i="57"/>
  <c r="G22" i="57" s="1"/>
  <c r="G45" i="58"/>
  <c r="G20" i="58" s="1"/>
  <c r="G45" i="57"/>
  <c r="G20" i="57" s="1"/>
  <c r="G45" i="59"/>
  <c r="G20" i="59" s="1"/>
  <c r="G43" i="58"/>
  <c r="G43" i="57"/>
  <c r="G43" i="43"/>
  <c r="G43" i="59"/>
  <c r="H47" i="58"/>
  <c r="H22" i="58" s="1"/>
  <c r="H47" i="57"/>
  <c r="H22" i="57" s="1"/>
  <c r="H47" i="43"/>
  <c r="H22" i="43" s="1"/>
  <c r="H47" i="59"/>
  <c r="H22" i="59" s="1"/>
  <c r="H43" i="58"/>
  <c r="H43" i="57"/>
  <c r="H43" i="43"/>
  <c r="H43" i="59"/>
  <c r="E61" i="50"/>
  <c r="G38" i="61" s="1"/>
  <c r="E58" i="50"/>
  <c r="H37" i="58"/>
  <c r="H12" i="58" s="1"/>
  <c r="H37" i="57"/>
  <c r="H12" i="57" s="1"/>
  <c r="H37" i="43"/>
  <c r="H12" i="43" s="1"/>
  <c r="H37" i="59"/>
  <c r="H12" i="59" s="1"/>
  <c r="H22" i="61"/>
  <c r="H20" i="61"/>
  <c r="H12" i="61"/>
  <c r="H5" i="57"/>
  <c r="H5" i="43"/>
  <c r="H5" i="59"/>
  <c r="H5" i="58"/>
  <c r="H4" i="57"/>
  <c r="H4" i="43"/>
  <c r="H4" i="59"/>
  <c r="H4" i="58"/>
  <c r="H3" i="57"/>
  <c r="H3" i="43"/>
  <c r="H3" i="59"/>
  <c r="H3" i="58"/>
  <c r="E74" i="50"/>
  <c r="H38" i="61" s="1"/>
  <c r="E55" i="50"/>
  <c r="G36" i="61" s="1"/>
  <c r="E60" i="50"/>
  <c r="G44" i="61" s="1"/>
  <c r="G20" i="61"/>
  <c r="G5" i="59"/>
  <c r="G5" i="58"/>
  <c r="G5" i="57"/>
  <c r="G5" i="43"/>
  <c r="G4" i="59"/>
  <c r="G4" i="58"/>
  <c r="G4" i="57"/>
  <c r="G4" i="43"/>
  <c r="G3" i="59"/>
  <c r="G3" i="58"/>
  <c r="G3" i="57"/>
  <c r="G3" i="43"/>
  <c r="L37" i="57"/>
  <c r="L12" i="57" s="1"/>
  <c r="L37" i="43"/>
  <c r="L12" i="43" s="1"/>
  <c r="L37" i="59"/>
  <c r="L12" i="59" s="1"/>
  <c r="L37" i="58"/>
  <c r="L12" i="58" s="1"/>
  <c r="L12" i="61"/>
  <c r="L14" i="61" s="1"/>
  <c r="J36" i="43"/>
  <c r="J11" i="43" s="1"/>
  <c r="J37" i="43"/>
  <c r="J12" i="43" s="1"/>
  <c r="J37" i="58"/>
  <c r="J12" i="58" s="1"/>
  <c r="J37" i="59"/>
  <c r="J12" i="59" s="1"/>
  <c r="K44" i="43"/>
  <c r="K19" i="43" s="1"/>
  <c r="L47" i="57"/>
  <c r="L22" i="57" s="1"/>
  <c r="L47" i="43"/>
  <c r="L22" i="43" s="1"/>
  <c r="L47" i="59"/>
  <c r="L22" i="59" s="1"/>
  <c r="L47" i="58"/>
  <c r="L22" i="58" s="1"/>
  <c r="I45" i="57"/>
  <c r="I20" i="57" s="1"/>
  <c r="I45" i="43"/>
  <c r="I20" i="43" s="1"/>
  <c r="K45" i="58"/>
  <c r="K20" i="58" s="1"/>
  <c r="K45" i="43"/>
  <c r="K20" i="43" s="1"/>
  <c r="K43" i="59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36" i="43"/>
  <c r="L11" i="43" s="1"/>
  <c r="L36" i="58"/>
  <c r="L11" i="58" s="1"/>
  <c r="L22" i="61"/>
  <c r="I22" i="61"/>
  <c r="L20" i="61"/>
  <c r="I36" i="59"/>
  <c r="I11" i="59" s="1"/>
  <c r="J44" i="43"/>
  <c r="J19" i="43" s="1"/>
  <c r="J44" i="57"/>
  <c r="J19" i="57" s="1"/>
  <c r="J44" i="59"/>
  <c r="J19" i="59" s="1"/>
  <c r="J44" i="58"/>
  <c r="J19" i="58" s="1"/>
  <c r="K36" i="59"/>
  <c r="K11" i="59" s="1"/>
  <c r="K36" i="58"/>
  <c r="K11" i="58" s="1"/>
  <c r="K36" i="57"/>
  <c r="K11" i="57" s="1"/>
  <c r="K36" i="43"/>
  <c r="K11" i="43" s="1"/>
  <c r="K37" i="43"/>
  <c r="K12" i="43" s="1"/>
  <c r="L45" i="57"/>
  <c r="L20" i="57" s="1"/>
  <c r="L45" i="59"/>
  <c r="L20" i="59" s="1"/>
  <c r="L45" i="58"/>
  <c r="L20" i="58" s="1"/>
  <c r="I47" i="57"/>
  <c r="I22" i="57" s="1"/>
  <c r="I47" i="59"/>
  <c r="I22" i="59" s="1"/>
  <c r="I47" i="58"/>
  <c r="I22" i="58" s="1"/>
  <c r="I47" i="43"/>
  <c r="I22" i="43" s="1"/>
  <c r="I43" i="57"/>
  <c r="I43" i="59"/>
  <c r="I43" i="58"/>
  <c r="I43" i="43"/>
  <c r="J45" i="43"/>
  <c r="J20" i="43" s="1"/>
  <c r="J45" i="57"/>
  <c r="J20" i="57" s="1"/>
  <c r="J45" i="59"/>
  <c r="J20" i="59" s="1"/>
  <c r="J45" i="58"/>
  <c r="J20" i="58" s="1"/>
  <c r="K47" i="58"/>
  <c r="K22" i="58" s="1"/>
  <c r="E87" i="50"/>
  <c r="I38" i="61" s="1"/>
  <c r="E100" i="50"/>
  <c r="J38" i="61" s="1"/>
  <c r="E113" i="50"/>
  <c r="K38" i="61" s="1"/>
  <c r="E125" i="50"/>
  <c r="L44" i="61" s="1"/>
  <c r="L19" i="61" s="1"/>
  <c r="K20" i="61"/>
  <c r="E71" i="50"/>
  <c r="E68" i="50"/>
  <c r="H36" i="61" s="1"/>
  <c r="E73" i="50"/>
  <c r="H44" i="61" s="1"/>
  <c r="J12" i="61" l="1"/>
  <c r="K37" i="59"/>
  <c r="K12" i="59" s="1"/>
  <c r="I37" i="59"/>
  <c r="I12" i="59" s="1"/>
  <c r="L36" i="59"/>
  <c r="L11" i="59" s="1"/>
  <c r="K45" i="57"/>
  <c r="K20" i="57" s="1"/>
  <c r="J36" i="58"/>
  <c r="J11" i="58" s="1"/>
  <c r="Q20" i="61"/>
  <c r="R22" i="61"/>
  <c r="R45" i="57"/>
  <c r="R20" i="57" s="1"/>
  <c r="R47" i="58"/>
  <c r="R22" i="58" s="1"/>
  <c r="P45" i="57"/>
  <c r="P20" i="57" s="1"/>
  <c r="R47" i="43"/>
  <c r="R22" i="43" s="1"/>
  <c r="K37" i="57"/>
  <c r="K12" i="57" s="1"/>
  <c r="I45" i="58"/>
  <c r="I20" i="58" s="1"/>
  <c r="L43" i="43"/>
  <c r="K44" i="59"/>
  <c r="K19" i="59" s="1"/>
  <c r="Q47" i="59"/>
  <c r="Q22" i="59" s="1"/>
  <c r="R45" i="58"/>
  <c r="R20" i="58" s="1"/>
  <c r="Q43" i="43"/>
  <c r="K47" i="43"/>
  <c r="K22" i="43" s="1"/>
  <c r="K47" i="59"/>
  <c r="K22" i="59" s="1"/>
  <c r="K22" i="61"/>
  <c r="K37" i="58"/>
  <c r="K12" i="58" s="1"/>
  <c r="I20" i="61"/>
  <c r="J47" i="59"/>
  <c r="J22" i="59" s="1"/>
  <c r="R45" i="43"/>
  <c r="R20" i="43" s="1"/>
  <c r="Q43" i="58"/>
  <c r="M47" i="43"/>
  <c r="M22" i="43" s="1"/>
  <c r="I37" i="43"/>
  <c r="I12" i="43" s="1"/>
  <c r="J43" i="59"/>
  <c r="J47" i="57"/>
  <c r="J22" i="57" s="1"/>
  <c r="L43" i="58"/>
  <c r="L43" i="57"/>
  <c r="K44" i="57"/>
  <c r="K19" i="57" s="1"/>
  <c r="I44" i="59"/>
  <c r="I19" i="59" s="1"/>
  <c r="G47" i="59"/>
  <c r="G22" i="59" s="1"/>
  <c r="G47" i="58"/>
  <c r="G22" i="58" s="1"/>
  <c r="M22" i="61"/>
  <c r="Q47" i="43"/>
  <c r="Q22" i="43" s="1"/>
  <c r="Q47" i="58"/>
  <c r="Q22" i="58" s="1"/>
  <c r="Q43" i="59"/>
  <c r="N38" i="43"/>
  <c r="N13" i="43" s="1"/>
  <c r="N38" i="58"/>
  <c r="N13" i="58" s="1"/>
  <c r="M47" i="57"/>
  <c r="M22" i="57" s="1"/>
  <c r="K19" i="61"/>
  <c r="I37" i="58"/>
  <c r="I12" i="58" s="1"/>
  <c r="I37" i="57"/>
  <c r="I12" i="57" s="1"/>
  <c r="L14" i="57"/>
  <c r="J47" i="58"/>
  <c r="J22" i="58" s="1"/>
  <c r="J47" i="43"/>
  <c r="J22" i="43" s="1"/>
  <c r="G22" i="61"/>
  <c r="I19" i="61"/>
  <c r="Q47" i="57"/>
  <c r="Q22" i="57" s="1"/>
  <c r="N13" i="61"/>
  <c r="N14" i="61" s="1"/>
  <c r="P36" i="59"/>
  <c r="P11" i="59" s="1"/>
  <c r="P36" i="43"/>
  <c r="P11" i="43" s="1"/>
  <c r="P36" i="57"/>
  <c r="P11" i="57" s="1"/>
  <c r="P36" i="58"/>
  <c r="P11" i="58" s="1"/>
  <c r="P11" i="61"/>
  <c r="M36" i="59"/>
  <c r="M11" i="59" s="1"/>
  <c r="M36" i="58"/>
  <c r="M11" i="58" s="1"/>
  <c r="M36" i="57"/>
  <c r="M11" i="57" s="1"/>
  <c r="M36" i="43"/>
  <c r="M11" i="43" s="1"/>
  <c r="M11" i="61"/>
  <c r="N44" i="59"/>
  <c r="N19" i="59" s="1"/>
  <c r="N44" i="57"/>
  <c r="N19" i="57" s="1"/>
  <c r="N44" i="58"/>
  <c r="N19" i="58" s="1"/>
  <c r="N44" i="43"/>
  <c r="N19" i="43" s="1"/>
  <c r="N19" i="61"/>
  <c r="J36" i="59"/>
  <c r="J11" i="59" s="1"/>
  <c r="I44" i="43"/>
  <c r="I19" i="43" s="1"/>
  <c r="I44" i="57"/>
  <c r="I19" i="57" s="1"/>
  <c r="R44" i="59"/>
  <c r="R19" i="59" s="1"/>
  <c r="R44" i="58"/>
  <c r="R19" i="58" s="1"/>
  <c r="R44" i="57"/>
  <c r="R19" i="57" s="1"/>
  <c r="R44" i="43"/>
  <c r="R19" i="43" s="1"/>
  <c r="R19" i="61"/>
  <c r="Q36" i="58"/>
  <c r="Q11" i="58" s="1"/>
  <c r="Q36" i="57"/>
  <c r="Q11" i="57" s="1"/>
  <c r="Q36" i="59"/>
  <c r="Q11" i="59" s="1"/>
  <c r="Q36" i="43"/>
  <c r="Q11" i="43" s="1"/>
  <c r="O44" i="59"/>
  <c r="O19" i="59" s="1"/>
  <c r="O44" i="58"/>
  <c r="O19" i="58" s="1"/>
  <c r="O44" i="57"/>
  <c r="O19" i="57" s="1"/>
  <c r="O44" i="43"/>
  <c r="O19" i="43" s="1"/>
  <c r="O19" i="61"/>
  <c r="N47" i="59"/>
  <c r="N22" i="59" s="1"/>
  <c r="N47" i="58"/>
  <c r="N22" i="58" s="1"/>
  <c r="N47" i="43"/>
  <c r="N22" i="43" s="1"/>
  <c r="N47" i="57"/>
  <c r="N22" i="57" s="1"/>
  <c r="N22" i="61"/>
  <c r="R38" i="59"/>
  <c r="R13" i="59" s="1"/>
  <c r="R38" i="58"/>
  <c r="R13" i="58" s="1"/>
  <c r="R38" i="57"/>
  <c r="R13" i="57" s="1"/>
  <c r="R38" i="43"/>
  <c r="R13" i="43" s="1"/>
  <c r="R13" i="61"/>
  <c r="O38" i="59"/>
  <c r="O13" i="59" s="1"/>
  <c r="O38" i="58"/>
  <c r="O13" i="58" s="1"/>
  <c r="O38" i="57"/>
  <c r="O13" i="57" s="1"/>
  <c r="O38" i="43"/>
  <c r="O13" i="43" s="1"/>
  <c r="O13" i="61"/>
  <c r="Q11" i="61"/>
  <c r="Q14" i="61" s="1"/>
  <c r="Q44" i="59"/>
  <c r="Q19" i="59" s="1"/>
  <c r="Q44" i="58"/>
  <c r="Q19" i="58" s="1"/>
  <c r="Q44" i="43"/>
  <c r="Q19" i="43" s="1"/>
  <c r="Q44" i="57"/>
  <c r="Q19" i="57" s="1"/>
  <c r="Q19" i="61"/>
  <c r="N45" i="58"/>
  <c r="N20" i="58" s="1"/>
  <c r="N45" i="59"/>
  <c r="N20" i="59" s="1"/>
  <c r="N45" i="57"/>
  <c r="N20" i="57" s="1"/>
  <c r="N45" i="43"/>
  <c r="N20" i="43" s="1"/>
  <c r="Q38" i="57"/>
  <c r="Q13" i="57" s="1"/>
  <c r="Q38" i="43"/>
  <c r="Q13" i="43" s="1"/>
  <c r="Q38" i="59"/>
  <c r="Q13" i="59" s="1"/>
  <c r="Q38" i="58"/>
  <c r="Q13" i="58" s="1"/>
  <c r="I36" i="43"/>
  <c r="I11" i="43" s="1"/>
  <c r="L14" i="58"/>
  <c r="K43" i="43"/>
  <c r="J43" i="57"/>
  <c r="J11" i="61"/>
  <c r="I36" i="58"/>
  <c r="I11" i="58" s="1"/>
  <c r="I36" i="57"/>
  <c r="I11" i="57" s="1"/>
  <c r="J43" i="58"/>
  <c r="R36" i="59"/>
  <c r="R11" i="59" s="1"/>
  <c r="R36" i="58"/>
  <c r="R11" i="58" s="1"/>
  <c r="R36" i="57"/>
  <c r="R11" i="57" s="1"/>
  <c r="R36" i="43"/>
  <c r="R11" i="43" s="1"/>
  <c r="R11" i="61"/>
  <c r="P44" i="59"/>
  <c r="P19" i="59" s="1"/>
  <c r="P44" i="58"/>
  <c r="P19" i="58" s="1"/>
  <c r="P44" i="57"/>
  <c r="P19" i="57" s="1"/>
  <c r="P44" i="43"/>
  <c r="P19" i="43" s="1"/>
  <c r="P19" i="61"/>
  <c r="O36" i="59"/>
  <c r="O11" i="59" s="1"/>
  <c r="O36" i="58"/>
  <c r="O11" i="58" s="1"/>
  <c r="O14" i="58" s="1"/>
  <c r="O36" i="57"/>
  <c r="O11" i="57" s="1"/>
  <c r="O36" i="43"/>
  <c r="O11" i="43" s="1"/>
  <c r="O11" i="61"/>
  <c r="O14" i="61" s="1"/>
  <c r="M44" i="59"/>
  <c r="M19" i="59" s="1"/>
  <c r="M44" i="58"/>
  <c r="M19" i="58" s="1"/>
  <c r="M44" i="57"/>
  <c r="M19" i="57" s="1"/>
  <c r="M44" i="43"/>
  <c r="M19" i="43" s="1"/>
  <c r="M19" i="61"/>
  <c r="P38" i="59"/>
  <c r="P13" i="59" s="1"/>
  <c r="P38" i="58"/>
  <c r="P13" i="58" s="1"/>
  <c r="P38" i="57"/>
  <c r="P13" i="57" s="1"/>
  <c r="P38" i="43"/>
  <c r="P13" i="43" s="1"/>
  <c r="P13" i="61"/>
  <c r="N37" i="58"/>
  <c r="N12" i="58" s="1"/>
  <c r="N37" i="57"/>
  <c r="N12" i="57" s="1"/>
  <c r="N14" i="57" s="1"/>
  <c r="N37" i="59"/>
  <c r="N12" i="59" s="1"/>
  <c r="N14" i="59" s="1"/>
  <c r="N37" i="43"/>
  <c r="N12" i="43" s="1"/>
  <c r="M38" i="59"/>
  <c r="M13" i="59" s="1"/>
  <c r="M38" i="43"/>
  <c r="M13" i="43" s="1"/>
  <c r="M38" i="57"/>
  <c r="M13" i="57" s="1"/>
  <c r="M38" i="58"/>
  <c r="M13" i="58" s="1"/>
  <c r="M13" i="61"/>
  <c r="G44" i="59"/>
  <c r="G19" i="59" s="1"/>
  <c r="G44" i="58"/>
  <c r="G19" i="58" s="1"/>
  <c r="G44" i="57"/>
  <c r="G19" i="57" s="1"/>
  <c r="G44" i="43"/>
  <c r="G19" i="43" s="1"/>
  <c r="G19" i="61"/>
  <c r="G38" i="58"/>
  <c r="G13" i="58" s="1"/>
  <c r="G38" i="57"/>
  <c r="G13" i="57" s="1"/>
  <c r="G38" i="43"/>
  <c r="G13" i="43" s="1"/>
  <c r="G38" i="59"/>
  <c r="G13" i="59" s="1"/>
  <c r="G13" i="61"/>
  <c r="H44" i="58"/>
  <c r="H19" i="58" s="1"/>
  <c r="H44" i="57"/>
  <c r="H19" i="57" s="1"/>
  <c r="H44" i="43"/>
  <c r="H19" i="43" s="1"/>
  <c r="H44" i="59"/>
  <c r="H19" i="59" s="1"/>
  <c r="H19" i="61"/>
  <c r="G36" i="58"/>
  <c r="G11" i="58" s="1"/>
  <c r="G36" i="57"/>
  <c r="G11" i="57" s="1"/>
  <c r="G14" i="57" s="1"/>
  <c r="G36" i="43"/>
  <c r="G11" i="43" s="1"/>
  <c r="G36" i="59"/>
  <c r="G11" i="59" s="1"/>
  <c r="G11" i="61"/>
  <c r="G14" i="61" s="1"/>
  <c r="H36" i="58"/>
  <c r="H11" i="58" s="1"/>
  <c r="H36" i="57"/>
  <c r="H11" i="57" s="1"/>
  <c r="H36" i="43"/>
  <c r="H11" i="43" s="1"/>
  <c r="H36" i="59"/>
  <c r="H11" i="59" s="1"/>
  <c r="H11" i="61"/>
  <c r="H38" i="59"/>
  <c r="H13" i="59" s="1"/>
  <c r="H38" i="58"/>
  <c r="H13" i="58" s="1"/>
  <c r="H38" i="57"/>
  <c r="H13" i="57" s="1"/>
  <c r="H38" i="43"/>
  <c r="H13" i="43" s="1"/>
  <c r="H13" i="61"/>
  <c r="I38" i="57"/>
  <c r="I13" i="57" s="1"/>
  <c r="I14" i="57" s="1"/>
  <c r="I38" i="43"/>
  <c r="I13" i="43" s="1"/>
  <c r="I14" i="43" s="1"/>
  <c r="I38" i="59"/>
  <c r="I13" i="59" s="1"/>
  <c r="I38" i="58"/>
  <c r="I13" i="58" s="1"/>
  <c r="I13" i="61"/>
  <c r="I14" i="61" s="1"/>
  <c r="L44" i="57"/>
  <c r="L19" i="57" s="1"/>
  <c r="L44" i="43"/>
  <c r="L19" i="43" s="1"/>
  <c r="L44" i="59"/>
  <c r="L19" i="59" s="1"/>
  <c r="L44" i="58"/>
  <c r="L19" i="58" s="1"/>
  <c r="K38" i="59"/>
  <c r="K13" i="59" s="1"/>
  <c r="K14" i="59" s="1"/>
  <c r="K38" i="58"/>
  <c r="K13" i="58" s="1"/>
  <c r="K14" i="58" s="1"/>
  <c r="K38" i="57"/>
  <c r="K13" i="57" s="1"/>
  <c r="K38" i="43"/>
  <c r="K13" i="43" s="1"/>
  <c r="K14" i="43" s="1"/>
  <c r="K13" i="61"/>
  <c r="K14" i="61" s="1"/>
  <c r="L14" i="59"/>
  <c r="J38" i="43"/>
  <c r="J13" i="43" s="1"/>
  <c r="J14" i="43" s="1"/>
  <c r="J38" i="58"/>
  <c r="J13" i="58" s="1"/>
  <c r="J38" i="57"/>
  <c r="J13" i="57" s="1"/>
  <c r="J14" i="57" s="1"/>
  <c r="J38" i="59"/>
  <c r="J13" i="59" s="1"/>
  <c r="J13" i="61"/>
  <c r="K14" i="57"/>
  <c r="L14" i="43"/>
  <c r="J14" i="58"/>
  <c r="E24" i="53"/>
  <c r="F24" i="53"/>
  <c r="G24" i="53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K25" i="53"/>
  <c r="J33" i="43" s="1"/>
  <c r="L25" i="53"/>
  <c r="K33" i="43" s="1"/>
  <c r="N25" i="53"/>
  <c r="K26" i="53"/>
  <c r="J33" i="57" s="1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 s="1"/>
  <c r="J20" i="55" s="1"/>
  <c r="K18" i="55"/>
  <c r="K19" i="55" s="1"/>
  <c r="K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I14" i="59" l="1"/>
  <c r="D33" i="61"/>
  <c r="D10" i="61" s="1"/>
  <c r="E25" i="53"/>
  <c r="E26" i="53" s="1"/>
  <c r="E27" i="53" s="1"/>
  <c r="E28" i="53" s="1"/>
  <c r="E33" i="61"/>
  <c r="E34" i="61" s="1"/>
  <c r="E18" i="55"/>
  <c r="F33" i="61"/>
  <c r="F18" i="55"/>
  <c r="N14" i="43"/>
  <c r="R14" i="61"/>
  <c r="R14" i="58"/>
  <c r="J14" i="61"/>
  <c r="O14" i="57"/>
  <c r="N14" i="58"/>
  <c r="I14" i="58"/>
  <c r="R14" i="57"/>
  <c r="M14" i="43"/>
  <c r="P14" i="57"/>
  <c r="J14" i="59"/>
  <c r="H14" i="59"/>
  <c r="G14" i="43"/>
  <c r="O14" i="43"/>
  <c r="O14" i="59"/>
  <c r="Q14" i="59"/>
  <c r="M14" i="59"/>
  <c r="Q14" i="57"/>
  <c r="M14" i="57"/>
  <c r="P14" i="61"/>
  <c r="P14" i="43"/>
  <c r="R14" i="43"/>
  <c r="R14" i="59"/>
  <c r="Q14" i="43"/>
  <c r="Q14" i="58"/>
  <c r="M14" i="61"/>
  <c r="M14" i="58"/>
  <c r="P14" i="58"/>
  <c r="P14" i="59"/>
  <c r="H14" i="58"/>
  <c r="H14" i="43"/>
  <c r="H14" i="61"/>
  <c r="H14" i="57"/>
  <c r="G14" i="59"/>
  <c r="G14" i="58"/>
  <c r="P18" i="55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J10" i="43"/>
  <c r="K34" i="61"/>
  <c r="K40" i="61" s="1"/>
  <c r="K10" i="61"/>
  <c r="K15" i="61" s="1"/>
  <c r="K16" i="61" s="1"/>
  <c r="J10" i="57"/>
  <c r="L34" i="61"/>
  <c r="L40" i="61" s="1"/>
  <c r="L10" i="61"/>
  <c r="L15" i="61" s="1"/>
  <c r="L16" i="61" s="1"/>
  <c r="L18" i="55"/>
  <c r="L19" i="55" s="1"/>
  <c r="L20" i="55" s="1"/>
  <c r="K27" i="53"/>
  <c r="L26" i="53"/>
  <c r="M25" i="53"/>
  <c r="J34" i="61"/>
  <c r="J40" i="61" s="1"/>
  <c r="J10" i="61"/>
  <c r="J15" i="61" s="1"/>
  <c r="J16" i="61" s="1"/>
  <c r="I18" i="55"/>
  <c r="I19" i="55" s="1"/>
  <c r="I20" i="55" s="1"/>
  <c r="J25" i="53"/>
  <c r="I34" i="61"/>
  <c r="I40" i="61" s="1"/>
  <c r="I10" i="61"/>
  <c r="I15" i="61" s="1"/>
  <c r="I16" i="61" s="1"/>
  <c r="R18" i="55"/>
  <c r="R19" i="55" s="1"/>
  <c r="R20" i="55" s="1"/>
  <c r="S25" i="53"/>
  <c r="R34" i="61"/>
  <c r="R40" i="61" s="1"/>
  <c r="R10" i="61"/>
  <c r="Q34" i="61"/>
  <c r="Q40" i="61" s="1"/>
  <c r="Q10" i="61"/>
  <c r="Q15" i="61" s="1"/>
  <c r="Q16" i="61" s="1"/>
  <c r="P34" i="61"/>
  <c r="P40" i="61" s="1"/>
  <c r="P10" i="61"/>
  <c r="O18" i="55"/>
  <c r="O19" i="55" s="1"/>
  <c r="O20" i="55" s="1"/>
  <c r="O34" i="61"/>
  <c r="O40" i="61" s="1"/>
  <c r="O10" i="61"/>
  <c r="O15" i="61" s="1"/>
  <c r="O16" i="61" s="1"/>
  <c r="P25" i="53"/>
  <c r="N34" i="61"/>
  <c r="N40" i="61" s="1"/>
  <c r="N10" i="61"/>
  <c r="N15" i="61" s="1"/>
  <c r="N16" i="61" s="1"/>
  <c r="O25" i="53"/>
  <c r="M34" i="61"/>
  <c r="M40" i="61" s="1"/>
  <c r="M10" i="61"/>
  <c r="I25" i="53"/>
  <c r="H10" i="61"/>
  <c r="H34" i="61"/>
  <c r="H40" i="61" s="1"/>
  <c r="H18" i="55"/>
  <c r="H19" i="55" s="1"/>
  <c r="H20" i="55" s="1"/>
  <c r="G18" i="55"/>
  <c r="G19" i="55" s="1"/>
  <c r="G20" i="55" s="1"/>
  <c r="H25" i="53"/>
  <c r="G34" i="61"/>
  <c r="G40" i="61" s="1"/>
  <c r="G10" i="61"/>
  <c r="G15" i="61" s="1"/>
  <c r="G16" i="61" s="1"/>
  <c r="F34" i="61"/>
  <c r="F10" i="61"/>
  <c r="G25" i="53"/>
  <c r="G26" i="53" s="1"/>
  <c r="G27" i="53" s="1"/>
  <c r="G28" i="53" s="1"/>
  <c r="E10" i="61"/>
  <c r="H7" i="50"/>
  <c r="L7" i="50"/>
  <c r="D34" i="61" l="1"/>
  <c r="M15" i="61"/>
  <c r="M16" i="61" s="1"/>
  <c r="P15" i="61"/>
  <c r="P16" i="61" s="1"/>
  <c r="R15" i="61"/>
  <c r="R16" i="61" s="1"/>
  <c r="H15" i="61"/>
  <c r="H16" i="61" s="1"/>
  <c r="Q26" i="53"/>
  <c r="M10" i="43"/>
  <c r="Q27" i="53"/>
  <c r="P33" i="57"/>
  <c r="I26" i="53"/>
  <c r="H33" i="43"/>
  <c r="O26" i="53"/>
  <c r="N33" i="43"/>
  <c r="P26" i="53"/>
  <c r="O33" i="43"/>
  <c r="N27" i="53"/>
  <c r="M33" i="57"/>
  <c r="Q10" i="43"/>
  <c r="H26" i="53"/>
  <c r="G33" i="43"/>
  <c r="S26" i="53"/>
  <c r="R33" i="43"/>
  <c r="P10" i="43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R10" i="43" l="1"/>
  <c r="G33" i="57"/>
  <c r="P27" i="53"/>
  <c r="O33" i="57"/>
  <c r="H10" i="43"/>
  <c r="Q28" i="53"/>
  <c r="P33" i="59" s="1"/>
  <c r="P33" i="58"/>
  <c r="S27" i="53"/>
  <c r="R33" i="57"/>
  <c r="N28" i="53"/>
  <c r="M33" i="59" s="1"/>
  <c r="M33" i="58"/>
  <c r="N10" i="43"/>
  <c r="H33" i="57"/>
  <c r="R28" i="53"/>
  <c r="Q33" i="59" s="1"/>
  <c r="Q33" i="58"/>
  <c r="M10" i="57"/>
  <c r="Q10" i="57"/>
  <c r="G10" i="43"/>
  <c r="O10" i="43"/>
  <c r="O27" i="53"/>
  <c r="N33" i="57"/>
  <c r="P10" i="57"/>
  <c r="J10" i="59"/>
  <c r="K33" i="58"/>
  <c r="L28" i="53"/>
  <c r="K33" i="59" s="1"/>
  <c r="L10" i="43"/>
  <c r="K10" i="57"/>
  <c r="L33" i="57"/>
  <c r="M27" i="53"/>
  <c r="J10" i="58"/>
  <c r="I33" i="57"/>
  <c r="J27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H10" i="57"/>
  <c r="R10" i="57"/>
  <c r="P10" i="59"/>
  <c r="O10" i="57"/>
  <c r="G33" i="59"/>
  <c r="G33" i="58"/>
  <c r="O28" i="53"/>
  <c r="N33" i="59" s="1"/>
  <c r="N33" i="58"/>
  <c r="Q10" i="58"/>
  <c r="H33" i="59"/>
  <c r="H33" i="58"/>
  <c r="M10" i="58"/>
  <c r="S28" i="53"/>
  <c r="R33" i="59" s="1"/>
  <c r="R33" i="58"/>
  <c r="P28" i="53"/>
  <c r="O33" i="59" s="1"/>
  <c r="O33" i="58"/>
  <c r="Q10" i="59"/>
  <c r="M10" i="59"/>
  <c r="P10" i="58"/>
  <c r="G10" i="57"/>
  <c r="L10" i="57"/>
  <c r="K10" i="58"/>
  <c r="L33" i="58"/>
  <c r="M28" i="53"/>
  <c r="L33" i="59" s="1"/>
  <c r="K10" i="59"/>
  <c r="I33" i="58"/>
  <c r="J28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4" i="53"/>
  <c r="D25" i="53" s="1"/>
  <c r="D26" i="53" s="1"/>
  <c r="D27" i="53" s="1"/>
  <c r="D28" i="53" s="1"/>
  <c r="F19" i="55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B8" i="51"/>
  <c r="B5" i="51"/>
  <c r="B7" i="51" s="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C18" i="55" l="1"/>
  <c r="C19" i="55" s="1"/>
  <c r="B26" i="51"/>
  <c r="S18" i="61"/>
  <c r="S21" i="61"/>
  <c r="S6" i="43"/>
  <c r="S6" i="57"/>
  <c r="E33" i="57"/>
  <c r="D33" i="57"/>
  <c r="D10" i="57" s="1"/>
  <c r="J10" i="36"/>
  <c r="J17" i="36" s="1"/>
  <c r="J19" i="36" s="1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E22" i="50"/>
  <c r="D38" i="61" s="1"/>
  <c r="D13" i="61" s="1"/>
  <c r="D18" i="55"/>
  <c r="S16" i="55"/>
  <c r="C33" i="61"/>
  <c r="C10" i="61" s="1"/>
  <c r="M14" i="36"/>
  <c r="G17" i="36"/>
  <c r="G19" i="36" s="1"/>
  <c r="M7" i="36"/>
  <c r="K10" i="36"/>
  <c r="K17" i="36" s="1"/>
  <c r="K19" i="36" s="1"/>
  <c r="M5" i="36"/>
  <c r="C10" i="36"/>
  <c r="E19" i="55"/>
  <c r="E20" i="55" s="1"/>
  <c r="E11" i="50"/>
  <c r="E8" i="50"/>
  <c r="C45" i="61" s="1"/>
  <c r="E10" i="50"/>
  <c r="C38" i="61" s="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C33" i="57" l="1"/>
  <c r="C18" i="61"/>
  <c r="F18" i="61"/>
  <c r="F17" i="61" s="1"/>
  <c r="E18" i="61"/>
  <c r="E17" i="61" s="1"/>
  <c r="D18" i="61"/>
  <c r="D19" i="55"/>
  <c r="D20" i="55" s="1"/>
  <c r="C20" i="55"/>
  <c r="H8" i="43"/>
  <c r="H9" i="43" s="1"/>
  <c r="K8" i="43"/>
  <c r="K9" i="43" s="1"/>
  <c r="N8" i="43"/>
  <c r="N9" i="43" s="1"/>
  <c r="Q8" i="43"/>
  <c r="Q9" i="43" s="1"/>
  <c r="J8" i="43"/>
  <c r="J9" i="43" s="1"/>
  <c r="P8" i="43"/>
  <c r="P9" i="43" s="1"/>
  <c r="I8" i="43"/>
  <c r="I9" i="43" s="1"/>
  <c r="L8" i="43"/>
  <c r="L9" i="43" s="1"/>
  <c r="O8" i="43"/>
  <c r="O9" i="43" s="1"/>
  <c r="R8" i="43"/>
  <c r="R9" i="43" s="1"/>
  <c r="G8" i="43"/>
  <c r="G9" i="43" s="1"/>
  <c r="M8" i="43"/>
  <c r="M9" i="43" s="1"/>
  <c r="H8" i="57"/>
  <c r="H9" i="57" s="1"/>
  <c r="K8" i="57"/>
  <c r="K9" i="57" s="1"/>
  <c r="N8" i="57"/>
  <c r="N9" i="57" s="1"/>
  <c r="Q8" i="57"/>
  <c r="Q9" i="57" s="1"/>
  <c r="J8" i="57"/>
  <c r="J9" i="57" s="1"/>
  <c r="P8" i="57"/>
  <c r="P9" i="57" s="1"/>
  <c r="I8" i="57"/>
  <c r="I9" i="57" s="1"/>
  <c r="L8" i="57"/>
  <c r="L9" i="57" s="1"/>
  <c r="O8" i="57"/>
  <c r="O9" i="57" s="1"/>
  <c r="R8" i="57"/>
  <c r="R9" i="57" s="1"/>
  <c r="G8" i="57"/>
  <c r="G9" i="57" s="1"/>
  <c r="M8" i="57"/>
  <c r="M9" i="57" s="1"/>
  <c r="F14" i="61"/>
  <c r="F15" i="61" s="1"/>
  <c r="F16" i="61" s="1"/>
  <c r="E14" i="61"/>
  <c r="E15" i="61" s="1"/>
  <c r="E16" i="61" s="1"/>
  <c r="S7" i="43"/>
  <c r="D5" i="56" s="1"/>
  <c r="G4" i="56"/>
  <c r="F4" i="56"/>
  <c r="E4" i="56"/>
  <c r="D4" i="56"/>
  <c r="C4" i="56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I18" i="61"/>
  <c r="I17" i="61" s="1"/>
  <c r="L18" i="61"/>
  <c r="L17" i="61" s="1"/>
  <c r="O18" i="61"/>
  <c r="O17" i="61" s="1"/>
  <c r="R18" i="61"/>
  <c r="R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S18" i="43" s="1"/>
  <c r="M18" i="43" s="1"/>
  <c r="M17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F23" i="61" l="1"/>
  <c r="F24" i="61" s="1"/>
  <c r="S19" i="55"/>
  <c r="S20" i="55" s="1"/>
  <c r="M32" i="57"/>
  <c r="M34" i="57" s="1"/>
  <c r="M40" i="57" s="1"/>
  <c r="M15" i="57"/>
  <c r="M16" i="57" s="1"/>
  <c r="O32" i="57"/>
  <c r="O34" i="57" s="1"/>
  <c r="O40" i="57" s="1"/>
  <c r="O15" i="57"/>
  <c r="O16" i="57" s="1"/>
  <c r="P32" i="57"/>
  <c r="P34" i="57" s="1"/>
  <c r="P40" i="57" s="1"/>
  <c r="P15" i="57"/>
  <c r="P16" i="57" s="1"/>
  <c r="N32" i="57"/>
  <c r="N34" i="57" s="1"/>
  <c r="N40" i="57" s="1"/>
  <c r="N15" i="57"/>
  <c r="N16" i="57" s="1"/>
  <c r="M32" i="43"/>
  <c r="M34" i="43" s="1"/>
  <c r="M40" i="43" s="1"/>
  <c r="M15" i="43"/>
  <c r="M16" i="43" s="1"/>
  <c r="O32" i="43"/>
  <c r="O34" i="43" s="1"/>
  <c r="O40" i="43" s="1"/>
  <c r="O15" i="43"/>
  <c r="O16" i="43" s="1"/>
  <c r="P32" i="43"/>
  <c r="P34" i="43" s="1"/>
  <c r="P40" i="43" s="1"/>
  <c r="P15" i="43"/>
  <c r="P16" i="43" s="1"/>
  <c r="I8" i="58"/>
  <c r="I9" i="58" s="1"/>
  <c r="R8" i="58"/>
  <c r="R9" i="58" s="1"/>
  <c r="G8" i="58"/>
  <c r="G9" i="58" s="1"/>
  <c r="H8" i="58"/>
  <c r="H9" i="58" s="1"/>
  <c r="O8" i="58"/>
  <c r="O9" i="58" s="1"/>
  <c r="J8" i="58"/>
  <c r="J9" i="58" s="1"/>
  <c r="L8" i="58"/>
  <c r="L9" i="58" s="1"/>
  <c r="N8" i="58"/>
  <c r="N9" i="58" s="1"/>
  <c r="P8" i="58"/>
  <c r="P9" i="58" s="1"/>
  <c r="Q8" i="58"/>
  <c r="Q9" i="58" s="1"/>
  <c r="M8" i="58"/>
  <c r="M9" i="58" s="1"/>
  <c r="K8" i="58"/>
  <c r="K9" i="58" s="1"/>
  <c r="G32" i="57"/>
  <c r="G34" i="57" s="1"/>
  <c r="G40" i="57" s="1"/>
  <c r="G15" i="57"/>
  <c r="G16" i="57" s="1"/>
  <c r="L32" i="57"/>
  <c r="L34" i="57" s="1"/>
  <c r="L40" i="57" s="1"/>
  <c r="L15" i="57"/>
  <c r="L16" i="57" s="1"/>
  <c r="J32" i="57"/>
  <c r="J34" i="57" s="1"/>
  <c r="J40" i="57" s="1"/>
  <c r="J15" i="57"/>
  <c r="J16" i="57" s="1"/>
  <c r="K32" i="57"/>
  <c r="K34" i="57" s="1"/>
  <c r="K40" i="57" s="1"/>
  <c r="K15" i="57"/>
  <c r="K16" i="57" s="1"/>
  <c r="G32" i="43"/>
  <c r="G34" i="43" s="1"/>
  <c r="G40" i="43" s="1"/>
  <c r="G15" i="43"/>
  <c r="G16" i="43" s="1"/>
  <c r="L32" i="43"/>
  <c r="L34" i="43" s="1"/>
  <c r="L40" i="43" s="1"/>
  <c r="L15" i="43"/>
  <c r="L16" i="43" s="1"/>
  <c r="J32" i="43"/>
  <c r="J34" i="43" s="1"/>
  <c r="J40" i="43" s="1"/>
  <c r="J15" i="43"/>
  <c r="J16" i="43" s="1"/>
  <c r="K32" i="43"/>
  <c r="K34" i="43" s="1"/>
  <c r="K40" i="43" s="1"/>
  <c r="K15" i="43"/>
  <c r="K16" i="43" s="1"/>
  <c r="N32" i="43"/>
  <c r="N34" i="43" s="1"/>
  <c r="N40" i="43" s="1"/>
  <c r="N15" i="43"/>
  <c r="N16" i="43" s="1"/>
  <c r="R32" i="57"/>
  <c r="R34" i="57" s="1"/>
  <c r="R40" i="57" s="1"/>
  <c r="R15" i="57"/>
  <c r="R16" i="57" s="1"/>
  <c r="I32" i="57"/>
  <c r="I34" i="57" s="1"/>
  <c r="I40" i="57" s="1"/>
  <c r="I15" i="57"/>
  <c r="I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R32" i="43"/>
  <c r="R34" i="43" s="1"/>
  <c r="R40" i="43" s="1"/>
  <c r="R15" i="43"/>
  <c r="R16" i="43" s="1"/>
  <c r="I32" i="43"/>
  <c r="I34" i="43" s="1"/>
  <c r="I40" i="43" s="1"/>
  <c r="I15" i="43"/>
  <c r="I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D17" i="61"/>
  <c r="D23" i="61" s="1"/>
  <c r="D24" i="61" s="1"/>
  <c r="D25" i="61" s="1"/>
  <c r="D26" i="61" s="1"/>
  <c r="D27" i="61" s="1"/>
  <c r="R21" i="43"/>
  <c r="R46" i="43" s="1"/>
  <c r="R48" i="43" s="1"/>
  <c r="I18" i="43"/>
  <c r="I17" i="43" s="1"/>
  <c r="O18" i="43"/>
  <c r="O17" i="43" s="1"/>
  <c r="K21" i="43"/>
  <c r="K46" i="43" s="1"/>
  <c r="K48" i="43" s="1"/>
  <c r="N18" i="43"/>
  <c r="N17" i="43" s="1"/>
  <c r="P21" i="43"/>
  <c r="P46" i="43" s="1"/>
  <c r="P48" i="43" s="1"/>
  <c r="G21" i="43"/>
  <c r="G46" i="43" s="1"/>
  <c r="G48" i="43" s="1"/>
  <c r="J18" i="43"/>
  <c r="J17" i="43" s="1"/>
  <c r="J23" i="43" s="1"/>
  <c r="I21" i="43"/>
  <c r="I46" i="43" s="1"/>
  <c r="I48" i="43" s="1"/>
  <c r="L18" i="43"/>
  <c r="L17" i="43" s="1"/>
  <c r="Q21" i="43"/>
  <c r="Q46" i="43" s="1"/>
  <c r="Q48" i="43" s="1"/>
  <c r="H21" i="43"/>
  <c r="H46" i="43" s="1"/>
  <c r="K18" i="43"/>
  <c r="K17" i="43" s="1"/>
  <c r="M21" i="43"/>
  <c r="M23" i="43" s="1"/>
  <c r="P18" i="43"/>
  <c r="P17" i="43" s="1"/>
  <c r="G18" i="43"/>
  <c r="G17" i="43" s="1"/>
  <c r="L21" i="43"/>
  <c r="L46" i="43" s="1"/>
  <c r="R18" i="43"/>
  <c r="R17" i="43" s="1"/>
  <c r="O21" i="43"/>
  <c r="O46" i="43" s="1"/>
  <c r="O48" i="43" s="1"/>
  <c r="N21" i="43"/>
  <c r="N46" i="43" s="1"/>
  <c r="Q18" i="43"/>
  <c r="Q17" i="43" s="1"/>
  <c r="H18" i="43"/>
  <c r="H17" i="43" s="1"/>
  <c r="R23" i="61"/>
  <c r="R24" i="61" s="1"/>
  <c r="R25" i="61" s="1"/>
  <c r="R26" i="61" s="1"/>
  <c r="R27" i="61" s="1"/>
  <c r="R46" i="61"/>
  <c r="R48" i="61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25" i="61" s="1"/>
  <c r="K26" i="61" s="1"/>
  <c r="K27" i="61" s="1"/>
  <c r="K46" i="61"/>
  <c r="K48" i="61" s="1"/>
  <c r="H4" i="56"/>
  <c r="J46" i="43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F27" i="51"/>
  <c r="E28" i="51"/>
  <c r="C21" i="43"/>
  <c r="D21" i="43"/>
  <c r="D19" i="56"/>
  <c r="D45" i="56" s="1"/>
  <c r="C9" i="58"/>
  <c r="C32" i="58" s="1"/>
  <c r="C34" i="58" s="1"/>
  <c r="C9" i="43"/>
  <c r="N48" i="43" l="1"/>
  <c r="L48" i="43"/>
  <c r="M24" i="43"/>
  <c r="J24" i="43"/>
  <c r="G23" i="43"/>
  <c r="C37" i="56"/>
  <c r="H11" i="56"/>
  <c r="H37" i="56" s="1"/>
  <c r="S21" i="57"/>
  <c r="M21" i="57" s="1"/>
  <c r="G27" i="51"/>
  <c r="S18" i="57"/>
  <c r="P18" i="57" s="1"/>
  <c r="P17" i="57" s="1"/>
  <c r="G26" i="51"/>
  <c r="K23" i="43"/>
  <c r="H48" i="43"/>
  <c r="D40" i="58"/>
  <c r="P23" i="43"/>
  <c r="P24" i="43" s="1"/>
  <c r="P25" i="43" s="1"/>
  <c r="P26" i="43" s="1"/>
  <c r="P27" i="43" s="1"/>
  <c r="H23" i="43"/>
  <c r="H24" i="43" s="1"/>
  <c r="H25" i="43" s="1"/>
  <c r="H26" i="43" s="1"/>
  <c r="H27" i="43" s="1"/>
  <c r="J48" i="43"/>
  <c r="K32" i="58"/>
  <c r="K34" i="58" s="1"/>
  <c r="K40" i="58" s="1"/>
  <c r="K15" i="58"/>
  <c r="K16" i="58" s="1"/>
  <c r="P32" i="58"/>
  <c r="P34" i="58" s="1"/>
  <c r="P40" i="58" s="1"/>
  <c r="P15" i="58"/>
  <c r="P16" i="58" s="1"/>
  <c r="J32" i="58"/>
  <c r="J34" i="58" s="1"/>
  <c r="J40" i="58" s="1"/>
  <c r="J15" i="58"/>
  <c r="J16" i="58" s="1"/>
  <c r="G32" i="58"/>
  <c r="G34" i="58" s="1"/>
  <c r="G40" i="58" s="1"/>
  <c r="G15" i="58"/>
  <c r="G16" i="58" s="1"/>
  <c r="G8" i="59"/>
  <c r="G9" i="59" s="1"/>
  <c r="J8" i="59"/>
  <c r="J9" i="59" s="1"/>
  <c r="M8" i="59"/>
  <c r="M9" i="59" s="1"/>
  <c r="P8" i="59"/>
  <c r="P9" i="59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Q32" i="58"/>
  <c r="Q34" i="58" s="1"/>
  <c r="Q40" i="58" s="1"/>
  <c r="Q15" i="58"/>
  <c r="Q16" i="58" s="1"/>
  <c r="L32" i="58"/>
  <c r="L34" i="58" s="1"/>
  <c r="L40" i="58" s="1"/>
  <c r="L15" i="58"/>
  <c r="L16" i="58" s="1"/>
  <c r="H32" i="58"/>
  <c r="H34" i="58" s="1"/>
  <c r="H40" i="58" s="1"/>
  <c r="H15" i="58"/>
  <c r="H16" i="58" s="1"/>
  <c r="I32" i="58"/>
  <c r="I34" i="58" s="1"/>
  <c r="I40" i="58" s="1"/>
  <c r="I15" i="58"/>
  <c r="I16" i="58" s="1"/>
  <c r="L23" i="43"/>
  <c r="L24" i="43" s="1"/>
  <c r="L25" i="43" s="1"/>
  <c r="L26" i="43" s="1"/>
  <c r="L27" i="43" s="1"/>
  <c r="G24" i="43"/>
  <c r="G25" i="43" s="1"/>
  <c r="G26" i="43" s="1"/>
  <c r="G27" i="43" s="1"/>
  <c r="K24" i="43"/>
  <c r="K25" i="43" s="1"/>
  <c r="K26" i="43" s="1"/>
  <c r="K27" i="43" s="1"/>
  <c r="M32" i="58"/>
  <c r="M34" i="58" s="1"/>
  <c r="M40" i="58" s="1"/>
  <c r="M15" i="58"/>
  <c r="M16" i="58" s="1"/>
  <c r="N32" i="58"/>
  <c r="N34" i="58" s="1"/>
  <c r="N40" i="58" s="1"/>
  <c r="N15" i="58"/>
  <c r="N16" i="58" s="1"/>
  <c r="O32" i="58"/>
  <c r="O34" i="58" s="1"/>
  <c r="O40" i="58" s="1"/>
  <c r="O15" i="58"/>
  <c r="O16" i="58" s="1"/>
  <c r="R32" i="58"/>
  <c r="R34" i="58" s="1"/>
  <c r="R40" i="58" s="1"/>
  <c r="R15" i="58"/>
  <c r="R16" i="58" s="1"/>
  <c r="N23" i="43"/>
  <c r="N24" i="43" s="1"/>
  <c r="N25" i="43" s="1"/>
  <c r="N26" i="43" s="1"/>
  <c r="N27" i="43" s="1"/>
  <c r="M46" i="43"/>
  <c r="M48" i="43" s="1"/>
  <c r="R23" i="43"/>
  <c r="R24" i="43" s="1"/>
  <c r="R25" i="43" s="1"/>
  <c r="R26" i="43" s="1"/>
  <c r="R27" i="43" s="1"/>
  <c r="Q23" i="43"/>
  <c r="Q24" i="43" s="1"/>
  <c r="Q25" i="43" s="1"/>
  <c r="Q26" i="43" s="1"/>
  <c r="Q27" i="43" s="1"/>
  <c r="O23" i="43"/>
  <c r="O24" i="43" s="1"/>
  <c r="O25" i="43" s="1"/>
  <c r="O26" i="43" s="1"/>
  <c r="O27" i="43" s="1"/>
  <c r="G18" i="57"/>
  <c r="G17" i="57" s="1"/>
  <c r="L18" i="57"/>
  <c r="L17" i="57" s="1"/>
  <c r="N18" i="57"/>
  <c r="N17" i="57" s="1"/>
  <c r="H18" i="57"/>
  <c r="H17" i="57" s="1"/>
  <c r="I23" i="43"/>
  <c r="I24" i="43" s="1"/>
  <c r="I25" i="43" s="1"/>
  <c r="I26" i="43" s="1"/>
  <c r="I27" i="43" s="1"/>
  <c r="K21" i="57"/>
  <c r="J25" i="43"/>
  <c r="J26" i="43" s="1"/>
  <c r="J27" i="43" s="1"/>
  <c r="M25" i="43"/>
  <c r="M26" i="43" s="1"/>
  <c r="M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F18" i="57"/>
  <c r="F17" i="57" s="1"/>
  <c r="E23" i="43"/>
  <c r="E48" i="43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46" i="43"/>
  <c r="C46" i="43"/>
  <c r="D21" i="57"/>
  <c r="S21" i="58"/>
  <c r="F28" i="51"/>
  <c r="C30" i="56"/>
  <c r="C32" i="56" s="1"/>
  <c r="C33" i="56" s="1"/>
  <c r="C50" i="56"/>
  <c r="D30" i="56"/>
  <c r="D51" i="56"/>
  <c r="D50" i="56"/>
  <c r="J21" i="57" l="1"/>
  <c r="R21" i="57"/>
  <c r="Q21" i="57"/>
  <c r="Q46" i="57" s="1"/>
  <c r="Q48" i="57" s="1"/>
  <c r="F15" i="59"/>
  <c r="E19" i="56"/>
  <c r="E45" i="56" s="1"/>
  <c r="F21" i="57"/>
  <c r="F46" i="57" s="1"/>
  <c r="F48" i="57" s="1"/>
  <c r="O21" i="57"/>
  <c r="I21" i="57"/>
  <c r="P21" i="57"/>
  <c r="P23" i="57" s="1"/>
  <c r="P24" i="57" s="1"/>
  <c r="P25" i="57" s="1"/>
  <c r="P26" i="57" s="1"/>
  <c r="P27" i="57" s="1"/>
  <c r="H21" i="57"/>
  <c r="H23" i="57" s="1"/>
  <c r="H24" i="57" s="1"/>
  <c r="H25" i="57" s="1"/>
  <c r="H26" i="57" s="1"/>
  <c r="H27" i="57" s="1"/>
  <c r="C21" i="57"/>
  <c r="N21" i="57"/>
  <c r="N46" i="57" s="1"/>
  <c r="N48" i="57" s="1"/>
  <c r="L21" i="57"/>
  <c r="L46" i="57" s="1"/>
  <c r="L48" i="57" s="1"/>
  <c r="G21" i="57"/>
  <c r="E18" i="57"/>
  <c r="E17" i="57" s="1"/>
  <c r="E23" i="57" s="1"/>
  <c r="E24" i="57" s="1"/>
  <c r="E25" i="57" s="1"/>
  <c r="E26" i="57" s="1"/>
  <c r="E27" i="57" s="1"/>
  <c r="I18" i="57"/>
  <c r="I17" i="57" s="1"/>
  <c r="M18" i="57"/>
  <c r="M17" i="57" s="1"/>
  <c r="M23" i="57" s="1"/>
  <c r="M24" i="57" s="1"/>
  <c r="M25" i="57" s="1"/>
  <c r="M26" i="57" s="1"/>
  <c r="M27" i="57" s="1"/>
  <c r="J18" i="57"/>
  <c r="J17" i="57" s="1"/>
  <c r="J23" i="57" s="1"/>
  <c r="J24" i="57" s="1"/>
  <c r="J25" i="57" s="1"/>
  <c r="J26" i="57" s="1"/>
  <c r="J27" i="57" s="1"/>
  <c r="K18" i="57"/>
  <c r="K17" i="57" s="1"/>
  <c r="K23" i="57" s="1"/>
  <c r="K24" i="57" s="1"/>
  <c r="D18" i="57"/>
  <c r="D17" i="57" s="1"/>
  <c r="Q18" i="57"/>
  <c r="Q17" i="57" s="1"/>
  <c r="Q23" i="57" s="1"/>
  <c r="Q24" i="57" s="1"/>
  <c r="Q25" i="57" s="1"/>
  <c r="Q26" i="57" s="1"/>
  <c r="Q27" i="57" s="1"/>
  <c r="O18" i="57"/>
  <c r="O17" i="57" s="1"/>
  <c r="R18" i="57"/>
  <c r="R17" i="57" s="1"/>
  <c r="J21" i="58"/>
  <c r="J46" i="58" s="1"/>
  <c r="J48" i="58" s="1"/>
  <c r="H21" i="58"/>
  <c r="H46" i="58" s="1"/>
  <c r="H48" i="58" s="1"/>
  <c r="Q21" i="58"/>
  <c r="Q46" i="58" s="1"/>
  <c r="Q48" i="58" s="1"/>
  <c r="O21" i="58"/>
  <c r="O46" i="58" s="1"/>
  <c r="O48" i="58" s="1"/>
  <c r="P21" i="58"/>
  <c r="P46" i="58" s="1"/>
  <c r="P48" i="58" s="1"/>
  <c r="R21" i="58"/>
  <c r="R46" i="58" s="1"/>
  <c r="R48" i="58" s="1"/>
  <c r="M21" i="58"/>
  <c r="M46" i="58" s="1"/>
  <c r="K21" i="58"/>
  <c r="K46" i="58" s="1"/>
  <c r="K48" i="58" s="1"/>
  <c r="I21" i="58"/>
  <c r="I46" i="58" s="1"/>
  <c r="I48" i="58" s="1"/>
  <c r="L21" i="58"/>
  <c r="L46" i="58" s="1"/>
  <c r="L48" i="58" s="1"/>
  <c r="G21" i="58"/>
  <c r="G46" i="58" s="1"/>
  <c r="G48" i="58" s="1"/>
  <c r="N21" i="58"/>
  <c r="N46" i="58" s="1"/>
  <c r="N48" i="58" s="1"/>
  <c r="M48" i="58"/>
  <c r="I32" i="59"/>
  <c r="I34" i="59" s="1"/>
  <c r="I40" i="59" s="1"/>
  <c r="I15" i="59"/>
  <c r="M32" i="59"/>
  <c r="M34" i="59" s="1"/>
  <c r="M40" i="59" s="1"/>
  <c r="M15" i="59"/>
  <c r="O32" i="59"/>
  <c r="O34" i="59" s="1"/>
  <c r="O40" i="59" s="1"/>
  <c r="O15" i="59"/>
  <c r="Q32" i="59"/>
  <c r="Q34" i="59" s="1"/>
  <c r="Q40" i="59" s="1"/>
  <c r="Q15" i="59"/>
  <c r="H32" i="59"/>
  <c r="H34" i="59" s="1"/>
  <c r="H40" i="59" s="1"/>
  <c r="H15" i="59"/>
  <c r="J32" i="59"/>
  <c r="J34" i="59" s="1"/>
  <c r="J40" i="59" s="1"/>
  <c r="J15" i="59"/>
  <c r="R32" i="59"/>
  <c r="R34" i="59" s="1"/>
  <c r="R40" i="59" s="1"/>
  <c r="R15" i="59"/>
  <c r="K32" i="59"/>
  <c r="K34" i="59" s="1"/>
  <c r="K40" i="59" s="1"/>
  <c r="K15" i="59"/>
  <c r="L32" i="59"/>
  <c r="L34" i="59" s="1"/>
  <c r="L40" i="59" s="1"/>
  <c r="L15" i="59"/>
  <c r="N32" i="59"/>
  <c r="N34" i="59" s="1"/>
  <c r="N40" i="59" s="1"/>
  <c r="N15" i="59"/>
  <c r="P32" i="59"/>
  <c r="P34" i="59" s="1"/>
  <c r="P40" i="59" s="1"/>
  <c r="P15" i="59"/>
  <c r="G32" i="59"/>
  <c r="G34" i="59" s="1"/>
  <c r="G40" i="59" s="1"/>
  <c r="G15" i="59"/>
  <c r="G23" i="57"/>
  <c r="G24" i="57" s="1"/>
  <c r="G25" i="57" s="1"/>
  <c r="G26" i="57" s="1"/>
  <c r="G27" i="57" s="1"/>
  <c r="G46" i="57"/>
  <c r="G48" i="57" s="1"/>
  <c r="M46" i="57"/>
  <c r="M48" i="57" s="1"/>
  <c r="O46" i="57"/>
  <c r="O48" i="57" s="1"/>
  <c r="I46" i="57"/>
  <c r="I48" i="57" s="1"/>
  <c r="P46" i="57"/>
  <c r="P48" i="57" s="1"/>
  <c r="R46" i="57"/>
  <c r="R48" i="57" s="1"/>
  <c r="R23" i="57"/>
  <c r="R24" i="57" s="1"/>
  <c r="R25" i="57" s="1"/>
  <c r="R26" i="57" s="1"/>
  <c r="R27" i="57" s="1"/>
  <c r="J46" i="57"/>
  <c r="J48" i="57" s="1"/>
  <c r="K46" i="57"/>
  <c r="K48" i="57" s="1"/>
  <c r="E30" i="56"/>
  <c r="E32" i="56" s="1"/>
  <c r="E33" i="56" s="1"/>
  <c r="F24" i="43"/>
  <c r="F25" i="43" s="1"/>
  <c r="F26" i="43" s="1"/>
  <c r="F27" i="43" s="1"/>
  <c r="D8" i="56"/>
  <c r="D31" i="56" s="1"/>
  <c r="D32" i="56" s="1"/>
  <c r="D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C18" i="59" s="1"/>
  <c r="C17" i="59" s="1"/>
  <c r="S18" i="58"/>
  <c r="E46" i="57"/>
  <c r="E48" i="57" s="1"/>
  <c r="C48" i="56"/>
  <c r="D48" i="43"/>
  <c r="D52" i="56"/>
  <c r="F16" i="59"/>
  <c r="S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8"/>
  <c r="C17" i="58" s="1"/>
  <c r="F19" i="56"/>
  <c r="D21" i="58"/>
  <c r="C21" i="58"/>
  <c r="C46" i="57"/>
  <c r="C23" i="57"/>
  <c r="G28" i="51"/>
  <c r="S21" i="59"/>
  <c r="D46" i="57"/>
  <c r="D48" i="57" s="1"/>
  <c r="D23" i="57"/>
  <c r="D24" i="57" s="1"/>
  <c r="D25" i="57" s="1"/>
  <c r="F23" i="57" l="1"/>
  <c r="F24" i="57" s="1"/>
  <c r="F25" i="57" s="1"/>
  <c r="F26" i="57" s="1"/>
  <c r="F27" i="57" s="1"/>
  <c r="N23" i="57"/>
  <c r="N24" i="57" s="1"/>
  <c r="N25" i="57" s="1"/>
  <c r="N26" i="57" s="1"/>
  <c r="N27" i="57" s="1"/>
  <c r="I23" i="57"/>
  <c r="I24" i="57" s="1"/>
  <c r="I25" i="57" s="1"/>
  <c r="I26" i="57" s="1"/>
  <c r="I27" i="57" s="1"/>
  <c r="O23" i="57"/>
  <c r="O24" i="57" s="1"/>
  <c r="O25" i="57" s="1"/>
  <c r="O26" i="57" s="1"/>
  <c r="O27" i="57" s="1"/>
  <c r="H46" i="57"/>
  <c r="H48" i="57" s="1"/>
  <c r="L23" i="57"/>
  <c r="L24" i="57" s="1"/>
  <c r="L25" i="57" s="1"/>
  <c r="L26" i="57" s="1"/>
  <c r="L27" i="57" s="1"/>
  <c r="S17" i="57"/>
  <c r="E15" i="56" s="1"/>
  <c r="D21" i="59"/>
  <c r="M21" i="59"/>
  <c r="M46" i="59" s="1"/>
  <c r="M48" i="59" s="1"/>
  <c r="K21" i="59"/>
  <c r="K46" i="59" s="1"/>
  <c r="K48" i="59" s="1"/>
  <c r="O21" i="59"/>
  <c r="O46" i="59" s="1"/>
  <c r="R21" i="59"/>
  <c r="R46" i="59" s="1"/>
  <c r="R48" i="59" s="1"/>
  <c r="H21" i="59"/>
  <c r="H46" i="59" s="1"/>
  <c r="H48" i="59" s="1"/>
  <c r="I21" i="59"/>
  <c r="I46" i="59" s="1"/>
  <c r="G21" i="59"/>
  <c r="G46" i="59" s="1"/>
  <c r="G48" i="59" s="1"/>
  <c r="P21" i="59"/>
  <c r="P46" i="59" s="1"/>
  <c r="P48" i="59" s="1"/>
  <c r="N21" i="59"/>
  <c r="N46" i="59" s="1"/>
  <c r="L21" i="59"/>
  <c r="L46" i="59" s="1"/>
  <c r="L48" i="59" s="1"/>
  <c r="J21" i="59"/>
  <c r="J46" i="59" s="1"/>
  <c r="J48" i="59" s="1"/>
  <c r="Q21" i="59"/>
  <c r="Q46" i="59" s="1"/>
  <c r="Q48" i="59" s="1"/>
  <c r="N48" i="59"/>
  <c r="I48" i="59"/>
  <c r="O48" i="59"/>
  <c r="D18" i="59"/>
  <c r="D17" i="59" s="1"/>
  <c r="M18" i="59"/>
  <c r="M17" i="59" s="1"/>
  <c r="H18" i="59"/>
  <c r="H17" i="59" s="1"/>
  <c r="Q18" i="59"/>
  <c r="Q17" i="59" s="1"/>
  <c r="R18" i="59"/>
  <c r="R17" i="59" s="1"/>
  <c r="L18" i="59"/>
  <c r="L17" i="59" s="1"/>
  <c r="G18" i="59"/>
  <c r="G17" i="59" s="1"/>
  <c r="P18" i="59"/>
  <c r="P17" i="59" s="1"/>
  <c r="K18" i="59"/>
  <c r="K17" i="59" s="1"/>
  <c r="J18" i="59"/>
  <c r="J17" i="59" s="1"/>
  <c r="N18" i="59"/>
  <c r="N17" i="59" s="1"/>
  <c r="N23" i="59" s="1"/>
  <c r="N24" i="59" s="1"/>
  <c r="N25" i="59" s="1"/>
  <c r="N26" i="59" s="1"/>
  <c r="N27" i="59" s="1"/>
  <c r="O18" i="59"/>
  <c r="O17" i="59" s="1"/>
  <c r="O23" i="59" s="1"/>
  <c r="O24" i="59" s="1"/>
  <c r="O25" i="59" s="1"/>
  <c r="O26" i="59" s="1"/>
  <c r="O27" i="59" s="1"/>
  <c r="I18" i="59"/>
  <c r="I17" i="59" s="1"/>
  <c r="D18" i="58"/>
  <c r="D17" i="58" s="1"/>
  <c r="D23" i="58" s="1"/>
  <c r="D24" i="58" s="1"/>
  <c r="J18" i="58"/>
  <c r="J17" i="58" s="1"/>
  <c r="J23" i="58" s="1"/>
  <c r="J24" i="58" s="1"/>
  <c r="J25" i="58" s="1"/>
  <c r="J26" i="58" s="1"/>
  <c r="J27" i="58" s="1"/>
  <c r="N18" i="58"/>
  <c r="N17" i="58" s="1"/>
  <c r="N23" i="58" s="1"/>
  <c r="N24" i="58" s="1"/>
  <c r="N25" i="58" s="1"/>
  <c r="N26" i="58" s="1"/>
  <c r="N27" i="58" s="1"/>
  <c r="I18" i="58"/>
  <c r="I17" i="58" s="1"/>
  <c r="I23" i="58" s="1"/>
  <c r="I24" i="58" s="1"/>
  <c r="I25" i="58" s="1"/>
  <c r="I26" i="58" s="1"/>
  <c r="I27" i="58" s="1"/>
  <c r="L18" i="58"/>
  <c r="L17" i="58" s="1"/>
  <c r="L23" i="58" s="1"/>
  <c r="L24" i="58" s="1"/>
  <c r="L25" i="58" s="1"/>
  <c r="L26" i="58" s="1"/>
  <c r="L27" i="58" s="1"/>
  <c r="M18" i="58"/>
  <c r="M17" i="58" s="1"/>
  <c r="M23" i="58" s="1"/>
  <c r="M24" i="58" s="1"/>
  <c r="M25" i="58" s="1"/>
  <c r="M26" i="58" s="1"/>
  <c r="M27" i="58" s="1"/>
  <c r="H18" i="58"/>
  <c r="H17" i="58" s="1"/>
  <c r="H23" i="58" s="1"/>
  <c r="H24" i="58" s="1"/>
  <c r="H25" i="58" s="1"/>
  <c r="H26" i="58" s="1"/>
  <c r="H27" i="58" s="1"/>
  <c r="Q18" i="58"/>
  <c r="Q17" i="58" s="1"/>
  <c r="Q23" i="58" s="1"/>
  <c r="Q24" i="58" s="1"/>
  <c r="Q25" i="58" s="1"/>
  <c r="Q26" i="58" s="1"/>
  <c r="Q27" i="58" s="1"/>
  <c r="R18" i="58"/>
  <c r="R17" i="58" s="1"/>
  <c r="R23" i="58" s="1"/>
  <c r="R24" i="58" s="1"/>
  <c r="R25" i="58" s="1"/>
  <c r="R26" i="58" s="1"/>
  <c r="R27" i="58" s="1"/>
  <c r="O18" i="58"/>
  <c r="O17" i="58" s="1"/>
  <c r="O23" i="58" s="1"/>
  <c r="O24" i="58" s="1"/>
  <c r="O25" i="58" s="1"/>
  <c r="O26" i="58" s="1"/>
  <c r="O27" i="58" s="1"/>
  <c r="G18" i="58"/>
  <c r="G17" i="58" s="1"/>
  <c r="G23" i="58" s="1"/>
  <c r="G24" i="58" s="1"/>
  <c r="G25" i="58" s="1"/>
  <c r="G26" i="58" s="1"/>
  <c r="G27" i="58" s="1"/>
  <c r="P18" i="58"/>
  <c r="P17" i="58" s="1"/>
  <c r="P23" i="58" s="1"/>
  <c r="P24" i="58" s="1"/>
  <c r="P25" i="58" s="1"/>
  <c r="P26" i="58" s="1"/>
  <c r="P27" i="58" s="1"/>
  <c r="K18" i="58"/>
  <c r="K17" i="58" s="1"/>
  <c r="K23" i="58" s="1"/>
  <c r="K24" i="58" s="1"/>
  <c r="K25" i="58" s="1"/>
  <c r="K26" i="58" s="1"/>
  <c r="K27" i="58" s="1"/>
  <c r="G16" i="59"/>
  <c r="O16" i="59"/>
  <c r="N16" i="59"/>
  <c r="R16" i="59"/>
  <c r="Q16" i="59"/>
  <c r="I16" i="59"/>
  <c r="L16" i="59"/>
  <c r="J16" i="59"/>
  <c r="P16" i="59"/>
  <c r="K16" i="59"/>
  <c r="H16" i="59"/>
  <c r="M16" i="59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G50" i="56"/>
  <c r="F51" i="56"/>
  <c r="H28" i="51"/>
  <c r="D46" i="58"/>
  <c r="D48" i="58" s="1"/>
  <c r="F45" i="56"/>
  <c r="D46" i="59"/>
  <c r="D48" i="59" s="1"/>
  <c r="D26" i="57"/>
  <c r="D27" i="57" s="1"/>
  <c r="C46" i="58"/>
  <c r="C23" i="58"/>
  <c r="I23" i="59" l="1"/>
  <c r="I24" i="59" s="1"/>
  <c r="I25" i="59" s="1"/>
  <c r="I26" i="59" s="1"/>
  <c r="I27" i="59" s="1"/>
  <c r="Q23" i="59"/>
  <c r="Q24" i="59" s="1"/>
  <c r="Q25" i="59" s="1"/>
  <c r="Q26" i="59" s="1"/>
  <c r="Q27" i="59" s="1"/>
  <c r="D23" i="59"/>
  <c r="D24" i="59" s="1"/>
  <c r="D25" i="59" s="1"/>
  <c r="S23" i="57"/>
  <c r="G23" i="59"/>
  <c r="G24" i="59" s="1"/>
  <c r="G25" i="59" s="1"/>
  <c r="G26" i="59" s="1"/>
  <c r="G27" i="59" s="1"/>
  <c r="L23" i="59"/>
  <c r="L24" i="59" s="1"/>
  <c r="L25" i="59" s="1"/>
  <c r="L26" i="59" s="1"/>
  <c r="L27" i="59" s="1"/>
  <c r="R23" i="59"/>
  <c r="R24" i="59" s="1"/>
  <c r="R25" i="59" s="1"/>
  <c r="R26" i="59" s="1"/>
  <c r="R27" i="59" s="1"/>
  <c r="M23" i="59"/>
  <c r="M24" i="59" s="1"/>
  <c r="M25" i="59" s="1"/>
  <c r="M26" i="59" s="1"/>
  <c r="M27" i="59" s="1"/>
  <c r="P23" i="59"/>
  <c r="P24" i="59" s="1"/>
  <c r="P25" i="59" s="1"/>
  <c r="P26" i="59" s="1"/>
  <c r="P27" i="59" s="1"/>
  <c r="J23" i="59"/>
  <c r="J24" i="59" s="1"/>
  <c r="J25" i="59" s="1"/>
  <c r="J26" i="59" s="1"/>
  <c r="J27" i="59" s="1"/>
  <c r="K23" i="59"/>
  <c r="K24" i="59" s="1"/>
  <c r="K25" i="59" s="1"/>
  <c r="K26" i="59" s="1"/>
  <c r="K27" i="59" s="1"/>
  <c r="H23" i="59"/>
  <c r="H24" i="59" s="1"/>
  <c r="H25" i="59" s="1"/>
  <c r="H26" i="59" s="1"/>
  <c r="H27" i="59" s="1"/>
  <c r="D21" i="56"/>
  <c r="G45" i="56"/>
  <c r="G48" i="56"/>
  <c r="H7" i="56"/>
  <c r="H52" i="56" s="1"/>
  <c r="G30" i="56"/>
  <c r="G32" i="56" s="1"/>
  <c r="G33" i="56" s="1"/>
  <c r="S17" i="59"/>
  <c r="S17" i="58"/>
  <c r="F15" i="56" s="1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I28" i="51"/>
  <c r="D26" i="59" l="1"/>
  <c r="D27" i="59" s="1"/>
  <c r="S23" i="58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22" i="56" s="1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7" i="6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H22" i="56" s="1"/>
  <c r="S25" i="61"/>
  <c r="C23" i="56" s="1"/>
  <c r="C42" i="56"/>
  <c r="C49" i="56"/>
  <c r="C21" i="56"/>
  <c r="C40" i="56" s="1"/>
  <c r="H15" i="56"/>
  <c r="H21" i="56" s="1"/>
  <c r="C54" i="56" l="1"/>
  <c r="H42" i="56"/>
  <c r="H40" i="56"/>
  <c r="H49" i="56"/>
  <c r="C24" i="56"/>
  <c r="C25" i="56" s="1"/>
  <c r="C53" i="56" l="1"/>
  <c r="C60" i="56"/>
  <c r="C59" i="56" s="1"/>
  <c r="H54" i="56"/>
  <c r="H23" i="56"/>
  <c r="H24" i="56" l="1"/>
  <c r="H53" i="56" s="1"/>
  <c r="H60" i="56" l="1"/>
  <c r="H59" i="56" s="1"/>
  <c r="H25" i="56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<sst xmlns="http://schemas.openxmlformats.org/spreadsheetml/2006/main" count="1447" uniqueCount="307">
  <si>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</si>
  <si>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</si>
  <si>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</si>
  <si>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</si>
  <si>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</si>
  <si>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</si>
  <si>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</si>
  <si>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</si>
  <si>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</si>
  <si>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</si>
  <si>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</si>
  <si>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</si>
  <si>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</si>
  <si>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</si>
  <si>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</si>
  <si>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</si>
  <si>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</si>
  <si>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</si>
  <si>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</si>
  <si>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</si>
  <si>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</si>
  <si>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</si>
  <si>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</si>
  <si>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</si>
  <si>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</si>
  <si>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</si>
  <si>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</si>
  <si>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</si>
  <si>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</si>
  <si>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</si>
  <si>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</si>
  <si>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</si>
  <si>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</si>
  <si>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</si>
  <si>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</si>
  <si>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</si>
  <si>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</si>
  <si>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</si>
  <si>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</si>
  <si>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</si>
  <si>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</si>
  <si>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</si>
  <si>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</si>
  <si>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</si>
  <si>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</si>
  <si>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</si>
  <si>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</si>
  <si>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</si>
  <si>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</si>
  <si>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</si>
  <si>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</si>
  <si>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</si>
  <si>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</si>
  <si>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</si>
  <si>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</si>
  <si>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</si>
  <si>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</si>
  <si>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</si>
  <si>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</si>
  <si>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</si>
  <si>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</si>
  <si>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</si>
  <si>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</si>
  <si>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</si>
  <si>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</si>
  <si>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</si>
  <si>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</si>
  <si>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</si>
  <si>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</si>
  <si>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</si>
  <si>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</si>
  <si>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</si>
  <si>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</si>
  <si>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</si>
  <si>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</si>
  <si>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</si>
  <si>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</si>
  <si>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</si>
  <si>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</si>
  <si>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</si>
  <si>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</si>
  <si>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</si>
  <si>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</si>
  <si>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</si>
  <si>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</si>
  <si>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</si>
  <si>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</si>
  <si>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</si>
  <si>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</si>
  <si>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</si>
  <si>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</si>
  <si>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</si>
  <si>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</si>
  <si>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</si>
  <si>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</si>
  <si>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</si>
  <si>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</si>
  <si>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</si>
  <si>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</si>
  <si>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</si>
  <si>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</si>
  <si>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</si>
  <si>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</si>
  <si>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</si>
  <si>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</si>
  <si>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</si>
  <si>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</si>
  <si>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</si>
  <si>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</si>
  <si>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</si>
  <si>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</si>
  <si>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</si>
  <si>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</si>
  <si>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</si>
  <si>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</si>
  <si>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</si>
  <si>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</si>
  <si>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</si>
  <si>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</si>
  <si>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</si>
  <si>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</si>
  <si>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</si>
  <si>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</si>
  <si>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</si>
  <si>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</si>
  <si>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</si>
  <si>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</si>
  <si>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</si>
  <si>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</si>
  <si>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</si>
  <si>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</si>
  <si>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</si>
  <si>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</si>
  <si>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</si>
  <si>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</si>
  <si>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</si>
  <si>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</si>
  <si>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</si>
  <si>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</si>
  <si>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</si>
  <si>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</si>
  <si>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</si>
  <si>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</si>
  <si>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</si>
  <si>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</si>
  <si>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</si>
  <si>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</si>
  <si>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</si>
  <si>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</si>
  <si>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</si>
  <si>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</si>
  <si>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</si>
  <si>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</si>
  <si>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</si>
  <si>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</si>
  <si>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</si>
  <si>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</si>
  <si>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</si>
  <si>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</si>
  <si>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</si>
  <si>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</si>
  <si>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</si>
  <si>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</si>
  <si>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</si>
  <si>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</si>
  <si>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</si>
  <si>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</si>
  <si>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</si>
  <si>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</si>
  <si>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</si>
  <si>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</si>
  <si>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</si>
  <si>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</si>
  <si>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</si>
  <si>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</si>
  <si>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</si>
  <si>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</si>
  <si>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</si>
  <si>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</si>
  <si>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</si>
  <si>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</si>
  <si>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</si>
  <si>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</si>
  <si>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</si>
  <si>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</si>
  <si>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</si>
  <si>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</si>
  <si>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</si>
  <si>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</si>
  <si>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</si>
  <si>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</si>
  <si>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</si>
  <si>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</si>
  <si>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</si>
  <si>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</si>
  <si>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</si>
  <si>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</si>
  <si>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</si>
  <si>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</si>
  <si>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</si>
  <si>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</si>
  <si>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</si>
  <si>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</si>
  <si>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</si>
  <si>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</si>
  <si>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</si>
  <si>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</si>
  <si>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</si>
  <si>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</si>
  <si>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</si>
  <si>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</si>
  <si>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</si>
  <si>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</si>
  <si>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</si>
  <si>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</si>
  <si>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</si>
  <si>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</si>
  <si>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</si>
  <si>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</si>
  <si>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</si>
  <si>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</si>
  <si>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</si>
  <si>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</si>
  <si>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</si>
  <si>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</si>
  <si>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</si>
  <si>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</si>
  <si>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</si>
  <si>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</si>
  <si>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</si>
  <si>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</si>
  <si>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</si>
  <si>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</si>
  <si>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</si>
  <si>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</si>
  <si>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</si>
  <si>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</si>
  <si>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</si>
  <si>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</si>
  <si>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</si>
  <si>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</si>
  <si>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</si>
  <si>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</si>
  <si>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</si>
  <si>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</si>
  <si>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</si>
  <si>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</si>
  <si>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</si>
  <si>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</si>
  <si>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</si>
  <si>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</si>
  <si>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</si>
  <si>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</si>
  <si>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</si>
  <si>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</si>
  <si>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</si>
  <si>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</si>
  <si>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</si>
  <si>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</si>
  <si>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</si>
  <si>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</si>
  <si>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</si>
  <si>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</si>
  <si>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</si>
  <si>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</si>
  <si>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</si>
  <si>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</si>
  <si>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</si>
  <si>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</si>
  <si>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</si>
  <si>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</si>
  <si>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</si>
  <si>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</si>
  <si>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</si>
  <si>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</si>
  <si>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</si>
  <si>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</si>
  <si>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</si>
  <si>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</si>
  <si>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</si>
  <si>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</si>
  <si>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北汽福田戴姆勒</t>
    <phoneticPr fontId="45" type="noConversion"/>
  </si>
  <si>
    <t>单台材料成本为未税价格，骨架、底支架、面套自制。</t>
    <phoneticPr fontId="45" type="noConversion"/>
  </si>
  <si>
    <t>变动费用参考河北工厂2024年实际暂估。</t>
    <phoneticPr fontId="45" type="noConversion"/>
  </si>
  <si>
    <t>河北光华荣昌</t>
  </si>
  <si>
    <t>怀柔</t>
    <phoneticPr fontId="23" type="noConversion"/>
  </si>
  <si>
    <t>承兑</t>
    <phoneticPr fontId="23" type="noConversion"/>
  </si>
  <si>
    <t>/</t>
    <phoneticPr fontId="23" type="noConversion"/>
  </si>
  <si>
    <t>/</t>
    <phoneticPr fontId="23" type="noConversion"/>
  </si>
  <si>
    <t>围板箱、工装器具</t>
    <phoneticPr fontId="23" type="noConversion"/>
  </si>
  <si>
    <t>有</t>
    <phoneticPr fontId="23" type="noConversion"/>
  </si>
  <si>
    <t>公路、工程</t>
    <phoneticPr fontId="23" type="noConversion"/>
  </si>
  <si>
    <t>9个月</t>
    <phoneticPr fontId="23" type="noConversion"/>
  </si>
  <si>
    <t>不含开发费</t>
    <phoneticPr fontId="45" type="noConversion"/>
  </si>
  <si>
    <t>徐工1.0 2.0座椅项目</t>
    <phoneticPr fontId="45" type="noConversion"/>
  </si>
  <si>
    <t>司机座椅总成</t>
    <phoneticPr fontId="23" type="noConversion"/>
  </si>
  <si>
    <t>副司机座椅总裁</t>
    <phoneticPr fontId="23" type="noConversion"/>
  </si>
  <si>
    <t>XGA68EFAF411-000010/ XGA68EFAF411-000020</t>
    <phoneticPr fontId="23" type="noConversion"/>
  </si>
  <si>
    <t>XGA69EFAF411-000110</t>
    <phoneticPr fontId="23" type="noConversion"/>
  </si>
  <si>
    <t>靠背调节、前后调节、高低调节、三点式安全带、单扶手、两气袋气腰托、可变阻尼、织物面料（不带底支架）</t>
    <phoneticPr fontId="23" type="noConversion"/>
  </si>
  <si>
    <t>靠背调节、固定座垫、织物面料（不带底支架、不带三点式安全带）</t>
    <phoneticPr fontId="23" type="noConversion"/>
  </si>
  <si>
    <t>供应商年降：       年1 %</t>
    <phoneticPr fontId="45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</si>
  <si>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</si>
  <si>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单件分摊</t>
    <phoneticPr fontId="45" type="noConversion"/>
  </si>
  <si>
    <t>张文昌提报</t>
    <phoneticPr fontId="45" type="noConversion"/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</si>
  <si>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5" type="noConversion"/>
  </si>
  <si>
    <t>徐工1.0 2.0座椅项目投资收益分析——发泡自制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</si>
</sst>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justify" wrapText="1"/>
    </xf>
    <xf numFmtId="0" fontId="55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55" fillId="0" borderId="2" xfId="0" applyFont="1" applyFill="1" applyBorder="1" applyAlignment="1">
      <alignment horizontal="left" vertical="center" wrapText="1"/>
    </xf>
    <xf numFmtId="2" fontId="5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55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justify"/>
    </xf>
    <xf numFmtId="43" fontId="44" fillId="0" borderId="2" xfId="1" applyBorder="1" applyAlignment="1" applyProtection="1">
      <alignment vertical="center"/>
      <protection locked="0"/>
    </xf>
    <xf numFmtId="43" fontId="44" fillId="0" borderId="0" xfId="1" applyAlignment="1" applyProtection="1">
      <alignment vertical="center"/>
      <protection locked="0"/>
    </xf>
    <xf numFmtId="0" fontId="49" fillId="0" borderId="2" xfId="0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0" fontId="35" fillId="0" borderId="0" xfId="0" applyFont="1" applyAlignment="1">
      <alignment horizontal="center" vertical="center"/>
    </xf>
    <xf numFmtId="0" fontId="56" fillId="0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0" fillId="10" borderId="2" xfId="0" applyFont="1" applyFill="1" applyBorder="1">
      <alignment vertical="center"/>
    </xf>
    <xf numFmtId="177" fontId="20" fillId="10" borderId="2" xfId="1" applyNumberFormat="1" applyFont="1" applyFill="1" applyBorder="1" applyAlignment="1">
      <alignment horizontal="center"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26" fillId="10" borderId="2" xfId="0" applyFont="1" applyFill="1" applyBorder="1">
      <alignment vertical="center"/>
    </xf>
    <xf numFmtId="0" fontId="30" fillId="10" borderId="2" xfId="0" applyFont="1" applyFill="1" applyBorder="1">
      <alignment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33618</xdr:colOff>
      <xdr:row>13</xdr:row>
      <xdr:rowOff>26155</xdr:rowOff>
    </xdr:from>
    <xdr:to>
      <xdr:col>16</xdr:col>
      <xdr:colOff>601196</xdr:colOff>
      <xdr:row>15</xdr:row>
      <xdr:rowOff>185457</xdr:rowOff>
    </xdr:to>
    <xdr:pic>
      <xdr:nvPicPr>
        <xdr:cNvPr id="2" name="图片 1" descr="C:\Users\ghrc\Documents\WXWork\1688851262543347\Cache\Image\2025-09\企业微信截图_1758087808821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7530" y="4015449"/>
          <a:ext cx="5352490" cy="1089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5" sqref="C1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59" customFormat="1" ht="35.25" customHeight="1">
      <c r="A2" s="160" t="s">
        <v>0</v>
      </c>
      <c r="B2" s="160" t="s">
        <v>1</v>
      </c>
      <c r="C2" s="160" t="s">
        <v>2</v>
      </c>
      <c r="D2" s="161"/>
    </row>
    <row r="3" spans="1:4" s="159" customFormat="1" ht="33.75" customHeight="1">
      <c r="A3" s="162">
        <v>1</v>
      </c>
      <c r="B3" s="162" t="s">
        <v>3</v>
      </c>
      <c r="C3" s="163" t="s">
        <v>4</v>
      </c>
      <c r="D3" s="161"/>
    </row>
    <row r="4" spans="1:4" s="159" customFormat="1" ht="33.75" customHeight="1">
      <c r="A4" s="162">
        <v>2</v>
      </c>
      <c r="B4" s="162" t="s">
        <v>5</v>
      </c>
      <c r="C4" s="163" t="s">
        <v>6</v>
      </c>
    </row>
    <row r="5" spans="1:4" s="159" customFormat="1" ht="33.75" customHeight="1">
      <c r="A5" s="162">
        <v>3</v>
      </c>
      <c r="B5" s="225" t="s">
        <v>7</v>
      </c>
      <c r="C5" s="164" t="s">
        <v>8</v>
      </c>
    </row>
    <row r="6" spans="1:4" s="159" customFormat="1" ht="33.75" customHeight="1">
      <c r="A6" s="162">
        <v>4</v>
      </c>
      <c r="B6" s="226"/>
      <c r="C6" s="163" t="s">
        <v>282</v>
      </c>
    </row>
    <row r="7" spans="1:4" s="159" customFormat="1" ht="33.75" customHeight="1">
      <c r="A7" s="162">
        <v>5</v>
      </c>
      <c r="B7" s="165" t="s">
        <v>9</v>
      </c>
      <c r="C7" s="163" t="s">
        <v>283</v>
      </c>
    </row>
    <row r="8" spans="1:4" s="159" customFormat="1" ht="33.75" customHeight="1">
      <c r="A8" s="162">
        <v>6</v>
      </c>
      <c r="B8" s="225" t="s">
        <v>10</v>
      </c>
      <c r="C8" s="163" t="s">
        <v>11</v>
      </c>
    </row>
    <row r="9" spans="1:4" s="159" customFormat="1" ht="33.75" customHeight="1">
      <c r="A9" s="162">
        <v>7</v>
      </c>
      <c r="B9" s="226"/>
      <c r="C9" s="163" t="s">
        <v>12</v>
      </c>
    </row>
    <row r="10" spans="1:4" s="159" customFormat="1" ht="33.75" customHeight="1">
      <c r="A10" s="162">
        <v>8</v>
      </c>
      <c r="B10" s="226"/>
      <c r="C10" s="164" t="s">
        <v>275</v>
      </c>
    </row>
    <row r="11" spans="1:4" s="159" customFormat="1" ht="33.75" customHeight="1">
      <c r="A11" s="162">
        <v>9</v>
      </c>
      <c r="B11" s="226"/>
      <c r="C11" s="163" t="s">
        <v>13</v>
      </c>
    </row>
    <row r="12" spans="1:4" s="159" customFormat="1" ht="33.75" customHeight="1">
      <c r="A12" s="162">
        <v>10</v>
      </c>
      <c r="B12" s="165" t="s">
        <v>14</v>
      </c>
      <c r="C12" s="163" t="s">
        <v>15</v>
      </c>
    </row>
    <row r="13" spans="1:4" ht="33.75" customHeight="1"/>
    <row r="14" spans="1:4" ht="33.75" customHeight="1"/>
    <row r="15" spans="1:4" ht="33.75" customHeight="1">
      <c r="C15" s="166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defaultColWidth="9" defaultRowHeight="16.5"/>
  <cols>
    <col min="1" max="1" width="14" style="177" customWidth="1"/>
    <col min="2" max="2" width="14.125" style="177" customWidth="1"/>
    <col min="3" max="9" width="14.25" style="177" customWidth="1"/>
    <col min="10" max="16" width="14.25" style="177" hidden="1" customWidth="1"/>
    <col min="17" max="18" width="14.25" style="177" customWidth="1"/>
    <col min="19" max="19" width="13.875" style="177" customWidth="1"/>
    <col min="20" max="20" width="9.25" style="177" customWidth="1"/>
    <col min="21" max="21" width="9.125" style="178" customWidth="1"/>
    <col min="22" max="22" width="9.625" style="178" customWidth="1"/>
    <col min="23" max="16384" width="9" style="177"/>
  </cols>
  <sheetData>
    <row r="1" spans="1:22" ht="29.25" customHeight="1">
      <c r="A1" s="253" t="s">
        <v>189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</row>
    <row r="2" spans="1:22" ht="24" customHeight="1">
      <c r="A2" s="41" t="s">
        <v>190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22">
      <c r="C3" s="177" t="s">
        <v>191</v>
      </c>
      <c r="D3" s="176" t="s">
        <v>192</v>
      </c>
      <c r="E3" s="180">
        <v>0.01</v>
      </c>
    </row>
    <row r="5" spans="1:22" s="201" customFormat="1" ht="45" customHeight="1">
      <c r="A5" s="255" t="s">
        <v>193</v>
      </c>
      <c r="B5" s="42" t="s">
        <v>143</v>
      </c>
      <c r="C5" s="224" t="s">
        <v>295</v>
      </c>
      <c r="D5" s="224" t="s">
        <v>296</v>
      </c>
      <c r="E5" s="216"/>
      <c r="F5" s="216"/>
      <c r="G5" s="207"/>
      <c r="H5" s="20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259" t="s">
        <v>51</v>
      </c>
      <c r="U5" s="202"/>
      <c r="V5" s="202"/>
    </row>
    <row r="6" spans="1:22" ht="31.5" customHeight="1">
      <c r="A6" s="255"/>
      <c r="B6" s="211" t="s">
        <v>144</v>
      </c>
      <c r="C6" s="172" t="s">
        <v>297</v>
      </c>
      <c r="D6" s="172" t="s">
        <v>298</v>
      </c>
      <c r="E6" s="220"/>
      <c r="F6" s="220"/>
      <c r="G6" s="213"/>
      <c r="H6" s="208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260"/>
      <c r="U6" s="178">
        <v>100</v>
      </c>
    </row>
    <row r="7" spans="1:22" ht="32.25" customHeight="1">
      <c r="A7" s="255"/>
      <c r="B7" s="212" t="s">
        <v>194</v>
      </c>
      <c r="C7" s="217" t="s">
        <v>299</v>
      </c>
      <c r="D7" s="205" t="s">
        <v>300</v>
      </c>
      <c r="E7" s="205"/>
      <c r="F7" s="221"/>
      <c r="G7" s="214"/>
      <c r="H7" s="209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261"/>
      <c r="T7" s="177">
        <v>2026</v>
      </c>
      <c r="U7" s="178">
        <f>U6*(1-$E$3)</f>
        <v>99</v>
      </c>
      <c r="V7" s="178">
        <f>U7/$U$6</f>
        <v>0.99</v>
      </c>
    </row>
    <row r="8" spans="1:22" ht="33">
      <c r="A8" s="255"/>
      <c r="B8" s="15" t="s">
        <v>195</v>
      </c>
      <c r="C8" s="218">
        <v>1353.98</v>
      </c>
      <c r="D8" s="219">
        <v>384.96</v>
      </c>
      <c r="E8" s="15"/>
      <c r="F8" s="15"/>
      <c r="G8" s="210"/>
      <c r="H8" s="210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81">
        <f>SUM(C8:R8)</f>
        <v>1738.94</v>
      </c>
      <c r="T8" s="177">
        <v>2027</v>
      </c>
      <c r="U8" s="178">
        <f>U7*(1-$E$3)</f>
        <v>98.01</v>
      </c>
      <c r="V8" s="178">
        <f>U8/$U$6</f>
        <v>0.98010000000000008</v>
      </c>
    </row>
    <row r="9" spans="1:22" ht="17.25">
      <c r="A9" s="256" t="s">
        <v>196</v>
      </c>
      <c r="B9" s="182" t="s">
        <v>48</v>
      </c>
      <c r="C9" s="206">
        <v>1000</v>
      </c>
      <c r="D9" s="206">
        <v>1000</v>
      </c>
      <c r="E9" s="215"/>
      <c r="F9" s="215"/>
      <c r="G9" s="206"/>
      <c r="H9" s="206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181">
        <f>SUM(C9:R9)</f>
        <v>2000</v>
      </c>
      <c r="T9" s="177">
        <v>2028</v>
      </c>
      <c r="U9" s="178">
        <f>U8*(1-E3)</f>
        <v>97.029899999999998</v>
      </c>
      <c r="V9" s="178">
        <f>U9/$U$6</f>
        <v>0.97029900000000002</v>
      </c>
    </row>
    <row r="10" spans="1:22" ht="17.25">
      <c r="A10" s="257"/>
      <c r="B10" s="182" t="s">
        <v>49</v>
      </c>
      <c r="C10" s="206">
        <v>18000</v>
      </c>
      <c r="D10" s="206">
        <v>18000</v>
      </c>
      <c r="E10" s="215"/>
      <c r="F10" s="215"/>
      <c r="G10" s="206"/>
      <c r="H10" s="206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181">
        <f t="shared" ref="S10:S15" si="0">SUM(C10:R10)</f>
        <v>36000</v>
      </c>
      <c r="T10" s="177">
        <v>2029</v>
      </c>
      <c r="U10" s="178">
        <f>U9*(1-$E$3)</f>
        <v>96.059601000000001</v>
      </c>
      <c r="V10" s="178">
        <f>U10/$U$6</f>
        <v>0.96059601000000006</v>
      </c>
    </row>
    <row r="11" spans="1:22" ht="17.25">
      <c r="A11" s="257"/>
      <c r="B11" s="182" t="s">
        <v>50</v>
      </c>
      <c r="C11" s="206">
        <v>20000</v>
      </c>
      <c r="D11" s="206">
        <v>20000</v>
      </c>
      <c r="E11" s="215"/>
      <c r="F11" s="215"/>
      <c r="G11" s="206"/>
      <c r="H11" s="206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181">
        <f t="shared" si="0"/>
        <v>40000</v>
      </c>
      <c r="T11" s="177">
        <v>2030</v>
      </c>
      <c r="U11" s="178">
        <f>U10*(1-$E$3)</f>
        <v>95.099004989999997</v>
      </c>
      <c r="V11" s="178">
        <f t="shared" ref="V11:V12" si="1">U11/$U$6</f>
        <v>0.95099004990000002</v>
      </c>
    </row>
    <row r="12" spans="1:22" ht="17.25">
      <c r="A12" s="257"/>
      <c r="B12" s="182" t="s">
        <v>184</v>
      </c>
      <c r="C12" s="206">
        <v>20000</v>
      </c>
      <c r="D12" s="206">
        <v>20000</v>
      </c>
      <c r="E12" s="215"/>
      <c r="F12" s="215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1">
        <f t="shared" si="0"/>
        <v>40000</v>
      </c>
      <c r="T12" s="177">
        <v>2031</v>
      </c>
      <c r="U12" s="178">
        <f>U11*(1-$E$3)</f>
        <v>94.148014940099998</v>
      </c>
      <c r="V12" s="178">
        <f t="shared" si="1"/>
        <v>0.941480149401</v>
      </c>
    </row>
    <row r="13" spans="1:22" ht="17.25">
      <c r="A13" s="257"/>
      <c r="B13" s="182" t="s">
        <v>185</v>
      </c>
      <c r="C13" s="215"/>
      <c r="D13" s="215"/>
      <c r="E13" s="215"/>
      <c r="F13" s="215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1">
        <f t="shared" si="0"/>
        <v>0</v>
      </c>
    </row>
    <row r="14" spans="1:22" ht="17.25">
      <c r="A14" s="257"/>
      <c r="B14" s="182" t="s">
        <v>186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1">
        <f t="shared" si="0"/>
        <v>0</v>
      </c>
    </row>
    <row r="15" spans="1:22" ht="17.25">
      <c r="A15" s="258"/>
      <c r="B15" s="182" t="s">
        <v>258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1">
        <f t="shared" si="0"/>
        <v>0</v>
      </c>
    </row>
    <row r="16" spans="1:22" ht="24" customHeight="1">
      <c r="A16" s="254" t="s">
        <v>51</v>
      </c>
      <c r="B16" s="254"/>
      <c r="C16" s="185">
        <f t="shared" ref="C16:S16" si="2">SUM(C9:C15)</f>
        <v>59000</v>
      </c>
      <c r="D16" s="185">
        <f t="shared" si="2"/>
        <v>59000</v>
      </c>
      <c r="E16" s="185">
        <f t="shared" si="2"/>
        <v>0</v>
      </c>
      <c r="F16" s="185">
        <f t="shared" si="2"/>
        <v>0</v>
      </c>
      <c r="G16" s="185">
        <f t="shared" ref="G16:R16" si="3">SUM(G9:G15)</f>
        <v>0</v>
      </c>
      <c r="H16" s="185">
        <f t="shared" si="3"/>
        <v>0</v>
      </c>
      <c r="I16" s="185">
        <f t="shared" si="3"/>
        <v>0</v>
      </c>
      <c r="J16" s="185">
        <f t="shared" si="3"/>
        <v>0</v>
      </c>
      <c r="K16" s="185">
        <f t="shared" si="3"/>
        <v>0</v>
      </c>
      <c r="L16" s="185">
        <f t="shared" si="3"/>
        <v>0</v>
      </c>
      <c r="M16" s="185">
        <f t="shared" si="3"/>
        <v>0</v>
      </c>
      <c r="N16" s="185">
        <f t="shared" si="3"/>
        <v>0</v>
      </c>
      <c r="O16" s="185">
        <f t="shared" si="3"/>
        <v>0</v>
      </c>
      <c r="P16" s="185">
        <f t="shared" si="3"/>
        <v>0</v>
      </c>
      <c r="Q16" s="185">
        <f t="shared" si="3"/>
        <v>0</v>
      </c>
      <c r="R16" s="185">
        <f t="shared" si="3"/>
        <v>0</v>
      </c>
      <c r="S16" s="185">
        <f t="shared" si="2"/>
        <v>118000</v>
      </c>
    </row>
    <row r="17" spans="1:19" ht="18">
      <c r="A17" s="186"/>
      <c r="B17" s="186"/>
      <c r="C17" s="43"/>
    </row>
    <row r="18" spans="1:19" ht="24.75" customHeight="1">
      <c r="A18" s="177" t="s">
        <v>293</v>
      </c>
      <c r="B18" s="187" t="s">
        <v>197</v>
      </c>
      <c r="C18" s="188">
        <f>材料成本!D24</f>
        <v>919.91138898128202</v>
      </c>
      <c r="D18" s="188">
        <f>材料成本!E24</f>
        <v>370.51978188068</v>
      </c>
      <c r="E18" s="188">
        <f>材料成本!F24</f>
        <v>0</v>
      </c>
      <c r="F18" s="188">
        <f>材料成本!G24</f>
        <v>0</v>
      </c>
      <c r="G18" s="188">
        <f>材料成本!H24</f>
        <v>0</v>
      </c>
      <c r="H18" s="188">
        <f>材料成本!I24</f>
        <v>0</v>
      </c>
      <c r="I18" s="188">
        <f>材料成本!J24</f>
        <v>0</v>
      </c>
      <c r="J18" s="188">
        <f>材料成本!K24</f>
        <v>0</v>
      </c>
      <c r="K18" s="188">
        <f>材料成本!L24</f>
        <v>0</v>
      </c>
      <c r="L18" s="188">
        <f>材料成本!M24</f>
        <v>0</v>
      </c>
      <c r="M18" s="188">
        <f>材料成本!N24</f>
        <v>0</v>
      </c>
      <c r="N18" s="188">
        <f>材料成本!O24</f>
        <v>0</v>
      </c>
      <c r="O18" s="188">
        <f>材料成本!P24</f>
        <v>0</v>
      </c>
      <c r="P18" s="188">
        <f>材料成本!Q24</f>
        <v>0</v>
      </c>
      <c r="Q18" s="188">
        <f>材料成本!R24</f>
        <v>0</v>
      </c>
      <c r="R18" s="188">
        <f>材料成本!S24</f>
        <v>0</v>
      </c>
      <c r="S18" s="189">
        <f>SUM(C18:R18)</f>
        <v>1290.4311708619621</v>
      </c>
    </row>
    <row r="19" spans="1:19" ht="24.75" customHeight="1">
      <c r="B19" s="187" t="s">
        <v>98</v>
      </c>
      <c r="C19" s="188">
        <f>C8-C18</f>
        <v>434.068611018718</v>
      </c>
      <c r="D19" s="188">
        <f>D8-D18</f>
        <v>14.440218119319979</v>
      </c>
      <c r="E19" s="188">
        <f>E8-E18</f>
        <v>0</v>
      </c>
      <c r="F19" s="188">
        <f>F8-F18</f>
        <v>0</v>
      </c>
      <c r="G19" s="188">
        <f t="shared" ref="G19:R19" si="4">G8-G18</f>
        <v>0</v>
      </c>
      <c r="H19" s="188">
        <f t="shared" si="4"/>
        <v>0</v>
      </c>
      <c r="I19" s="188">
        <f t="shared" si="4"/>
        <v>0</v>
      </c>
      <c r="J19" s="188">
        <f t="shared" si="4"/>
        <v>0</v>
      </c>
      <c r="K19" s="188">
        <f t="shared" si="4"/>
        <v>0</v>
      </c>
      <c r="L19" s="188">
        <f t="shared" si="4"/>
        <v>0</v>
      </c>
      <c r="M19" s="188">
        <f t="shared" si="4"/>
        <v>0</v>
      </c>
      <c r="N19" s="188">
        <f t="shared" si="4"/>
        <v>0</v>
      </c>
      <c r="O19" s="188">
        <f t="shared" si="4"/>
        <v>0</v>
      </c>
      <c r="P19" s="188">
        <f t="shared" si="4"/>
        <v>0</v>
      </c>
      <c r="Q19" s="188">
        <f t="shared" si="4"/>
        <v>0</v>
      </c>
      <c r="R19" s="188">
        <f t="shared" si="4"/>
        <v>0</v>
      </c>
      <c r="S19" s="189">
        <f>SUM(C19:R19)</f>
        <v>448.50882913803798</v>
      </c>
    </row>
    <row r="20" spans="1:19" ht="24.75" customHeight="1">
      <c r="B20" s="187" t="s">
        <v>198</v>
      </c>
      <c r="C20" s="190">
        <f t="shared" ref="C20:S20" si="5">C19/C8</f>
        <v>0.32058716599855092</v>
      </c>
      <c r="D20" s="190">
        <f t="shared" si="5"/>
        <v>3.7510957292497871E-2</v>
      </c>
      <c r="E20" s="190" t="e">
        <f t="shared" si="5"/>
        <v>#DIV/0!</v>
      </c>
      <c r="F20" s="190" t="e">
        <f t="shared" si="5"/>
        <v>#DIV/0!</v>
      </c>
      <c r="G20" s="190" t="e">
        <f t="shared" ref="G20:R20" si="6">G19/G8</f>
        <v>#DIV/0!</v>
      </c>
      <c r="H20" s="190" t="e">
        <f t="shared" si="6"/>
        <v>#DIV/0!</v>
      </c>
      <c r="I20" s="190" t="e">
        <f t="shared" si="6"/>
        <v>#DIV/0!</v>
      </c>
      <c r="J20" s="190" t="e">
        <f t="shared" si="6"/>
        <v>#DIV/0!</v>
      </c>
      <c r="K20" s="190" t="e">
        <f t="shared" si="6"/>
        <v>#DIV/0!</v>
      </c>
      <c r="L20" s="190" t="e">
        <f t="shared" si="6"/>
        <v>#DIV/0!</v>
      </c>
      <c r="M20" s="190" t="e">
        <f t="shared" si="6"/>
        <v>#DIV/0!</v>
      </c>
      <c r="N20" s="190" t="e">
        <f t="shared" si="6"/>
        <v>#DIV/0!</v>
      </c>
      <c r="O20" s="190" t="e">
        <f t="shared" si="6"/>
        <v>#DIV/0!</v>
      </c>
      <c r="P20" s="190" t="e">
        <f t="shared" si="6"/>
        <v>#DIV/0!</v>
      </c>
      <c r="Q20" s="190" t="e">
        <f t="shared" si="6"/>
        <v>#DIV/0!</v>
      </c>
      <c r="R20" s="190" t="e">
        <f t="shared" si="6"/>
        <v>#DIV/0!</v>
      </c>
      <c r="S20" s="190">
        <f t="shared" si="5"/>
        <v>0.25792081908406156</v>
      </c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workbookViewId="0">
      <pane xSplit="3" ySplit="5" topLeftCell="D15" activePane="bottomRight" state="frozen"/>
      <selection pane="topRight"/>
      <selection pane="bottomLeft"/>
      <selection pane="bottomRight" activeCell="E32" sqref="E32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68" t="s">
        <v>7</v>
      </c>
      <c r="B1" s="268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8"/>
    </row>
    <row r="2" spans="1:23" ht="29.25" customHeight="1">
      <c r="A2" s="279" t="s">
        <v>199</v>
      </c>
      <c r="B2" s="279"/>
      <c r="C2" s="279"/>
      <c r="D2" s="279"/>
      <c r="E2" s="279"/>
      <c r="F2" s="276" t="s">
        <v>301</v>
      </c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8"/>
    </row>
    <row r="3" spans="1:23" ht="22.5" customHeight="1">
      <c r="A3" s="267" t="s">
        <v>18</v>
      </c>
      <c r="B3" s="267" t="s">
        <v>200</v>
      </c>
      <c r="C3" s="30" t="s">
        <v>201</v>
      </c>
      <c r="D3" s="269" t="s">
        <v>294</v>
      </c>
      <c r="E3" s="269"/>
      <c r="F3" s="29" t="s">
        <v>202</v>
      </c>
      <c r="G3" s="270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2"/>
      <c r="T3" s="273" t="s">
        <v>152</v>
      </c>
    </row>
    <row r="4" spans="1:23">
      <c r="A4" s="267"/>
      <c r="B4" s="267"/>
      <c r="C4" s="30" t="s">
        <v>143</v>
      </c>
      <c r="D4" s="31" t="str">
        <f>销量!C5</f>
        <v>司机座椅总成</v>
      </c>
      <c r="E4" s="31" t="str">
        <f>销量!D5</f>
        <v>副司机座椅总裁</v>
      </c>
      <c r="F4" s="31">
        <f>销量!E5</f>
        <v>0</v>
      </c>
      <c r="G4" s="31">
        <f>销量!F5</f>
        <v>0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74"/>
    </row>
    <row r="5" spans="1:23" ht="57">
      <c r="A5" s="267"/>
      <c r="B5" s="267"/>
      <c r="C5" s="30" t="s">
        <v>144</v>
      </c>
      <c r="D5" s="31" t="str">
        <f>销量!C6</f>
        <v>XGA68EFAF411-000010/ XGA68EFAF411-000020</v>
      </c>
      <c r="E5" s="31" t="str">
        <f>销量!D6</f>
        <v>XGA69EFAF411-000110</v>
      </c>
      <c r="F5" s="31">
        <f>销量!E6</f>
        <v>0</v>
      </c>
      <c r="G5" s="31">
        <f>销量!F6</f>
        <v>0</v>
      </c>
      <c r="H5" s="31">
        <f>销量!G6</f>
        <v>0</v>
      </c>
      <c r="I5" s="31">
        <f>销量!H6</f>
        <v>0</v>
      </c>
      <c r="J5" s="31">
        <f>销量!I6</f>
        <v>0</v>
      </c>
      <c r="K5" s="31">
        <f>销量!J6</f>
        <v>0</v>
      </c>
      <c r="L5" s="31">
        <f>销量!K6</f>
        <v>0</v>
      </c>
      <c r="M5" s="31">
        <f>销量!L6</f>
        <v>0</v>
      </c>
      <c r="N5" s="31">
        <f>销量!M6</f>
        <v>0</v>
      </c>
      <c r="O5" s="31">
        <f>销量!N6</f>
        <v>0</v>
      </c>
      <c r="P5" s="31">
        <f>销量!O6</f>
        <v>0</v>
      </c>
      <c r="Q5" s="31">
        <f>销量!P6</f>
        <v>0</v>
      </c>
      <c r="R5" s="31">
        <f>销量!Q6</f>
        <v>0</v>
      </c>
      <c r="S5" s="31">
        <f>销量!R6</f>
        <v>0</v>
      </c>
      <c r="T5" s="275"/>
    </row>
    <row r="6" spans="1:23">
      <c r="A6" s="33">
        <v>1</v>
      </c>
      <c r="B6" s="262" t="s">
        <v>203</v>
      </c>
      <c r="C6" s="263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9"/>
    </row>
    <row r="7" spans="1:23">
      <c r="A7" s="33">
        <v>2</v>
      </c>
      <c r="B7" s="262" t="s">
        <v>204</v>
      </c>
      <c r="C7" s="263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9"/>
    </row>
    <row r="8" spans="1:23">
      <c r="A8" s="33">
        <v>3</v>
      </c>
      <c r="B8" s="262" t="s">
        <v>205</v>
      </c>
      <c r="C8" s="26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9"/>
    </row>
    <row r="9" spans="1:23">
      <c r="A9" s="33">
        <v>4</v>
      </c>
      <c r="B9" s="262" t="s">
        <v>206</v>
      </c>
      <c r="C9" s="263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9"/>
    </row>
    <row r="10" spans="1:23">
      <c r="A10" s="33">
        <v>5</v>
      </c>
      <c r="B10" s="262" t="s">
        <v>207</v>
      </c>
      <c r="C10" s="263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9"/>
    </row>
    <row r="11" spans="1:23">
      <c r="A11" s="33">
        <v>6</v>
      </c>
      <c r="B11" s="262" t="s">
        <v>208</v>
      </c>
      <c r="C11" s="263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9"/>
    </row>
    <row r="12" spans="1:23">
      <c r="A12" s="33">
        <v>7</v>
      </c>
      <c r="B12" s="262" t="s">
        <v>209</v>
      </c>
      <c r="C12" s="263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9"/>
    </row>
    <row r="13" spans="1:23">
      <c r="A13" s="33">
        <v>8</v>
      </c>
      <c r="B13" s="262" t="s">
        <v>210</v>
      </c>
      <c r="C13" s="263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9"/>
    </row>
    <row r="14" spans="1:23">
      <c r="A14" s="33">
        <v>9</v>
      </c>
      <c r="B14" s="262" t="s">
        <v>211</v>
      </c>
      <c r="C14" s="263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9"/>
    </row>
    <row r="15" spans="1:23">
      <c r="A15" s="33">
        <v>10</v>
      </c>
      <c r="B15" s="262" t="s">
        <v>212</v>
      </c>
      <c r="C15" s="263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9"/>
    </row>
    <row r="16" spans="1:23">
      <c r="A16" s="33">
        <v>11</v>
      </c>
      <c r="B16" s="262" t="s">
        <v>213</v>
      </c>
      <c r="C16" s="263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9"/>
    </row>
    <row r="17" spans="1:20">
      <c r="A17" s="33">
        <v>12</v>
      </c>
      <c r="B17" s="262" t="s">
        <v>214</v>
      </c>
      <c r="C17" s="263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9"/>
    </row>
    <row r="18" spans="1:20">
      <c r="A18" s="33">
        <v>13</v>
      </c>
      <c r="B18" s="262" t="s">
        <v>215</v>
      </c>
      <c r="C18" s="263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9"/>
    </row>
    <row r="19" spans="1:20">
      <c r="A19" s="33">
        <v>14</v>
      </c>
      <c r="B19" s="262" t="s">
        <v>216</v>
      </c>
      <c r="C19" s="263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9"/>
    </row>
    <row r="20" spans="1:20">
      <c r="A20" s="33">
        <v>15</v>
      </c>
      <c r="B20" s="262" t="s">
        <v>217</v>
      </c>
      <c r="C20" s="263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9"/>
    </row>
    <row r="21" spans="1:20">
      <c r="A21" s="33">
        <v>16</v>
      </c>
      <c r="B21" s="262" t="s">
        <v>218</v>
      </c>
      <c r="C21" s="263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9"/>
    </row>
    <row r="22" spans="1:20">
      <c r="A22" s="33">
        <v>17</v>
      </c>
      <c r="B22" s="262" t="s">
        <v>36</v>
      </c>
      <c r="C22" s="263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9"/>
    </row>
    <row r="23" spans="1:20">
      <c r="A23" s="33">
        <v>18</v>
      </c>
      <c r="B23" s="262" t="s">
        <v>219</v>
      </c>
      <c r="C23" s="263"/>
      <c r="D23" s="35">
        <v>919.91138898128202</v>
      </c>
      <c r="E23" s="35">
        <v>370.51978188068</v>
      </c>
      <c r="F23" s="35"/>
      <c r="G23" s="35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4"/>
      <c r="T23" s="40"/>
    </row>
    <row r="24" spans="1:20" ht="31.5" customHeight="1">
      <c r="A24" s="264" t="s">
        <v>220</v>
      </c>
      <c r="B24" s="265"/>
      <c r="C24" s="266"/>
      <c r="D24" s="36">
        <f>SUM(D6:D23)</f>
        <v>919.91138898128202</v>
      </c>
      <c r="E24" s="36">
        <f t="shared" ref="E24:S24" si="0">SUM(E6:E23)</f>
        <v>370.51978188068</v>
      </c>
      <c r="F24" s="36">
        <f t="shared" si="0"/>
        <v>0</v>
      </c>
      <c r="G24" s="36">
        <f t="shared" si="0"/>
        <v>0</v>
      </c>
      <c r="H24" s="36">
        <f t="shared" si="0"/>
        <v>0</v>
      </c>
      <c r="I24" s="36">
        <f t="shared" si="0"/>
        <v>0</v>
      </c>
      <c r="J24" s="36">
        <f t="shared" si="0"/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6">
        <f t="shared" si="0"/>
        <v>0</v>
      </c>
      <c r="S24" s="36">
        <f t="shared" si="0"/>
        <v>0</v>
      </c>
      <c r="T24" s="40"/>
    </row>
    <row r="25" spans="1:20" ht="20.25" customHeight="1">
      <c r="C25" s="24" t="s">
        <v>49</v>
      </c>
      <c r="D25" s="37">
        <f>D24*0.99</f>
        <v>910.71227509146922</v>
      </c>
      <c r="E25" s="37">
        <f>E24*0.99</f>
        <v>366.81458406187318</v>
      </c>
      <c r="F25" s="37"/>
      <c r="G25" s="37">
        <f t="shared" ref="G25:S25" si="1">G24*0.95</f>
        <v>0</v>
      </c>
      <c r="H25" s="37">
        <f t="shared" si="1"/>
        <v>0</v>
      </c>
      <c r="I25" s="37">
        <f t="shared" si="1"/>
        <v>0</v>
      </c>
      <c r="J25" s="37">
        <f t="shared" si="1"/>
        <v>0</v>
      </c>
      <c r="K25" s="37">
        <f t="shared" si="1"/>
        <v>0</v>
      </c>
      <c r="L25" s="37">
        <f t="shared" si="1"/>
        <v>0</v>
      </c>
      <c r="M25" s="37">
        <f t="shared" si="1"/>
        <v>0</v>
      </c>
      <c r="N25" s="37">
        <f t="shared" si="1"/>
        <v>0</v>
      </c>
      <c r="O25" s="37">
        <f t="shared" si="1"/>
        <v>0</v>
      </c>
      <c r="P25" s="37">
        <f t="shared" si="1"/>
        <v>0</v>
      </c>
      <c r="Q25" s="37">
        <f t="shared" si="1"/>
        <v>0</v>
      </c>
      <c r="R25" s="37">
        <f t="shared" si="1"/>
        <v>0</v>
      </c>
      <c r="S25" s="37">
        <f t="shared" si="1"/>
        <v>0</v>
      </c>
    </row>
    <row r="26" spans="1:20" ht="20.25" customHeight="1">
      <c r="C26" s="24" t="s">
        <v>50</v>
      </c>
      <c r="D26" s="37">
        <f t="shared" ref="D26:D28" si="2">D25*0.99</f>
        <v>901.60515234055447</v>
      </c>
      <c r="E26" s="37">
        <f t="shared" ref="E26:E28" si="3">E25*0.99</f>
        <v>363.14643822125441</v>
      </c>
      <c r="F26" s="37"/>
      <c r="G26" s="37">
        <f t="shared" ref="G26:S28" si="4">G25*0.95</f>
        <v>0</v>
      </c>
      <c r="H26" s="37">
        <f t="shared" si="4"/>
        <v>0</v>
      </c>
      <c r="I26" s="37">
        <f t="shared" si="4"/>
        <v>0</v>
      </c>
      <c r="J26" s="37">
        <f t="shared" si="4"/>
        <v>0</v>
      </c>
      <c r="K26" s="37">
        <f t="shared" si="4"/>
        <v>0</v>
      </c>
      <c r="L26" s="37">
        <f t="shared" si="4"/>
        <v>0</v>
      </c>
      <c r="M26" s="37">
        <f t="shared" si="4"/>
        <v>0</v>
      </c>
      <c r="N26" s="37">
        <f t="shared" si="4"/>
        <v>0</v>
      </c>
      <c r="O26" s="37">
        <f t="shared" si="4"/>
        <v>0</v>
      </c>
      <c r="P26" s="37">
        <f t="shared" si="4"/>
        <v>0</v>
      </c>
      <c r="Q26" s="37">
        <f t="shared" si="4"/>
        <v>0</v>
      </c>
      <c r="R26" s="37">
        <f t="shared" si="4"/>
        <v>0</v>
      </c>
      <c r="S26" s="37">
        <f t="shared" si="4"/>
        <v>0</v>
      </c>
    </row>
    <row r="27" spans="1:20" ht="20.25" customHeight="1">
      <c r="C27" s="24" t="s">
        <v>184</v>
      </c>
      <c r="D27" s="37">
        <f t="shared" si="2"/>
        <v>892.58910081714896</v>
      </c>
      <c r="E27" s="37">
        <f t="shared" si="3"/>
        <v>359.51497383904189</v>
      </c>
      <c r="F27" s="37"/>
      <c r="G27" s="37">
        <f t="shared" ref="G27:I27" si="5">G26*0.95</f>
        <v>0</v>
      </c>
      <c r="H27" s="37">
        <f t="shared" si="5"/>
        <v>0</v>
      </c>
      <c r="I27" s="37">
        <f t="shared" si="5"/>
        <v>0</v>
      </c>
      <c r="J27" s="37">
        <f t="shared" si="4"/>
        <v>0</v>
      </c>
      <c r="K27" s="37">
        <f t="shared" si="4"/>
        <v>0</v>
      </c>
      <c r="L27" s="37">
        <f t="shared" si="4"/>
        <v>0</v>
      </c>
      <c r="M27" s="37">
        <f t="shared" si="4"/>
        <v>0</v>
      </c>
      <c r="N27" s="37">
        <f t="shared" si="4"/>
        <v>0</v>
      </c>
      <c r="O27" s="37">
        <f t="shared" si="4"/>
        <v>0</v>
      </c>
      <c r="P27" s="37">
        <f t="shared" si="4"/>
        <v>0</v>
      </c>
      <c r="Q27" s="37">
        <f t="shared" si="4"/>
        <v>0</v>
      </c>
      <c r="R27" s="37">
        <f t="shared" si="4"/>
        <v>0</v>
      </c>
      <c r="S27" s="37">
        <f t="shared" si="4"/>
        <v>0</v>
      </c>
    </row>
    <row r="28" spans="1:20" ht="20.25" customHeight="1">
      <c r="C28" s="24" t="s">
        <v>185</v>
      </c>
      <c r="D28" s="37">
        <f t="shared" si="2"/>
        <v>883.66320980897751</v>
      </c>
      <c r="E28" s="37">
        <f t="shared" si="3"/>
        <v>355.91982410065145</v>
      </c>
      <c r="F28" s="37"/>
      <c r="G28" s="37">
        <f t="shared" ref="G28:I28" si="6">G27*0.95</f>
        <v>0</v>
      </c>
      <c r="H28" s="37">
        <f t="shared" si="6"/>
        <v>0</v>
      </c>
      <c r="I28" s="37">
        <f t="shared" si="6"/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37">
        <f t="shared" si="4"/>
        <v>0</v>
      </c>
      <c r="S28" s="37">
        <f t="shared" si="4"/>
        <v>0</v>
      </c>
    </row>
    <row r="29" spans="1:20" ht="20.25" customHeight="1">
      <c r="C29" s="24" t="s">
        <v>186</v>
      </c>
    </row>
    <row r="31" spans="1:20">
      <c r="D31" s="24"/>
      <c r="E31" s="24"/>
    </row>
  </sheetData>
  <mergeCells count="27">
    <mergeCell ref="A1:B1"/>
    <mergeCell ref="D3:E3"/>
    <mergeCell ref="G3:S3"/>
    <mergeCell ref="T3:T5"/>
    <mergeCell ref="F2:T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3" sqref="C3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221</v>
      </c>
      <c r="C1" s="17" t="s">
        <v>222</v>
      </c>
      <c r="D1" s="17" t="s">
        <v>223</v>
      </c>
    </row>
    <row r="2" spans="1:4" ht="25.5" customHeight="1">
      <c r="A2" s="17">
        <v>1</v>
      </c>
      <c r="B2" s="18" t="s">
        <v>224</v>
      </c>
      <c r="C2" s="19" t="s">
        <v>284</v>
      </c>
      <c r="D2" s="170"/>
    </row>
    <row r="3" spans="1:4" ht="24" customHeight="1">
      <c r="A3" s="17">
        <v>2</v>
      </c>
      <c r="B3" s="18" t="s">
        <v>225</v>
      </c>
      <c r="C3" s="20" t="s">
        <v>285</v>
      </c>
      <c r="D3" s="170" t="s">
        <v>226</v>
      </c>
    </row>
    <row r="4" spans="1:4" ht="19.5" customHeight="1">
      <c r="A4" s="17">
        <v>3</v>
      </c>
      <c r="B4" s="18" t="s">
        <v>227</v>
      </c>
      <c r="C4" s="19" t="s">
        <v>286</v>
      </c>
      <c r="D4" s="170"/>
    </row>
    <row r="5" spans="1:4" ht="21" customHeight="1">
      <c r="A5" s="17">
        <v>4</v>
      </c>
      <c r="B5" s="18" t="s">
        <v>228</v>
      </c>
      <c r="C5" s="19" t="s">
        <v>287</v>
      </c>
      <c r="D5" s="170"/>
    </row>
    <row r="6" spans="1:4" ht="21" customHeight="1">
      <c r="A6" s="17">
        <v>5</v>
      </c>
      <c r="B6" s="18" t="s">
        <v>229</v>
      </c>
      <c r="C6" s="19" t="s">
        <v>288</v>
      </c>
      <c r="D6" s="170"/>
    </row>
    <row r="7" spans="1:4" ht="27.75" customHeight="1">
      <c r="A7" s="17">
        <v>6</v>
      </c>
      <c r="B7" s="170" t="s">
        <v>230</v>
      </c>
      <c r="C7" s="20" t="s">
        <v>289</v>
      </c>
      <c r="D7" s="170"/>
    </row>
    <row r="8" spans="1:4" ht="25.5" customHeight="1">
      <c r="A8" s="17">
        <v>7</v>
      </c>
      <c r="B8" s="18" t="s">
        <v>231</v>
      </c>
      <c r="C8" s="21" t="s">
        <v>290</v>
      </c>
      <c r="D8" s="170"/>
    </row>
    <row r="9" spans="1:4" ht="25.5" customHeight="1">
      <c r="A9" s="17">
        <v>8</v>
      </c>
      <c r="B9" s="170" t="s">
        <v>232</v>
      </c>
      <c r="C9" s="21"/>
      <c r="D9" s="170"/>
    </row>
    <row r="10" spans="1:4" ht="25.5" customHeight="1">
      <c r="A10" s="17">
        <v>9</v>
      </c>
      <c r="B10" s="170" t="s">
        <v>233</v>
      </c>
      <c r="C10" s="21"/>
      <c r="D10" s="170"/>
    </row>
    <row r="11" spans="1:4" ht="25.5" customHeight="1">
      <c r="A11" s="17">
        <v>10</v>
      </c>
      <c r="B11" s="170" t="s">
        <v>234</v>
      </c>
      <c r="C11" s="21"/>
      <c r="D11" s="170" t="s">
        <v>235</v>
      </c>
    </row>
    <row r="12" spans="1:4" ht="25.5" customHeight="1">
      <c r="A12" s="17">
        <v>11</v>
      </c>
      <c r="B12" s="170" t="s">
        <v>236</v>
      </c>
      <c r="C12" s="21"/>
      <c r="D12" s="170"/>
    </row>
    <row r="13" spans="1:4" ht="24" customHeight="1">
      <c r="A13" s="17">
        <v>12</v>
      </c>
      <c r="B13" s="18" t="s">
        <v>237</v>
      </c>
      <c r="C13" s="21">
        <v>5000</v>
      </c>
      <c r="D13" s="170"/>
    </row>
    <row r="14" spans="1:4" ht="24" customHeight="1">
      <c r="A14" s="17">
        <v>13</v>
      </c>
      <c r="B14" s="18" t="s">
        <v>238</v>
      </c>
      <c r="C14" s="21" t="s">
        <v>291</v>
      </c>
      <c r="D14" s="170"/>
    </row>
    <row r="15" spans="1:4" ht="24" customHeight="1">
      <c r="A15" s="17">
        <v>14</v>
      </c>
      <c r="B15" s="18" t="s">
        <v>239</v>
      </c>
      <c r="C15" s="21" t="s">
        <v>292</v>
      </c>
      <c r="D15" s="170"/>
    </row>
    <row r="16" spans="1:4" ht="24" customHeight="1">
      <c r="A16" s="17">
        <v>15</v>
      </c>
      <c r="B16" s="170" t="s">
        <v>36</v>
      </c>
      <c r="C16" s="170"/>
      <c r="D16" s="170"/>
    </row>
    <row r="17" spans="2:2" ht="16.5">
      <c r="B17" s="22" t="s">
        <v>240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I19" sqref="I19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86" t="s">
        <v>241</v>
      </c>
      <c r="H1" s="286"/>
      <c r="I1" s="15" t="str">
        <f>销量!C6</f>
        <v>XGA68EFAF411-000010/ XGA68EFAF411-000020</v>
      </c>
    </row>
    <row r="2" spans="1:15" ht="39" customHeight="1">
      <c r="A2" s="285" t="s">
        <v>242</v>
      </c>
      <c r="B2" s="285"/>
      <c r="C2" s="280" t="s">
        <v>276</v>
      </c>
      <c r="D2" s="287"/>
      <c r="E2" s="287"/>
      <c r="F2" s="287"/>
      <c r="G2" s="287"/>
      <c r="H2" s="281"/>
      <c r="I2" s="3" t="s">
        <v>243</v>
      </c>
    </row>
    <row r="3" spans="1:15" ht="34.5" customHeight="1">
      <c r="A3" s="285"/>
      <c r="B3" s="285"/>
      <c r="C3" s="4" t="s">
        <v>244</v>
      </c>
      <c r="D3" s="4" t="s">
        <v>245</v>
      </c>
      <c r="E3" s="4" t="s">
        <v>246</v>
      </c>
      <c r="F3" s="5" t="s">
        <v>247</v>
      </c>
      <c r="G3" s="5" t="s">
        <v>248</v>
      </c>
      <c r="H3" s="167" t="s">
        <v>257</v>
      </c>
      <c r="I3" s="14">
        <f>销量!C8</f>
        <v>1353.98</v>
      </c>
      <c r="J3" s="167" t="s">
        <v>280</v>
      </c>
      <c r="K3" s="167" t="s">
        <v>274</v>
      </c>
      <c r="L3" s="167" t="s">
        <v>279</v>
      </c>
      <c r="M3" s="193" t="s">
        <v>277</v>
      </c>
    </row>
    <row r="4" spans="1:15" ht="24" customHeight="1">
      <c r="A4" s="282" t="s">
        <v>250</v>
      </c>
      <c r="B4" s="282"/>
      <c r="C4" s="7"/>
      <c r="D4" s="8"/>
      <c r="E4" s="9">
        <f>$I$3*H4</f>
        <v>93.966211999999999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4">
        <v>6.9400000000000003E-2</v>
      </c>
    </row>
    <row r="5" spans="1:15" ht="24" customHeight="1">
      <c r="A5" s="282" t="s">
        <v>251</v>
      </c>
      <c r="B5" s="6" t="s">
        <v>252</v>
      </c>
      <c r="C5" s="7"/>
      <c r="D5" s="8"/>
      <c r="E5" s="9">
        <f>$I$3*H5</f>
        <v>111.70335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4">
        <v>8.2500000000000004E-2</v>
      </c>
    </row>
    <row r="6" spans="1:15" ht="24" customHeight="1">
      <c r="A6" s="282"/>
      <c r="B6" s="6" t="s">
        <v>253</v>
      </c>
      <c r="C6" s="7"/>
      <c r="D6" s="8"/>
      <c r="E6" s="9">
        <f t="shared" ref="E6:E11" si="0">$I$3*H6</f>
        <v>58.762732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4">
        <v>4.3400000000000001E-2</v>
      </c>
    </row>
    <row r="7" spans="1:15" ht="24" customHeight="1">
      <c r="A7" s="280" t="s">
        <v>254</v>
      </c>
      <c r="B7" s="281"/>
      <c r="C7" s="11"/>
      <c r="D7" s="12"/>
      <c r="E7" s="9">
        <f t="shared" si="0"/>
        <v>264.43229400000001</v>
      </c>
      <c r="F7" s="9"/>
      <c r="G7" s="9"/>
      <c r="H7" s="195">
        <f>SUM(H4:H6)</f>
        <v>0.1953</v>
      </c>
      <c r="J7" s="195">
        <f t="shared" ref="J7:K7" si="1">SUM(J4:J6)</f>
        <v>0.06</v>
      </c>
      <c r="K7" s="195">
        <f t="shared" si="1"/>
        <v>0.1027</v>
      </c>
      <c r="L7" s="195">
        <f>SUM(L4:L6)</f>
        <v>0.1953</v>
      </c>
      <c r="M7" s="194"/>
    </row>
    <row r="8" spans="1:15" ht="24" customHeight="1">
      <c r="A8" s="282" t="s">
        <v>81</v>
      </c>
      <c r="B8" s="282"/>
      <c r="C8" s="7"/>
      <c r="D8" s="8"/>
      <c r="E8" s="9">
        <f t="shared" si="0"/>
        <v>35.745072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4">
        <v>2.64E-2</v>
      </c>
      <c r="N8" s="175" t="s">
        <v>278</v>
      </c>
    </row>
    <row r="9" spans="1:15" ht="24" customHeight="1">
      <c r="A9" s="283" t="s">
        <v>255</v>
      </c>
      <c r="B9" s="6" t="s">
        <v>252</v>
      </c>
      <c r="C9" s="7"/>
      <c r="D9" s="8"/>
      <c r="E9" s="9">
        <f t="shared" si="0"/>
        <v>23.288456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196">
        <v>1.72E-2</v>
      </c>
      <c r="N9" s="197">
        <v>2.1100000000000001E-2</v>
      </c>
      <c r="O9" s="197">
        <v>0.10340000000000001</v>
      </c>
    </row>
    <row r="10" spans="1:15" ht="24" customHeight="1">
      <c r="A10" s="284"/>
      <c r="B10" s="6" t="s">
        <v>253</v>
      </c>
      <c r="C10" s="7"/>
      <c r="D10" s="8"/>
      <c r="E10" s="9">
        <f t="shared" si="0"/>
        <v>88.144098000000014</v>
      </c>
      <c r="F10" s="9"/>
      <c r="G10" s="9"/>
      <c r="H10" s="13">
        <v>6.5100000000000005E-2</v>
      </c>
      <c r="J10" s="10">
        <v>1.6E-2</v>
      </c>
      <c r="K10" s="13">
        <v>4.1200000000000001E-2</v>
      </c>
      <c r="L10" s="13">
        <v>6.5100000000000005E-2</v>
      </c>
      <c r="M10" s="196">
        <v>6.5100000000000005E-2</v>
      </c>
      <c r="N10" s="198"/>
      <c r="O10" s="198"/>
    </row>
    <row r="11" spans="1:15" ht="24" customHeight="1">
      <c r="A11" s="282" t="s">
        <v>84</v>
      </c>
      <c r="B11" s="282"/>
      <c r="C11" s="7"/>
      <c r="D11" s="8"/>
      <c r="E11" s="9">
        <f t="shared" si="0"/>
        <v>48.066289999999995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4">
        <v>3.0099999999999998E-2</v>
      </c>
    </row>
    <row r="13" spans="1:15" s="1" customFormat="1" ht="18.75" customHeight="1">
      <c r="G13" s="286" t="s">
        <v>241</v>
      </c>
      <c r="H13" s="286"/>
      <c r="I13" s="15" t="str">
        <f>销量!D6</f>
        <v>XGA69EFAF411-000110</v>
      </c>
      <c r="K13" s="1" t="s">
        <v>304</v>
      </c>
    </row>
    <row r="14" spans="1:15" ht="39" customHeight="1">
      <c r="A14" s="285" t="s">
        <v>242</v>
      </c>
      <c r="B14" s="285"/>
      <c r="C14" s="280" t="str">
        <f>C2</f>
        <v>河北工厂平均值</v>
      </c>
      <c r="D14" s="287"/>
      <c r="E14" s="287"/>
      <c r="F14" s="287"/>
      <c r="G14" s="287"/>
      <c r="H14" s="281"/>
      <c r="I14" s="3" t="s">
        <v>243</v>
      </c>
      <c r="J14"/>
    </row>
    <row r="15" spans="1:15" ht="34.5" customHeight="1">
      <c r="A15" s="285"/>
      <c r="B15" s="285"/>
      <c r="C15" s="4" t="s">
        <v>244</v>
      </c>
      <c r="D15" s="4" t="s">
        <v>245</v>
      </c>
      <c r="E15" s="4" t="s">
        <v>246</v>
      </c>
      <c r="F15" s="5" t="s">
        <v>247</v>
      </c>
      <c r="G15" s="5" t="s">
        <v>248</v>
      </c>
      <c r="H15" s="5" t="s">
        <v>249</v>
      </c>
      <c r="I15" s="14">
        <f>销量!D8</f>
        <v>384.96</v>
      </c>
    </row>
    <row r="16" spans="1:15" ht="24" customHeight="1">
      <c r="A16" s="282" t="s">
        <v>250</v>
      </c>
      <c r="B16" s="282"/>
      <c r="C16" s="7"/>
      <c r="D16" s="8"/>
      <c r="E16" s="9">
        <f>$I$15*H16</f>
        <v>26.716224</v>
      </c>
      <c r="F16" s="9"/>
      <c r="G16" s="9"/>
      <c r="H16" s="10">
        <f t="shared" ref="H16:H23" si="2">H4</f>
        <v>6.9400000000000003E-2</v>
      </c>
    </row>
    <row r="17" spans="1:9" ht="24" customHeight="1">
      <c r="A17" s="282" t="s">
        <v>251</v>
      </c>
      <c r="B17" s="6" t="s">
        <v>252</v>
      </c>
      <c r="C17" s="7"/>
      <c r="D17" s="8"/>
      <c r="E17" s="9">
        <f t="shared" ref="E17:E23" si="3">$I$15*H17</f>
        <v>31.7592</v>
      </c>
      <c r="F17" s="9"/>
      <c r="G17" s="9"/>
      <c r="H17" s="10">
        <f t="shared" si="2"/>
        <v>8.2500000000000004E-2</v>
      </c>
    </row>
    <row r="18" spans="1:9" ht="24" customHeight="1">
      <c r="A18" s="282"/>
      <c r="B18" s="6" t="s">
        <v>253</v>
      </c>
      <c r="C18" s="7"/>
      <c r="D18" s="8"/>
      <c r="E18" s="9">
        <f t="shared" si="3"/>
        <v>16.707263999999999</v>
      </c>
      <c r="F18" s="9"/>
      <c r="G18" s="9"/>
      <c r="H18" s="10">
        <f t="shared" si="2"/>
        <v>4.3400000000000001E-2</v>
      </c>
    </row>
    <row r="19" spans="1:9" ht="24" customHeight="1">
      <c r="A19" s="280" t="s">
        <v>254</v>
      </c>
      <c r="B19" s="281"/>
      <c r="C19" s="11"/>
      <c r="D19" s="12"/>
      <c r="E19" s="9">
        <f t="shared" si="3"/>
        <v>75.182687999999999</v>
      </c>
      <c r="F19" s="9"/>
      <c r="G19" s="9"/>
      <c r="H19" s="13">
        <f t="shared" si="2"/>
        <v>0.1953</v>
      </c>
    </row>
    <row r="20" spans="1:9" ht="24" customHeight="1">
      <c r="A20" s="282" t="s">
        <v>81</v>
      </c>
      <c r="B20" s="282"/>
      <c r="C20" s="7"/>
      <c r="D20" s="8"/>
      <c r="E20" s="9">
        <f t="shared" si="3"/>
        <v>10.162944</v>
      </c>
      <c r="F20" s="9"/>
      <c r="G20" s="9"/>
      <c r="H20" s="10">
        <f t="shared" si="2"/>
        <v>2.64E-2</v>
      </c>
    </row>
    <row r="21" spans="1:9" ht="24" customHeight="1">
      <c r="A21" s="283" t="s">
        <v>255</v>
      </c>
      <c r="B21" s="6" t="s">
        <v>252</v>
      </c>
      <c r="C21" s="7"/>
      <c r="D21" s="8"/>
      <c r="E21" s="9">
        <f t="shared" si="3"/>
        <v>6.6213119999999996</v>
      </c>
      <c r="F21" s="9"/>
      <c r="G21" s="9"/>
      <c r="H21" s="10">
        <f t="shared" si="2"/>
        <v>1.72E-2</v>
      </c>
    </row>
    <row r="22" spans="1:9" ht="24" customHeight="1">
      <c r="A22" s="284"/>
      <c r="B22" s="6" t="s">
        <v>253</v>
      </c>
      <c r="C22" s="7"/>
      <c r="D22" s="8"/>
      <c r="E22" s="9">
        <f t="shared" si="3"/>
        <v>25.060896</v>
      </c>
      <c r="F22" s="9"/>
      <c r="G22" s="9"/>
      <c r="H22" s="10">
        <f t="shared" si="2"/>
        <v>6.5100000000000005E-2</v>
      </c>
    </row>
    <row r="23" spans="1:9" ht="24" customHeight="1">
      <c r="A23" s="282" t="s">
        <v>84</v>
      </c>
      <c r="B23" s="282"/>
      <c r="C23" s="7"/>
      <c r="D23" s="8"/>
      <c r="E23" s="9">
        <f t="shared" si="3"/>
        <v>13.666079999999997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86" t="s">
        <v>241</v>
      </c>
      <c r="H26" s="286"/>
      <c r="I26" s="15">
        <f>销量!E6</f>
        <v>0</v>
      </c>
    </row>
    <row r="27" spans="1:9" ht="39" customHeight="1">
      <c r="A27" s="285" t="s">
        <v>242</v>
      </c>
      <c r="B27" s="285"/>
      <c r="C27" s="280" t="str">
        <f>C2</f>
        <v>河北工厂平均值</v>
      </c>
      <c r="D27" s="287"/>
      <c r="E27" s="287"/>
      <c r="F27" s="287"/>
      <c r="G27" s="287"/>
      <c r="H27" s="281"/>
      <c r="I27" s="3" t="s">
        <v>243</v>
      </c>
    </row>
    <row r="28" spans="1:9" ht="34.5" customHeight="1">
      <c r="A28" s="285"/>
      <c r="B28" s="285"/>
      <c r="C28" s="4" t="s">
        <v>244</v>
      </c>
      <c r="D28" s="4" t="s">
        <v>245</v>
      </c>
      <c r="E28" s="4" t="s">
        <v>246</v>
      </c>
      <c r="F28" s="5" t="s">
        <v>247</v>
      </c>
      <c r="G28" s="5" t="s">
        <v>248</v>
      </c>
      <c r="H28" s="5" t="s">
        <v>249</v>
      </c>
      <c r="I28" s="14">
        <f>销量!E8</f>
        <v>0</v>
      </c>
    </row>
    <row r="29" spans="1:9" ht="24" customHeight="1">
      <c r="A29" s="282" t="s">
        <v>250</v>
      </c>
      <c r="B29" s="282"/>
      <c r="C29" s="7"/>
      <c r="D29" s="8"/>
      <c r="E29" s="9">
        <f>$I$28*H29</f>
        <v>0</v>
      </c>
      <c r="F29" s="9"/>
      <c r="G29" s="9"/>
      <c r="H29" s="10">
        <f t="shared" ref="H29:H36" si="4">H4</f>
        <v>6.9400000000000003E-2</v>
      </c>
    </row>
    <row r="30" spans="1:9" ht="24" customHeight="1">
      <c r="A30" s="282" t="s">
        <v>251</v>
      </c>
      <c r="B30" s="6" t="s">
        <v>252</v>
      </c>
      <c r="C30" s="7"/>
      <c r="D30" s="8"/>
      <c r="E30" s="9">
        <f t="shared" ref="E30:E36" si="5">$I$28*H30</f>
        <v>0</v>
      </c>
      <c r="F30" s="9"/>
      <c r="G30" s="9"/>
      <c r="H30" s="10">
        <f t="shared" si="4"/>
        <v>8.2500000000000004E-2</v>
      </c>
    </row>
    <row r="31" spans="1:9" ht="24" customHeight="1">
      <c r="A31" s="282"/>
      <c r="B31" s="6" t="s">
        <v>253</v>
      </c>
      <c r="C31" s="7"/>
      <c r="D31" s="8"/>
      <c r="E31" s="9">
        <f t="shared" si="5"/>
        <v>0</v>
      </c>
      <c r="F31" s="9"/>
      <c r="G31" s="9"/>
      <c r="H31" s="10">
        <f t="shared" si="4"/>
        <v>4.3400000000000001E-2</v>
      </c>
    </row>
    <row r="32" spans="1:9" ht="24" customHeight="1">
      <c r="A32" s="280" t="s">
        <v>254</v>
      </c>
      <c r="B32" s="281"/>
      <c r="C32" s="11"/>
      <c r="D32" s="12"/>
      <c r="E32" s="9">
        <f t="shared" si="5"/>
        <v>0</v>
      </c>
      <c r="F32" s="9"/>
      <c r="G32" s="9"/>
      <c r="H32" s="13">
        <f t="shared" si="4"/>
        <v>0.1953</v>
      </c>
    </row>
    <row r="33" spans="1:9" ht="24" customHeight="1">
      <c r="A33" s="282" t="s">
        <v>81</v>
      </c>
      <c r="B33" s="282"/>
      <c r="C33" s="7"/>
      <c r="D33" s="8"/>
      <c r="E33" s="9">
        <f t="shared" si="5"/>
        <v>0</v>
      </c>
      <c r="F33" s="9"/>
      <c r="G33" s="9"/>
      <c r="H33" s="10">
        <f t="shared" si="4"/>
        <v>2.64E-2</v>
      </c>
    </row>
    <row r="34" spans="1:9" ht="24" customHeight="1">
      <c r="A34" s="283" t="s">
        <v>255</v>
      </c>
      <c r="B34" s="6" t="s">
        <v>252</v>
      </c>
      <c r="C34" s="7"/>
      <c r="D34" s="8"/>
      <c r="E34" s="9">
        <f t="shared" si="5"/>
        <v>0</v>
      </c>
      <c r="F34" s="9"/>
      <c r="G34" s="9"/>
      <c r="H34" s="10">
        <f t="shared" si="4"/>
        <v>1.72E-2</v>
      </c>
    </row>
    <row r="35" spans="1:9" ht="24" customHeight="1">
      <c r="A35" s="284"/>
      <c r="B35" s="6" t="s">
        <v>253</v>
      </c>
      <c r="C35" s="7"/>
      <c r="D35" s="8"/>
      <c r="E35" s="9">
        <f t="shared" si="5"/>
        <v>0</v>
      </c>
      <c r="F35" s="9"/>
      <c r="G35" s="9"/>
      <c r="H35" s="10">
        <f t="shared" si="4"/>
        <v>6.5100000000000005E-2</v>
      </c>
    </row>
    <row r="36" spans="1:9" ht="24" customHeight="1">
      <c r="A36" s="282" t="s">
        <v>84</v>
      </c>
      <c r="B36" s="282"/>
      <c r="C36" s="7"/>
      <c r="D36" s="8"/>
      <c r="E36" s="9">
        <f t="shared" si="5"/>
        <v>0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86" t="s">
        <v>241</v>
      </c>
      <c r="H39" s="286"/>
      <c r="I39" s="15">
        <f>销量!F6</f>
        <v>0</v>
      </c>
    </row>
    <row r="40" spans="1:9" ht="39" customHeight="1">
      <c r="A40" s="285" t="s">
        <v>242</v>
      </c>
      <c r="B40" s="285"/>
      <c r="C40" s="280" t="str">
        <f>C2</f>
        <v>河北工厂平均值</v>
      </c>
      <c r="D40" s="287"/>
      <c r="E40" s="287"/>
      <c r="F40" s="287"/>
      <c r="G40" s="287"/>
      <c r="H40" s="281"/>
      <c r="I40" s="3" t="s">
        <v>243</v>
      </c>
    </row>
    <row r="41" spans="1:9" ht="34.5" customHeight="1">
      <c r="A41" s="285"/>
      <c r="B41" s="285"/>
      <c r="C41" s="4" t="s">
        <v>244</v>
      </c>
      <c r="D41" s="4" t="s">
        <v>245</v>
      </c>
      <c r="E41" s="4" t="s">
        <v>246</v>
      </c>
      <c r="F41" s="5" t="s">
        <v>247</v>
      </c>
      <c r="G41" s="5" t="s">
        <v>248</v>
      </c>
      <c r="H41" s="5" t="s">
        <v>249</v>
      </c>
      <c r="I41" s="14">
        <f>销量!F8</f>
        <v>0</v>
      </c>
    </row>
    <row r="42" spans="1:9" ht="24" customHeight="1">
      <c r="A42" s="282" t="s">
        <v>250</v>
      </c>
      <c r="B42" s="282"/>
      <c r="C42" s="7"/>
      <c r="D42" s="8"/>
      <c r="E42" s="9">
        <f>$I$41*H42</f>
        <v>0</v>
      </c>
      <c r="F42" s="9"/>
      <c r="G42" s="9"/>
      <c r="H42" s="10">
        <f t="shared" ref="H42:H49" si="6">H4</f>
        <v>6.9400000000000003E-2</v>
      </c>
    </row>
    <row r="43" spans="1:9" ht="24" customHeight="1">
      <c r="A43" s="282" t="s">
        <v>251</v>
      </c>
      <c r="B43" s="6" t="s">
        <v>252</v>
      </c>
      <c r="C43" s="7"/>
      <c r="D43" s="8"/>
      <c r="E43" s="9">
        <f t="shared" ref="E43:E49" si="7">$I$41*H43</f>
        <v>0</v>
      </c>
      <c r="F43" s="9"/>
      <c r="G43" s="9"/>
      <c r="H43" s="10">
        <f t="shared" si="6"/>
        <v>8.2500000000000004E-2</v>
      </c>
    </row>
    <row r="44" spans="1:9" ht="24" customHeight="1">
      <c r="A44" s="282"/>
      <c r="B44" s="6" t="s">
        <v>253</v>
      </c>
      <c r="C44" s="7"/>
      <c r="D44" s="8"/>
      <c r="E44" s="9">
        <f t="shared" si="7"/>
        <v>0</v>
      </c>
      <c r="F44" s="9"/>
      <c r="G44" s="9"/>
      <c r="H44" s="10">
        <f t="shared" si="6"/>
        <v>4.3400000000000001E-2</v>
      </c>
    </row>
    <row r="45" spans="1:9" ht="24" customHeight="1">
      <c r="A45" s="280" t="s">
        <v>254</v>
      </c>
      <c r="B45" s="281"/>
      <c r="C45" s="11"/>
      <c r="D45" s="12"/>
      <c r="E45" s="9">
        <f t="shared" si="7"/>
        <v>0</v>
      </c>
      <c r="F45" s="9"/>
      <c r="G45" s="9"/>
      <c r="H45" s="13">
        <f t="shared" si="6"/>
        <v>0.1953</v>
      </c>
    </row>
    <row r="46" spans="1:9" ht="24" customHeight="1">
      <c r="A46" s="282" t="s">
        <v>81</v>
      </c>
      <c r="B46" s="282"/>
      <c r="C46" s="7"/>
      <c r="D46" s="8"/>
      <c r="E46" s="9">
        <f t="shared" si="7"/>
        <v>0</v>
      </c>
      <c r="F46" s="9"/>
      <c r="G46" s="9"/>
      <c r="H46" s="10">
        <f t="shared" si="6"/>
        <v>2.64E-2</v>
      </c>
    </row>
    <row r="47" spans="1:9" ht="24" customHeight="1">
      <c r="A47" s="283" t="s">
        <v>255</v>
      </c>
      <c r="B47" s="6" t="s">
        <v>252</v>
      </c>
      <c r="C47" s="7"/>
      <c r="D47" s="8"/>
      <c r="E47" s="9">
        <f t="shared" si="7"/>
        <v>0</v>
      </c>
      <c r="F47" s="9"/>
      <c r="G47" s="9"/>
      <c r="H47" s="10">
        <f t="shared" si="6"/>
        <v>1.72E-2</v>
      </c>
    </row>
    <row r="48" spans="1:9" ht="24" customHeight="1">
      <c r="A48" s="284"/>
      <c r="B48" s="6" t="s">
        <v>253</v>
      </c>
      <c r="C48" s="7"/>
      <c r="D48" s="8"/>
      <c r="E48" s="9">
        <f t="shared" si="7"/>
        <v>0</v>
      </c>
      <c r="F48" s="9"/>
      <c r="G48" s="9"/>
      <c r="H48" s="10">
        <f t="shared" si="6"/>
        <v>6.5100000000000005E-2</v>
      </c>
    </row>
    <row r="49" spans="1:9" ht="24" customHeight="1">
      <c r="A49" s="282" t="s">
        <v>84</v>
      </c>
      <c r="B49" s="282"/>
      <c r="C49" s="7"/>
      <c r="D49" s="8"/>
      <c r="E49" s="9">
        <f t="shared" si="7"/>
        <v>0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86" t="s">
        <v>241</v>
      </c>
      <c r="H52" s="286"/>
      <c r="I52" s="15">
        <f>销量!G6</f>
        <v>0</v>
      </c>
    </row>
    <row r="53" spans="1:9" ht="39" customHeight="1">
      <c r="A53" s="285" t="s">
        <v>242</v>
      </c>
      <c r="B53" s="285"/>
      <c r="C53" s="280" t="str">
        <f>C2</f>
        <v>河北工厂平均值</v>
      </c>
      <c r="D53" s="287"/>
      <c r="E53" s="287"/>
      <c r="F53" s="287"/>
      <c r="G53" s="287"/>
      <c r="H53" s="281"/>
      <c r="I53" s="3" t="s">
        <v>243</v>
      </c>
    </row>
    <row r="54" spans="1:9" ht="34.5" customHeight="1">
      <c r="A54" s="285"/>
      <c r="B54" s="285"/>
      <c r="C54" s="4" t="s">
        <v>244</v>
      </c>
      <c r="D54" s="4" t="s">
        <v>245</v>
      </c>
      <c r="E54" s="4" t="s">
        <v>246</v>
      </c>
      <c r="F54" s="5" t="s">
        <v>247</v>
      </c>
      <c r="G54" s="5" t="s">
        <v>248</v>
      </c>
      <c r="H54" s="5" t="s">
        <v>249</v>
      </c>
      <c r="I54" s="14">
        <f>销量!G8</f>
        <v>0</v>
      </c>
    </row>
    <row r="55" spans="1:9" ht="24" customHeight="1">
      <c r="A55" s="282" t="s">
        <v>250</v>
      </c>
      <c r="B55" s="282"/>
      <c r="C55" s="7"/>
      <c r="D55" s="8"/>
      <c r="E55" s="9">
        <f>$I$54*H55</f>
        <v>0</v>
      </c>
      <c r="F55" s="9"/>
      <c r="G55" s="9"/>
      <c r="H55" s="10">
        <f t="shared" ref="H55:H62" si="8">H4</f>
        <v>6.9400000000000003E-2</v>
      </c>
    </row>
    <row r="56" spans="1:9" ht="24" customHeight="1">
      <c r="A56" s="282" t="s">
        <v>251</v>
      </c>
      <c r="B56" s="6" t="s">
        <v>252</v>
      </c>
      <c r="C56" s="7"/>
      <c r="D56" s="8"/>
      <c r="E56" s="9">
        <f t="shared" ref="E56:E62" si="9">$I$54*H56</f>
        <v>0</v>
      </c>
      <c r="F56" s="9"/>
      <c r="G56" s="9"/>
      <c r="H56" s="10">
        <f t="shared" si="8"/>
        <v>8.2500000000000004E-2</v>
      </c>
    </row>
    <row r="57" spans="1:9" ht="24" customHeight="1">
      <c r="A57" s="282"/>
      <c r="B57" s="6" t="s">
        <v>253</v>
      </c>
      <c r="C57" s="7"/>
      <c r="D57" s="8"/>
      <c r="E57" s="9">
        <f t="shared" si="9"/>
        <v>0</v>
      </c>
      <c r="F57" s="9"/>
      <c r="G57" s="9"/>
      <c r="H57" s="10">
        <f t="shared" si="8"/>
        <v>4.3400000000000001E-2</v>
      </c>
    </row>
    <row r="58" spans="1:9" ht="24" customHeight="1">
      <c r="A58" s="280" t="s">
        <v>254</v>
      </c>
      <c r="B58" s="281"/>
      <c r="C58" s="11"/>
      <c r="D58" s="12"/>
      <c r="E58" s="9">
        <f t="shared" si="9"/>
        <v>0</v>
      </c>
      <c r="F58" s="9"/>
      <c r="G58" s="9"/>
      <c r="H58" s="13">
        <f t="shared" si="8"/>
        <v>0.1953</v>
      </c>
    </row>
    <row r="59" spans="1:9" ht="24" customHeight="1">
      <c r="A59" s="282" t="s">
        <v>81</v>
      </c>
      <c r="B59" s="282"/>
      <c r="C59" s="7"/>
      <c r="D59" s="8"/>
      <c r="E59" s="9">
        <f t="shared" si="9"/>
        <v>0</v>
      </c>
      <c r="F59" s="9"/>
      <c r="G59" s="9"/>
      <c r="H59" s="10">
        <f t="shared" si="8"/>
        <v>2.64E-2</v>
      </c>
    </row>
    <row r="60" spans="1:9" ht="24" customHeight="1">
      <c r="A60" s="283" t="s">
        <v>255</v>
      </c>
      <c r="B60" s="6" t="s">
        <v>252</v>
      </c>
      <c r="C60" s="7"/>
      <c r="D60" s="8"/>
      <c r="E60" s="9">
        <f t="shared" si="9"/>
        <v>0</v>
      </c>
      <c r="F60" s="9"/>
      <c r="G60" s="9"/>
      <c r="H60" s="10">
        <f t="shared" si="8"/>
        <v>1.72E-2</v>
      </c>
    </row>
    <row r="61" spans="1:9" ht="24" customHeight="1">
      <c r="A61" s="284"/>
      <c r="B61" s="6" t="s">
        <v>253</v>
      </c>
      <c r="C61" s="7"/>
      <c r="D61" s="8"/>
      <c r="E61" s="9">
        <f t="shared" si="9"/>
        <v>0</v>
      </c>
      <c r="F61" s="9"/>
      <c r="G61" s="9"/>
      <c r="H61" s="10">
        <f t="shared" si="8"/>
        <v>6.5100000000000005E-2</v>
      </c>
    </row>
    <row r="62" spans="1:9" ht="24" customHeight="1">
      <c r="A62" s="282" t="s">
        <v>84</v>
      </c>
      <c r="B62" s="282"/>
      <c r="C62" s="7"/>
      <c r="D62" s="8"/>
      <c r="E62" s="9">
        <f t="shared" si="9"/>
        <v>0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86" t="s">
        <v>241</v>
      </c>
      <c r="H65" s="286"/>
      <c r="I65" s="15">
        <f>销量!H6</f>
        <v>0</v>
      </c>
    </row>
    <row r="66" spans="1:9">
      <c r="A66" s="285" t="s">
        <v>242</v>
      </c>
      <c r="B66" s="285"/>
      <c r="C66" s="280" t="str">
        <f t="shared" ref="C66" si="10">$C$2</f>
        <v>河北工厂平均值</v>
      </c>
      <c r="D66" s="287"/>
      <c r="E66" s="287"/>
      <c r="F66" s="287"/>
      <c r="G66" s="287"/>
      <c r="H66" s="281"/>
      <c r="I66" s="3" t="s">
        <v>243</v>
      </c>
    </row>
    <row r="67" spans="1:9" ht="27">
      <c r="A67" s="285"/>
      <c r="B67" s="285"/>
      <c r="C67" s="4" t="s">
        <v>244</v>
      </c>
      <c r="D67" s="4" t="s">
        <v>245</v>
      </c>
      <c r="E67" s="4" t="s">
        <v>246</v>
      </c>
      <c r="F67" s="5" t="s">
        <v>247</v>
      </c>
      <c r="G67" s="5" t="s">
        <v>248</v>
      </c>
      <c r="H67" s="5" t="s">
        <v>249</v>
      </c>
      <c r="I67" s="14">
        <f>销量!H8</f>
        <v>0</v>
      </c>
    </row>
    <row r="68" spans="1:9">
      <c r="A68" s="282" t="s">
        <v>250</v>
      </c>
      <c r="B68" s="282"/>
      <c r="C68" s="7"/>
      <c r="D68" s="8"/>
      <c r="E68" s="9">
        <f>$I$67*H68</f>
        <v>0</v>
      </c>
      <c r="F68" s="9"/>
      <c r="G68" s="9"/>
      <c r="H68" s="10">
        <f t="shared" ref="H68:H75" si="11">H55</f>
        <v>6.9400000000000003E-2</v>
      </c>
    </row>
    <row r="69" spans="1:9">
      <c r="A69" s="282" t="s">
        <v>251</v>
      </c>
      <c r="B69" s="191" t="s">
        <v>252</v>
      </c>
      <c r="C69" s="7"/>
      <c r="D69" s="8"/>
      <c r="E69" s="9">
        <f t="shared" ref="E69:E75" si="12">$I$67*H69</f>
        <v>0</v>
      </c>
      <c r="F69" s="9"/>
      <c r="G69" s="9"/>
      <c r="H69" s="10">
        <f t="shared" si="11"/>
        <v>8.2500000000000004E-2</v>
      </c>
    </row>
    <row r="70" spans="1:9">
      <c r="A70" s="282"/>
      <c r="B70" s="191" t="s">
        <v>253</v>
      </c>
      <c r="C70" s="7"/>
      <c r="D70" s="8"/>
      <c r="E70" s="9">
        <f t="shared" si="12"/>
        <v>0</v>
      </c>
      <c r="F70" s="9"/>
      <c r="G70" s="9"/>
      <c r="H70" s="10">
        <f t="shared" si="11"/>
        <v>4.3400000000000001E-2</v>
      </c>
    </row>
    <row r="71" spans="1:9">
      <c r="A71" s="280" t="s">
        <v>254</v>
      </c>
      <c r="B71" s="281"/>
      <c r="C71" s="11"/>
      <c r="D71" s="12"/>
      <c r="E71" s="9">
        <f t="shared" si="12"/>
        <v>0</v>
      </c>
      <c r="F71" s="9"/>
      <c r="G71" s="9"/>
      <c r="H71" s="13">
        <f t="shared" si="11"/>
        <v>0.1953</v>
      </c>
    </row>
    <row r="72" spans="1:9">
      <c r="A72" s="282" t="s">
        <v>81</v>
      </c>
      <c r="B72" s="282"/>
      <c r="C72" s="7"/>
      <c r="D72" s="8"/>
      <c r="E72" s="9">
        <f t="shared" si="12"/>
        <v>0</v>
      </c>
      <c r="F72" s="9"/>
      <c r="G72" s="9"/>
      <c r="H72" s="10">
        <f t="shared" si="11"/>
        <v>2.64E-2</v>
      </c>
    </row>
    <row r="73" spans="1:9">
      <c r="A73" s="283" t="s">
        <v>255</v>
      </c>
      <c r="B73" s="191" t="s">
        <v>252</v>
      </c>
      <c r="C73" s="7"/>
      <c r="D73" s="8"/>
      <c r="E73" s="9">
        <f t="shared" si="12"/>
        <v>0</v>
      </c>
      <c r="F73" s="9"/>
      <c r="G73" s="9"/>
      <c r="H73" s="10">
        <f t="shared" si="11"/>
        <v>1.72E-2</v>
      </c>
    </row>
    <row r="74" spans="1:9">
      <c r="A74" s="284"/>
      <c r="B74" s="191" t="s">
        <v>253</v>
      </c>
      <c r="C74" s="7"/>
      <c r="D74" s="8"/>
      <c r="E74" s="9">
        <f t="shared" si="12"/>
        <v>0</v>
      </c>
      <c r="F74" s="9"/>
      <c r="G74" s="9"/>
      <c r="H74" s="10">
        <f t="shared" si="11"/>
        <v>6.5100000000000005E-2</v>
      </c>
    </row>
    <row r="75" spans="1:9">
      <c r="A75" s="282" t="s">
        <v>84</v>
      </c>
      <c r="B75" s="282"/>
      <c r="C75" s="7"/>
      <c r="D75" s="8"/>
      <c r="E75" s="9">
        <f t="shared" si="12"/>
        <v>0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86" t="s">
        <v>241</v>
      </c>
      <c r="H78" s="286"/>
      <c r="I78" s="15">
        <f>销量!I6</f>
        <v>0</v>
      </c>
    </row>
    <row r="79" spans="1:9">
      <c r="A79" s="285" t="s">
        <v>242</v>
      </c>
      <c r="B79" s="285"/>
      <c r="C79" s="280" t="str">
        <f t="shared" ref="C79" si="13">$C$2</f>
        <v>河北工厂平均值</v>
      </c>
      <c r="D79" s="287"/>
      <c r="E79" s="287"/>
      <c r="F79" s="287"/>
      <c r="G79" s="287"/>
      <c r="H79" s="281"/>
      <c r="I79" s="3" t="s">
        <v>243</v>
      </c>
    </row>
    <row r="80" spans="1:9" ht="27">
      <c r="A80" s="285"/>
      <c r="B80" s="285"/>
      <c r="C80" s="4" t="s">
        <v>244</v>
      </c>
      <c r="D80" s="4" t="s">
        <v>245</v>
      </c>
      <c r="E80" s="4" t="s">
        <v>246</v>
      </c>
      <c r="F80" s="5" t="s">
        <v>247</v>
      </c>
      <c r="G80" s="5" t="s">
        <v>248</v>
      </c>
      <c r="H80" s="5" t="s">
        <v>249</v>
      </c>
      <c r="I80" s="14">
        <f>销量!I8</f>
        <v>0</v>
      </c>
    </row>
    <row r="81" spans="1:9">
      <c r="A81" s="282" t="s">
        <v>250</v>
      </c>
      <c r="B81" s="282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82" t="s">
        <v>251</v>
      </c>
      <c r="B82" s="191" t="s">
        <v>252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82"/>
      <c r="B83" s="191" t="s">
        <v>253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80" t="s">
        <v>254</v>
      </c>
      <c r="B84" s="281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82" t="s">
        <v>81</v>
      </c>
      <c r="B85" s="282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83" t="s">
        <v>255</v>
      </c>
      <c r="B86" s="191" t="s">
        <v>252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84"/>
      <c r="B87" s="191" t="s">
        <v>253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82" t="s">
        <v>84</v>
      </c>
      <c r="B88" s="282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86" t="s">
        <v>241</v>
      </c>
      <c r="H91" s="286"/>
      <c r="I91" s="15">
        <f>销量!J6</f>
        <v>0</v>
      </c>
    </row>
    <row r="92" spans="1:9">
      <c r="A92" s="285" t="s">
        <v>242</v>
      </c>
      <c r="B92" s="285"/>
      <c r="C92" s="280" t="str">
        <f t="shared" ref="C92" si="16">$C$2</f>
        <v>河北工厂平均值</v>
      </c>
      <c r="D92" s="287"/>
      <c r="E92" s="287"/>
      <c r="F92" s="287"/>
      <c r="G92" s="287"/>
      <c r="H92" s="281"/>
      <c r="I92" s="3" t="s">
        <v>243</v>
      </c>
    </row>
    <row r="93" spans="1:9" ht="27">
      <c r="A93" s="285"/>
      <c r="B93" s="285"/>
      <c r="C93" s="4" t="s">
        <v>244</v>
      </c>
      <c r="D93" s="4" t="s">
        <v>245</v>
      </c>
      <c r="E93" s="4" t="s">
        <v>246</v>
      </c>
      <c r="F93" s="5" t="s">
        <v>247</v>
      </c>
      <c r="G93" s="5" t="s">
        <v>248</v>
      </c>
      <c r="H93" s="5" t="s">
        <v>249</v>
      </c>
      <c r="I93" s="14">
        <f>销量!J8</f>
        <v>0</v>
      </c>
    </row>
    <row r="94" spans="1:9">
      <c r="A94" s="282" t="s">
        <v>250</v>
      </c>
      <c r="B94" s="282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82" t="s">
        <v>251</v>
      </c>
      <c r="B95" s="191" t="s">
        <v>252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82"/>
      <c r="B96" s="191" t="s">
        <v>253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80" t="s">
        <v>254</v>
      </c>
      <c r="B97" s="281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82" t="s">
        <v>81</v>
      </c>
      <c r="B98" s="282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83" t="s">
        <v>255</v>
      </c>
      <c r="B99" s="191" t="s">
        <v>252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84"/>
      <c r="B100" s="191" t="s">
        <v>253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82" t="s">
        <v>84</v>
      </c>
      <c r="B101" s="282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86" t="s">
        <v>241</v>
      </c>
      <c r="H104" s="286"/>
      <c r="I104" s="15">
        <f>销量!K6</f>
        <v>0</v>
      </c>
    </row>
    <row r="105" spans="1:9">
      <c r="A105" s="285" t="s">
        <v>242</v>
      </c>
      <c r="B105" s="285"/>
      <c r="C105" s="280" t="str">
        <f t="shared" ref="C105" si="19">$C$2</f>
        <v>河北工厂平均值</v>
      </c>
      <c r="D105" s="287"/>
      <c r="E105" s="287"/>
      <c r="F105" s="287"/>
      <c r="G105" s="287"/>
      <c r="H105" s="281"/>
      <c r="I105" s="3" t="s">
        <v>243</v>
      </c>
    </row>
    <row r="106" spans="1:9" ht="27">
      <c r="A106" s="285"/>
      <c r="B106" s="285"/>
      <c r="C106" s="4" t="s">
        <v>244</v>
      </c>
      <c r="D106" s="4" t="s">
        <v>245</v>
      </c>
      <c r="E106" s="4" t="s">
        <v>246</v>
      </c>
      <c r="F106" s="5" t="s">
        <v>247</v>
      </c>
      <c r="G106" s="5" t="s">
        <v>248</v>
      </c>
      <c r="H106" s="5" t="s">
        <v>249</v>
      </c>
      <c r="I106" s="14">
        <f>销量!K8</f>
        <v>0</v>
      </c>
    </row>
    <row r="107" spans="1:9">
      <c r="A107" s="282" t="s">
        <v>250</v>
      </c>
      <c r="B107" s="282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82" t="s">
        <v>251</v>
      </c>
      <c r="B108" s="191" t="s">
        <v>252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82"/>
      <c r="B109" s="191" t="s">
        <v>253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80" t="s">
        <v>254</v>
      </c>
      <c r="B110" s="281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82" t="s">
        <v>81</v>
      </c>
      <c r="B111" s="282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83" t="s">
        <v>255</v>
      </c>
      <c r="B112" s="191" t="s">
        <v>252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84"/>
      <c r="B113" s="191" t="s">
        <v>253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82" t="s">
        <v>84</v>
      </c>
      <c r="B114" s="282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86" t="s">
        <v>241</v>
      </c>
      <c r="H117" s="286"/>
      <c r="I117" s="15">
        <f>销量!L6</f>
        <v>0</v>
      </c>
    </row>
    <row r="118" spans="1:9">
      <c r="A118" s="285" t="s">
        <v>242</v>
      </c>
      <c r="B118" s="285"/>
      <c r="C118" s="280" t="str">
        <f t="shared" ref="C118" si="22">$C$2</f>
        <v>河北工厂平均值</v>
      </c>
      <c r="D118" s="287"/>
      <c r="E118" s="287"/>
      <c r="F118" s="287"/>
      <c r="G118" s="287"/>
      <c r="H118" s="281"/>
      <c r="I118" s="3" t="s">
        <v>243</v>
      </c>
    </row>
    <row r="119" spans="1:9" ht="27">
      <c r="A119" s="285"/>
      <c r="B119" s="285"/>
      <c r="C119" s="4" t="s">
        <v>244</v>
      </c>
      <c r="D119" s="4" t="s">
        <v>245</v>
      </c>
      <c r="E119" s="4" t="s">
        <v>246</v>
      </c>
      <c r="F119" s="5" t="s">
        <v>247</v>
      </c>
      <c r="G119" s="5" t="s">
        <v>248</v>
      </c>
      <c r="H119" s="5" t="s">
        <v>249</v>
      </c>
      <c r="I119" s="14">
        <f>销量!L8</f>
        <v>0</v>
      </c>
    </row>
    <row r="120" spans="1:9">
      <c r="A120" s="282" t="s">
        <v>250</v>
      </c>
      <c r="B120" s="282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82" t="s">
        <v>251</v>
      </c>
      <c r="B121" s="191" t="s">
        <v>252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82"/>
      <c r="B122" s="191" t="s">
        <v>253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80" t="s">
        <v>254</v>
      </c>
      <c r="B123" s="281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82" t="s">
        <v>81</v>
      </c>
      <c r="B124" s="282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83" t="s">
        <v>255</v>
      </c>
      <c r="B125" s="191" t="s">
        <v>252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84"/>
      <c r="B126" s="191" t="s">
        <v>253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82" t="s">
        <v>84</v>
      </c>
      <c r="B127" s="282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86" t="s">
        <v>241</v>
      </c>
      <c r="H130" s="286"/>
      <c r="I130" s="15">
        <f>销量!M6</f>
        <v>0</v>
      </c>
    </row>
    <row r="131" spans="1:9">
      <c r="A131" s="285" t="s">
        <v>242</v>
      </c>
      <c r="B131" s="285"/>
      <c r="C131" s="280" t="str">
        <f t="shared" ref="C131" si="25">$C$2</f>
        <v>河北工厂平均值</v>
      </c>
      <c r="D131" s="287"/>
      <c r="E131" s="287"/>
      <c r="F131" s="287"/>
      <c r="G131" s="287"/>
      <c r="H131" s="281"/>
      <c r="I131" s="3" t="s">
        <v>243</v>
      </c>
    </row>
    <row r="132" spans="1:9" ht="27">
      <c r="A132" s="285"/>
      <c r="B132" s="285"/>
      <c r="C132" s="4" t="s">
        <v>244</v>
      </c>
      <c r="D132" s="4" t="s">
        <v>245</v>
      </c>
      <c r="E132" s="4" t="s">
        <v>246</v>
      </c>
      <c r="F132" s="5" t="s">
        <v>247</v>
      </c>
      <c r="G132" s="5" t="s">
        <v>248</v>
      </c>
      <c r="H132" s="5" t="s">
        <v>249</v>
      </c>
      <c r="I132" s="14">
        <f>销量!M8</f>
        <v>0</v>
      </c>
    </row>
    <row r="133" spans="1:9">
      <c r="A133" s="282" t="s">
        <v>250</v>
      </c>
      <c r="B133" s="282"/>
      <c r="C133" s="7"/>
      <c r="D133" s="8"/>
      <c r="E133" s="9">
        <f>$I$132*H133</f>
        <v>0</v>
      </c>
      <c r="F133" s="9"/>
      <c r="G133" s="9"/>
      <c r="H133" s="10">
        <f t="shared" ref="H133:H140" si="26">H120</f>
        <v>6.9400000000000003E-2</v>
      </c>
    </row>
    <row r="134" spans="1:9">
      <c r="A134" s="282" t="s">
        <v>251</v>
      </c>
      <c r="B134" s="191" t="s">
        <v>252</v>
      </c>
      <c r="C134" s="7"/>
      <c r="D134" s="8"/>
      <c r="E134" s="9">
        <f t="shared" ref="E134:E140" si="27">$I$132*H134</f>
        <v>0</v>
      </c>
      <c r="F134" s="9"/>
      <c r="G134" s="9"/>
      <c r="H134" s="10">
        <f t="shared" si="26"/>
        <v>8.2500000000000004E-2</v>
      </c>
    </row>
    <row r="135" spans="1:9">
      <c r="A135" s="282"/>
      <c r="B135" s="191" t="s">
        <v>253</v>
      </c>
      <c r="C135" s="7"/>
      <c r="D135" s="8"/>
      <c r="E135" s="9">
        <f t="shared" si="27"/>
        <v>0</v>
      </c>
      <c r="F135" s="9"/>
      <c r="G135" s="9"/>
      <c r="H135" s="10">
        <f t="shared" si="26"/>
        <v>4.3400000000000001E-2</v>
      </c>
    </row>
    <row r="136" spans="1:9">
      <c r="A136" s="280" t="s">
        <v>254</v>
      </c>
      <c r="B136" s="281"/>
      <c r="C136" s="11"/>
      <c r="D136" s="12"/>
      <c r="E136" s="9">
        <f t="shared" si="27"/>
        <v>0</v>
      </c>
      <c r="F136" s="9"/>
      <c r="G136" s="9"/>
      <c r="H136" s="13">
        <f t="shared" si="26"/>
        <v>0.1953</v>
      </c>
    </row>
    <row r="137" spans="1:9">
      <c r="A137" s="282" t="s">
        <v>81</v>
      </c>
      <c r="B137" s="282"/>
      <c r="C137" s="7"/>
      <c r="D137" s="8"/>
      <c r="E137" s="9">
        <f t="shared" si="27"/>
        <v>0</v>
      </c>
      <c r="F137" s="9"/>
      <c r="G137" s="9"/>
      <c r="H137" s="10">
        <f t="shared" si="26"/>
        <v>2.64E-2</v>
      </c>
    </row>
    <row r="138" spans="1:9">
      <c r="A138" s="283" t="s">
        <v>255</v>
      </c>
      <c r="B138" s="191" t="s">
        <v>252</v>
      </c>
      <c r="C138" s="7"/>
      <c r="D138" s="8"/>
      <c r="E138" s="9">
        <f t="shared" si="27"/>
        <v>0</v>
      </c>
      <c r="F138" s="9"/>
      <c r="G138" s="9"/>
      <c r="H138" s="10">
        <f t="shared" si="26"/>
        <v>1.72E-2</v>
      </c>
    </row>
    <row r="139" spans="1:9">
      <c r="A139" s="284"/>
      <c r="B139" s="191" t="s">
        <v>253</v>
      </c>
      <c r="C139" s="7"/>
      <c r="D139" s="8"/>
      <c r="E139" s="9">
        <f t="shared" si="27"/>
        <v>0</v>
      </c>
      <c r="F139" s="9"/>
      <c r="G139" s="9"/>
      <c r="H139" s="10">
        <f t="shared" si="26"/>
        <v>6.5100000000000005E-2</v>
      </c>
    </row>
    <row r="140" spans="1:9">
      <c r="A140" s="282" t="s">
        <v>84</v>
      </c>
      <c r="B140" s="282"/>
      <c r="C140" s="7"/>
      <c r="D140" s="8"/>
      <c r="E140" s="9">
        <f t="shared" si="27"/>
        <v>0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86" t="s">
        <v>241</v>
      </c>
      <c r="H143" s="286"/>
      <c r="I143" s="15">
        <f>销量!N6</f>
        <v>0</v>
      </c>
    </row>
    <row r="144" spans="1:9">
      <c r="A144" s="285" t="s">
        <v>242</v>
      </c>
      <c r="B144" s="285"/>
      <c r="C144" s="280" t="str">
        <f t="shared" ref="C144" si="28">$C$2</f>
        <v>河北工厂平均值</v>
      </c>
      <c r="D144" s="287"/>
      <c r="E144" s="287"/>
      <c r="F144" s="287"/>
      <c r="G144" s="287"/>
      <c r="H144" s="281"/>
      <c r="I144" s="3" t="s">
        <v>243</v>
      </c>
    </row>
    <row r="145" spans="1:9" ht="27">
      <c r="A145" s="285"/>
      <c r="B145" s="285"/>
      <c r="C145" s="4" t="s">
        <v>244</v>
      </c>
      <c r="D145" s="4" t="s">
        <v>245</v>
      </c>
      <c r="E145" s="4" t="s">
        <v>246</v>
      </c>
      <c r="F145" s="5" t="s">
        <v>247</v>
      </c>
      <c r="G145" s="5" t="s">
        <v>248</v>
      </c>
      <c r="H145" s="5" t="s">
        <v>249</v>
      </c>
      <c r="I145" s="14">
        <f>销量!N8</f>
        <v>0</v>
      </c>
    </row>
    <row r="146" spans="1:9">
      <c r="A146" s="282" t="s">
        <v>250</v>
      </c>
      <c r="B146" s="282"/>
      <c r="C146" s="7"/>
      <c r="D146" s="8"/>
      <c r="E146" s="9">
        <f>$I$145*H146</f>
        <v>0</v>
      </c>
      <c r="F146" s="9"/>
      <c r="G146" s="9"/>
      <c r="H146" s="10">
        <f t="shared" ref="H146:H153" si="29">H133</f>
        <v>6.9400000000000003E-2</v>
      </c>
    </row>
    <row r="147" spans="1:9">
      <c r="A147" s="282" t="s">
        <v>251</v>
      </c>
      <c r="B147" s="191" t="s">
        <v>252</v>
      </c>
      <c r="C147" s="7"/>
      <c r="D147" s="8"/>
      <c r="E147" s="9">
        <f t="shared" ref="E147:E153" si="30">$I$145*H147</f>
        <v>0</v>
      </c>
      <c r="F147" s="9"/>
      <c r="G147" s="9"/>
      <c r="H147" s="10">
        <f t="shared" si="29"/>
        <v>8.2500000000000004E-2</v>
      </c>
    </row>
    <row r="148" spans="1:9">
      <c r="A148" s="282"/>
      <c r="B148" s="191" t="s">
        <v>253</v>
      </c>
      <c r="C148" s="7"/>
      <c r="D148" s="8"/>
      <c r="E148" s="9">
        <f t="shared" si="30"/>
        <v>0</v>
      </c>
      <c r="F148" s="9"/>
      <c r="G148" s="9"/>
      <c r="H148" s="10">
        <f t="shared" si="29"/>
        <v>4.3400000000000001E-2</v>
      </c>
    </row>
    <row r="149" spans="1:9">
      <c r="A149" s="280" t="s">
        <v>254</v>
      </c>
      <c r="B149" s="281"/>
      <c r="C149" s="11"/>
      <c r="D149" s="12"/>
      <c r="E149" s="9">
        <f t="shared" si="30"/>
        <v>0</v>
      </c>
      <c r="F149" s="9"/>
      <c r="G149" s="9"/>
      <c r="H149" s="13">
        <f t="shared" si="29"/>
        <v>0.1953</v>
      </c>
    </row>
    <row r="150" spans="1:9">
      <c r="A150" s="282" t="s">
        <v>81</v>
      </c>
      <c r="B150" s="282"/>
      <c r="C150" s="7"/>
      <c r="D150" s="8"/>
      <c r="E150" s="9">
        <f t="shared" si="30"/>
        <v>0</v>
      </c>
      <c r="F150" s="9"/>
      <c r="G150" s="9"/>
      <c r="H150" s="10">
        <f t="shared" si="29"/>
        <v>2.64E-2</v>
      </c>
    </row>
    <row r="151" spans="1:9">
      <c r="A151" s="283" t="s">
        <v>255</v>
      </c>
      <c r="B151" s="191" t="s">
        <v>252</v>
      </c>
      <c r="C151" s="7"/>
      <c r="D151" s="8"/>
      <c r="E151" s="9">
        <f t="shared" si="30"/>
        <v>0</v>
      </c>
      <c r="F151" s="9"/>
      <c r="G151" s="9"/>
      <c r="H151" s="10">
        <f t="shared" si="29"/>
        <v>1.72E-2</v>
      </c>
    </row>
    <row r="152" spans="1:9">
      <c r="A152" s="284"/>
      <c r="B152" s="191" t="s">
        <v>253</v>
      </c>
      <c r="C152" s="7"/>
      <c r="D152" s="8"/>
      <c r="E152" s="9">
        <f t="shared" si="30"/>
        <v>0</v>
      </c>
      <c r="F152" s="9"/>
      <c r="G152" s="9"/>
      <c r="H152" s="10">
        <f t="shared" si="29"/>
        <v>6.5100000000000005E-2</v>
      </c>
    </row>
    <row r="153" spans="1:9">
      <c r="A153" s="282" t="s">
        <v>84</v>
      </c>
      <c r="B153" s="282"/>
      <c r="C153" s="7"/>
      <c r="D153" s="8"/>
      <c r="E153" s="9">
        <f t="shared" si="30"/>
        <v>0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86" t="s">
        <v>241</v>
      </c>
      <c r="H156" s="286"/>
      <c r="I156" s="15">
        <f>销量!O6</f>
        <v>0</v>
      </c>
    </row>
    <row r="157" spans="1:9">
      <c r="A157" s="285" t="s">
        <v>242</v>
      </c>
      <c r="B157" s="285"/>
      <c r="C157" s="280" t="str">
        <f t="shared" ref="C157" si="31">$C$2</f>
        <v>河北工厂平均值</v>
      </c>
      <c r="D157" s="287"/>
      <c r="E157" s="287"/>
      <c r="F157" s="287"/>
      <c r="G157" s="287"/>
      <c r="H157" s="281"/>
      <c r="I157" s="3" t="s">
        <v>243</v>
      </c>
    </row>
    <row r="158" spans="1:9" ht="27">
      <c r="A158" s="285"/>
      <c r="B158" s="285"/>
      <c r="C158" s="4" t="s">
        <v>244</v>
      </c>
      <c r="D158" s="4" t="s">
        <v>245</v>
      </c>
      <c r="E158" s="4" t="s">
        <v>246</v>
      </c>
      <c r="F158" s="5" t="s">
        <v>247</v>
      </c>
      <c r="G158" s="5" t="s">
        <v>248</v>
      </c>
      <c r="H158" s="5" t="s">
        <v>249</v>
      </c>
      <c r="I158" s="14">
        <f>销量!O8</f>
        <v>0</v>
      </c>
    </row>
    <row r="159" spans="1:9">
      <c r="A159" s="282" t="s">
        <v>250</v>
      </c>
      <c r="B159" s="282"/>
      <c r="C159" s="7"/>
      <c r="D159" s="8"/>
      <c r="E159" s="9">
        <f>$I$158*H159</f>
        <v>0</v>
      </c>
      <c r="F159" s="9"/>
      <c r="G159" s="9"/>
      <c r="H159" s="10">
        <f t="shared" ref="H159:H166" si="32">H146</f>
        <v>6.9400000000000003E-2</v>
      </c>
    </row>
    <row r="160" spans="1:9">
      <c r="A160" s="282" t="s">
        <v>251</v>
      </c>
      <c r="B160" s="191" t="s">
        <v>252</v>
      </c>
      <c r="C160" s="7"/>
      <c r="D160" s="8"/>
      <c r="E160" s="9">
        <f t="shared" ref="E160:E166" si="33">$I$158*H160</f>
        <v>0</v>
      </c>
      <c r="F160" s="9"/>
      <c r="G160" s="9"/>
      <c r="H160" s="10">
        <f t="shared" si="32"/>
        <v>8.2500000000000004E-2</v>
      </c>
    </row>
    <row r="161" spans="1:9">
      <c r="A161" s="282"/>
      <c r="B161" s="191" t="s">
        <v>253</v>
      </c>
      <c r="C161" s="7"/>
      <c r="D161" s="8"/>
      <c r="E161" s="9">
        <f t="shared" si="33"/>
        <v>0</v>
      </c>
      <c r="F161" s="9"/>
      <c r="G161" s="9"/>
      <c r="H161" s="10">
        <f t="shared" si="32"/>
        <v>4.3400000000000001E-2</v>
      </c>
    </row>
    <row r="162" spans="1:9">
      <c r="A162" s="280" t="s">
        <v>254</v>
      </c>
      <c r="B162" s="281"/>
      <c r="C162" s="11"/>
      <c r="D162" s="12"/>
      <c r="E162" s="9">
        <f t="shared" si="33"/>
        <v>0</v>
      </c>
      <c r="F162" s="9"/>
      <c r="G162" s="9"/>
      <c r="H162" s="13">
        <f t="shared" si="32"/>
        <v>0.1953</v>
      </c>
    </row>
    <row r="163" spans="1:9">
      <c r="A163" s="282" t="s">
        <v>81</v>
      </c>
      <c r="B163" s="282"/>
      <c r="C163" s="7"/>
      <c r="D163" s="8"/>
      <c r="E163" s="9">
        <f t="shared" si="33"/>
        <v>0</v>
      </c>
      <c r="F163" s="9"/>
      <c r="G163" s="9"/>
      <c r="H163" s="10">
        <f t="shared" si="32"/>
        <v>2.64E-2</v>
      </c>
    </row>
    <row r="164" spans="1:9">
      <c r="A164" s="283" t="s">
        <v>255</v>
      </c>
      <c r="B164" s="191" t="s">
        <v>252</v>
      </c>
      <c r="C164" s="7"/>
      <c r="D164" s="8"/>
      <c r="E164" s="9">
        <f t="shared" si="33"/>
        <v>0</v>
      </c>
      <c r="F164" s="9"/>
      <c r="G164" s="9"/>
      <c r="H164" s="10">
        <f t="shared" si="32"/>
        <v>1.72E-2</v>
      </c>
    </row>
    <row r="165" spans="1:9">
      <c r="A165" s="284"/>
      <c r="B165" s="191" t="s">
        <v>253</v>
      </c>
      <c r="C165" s="7"/>
      <c r="D165" s="8"/>
      <c r="E165" s="9">
        <f t="shared" si="33"/>
        <v>0</v>
      </c>
      <c r="F165" s="9"/>
      <c r="G165" s="9"/>
      <c r="H165" s="10">
        <f t="shared" si="32"/>
        <v>6.5100000000000005E-2</v>
      </c>
    </row>
    <row r="166" spans="1:9">
      <c r="A166" s="282" t="s">
        <v>84</v>
      </c>
      <c r="B166" s="282"/>
      <c r="C166" s="7"/>
      <c r="D166" s="8"/>
      <c r="E166" s="9">
        <f t="shared" si="33"/>
        <v>0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86" t="s">
        <v>241</v>
      </c>
      <c r="H169" s="286"/>
      <c r="I169" s="15">
        <f>销量!P6</f>
        <v>0</v>
      </c>
    </row>
    <row r="170" spans="1:9">
      <c r="A170" s="285" t="s">
        <v>242</v>
      </c>
      <c r="B170" s="285"/>
      <c r="C170" s="280" t="str">
        <f t="shared" ref="C170" si="34">$C$2</f>
        <v>河北工厂平均值</v>
      </c>
      <c r="D170" s="287"/>
      <c r="E170" s="287"/>
      <c r="F170" s="287"/>
      <c r="G170" s="287"/>
      <c r="H170" s="281"/>
      <c r="I170" s="3" t="s">
        <v>243</v>
      </c>
    </row>
    <row r="171" spans="1:9" ht="27">
      <c r="A171" s="285"/>
      <c r="B171" s="285"/>
      <c r="C171" s="4" t="s">
        <v>244</v>
      </c>
      <c r="D171" s="4" t="s">
        <v>245</v>
      </c>
      <c r="E171" s="4" t="s">
        <v>246</v>
      </c>
      <c r="F171" s="5" t="s">
        <v>247</v>
      </c>
      <c r="G171" s="5" t="s">
        <v>248</v>
      </c>
      <c r="H171" s="5" t="s">
        <v>249</v>
      </c>
      <c r="I171" s="14">
        <f>销量!P8</f>
        <v>0</v>
      </c>
    </row>
    <row r="172" spans="1:9">
      <c r="A172" s="282" t="s">
        <v>250</v>
      </c>
      <c r="B172" s="282"/>
      <c r="C172" s="7"/>
      <c r="D172" s="8"/>
      <c r="E172" s="9">
        <f>$I$171*H172</f>
        <v>0</v>
      </c>
      <c r="F172" s="9"/>
      <c r="G172" s="9"/>
      <c r="H172" s="10">
        <f t="shared" ref="H172:H179" si="35">H159</f>
        <v>6.9400000000000003E-2</v>
      </c>
    </row>
    <row r="173" spans="1:9">
      <c r="A173" s="282" t="s">
        <v>251</v>
      </c>
      <c r="B173" s="191" t="s">
        <v>252</v>
      </c>
      <c r="C173" s="7"/>
      <c r="D173" s="8"/>
      <c r="E173" s="9">
        <f t="shared" ref="E173:E179" si="36">$I$171*H173</f>
        <v>0</v>
      </c>
      <c r="F173" s="9"/>
      <c r="G173" s="9"/>
      <c r="H173" s="10">
        <f t="shared" si="35"/>
        <v>8.2500000000000004E-2</v>
      </c>
    </row>
    <row r="174" spans="1:9">
      <c r="A174" s="282"/>
      <c r="B174" s="191" t="s">
        <v>253</v>
      </c>
      <c r="C174" s="7"/>
      <c r="D174" s="8"/>
      <c r="E174" s="9">
        <f t="shared" si="36"/>
        <v>0</v>
      </c>
      <c r="F174" s="9"/>
      <c r="G174" s="9"/>
      <c r="H174" s="10">
        <f t="shared" si="35"/>
        <v>4.3400000000000001E-2</v>
      </c>
    </row>
    <row r="175" spans="1:9">
      <c r="A175" s="280" t="s">
        <v>254</v>
      </c>
      <c r="B175" s="281"/>
      <c r="C175" s="11"/>
      <c r="D175" s="12"/>
      <c r="E175" s="9">
        <f t="shared" si="36"/>
        <v>0</v>
      </c>
      <c r="F175" s="9"/>
      <c r="G175" s="9"/>
      <c r="H175" s="13">
        <f t="shared" si="35"/>
        <v>0.1953</v>
      </c>
    </row>
    <row r="176" spans="1:9">
      <c r="A176" s="282" t="s">
        <v>81</v>
      </c>
      <c r="B176" s="282"/>
      <c r="C176" s="7"/>
      <c r="D176" s="8"/>
      <c r="E176" s="9">
        <f t="shared" si="36"/>
        <v>0</v>
      </c>
      <c r="F176" s="9"/>
      <c r="G176" s="9"/>
      <c r="H176" s="10">
        <f t="shared" si="35"/>
        <v>2.64E-2</v>
      </c>
    </row>
    <row r="177" spans="1:9">
      <c r="A177" s="283" t="s">
        <v>255</v>
      </c>
      <c r="B177" s="191" t="s">
        <v>252</v>
      </c>
      <c r="C177" s="7"/>
      <c r="D177" s="8"/>
      <c r="E177" s="9">
        <f t="shared" si="36"/>
        <v>0</v>
      </c>
      <c r="F177" s="9"/>
      <c r="G177" s="9"/>
      <c r="H177" s="10">
        <f t="shared" si="35"/>
        <v>1.72E-2</v>
      </c>
    </row>
    <row r="178" spans="1:9">
      <c r="A178" s="284"/>
      <c r="B178" s="191" t="s">
        <v>253</v>
      </c>
      <c r="C178" s="7"/>
      <c r="D178" s="8"/>
      <c r="E178" s="9">
        <f t="shared" si="36"/>
        <v>0</v>
      </c>
      <c r="F178" s="9"/>
      <c r="G178" s="9"/>
      <c r="H178" s="10">
        <f t="shared" si="35"/>
        <v>6.5100000000000005E-2</v>
      </c>
    </row>
    <row r="179" spans="1:9">
      <c r="A179" s="282" t="s">
        <v>84</v>
      </c>
      <c r="B179" s="282"/>
      <c r="C179" s="7"/>
      <c r="D179" s="8"/>
      <c r="E179" s="9">
        <f t="shared" si="36"/>
        <v>0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86" t="s">
        <v>241</v>
      </c>
      <c r="H182" s="286"/>
      <c r="I182" s="15">
        <f>销量!Q6</f>
        <v>0</v>
      </c>
    </row>
    <row r="183" spans="1:9">
      <c r="A183" s="285" t="s">
        <v>242</v>
      </c>
      <c r="B183" s="285"/>
      <c r="C183" s="280" t="str">
        <f t="shared" ref="C183" si="37">$C$2</f>
        <v>河北工厂平均值</v>
      </c>
      <c r="D183" s="287"/>
      <c r="E183" s="287"/>
      <c r="F183" s="287"/>
      <c r="G183" s="287"/>
      <c r="H183" s="281"/>
      <c r="I183" s="3" t="s">
        <v>243</v>
      </c>
    </row>
    <row r="184" spans="1:9" ht="27">
      <c r="A184" s="285"/>
      <c r="B184" s="285"/>
      <c r="C184" s="4" t="s">
        <v>244</v>
      </c>
      <c r="D184" s="4" t="s">
        <v>245</v>
      </c>
      <c r="E184" s="4" t="s">
        <v>246</v>
      </c>
      <c r="F184" s="5" t="s">
        <v>247</v>
      </c>
      <c r="G184" s="5" t="s">
        <v>248</v>
      </c>
      <c r="H184" s="5" t="s">
        <v>249</v>
      </c>
      <c r="I184" s="14">
        <f>销量!Q8</f>
        <v>0</v>
      </c>
    </row>
    <row r="185" spans="1:9">
      <c r="A185" s="282" t="s">
        <v>250</v>
      </c>
      <c r="B185" s="282"/>
      <c r="C185" s="7"/>
      <c r="D185" s="8"/>
      <c r="E185" s="9">
        <f>$I$184*H185</f>
        <v>0</v>
      </c>
      <c r="F185" s="9"/>
      <c r="G185" s="9"/>
      <c r="H185" s="10">
        <f t="shared" ref="H185:H192" si="38">H172</f>
        <v>6.9400000000000003E-2</v>
      </c>
    </row>
    <row r="186" spans="1:9">
      <c r="A186" s="282" t="s">
        <v>251</v>
      </c>
      <c r="B186" s="191" t="s">
        <v>252</v>
      </c>
      <c r="C186" s="7"/>
      <c r="D186" s="8"/>
      <c r="E186" s="9">
        <f t="shared" ref="E186:E192" si="39">$I$184*H186</f>
        <v>0</v>
      </c>
      <c r="F186" s="9"/>
      <c r="G186" s="9"/>
      <c r="H186" s="10">
        <f t="shared" si="38"/>
        <v>8.2500000000000004E-2</v>
      </c>
    </row>
    <row r="187" spans="1:9">
      <c r="A187" s="282"/>
      <c r="B187" s="191" t="s">
        <v>253</v>
      </c>
      <c r="C187" s="7"/>
      <c r="D187" s="8"/>
      <c r="E187" s="9">
        <f t="shared" si="39"/>
        <v>0</v>
      </c>
      <c r="F187" s="9"/>
      <c r="G187" s="9"/>
      <c r="H187" s="10">
        <f t="shared" si="38"/>
        <v>4.3400000000000001E-2</v>
      </c>
    </row>
    <row r="188" spans="1:9">
      <c r="A188" s="280" t="s">
        <v>254</v>
      </c>
      <c r="B188" s="281"/>
      <c r="C188" s="11"/>
      <c r="D188" s="12"/>
      <c r="E188" s="9">
        <f t="shared" si="39"/>
        <v>0</v>
      </c>
      <c r="F188" s="9"/>
      <c r="G188" s="9"/>
      <c r="H188" s="13">
        <f t="shared" si="38"/>
        <v>0.1953</v>
      </c>
    </row>
    <row r="189" spans="1:9">
      <c r="A189" s="282" t="s">
        <v>81</v>
      </c>
      <c r="B189" s="282"/>
      <c r="C189" s="7"/>
      <c r="D189" s="8"/>
      <c r="E189" s="9">
        <f t="shared" si="39"/>
        <v>0</v>
      </c>
      <c r="F189" s="9"/>
      <c r="G189" s="9"/>
      <c r="H189" s="10">
        <f t="shared" si="38"/>
        <v>2.64E-2</v>
      </c>
    </row>
    <row r="190" spans="1:9">
      <c r="A190" s="283" t="s">
        <v>255</v>
      </c>
      <c r="B190" s="191" t="s">
        <v>252</v>
      </c>
      <c r="C190" s="7"/>
      <c r="D190" s="8"/>
      <c r="E190" s="9">
        <f t="shared" si="39"/>
        <v>0</v>
      </c>
      <c r="F190" s="9"/>
      <c r="G190" s="9"/>
      <c r="H190" s="10">
        <f t="shared" si="38"/>
        <v>1.72E-2</v>
      </c>
    </row>
    <row r="191" spans="1:9">
      <c r="A191" s="284"/>
      <c r="B191" s="191" t="s">
        <v>253</v>
      </c>
      <c r="C191" s="7"/>
      <c r="D191" s="8"/>
      <c r="E191" s="9">
        <f t="shared" si="39"/>
        <v>0</v>
      </c>
      <c r="F191" s="9"/>
      <c r="G191" s="9"/>
      <c r="H191" s="10">
        <f t="shared" si="38"/>
        <v>6.5100000000000005E-2</v>
      </c>
    </row>
    <row r="192" spans="1:9">
      <c r="A192" s="282" t="s">
        <v>84</v>
      </c>
      <c r="B192" s="282"/>
      <c r="C192" s="7"/>
      <c r="D192" s="8"/>
      <c r="E192" s="9">
        <f t="shared" si="39"/>
        <v>0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86" t="s">
        <v>241</v>
      </c>
      <c r="H195" s="286"/>
      <c r="I195" s="15">
        <f>销量!R6</f>
        <v>0</v>
      </c>
    </row>
    <row r="196" spans="1:9">
      <c r="A196" s="285" t="s">
        <v>242</v>
      </c>
      <c r="B196" s="285"/>
      <c r="C196" s="280" t="str">
        <f t="shared" ref="C196" si="40">$C$2</f>
        <v>河北工厂平均值</v>
      </c>
      <c r="D196" s="287"/>
      <c r="E196" s="287"/>
      <c r="F196" s="287"/>
      <c r="G196" s="287"/>
      <c r="H196" s="281"/>
      <c r="I196" s="3" t="s">
        <v>243</v>
      </c>
    </row>
    <row r="197" spans="1:9" ht="27">
      <c r="A197" s="285"/>
      <c r="B197" s="285"/>
      <c r="C197" s="4" t="s">
        <v>244</v>
      </c>
      <c r="D197" s="4" t="s">
        <v>245</v>
      </c>
      <c r="E197" s="4" t="s">
        <v>246</v>
      </c>
      <c r="F197" s="5" t="s">
        <v>247</v>
      </c>
      <c r="G197" s="5" t="s">
        <v>248</v>
      </c>
      <c r="H197" s="5" t="s">
        <v>249</v>
      </c>
      <c r="I197" s="14">
        <f>销量!R8</f>
        <v>0</v>
      </c>
    </row>
    <row r="198" spans="1:9">
      <c r="A198" s="282" t="s">
        <v>250</v>
      </c>
      <c r="B198" s="282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6.9400000000000003E-2</v>
      </c>
    </row>
    <row r="199" spans="1:9">
      <c r="A199" s="282" t="s">
        <v>251</v>
      </c>
      <c r="B199" s="191" t="s">
        <v>252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8.2500000000000004E-2</v>
      </c>
    </row>
    <row r="200" spans="1:9">
      <c r="A200" s="282"/>
      <c r="B200" s="191" t="s">
        <v>253</v>
      </c>
      <c r="C200" s="7"/>
      <c r="D200" s="8"/>
      <c r="E200" s="9">
        <f t="shared" si="42"/>
        <v>0</v>
      </c>
      <c r="F200" s="9"/>
      <c r="G200" s="9"/>
      <c r="H200" s="10">
        <f t="shared" si="41"/>
        <v>4.3400000000000001E-2</v>
      </c>
    </row>
    <row r="201" spans="1:9">
      <c r="A201" s="280" t="s">
        <v>254</v>
      </c>
      <c r="B201" s="281"/>
      <c r="C201" s="11"/>
      <c r="D201" s="12"/>
      <c r="E201" s="9">
        <f t="shared" si="42"/>
        <v>0</v>
      </c>
      <c r="F201" s="9"/>
      <c r="G201" s="9"/>
      <c r="H201" s="13">
        <f t="shared" si="41"/>
        <v>0.1953</v>
      </c>
    </row>
    <row r="202" spans="1:9">
      <c r="A202" s="282" t="s">
        <v>81</v>
      </c>
      <c r="B202" s="282"/>
      <c r="C202" s="7"/>
      <c r="D202" s="8"/>
      <c r="E202" s="9">
        <f t="shared" si="42"/>
        <v>0</v>
      </c>
      <c r="F202" s="9"/>
      <c r="G202" s="9"/>
      <c r="H202" s="10">
        <f t="shared" si="41"/>
        <v>2.64E-2</v>
      </c>
    </row>
    <row r="203" spans="1:9">
      <c r="A203" s="283" t="s">
        <v>255</v>
      </c>
      <c r="B203" s="191" t="s">
        <v>252</v>
      </c>
      <c r="C203" s="7"/>
      <c r="D203" s="8"/>
      <c r="E203" s="9">
        <f t="shared" si="42"/>
        <v>0</v>
      </c>
      <c r="F203" s="9"/>
      <c r="G203" s="9"/>
      <c r="H203" s="10">
        <f t="shared" si="41"/>
        <v>1.72E-2</v>
      </c>
    </row>
    <row r="204" spans="1:9">
      <c r="A204" s="284"/>
      <c r="B204" s="191" t="s">
        <v>253</v>
      </c>
      <c r="C204" s="7"/>
      <c r="D204" s="8"/>
      <c r="E204" s="9">
        <f t="shared" si="42"/>
        <v>0</v>
      </c>
      <c r="F204" s="9"/>
      <c r="G204" s="9"/>
      <c r="H204" s="10">
        <f t="shared" si="41"/>
        <v>6.5100000000000005E-2</v>
      </c>
    </row>
    <row r="205" spans="1:9">
      <c r="A205" s="282" t="s">
        <v>84</v>
      </c>
      <c r="B205" s="282"/>
      <c r="C205" s="7"/>
      <c r="D205" s="8"/>
      <c r="E205" s="9">
        <f t="shared" si="42"/>
        <v>0</v>
      </c>
      <c r="F205" s="9"/>
      <c r="G205" s="9"/>
      <c r="H205" s="10">
        <f t="shared" si="41"/>
        <v>3.5499999999999997E-2</v>
      </c>
    </row>
  </sheetData>
  <mergeCells count="144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</mergeCells>
  <phoneticPr fontId="45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4" customWidth="1"/>
    <col min="2" max="2" width="28.5" style="124" customWidth="1"/>
    <col min="3" max="4" width="9.125" style="124"/>
    <col min="5" max="5" width="13.875" style="124" customWidth="1"/>
    <col min="6" max="12" width="16.125" style="124" customWidth="1"/>
    <col min="13" max="13" width="10.625" style="124" customWidth="1"/>
    <col min="14" max="254" width="9.125" style="124"/>
    <col min="255" max="255" width="8" style="124" customWidth="1"/>
    <col min="256" max="256" width="28.5" style="124" customWidth="1"/>
    <col min="257" max="268" width="9.125" style="124"/>
    <col min="269" max="269" width="10.625" style="124" customWidth="1"/>
    <col min="270" max="510" width="9.125" style="124"/>
    <col min="511" max="511" width="8" style="124" customWidth="1"/>
    <col min="512" max="512" width="28.5" style="124" customWidth="1"/>
    <col min="513" max="524" width="9.125" style="124"/>
    <col min="525" max="525" width="10.625" style="124" customWidth="1"/>
    <col min="526" max="766" width="9.125" style="124"/>
    <col min="767" max="767" width="8" style="124" customWidth="1"/>
    <col min="768" max="768" width="28.5" style="124" customWidth="1"/>
    <col min="769" max="780" width="9.125" style="124"/>
    <col min="781" max="781" width="10.625" style="124" customWidth="1"/>
    <col min="782" max="1022" width="9.125" style="124"/>
    <col min="1023" max="1023" width="8" style="124" customWidth="1"/>
    <col min="1024" max="1024" width="28.5" style="124" customWidth="1"/>
    <col min="1025" max="1036" width="9.125" style="124"/>
    <col min="1037" max="1037" width="10.625" style="124" customWidth="1"/>
    <col min="1038" max="1278" width="9.125" style="124"/>
    <col min="1279" max="1279" width="8" style="124" customWidth="1"/>
    <col min="1280" max="1280" width="28.5" style="124" customWidth="1"/>
    <col min="1281" max="1292" width="9.125" style="124"/>
    <col min="1293" max="1293" width="10.625" style="124" customWidth="1"/>
    <col min="1294" max="1534" width="9.125" style="124"/>
    <col min="1535" max="1535" width="8" style="124" customWidth="1"/>
    <col min="1536" max="1536" width="28.5" style="124" customWidth="1"/>
    <col min="1537" max="1548" width="9.125" style="124"/>
    <col min="1549" max="1549" width="10.625" style="124" customWidth="1"/>
    <col min="1550" max="1790" width="9.125" style="124"/>
    <col min="1791" max="1791" width="8" style="124" customWidth="1"/>
    <col min="1792" max="1792" width="28.5" style="124" customWidth="1"/>
    <col min="1793" max="1804" width="9.125" style="124"/>
    <col min="1805" max="1805" width="10.625" style="124" customWidth="1"/>
    <col min="1806" max="2046" width="9.125" style="124"/>
    <col min="2047" max="2047" width="8" style="124" customWidth="1"/>
    <col min="2048" max="2048" width="28.5" style="124" customWidth="1"/>
    <col min="2049" max="2060" width="9.125" style="124"/>
    <col min="2061" max="2061" width="10.625" style="124" customWidth="1"/>
    <col min="2062" max="2302" width="9.125" style="124"/>
    <col min="2303" max="2303" width="8" style="124" customWidth="1"/>
    <col min="2304" max="2304" width="28.5" style="124" customWidth="1"/>
    <col min="2305" max="2316" width="9.125" style="124"/>
    <col min="2317" max="2317" width="10.625" style="124" customWidth="1"/>
    <col min="2318" max="2558" width="9.125" style="124"/>
    <col min="2559" max="2559" width="8" style="124" customWidth="1"/>
    <col min="2560" max="2560" width="28.5" style="124" customWidth="1"/>
    <col min="2561" max="2572" width="9.125" style="124"/>
    <col min="2573" max="2573" width="10.625" style="124" customWidth="1"/>
    <col min="2574" max="2814" width="9.125" style="124"/>
    <col min="2815" max="2815" width="8" style="124" customWidth="1"/>
    <col min="2816" max="2816" width="28.5" style="124" customWidth="1"/>
    <col min="2817" max="2828" width="9.125" style="124"/>
    <col min="2829" max="2829" width="10.625" style="124" customWidth="1"/>
    <col min="2830" max="3070" width="9.125" style="124"/>
    <col min="3071" max="3071" width="8" style="124" customWidth="1"/>
    <col min="3072" max="3072" width="28.5" style="124" customWidth="1"/>
    <col min="3073" max="3084" width="9.125" style="124"/>
    <col min="3085" max="3085" width="10.625" style="124" customWidth="1"/>
    <col min="3086" max="3326" width="9.125" style="124"/>
    <col min="3327" max="3327" width="8" style="124" customWidth="1"/>
    <col min="3328" max="3328" width="28.5" style="124" customWidth="1"/>
    <col min="3329" max="3340" width="9.125" style="124"/>
    <col min="3341" max="3341" width="10.625" style="124" customWidth="1"/>
    <col min="3342" max="3582" width="9.125" style="124"/>
    <col min="3583" max="3583" width="8" style="124" customWidth="1"/>
    <col min="3584" max="3584" width="28.5" style="124" customWidth="1"/>
    <col min="3585" max="3596" width="9.125" style="124"/>
    <col min="3597" max="3597" width="10.625" style="124" customWidth="1"/>
    <col min="3598" max="3838" width="9.125" style="124"/>
    <col min="3839" max="3839" width="8" style="124" customWidth="1"/>
    <col min="3840" max="3840" width="28.5" style="124" customWidth="1"/>
    <col min="3841" max="3852" width="9.125" style="124"/>
    <col min="3853" max="3853" width="10.625" style="124" customWidth="1"/>
    <col min="3854" max="4094" width="9.125" style="124"/>
    <col min="4095" max="4095" width="8" style="124" customWidth="1"/>
    <col min="4096" max="4096" width="28.5" style="124" customWidth="1"/>
    <col min="4097" max="4108" width="9.125" style="124"/>
    <col min="4109" max="4109" width="10.625" style="124" customWidth="1"/>
    <col min="4110" max="4350" width="9.125" style="124"/>
    <col min="4351" max="4351" width="8" style="124" customWidth="1"/>
    <col min="4352" max="4352" width="28.5" style="124" customWidth="1"/>
    <col min="4353" max="4364" width="9.125" style="124"/>
    <col min="4365" max="4365" width="10.625" style="124" customWidth="1"/>
    <col min="4366" max="4606" width="9.125" style="124"/>
    <col min="4607" max="4607" width="8" style="124" customWidth="1"/>
    <col min="4608" max="4608" width="28.5" style="124" customWidth="1"/>
    <col min="4609" max="4620" width="9.125" style="124"/>
    <col min="4621" max="4621" width="10.625" style="124" customWidth="1"/>
    <col min="4622" max="4862" width="9.125" style="124"/>
    <col min="4863" max="4863" width="8" style="124" customWidth="1"/>
    <col min="4864" max="4864" width="28.5" style="124" customWidth="1"/>
    <col min="4865" max="4876" width="9.125" style="124"/>
    <col min="4877" max="4877" width="10.625" style="124" customWidth="1"/>
    <col min="4878" max="5118" width="9.125" style="124"/>
    <col min="5119" max="5119" width="8" style="124" customWidth="1"/>
    <col min="5120" max="5120" width="28.5" style="124" customWidth="1"/>
    <col min="5121" max="5132" width="9.125" style="124"/>
    <col min="5133" max="5133" width="10.625" style="124" customWidth="1"/>
    <col min="5134" max="5374" width="9.125" style="124"/>
    <col min="5375" max="5375" width="8" style="124" customWidth="1"/>
    <col min="5376" max="5376" width="28.5" style="124" customWidth="1"/>
    <col min="5377" max="5388" width="9.125" style="124"/>
    <col min="5389" max="5389" width="10.625" style="124" customWidth="1"/>
    <col min="5390" max="5630" width="9.125" style="124"/>
    <col min="5631" max="5631" width="8" style="124" customWidth="1"/>
    <col min="5632" max="5632" width="28.5" style="124" customWidth="1"/>
    <col min="5633" max="5644" width="9.125" style="124"/>
    <col min="5645" max="5645" width="10.625" style="124" customWidth="1"/>
    <col min="5646" max="5886" width="9.125" style="124"/>
    <col min="5887" max="5887" width="8" style="124" customWidth="1"/>
    <col min="5888" max="5888" width="28.5" style="124" customWidth="1"/>
    <col min="5889" max="5900" width="9.125" style="124"/>
    <col min="5901" max="5901" width="10.625" style="124" customWidth="1"/>
    <col min="5902" max="6142" width="9.125" style="124"/>
    <col min="6143" max="6143" width="8" style="124" customWidth="1"/>
    <col min="6144" max="6144" width="28.5" style="124" customWidth="1"/>
    <col min="6145" max="6156" width="9.125" style="124"/>
    <col min="6157" max="6157" width="10.625" style="124" customWidth="1"/>
    <col min="6158" max="6398" width="9.125" style="124"/>
    <col min="6399" max="6399" width="8" style="124" customWidth="1"/>
    <col min="6400" max="6400" width="28.5" style="124" customWidth="1"/>
    <col min="6401" max="6412" width="9.125" style="124"/>
    <col min="6413" max="6413" width="10.625" style="124" customWidth="1"/>
    <col min="6414" max="6654" width="9.125" style="124"/>
    <col min="6655" max="6655" width="8" style="124" customWidth="1"/>
    <col min="6656" max="6656" width="28.5" style="124" customWidth="1"/>
    <col min="6657" max="6668" width="9.125" style="124"/>
    <col min="6669" max="6669" width="10.625" style="124" customWidth="1"/>
    <col min="6670" max="6910" width="9.125" style="124"/>
    <col min="6911" max="6911" width="8" style="124" customWidth="1"/>
    <col min="6912" max="6912" width="28.5" style="124" customWidth="1"/>
    <col min="6913" max="6924" width="9.125" style="124"/>
    <col min="6925" max="6925" width="10.625" style="124" customWidth="1"/>
    <col min="6926" max="7166" width="9.125" style="124"/>
    <col min="7167" max="7167" width="8" style="124" customWidth="1"/>
    <col min="7168" max="7168" width="28.5" style="124" customWidth="1"/>
    <col min="7169" max="7180" width="9.125" style="124"/>
    <col min="7181" max="7181" width="10.625" style="124" customWidth="1"/>
    <col min="7182" max="7422" width="9.125" style="124"/>
    <col min="7423" max="7423" width="8" style="124" customWidth="1"/>
    <col min="7424" max="7424" width="28.5" style="124" customWidth="1"/>
    <col min="7425" max="7436" width="9.125" style="124"/>
    <col min="7437" max="7437" width="10.625" style="124" customWidth="1"/>
    <col min="7438" max="7678" width="9.125" style="124"/>
    <col min="7679" max="7679" width="8" style="124" customWidth="1"/>
    <col min="7680" max="7680" width="28.5" style="124" customWidth="1"/>
    <col min="7681" max="7692" width="9.125" style="124"/>
    <col min="7693" max="7693" width="10.625" style="124" customWidth="1"/>
    <col min="7694" max="7934" width="9.125" style="124"/>
    <col min="7935" max="7935" width="8" style="124" customWidth="1"/>
    <col min="7936" max="7936" width="28.5" style="124" customWidth="1"/>
    <col min="7937" max="7948" width="9.125" style="124"/>
    <col min="7949" max="7949" width="10.625" style="124" customWidth="1"/>
    <col min="7950" max="8190" width="9.125" style="124"/>
    <col min="8191" max="8191" width="8" style="124" customWidth="1"/>
    <col min="8192" max="8192" width="28.5" style="124" customWidth="1"/>
    <col min="8193" max="8204" width="9.125" style="124"/>
    <col min="8205" max="8205" width="10.625" style="124" customWidth="1"/>
    <col min="8206" max="8446" width="9.125" style="124"/>
    <col min="8447" max="8447" width="8" style="124" customWidth="1"/>
    <col min="8448" max="8448" width="28.5" style="124" customWidth="1"/>
    <col min="8449" max="8460" width="9.125" style="124"/>
    <col min="8461" max="8461" width="10.625" style="124" customWidth="1"/>
    <col min="8462" max="8702" width="9.125" style="124"/>
    <col min="8703" max="8703" width="8" style="124" customWidth="1"/>
    <col min="8704" max="8704" width="28.5" style="124" customWidth="1"/>
    <col min="8705" max="8716" width="9.125" style="124"/>
    <col min="8717" max="8717" width="10.625" style="124" customWidth="1"/>
    <col min="8718" max="8958" width="9.125" style="124"/>
    <col min="8959" max="8959" width="8" style="124" customWidth="1"/>
    <col min="8960" max="8960" width="28.5" style="124" customWidth="1"/>
    <col min="8961" max="8972" width="9.125" style="124"/>
    <col min="8973" max="8973" width="10.625" style="124" customWidth="1"/>
    <col min="8974" max="9214" width="9.125" style="124"/>
    <col min="9215" max="9215" width="8" style="124" customWidth="1"/>
    <col min="9216" max="9216" width="28.5" style="124" customWidth="1"/>
    <col min="9217" max="9228" width="9.125" style="124"/>
    <col min="9229" max="9229" width="10.625" style="124" customWidth="1"/>
    <col min="9230" max="9470" width="9.125" style="124"/>
    <col min="9471" max="9471" width="8" style="124" customWidth="1"/>
    <col min="9472" max="9472" width="28.5" style="124" customWidth="1"/>
    <col min="9473" max="9484" width="9.125" style="124"/>
    <col min="9485" max="9485" width="10.625" style="124" customWidth="1"/>
    <col min="9486" max="9726" width="9.125" style="124"/>
    <col min="9727" max="9727" width="8" style="124" customWidth="1"/>
    <col min="9728" max="9728" width="28.5" style="124" customWidth="1"/>
    <col min="9729" max="9740" width="9.125" style="124"/>
    <col min="9741" max="9741" width="10.625" style="124" customWidth="1"/>
    <col min="9742" max="9982" width="9.125" style="124"/>
    <col min="9983" max="9983" width="8" style="124" customWidth="1"/>
    <col min="9984" max="9984" width="28.5" style="124" customWidth="1"/>
    <col min="9985" max="9996" width="9.125" style="124"/>
    <col min="9997" max="9997" width="10.625" style="124" customWidth="1"/>
    <col min="9998" max="10238" width="9.125" style="124"/>
    <col min="10239" max="10239" width="8" style="124" customWidth="1"/>
    <col min="10240" max="10240" width="28.5" style="124" customWidth="1"/>
    <col min="10241" max="10252" width="9.125" style="124"/>
    <col min="10253" max="10253" width="10.625" style="124" customWidth="1"/>
    <col min="10254" max="10494" width="9.125" style="124"/>
    <col min="10495" max="10495" width="8" style="124" customWidth="1"/>
    <col min="10496" max="10496" width="28.5" style="124" customWidth="1"/>
    <col min="10497" max="10508" width="9.125" style="124"/>
    <col min="10509" max="10509" width="10.625" style="124" customWidth="1"/>
    <col min="10510" max="10750" width="9.125" style="124"/>
    <col min="10751" max="10751" width="8" style="124" customWidth="1"/>
    <col min="10752" max="10752" width="28.5" style="124" customWidth="1"/>
    <col min="10753" max="10764" width="9.125" style="124"/>
    <col min="10765" max="10765" width="10.625" style="124" customWidth="1"/>
    <col min="10766" max="11006" width="9.125" style="124"/>
    <col min="11007" max="11007" width="8" style="124" customWidth="1"/>
    <col min="11008" max="11008" width="28.5" style="124" customWidth="1"/>
    <col min="11009" max="11020" width="9.125" style="124"/>
    <col min="11021" max="11021" width="10.625" style="124" customWidth="1"/>
    <col min="11022" max="11262" width="9.125" style="124"/>
    <col min="11263" max="11263" width="8" style="124" customWidth="1"/>
    <col min="11264" max="11264" width="28.5" style="124" customWidth="1"/>
    <col min="11265" max="11276" width="9.125" style="124"/>
    <col min="11277" max="11277" width="10.625" style="124" customWidth="1"/>
    <col min="11278" max="11518" width="9.125" style="124"/>
    <col min="11519" max="11519" width="8" style="124" customWidth="1"/>
    <col min="11520" max="11520" width="28.5" style="124" customWidth="1"/>
    <col min="11521" max="11532" width="9.125" style="124"/>
    <col min="11533" max="11533" width="10.625" style="124" customWidth="1"/>
    <col min="11534" max="11774" width="9.125" style="124"/>
    <col min="11775" max="11775" width="8" style="124" customWidth="1"/>
    <col min="11776" max="11776" width="28.5" style="124" customWidth="1"/>
    <col min="11777" max="11788" width="9.125" style="124"/>
    <col min="11789" max="11789" width="10.625" style="124" customWidth="1"/>
    <col min="11790" max="12030" width="9.125" style="124"/>
    <col min="12031" max="12031" width="8" style="124" customWidth="1"/>
    <col min="12032" max="12032" width="28.5" style="124" customWidth="1"/>
    <col min="12033" max="12044" width="9.125" style="124"/>
    <col min="12045" max="12045" width="10.625" style="124" customWidth="1"/>
    <col min="12046" max="12286" width="9.125" style="124"/>
    <col min="12287" max="12287" width="8" style="124" customWidth="1"/>
    <col min="12288" max="12288" width="28.5" style="124" customWidth="1"/>
    <col min="12289" max="12300" width="9.125" style="124"/>
    <col min="12301" max="12301" width="10.625" style="124" customWidth="1"/>
    <col min="12302" max="12542" width="9.125" style="124"/>
    <col min="12543" max="12543" width="8" style="124" customWidth="1"/>
    <col min="12544" max="12544" width="28.5" style="124" customWidth="1"/>
    <col min="12545" max="12556" width="9.125" style="124"/>
    <col min="12557" max="12557" width="10.625" style="124" customWidth="1"/>
    <col min="12558" max="12798" width="9.125" style="124"/>
    <col min="12799" max="12799" width="8" style="124" customWidth="1"/>
    <col min="12800" max="12800" width="28.5" style="124" customWidth="1"/>
    <col min="12801" max="12812" width="9.125" style="124"/>
    <col min="12813" max="12813" width="10.625" style="124" customWidth="1"/>
    <col min="12814" max="13054" width="9.125" style="124"/>
    <col min="13055" max="13055" width="8" style="124" customWidth="1"/>
    <col min="13056" max="13056" width="28.5" style="124" customWidth="1"/>
    <col min="13057" max="13068" width="9.125" style="124"/>
    <col min="13069" max="13069" width="10.625" style="124" customWidth="1"/>
    <col min="13070" max="13310" width="9.125" style="124"/>
    <col min="13311" max="13311" width="8" style="124" customWidth="1"/>
    <col min="13312" max="13312" width="28.5" style="124" customWidth="1"/>
    <col min="13313" max="13324" width="9.125" style="124"/>
    <col min="13325" max="13325" width="10.625" style="124" customWidth="1"/>
    <col min="13326" max="13566" width="9.125" style="124"/>
    <col min="13567" max="13567" width="8" style="124" customWidth="1"/>
    <col min="13568" max="13568" width="28.5" style="124" customWidth="1"/>
    <col min="13569" max="13580" width="9.125" style="124"/>
    <col min="13581" max="13581" width="10.625" style="124" customWidth="1"/>
    <col min="13582" max="13822" width="9.125" style="124"/>
    <col min="13823" max="13823" width="8" style="124" customWidth="1"/>
    <col min="13824" max="13824" width="28.5" style="124" customWidth="1"/>
    <col min="13825" max="13836" width="9.125" style="124"/>
    <col min="13837" max="13837" width="10.625" style="124" customWidth="1"/>
    <col min="13838" max="14078" width="9.125" style="124"/>
    <col min="14079" max="14079" width="8" style="124" customWidth="1"/>
    <col min="14080" max="14080" width="28.5" style="124" customWidth="1"/>
    <col min="14081" max="14092" width="9.125" style="124"/>
    <col min="14093" max="14093" width="10.625" style="124" customWidth="1"/>
    <col min="14094" max="14334" width="9.125" style="124"/>
    <col min="14335" max="14335" width="8" style="124" customWidth="1"/>
    <col min="14336" max="14336" width="28.5" style="124" customWidth="1"/>
    <col min="14337" max="14348" width="9.125" style="124"/>
    <col min="14349" max="14349" width="10.625" style="124" customWidth="1"/>
    <col min="14350" max="14590" width="9.125" style="124"/>
    <col min="14591" max="14591" width="8" style="124" customWidth="1"/>
    <col min="14592" max="14592" width="28.5" style="124" customWidth="1"/>
    <col min="14593" max="14604" width="9.125" style="124"/>
    <col min="14605" max="14605" width="10.625" style="124" customWidth="1"/>
    <col min="14606" max="14846" width="9.125" style="124"/>
    <col min="14847" max="14847" width="8" style="124" customWidth="1"/>
    <col min="14848" max="14848" width="28.5" style="124" customWidth="1"/>
    <col min="14849" max="14860" width="9.125" style="124"/>
    <col min="14861" max="14861" width="10.625" style="124" customWidth="1"/>
    <col min="14862" max="15102" width="9.125" style="124"/>
    <col min="15103" max="15103" width="8" style="124" customWidth="1"/>
    <col min="15104" max="15104" width="28.5" style="124" customWidth="1"/>
    <col min="15105" max="15116" width="9.125" style="124"/>
    <col min="15117" max="15117" width="10.625" style="124" customWidth="1"/>
    <col min="15118" max="15358" width="9.125" style="124"/>
    <col min="15359" max="15359" width="8" style="124" customWidth="1"/>
    <col min="15360" max="15360" width="28.5" style="124" customWidth="1"/>
    <col min="15361" max="15372" width="9.125" style="124"/>
    <col min="15373" max="15373" width="10.625" style="124" customWidth="1"/>
    <col min="15374" max="15614" width="9.125" style="124"/>
    <col min="15615" max="15615" width="8" style="124" customWidth="1"/>
    <col min="15616" max="15616" width="28.5" style="124" customWidth="1"/>
    <col min="15617" max="15628" width="9.125" style="124"/>
    <col min="15629" max="15629" width="10.625" style="124" customWidth="1"/>
    <col min="15630" max="15870" width="9.125" style="124"/>
    <col min="15871" max="15871" width="8" style="124" customWidth="1"/>
    <col min="15872" max="15872" width="28.5" style="124" customWidth="1"/>
    <col min="15873" max="15884" width="9.125" style="124"/>
    <col min="15885" max="15885" width="10.625" style="124" customWidth="1"/>
    <col min="15886" max="16126" width="9.125" style="124"/>
    <col min="16127" max="16127" width="8" style="124" customWidth="1"/>
    <col min="16128" max="16128" width="28.5" style="124" customWidth="1"/>
    <col min="16129" max="16140" width="9.125" style="124"/>
    <col min="16141" max="16141" width="10.625" style="124" customWidth="1"/>
    <col min="16142" max="16384" width="9.125" style="124"/>
  </cols>
  <sheetData>
    <row r="1" spans="1:13" ht="18.75">
      <c r="A1" s="125" t="s">
        <v>16</v>
      </c>
      <c r="B1" s="126"/>
      <c r="C1" s="127"/>
      <c r="D1" s="127"/>
      <c r="E1" s="126"/>
      <c r="F1" s="127"/>
      <c r="G1" s="127"/>
      <c r="H1" s="126"/>
      <c r="I1" s="127"/>
      <c r="J1" s="127"/>
      <c r="K1" s="127"/>
      <c r="L1" s="127"/>
      <c r="M1" s="127"/>
    </row>
    <row r="2" spans="1:13" ht="12">
      <c r="A2" s="124" t="s">
        <v>17</v>
      </c>
      <c r="B2" s="128"/>
    </row>
    <row r="3" spans="1:13" ht="16.899999999999999" customHeight="1">
      <c r="A3" s="129" t="s">
        <v>18</v>
      </c>
      <c r="B3" s="129" t="s">
        <v>19</v>
      </c>
      <c r="C3" s="227" t="s">
        <v>20</v>
      </c>
      <c r="D3" s="227"/>
      <c r="E3" s="227"/>
      <c r="F3" s="131"/>
      <c r="G3" s="132"/>
      <c r="H3" s="133"/>
      <c r="I3" s="133"/>
      <c r="J3" s="133" t="s">
        <v>21</v>
      </c>
      <c r="K3" s="133"/>
      <c r="L3" s="133"/>
      <c r="M3" s="154"/>
    </row>
    <row r="4" spans="1:13" ht="16.149999999999999" customHeight="1">
      <c r="A4" s="134"/>
      <c r="B4" s="134" t="s">
        <v>22</v>
      </c>
      <c r="C4" s="130">
        <v>2017</v>
      </c>
      <c r="D4" s="130">
        <f t="shared" ref="D4:L4" si="0">C4+1</f>
        <v>2018</v>
      </c>
      <c r="E4" s="130">
        <f t="shared" si="0"/>
        <v>2019</v>
      </c>
      <c r="F4" s="130">
        <f t="shared" si="0"/>
        <v>2020</v>
      </c>
      <c r="G4" s="130">
        <f t="shared" si="0"/>
        <v>2021</v>
      </c>
      <c r="H4" s="135">
        <f t="shared" si="0"/>
        <v>2022</v>
      </c>
      <c r="I4" s="135">
        <f t="shared" si="0"/>
        <v>2023</v>
      </c>
      <c r="J4" s="135">
        <f t="shared" si="0"/>
        <v>2024</v>
      </c>
      <c r="K4" s="135">
        <f t="shared" si="0"/>
        <v>2025</v>
      </c>
      <c r="L4" s="135">
        <f t="shared" si="0"/>
        <v>2026</v>
      </c>
      <c r="M4" s="155" t="s">
        <v>23</v>
      </c>
    </row>
    <row r="5" spans="1:13" ht="15.6" customHeight="1">
      <c r="A5" s="136">
        <v>1</v>
      </c>
      <c r="B5" s="137" t="s">
        <v>24</v>
      </c>
      <c r="C5" s="138">
        <f>SUM(C6:C9)</f>
        <v>0</v>
      </c>
      <c r="D5" s="138">
        <f t="shared" ref="D5:L5" si="1">SUM(D6:D9)</f>
        <v>0</v>
      </c>
      <c r="E5" s="138" t="e">
        <f t="shared" si="1"/>
        <v>#REF!</v>
      </c>
      <c r="F5" s="138" t="e">
        <f t="shared" si="1"/>
        <v>#REF!</v>
      </c>
      <c r="G5" s="138" t="e">
        <f t="shared" si="1"/>
        <v>#REF!</v>
      </c>
      <c r="H5" s="138" t="e">
        <f t="shared" si="1"/>
        <v>#REF!</v>
      </c>
      <c r="I5" s="138" t="e">
        <f t="shared" si="1"/>
        <v>#REF!</v>
      </c>
      <c r="J5" s="138" t="e">
        <f t="shared" si="1"/>
        <v>#REF!</v>
      </c>
      <c r="K5" s="138" t="e">
        <f t="shared" si="1"/>
        <v>#REF!</v>
      </c>
      <c r="L5" s="138" t="e">
        <f t="shared" si="1"/>
        <v>#REF!</v>
      </c>
      <c r="M5" s="142" t="e">
        <f t="shared" ref="M5:M17" si="2">SUM(C5:L5)</f>
        <v>#REF!</v>
      </c>
    </row>
    <row r="6" spans="1:13" ht="15.6" customHeight="1">
      <c r="A6" s="136">
        <v>1.1000000000000001</v>
      </c>
      <c r="B6" s="139" t="s">
        <v>25</v>
      </c>
      <c r="C6" s="140"/>
      <c r="D6" s="140"/>
      <c r="E6" s="140" t="e">
        <f>#REF!</f>
        <v>#REF!</v>
      </c>
      <c r="F6" s="140" t="e">
        <f>#REF!</f>
        <v>#REF!</v>
      </c>
      <c r="G6" s="140" t="e">
        <f>#REF!</f>
        <v>#REF!</v>
      </c>
      <c r="H6" s="140" t="e">
        <f>#REF!</f>
        <v>#REF!</v>
      </c>
      <c r="I6" s="140" t="e">
        <f>#REF!</f>
        <v>#REF!</v>
      </c>
      <c r="J6" s="140" t="e">
        <f>#REF!</f>
        <v>#REF!</v>
      </c>
      <c r="K6" s="140" t="e">
        <f>#REF!</f>
        <v>#REF!</v>
      </c>
      <c r="L6" s="140" t="e">
        <f>#REF!</f>
        <v>#REF!</v>
      </c>
      <c r="M6" s="142" t="e">
        <f t="shared" si="2"/>
        <v>#REF!</v>
      </c>
    </row>
    <row r="7" spans="1:13" ht="15.6" customHeight="1">
      <c r="A7" s="136">
        <v>1.2</v>
      </c>
      <c r="B7" s="139" t="s">
        <v>26</v>
      </c>
      <c r="C7" s="140"/>
      <c r="D7" s="140"/>
      <c r="E7" s="140">
        <f>[1]折、摊!G18</f>
        <v>0</v>
      </c>
      <c r="F7" s="140">
        <f>[1]折、摊!H18</f>
        <v>0</v>
      </c>
      <c r="G7" s="140">
        <f>[1]折、摊!I18</f>
        <v>0</v>
      </c>
      <c r="H7" s="140">
        <f>[1]折、摊!J18</f>
        <v>0</v>
      </c>
      <c r="I7" s="140">
        <f>[1]折、摊!K18</f>
        <v>0</v>
      </c>
      <c r="J7" s="140">
        <f>[1]折、摊!L18</f>
        <v>0</v>
      </c>
      <c r="K7" s="140">
        <f>[1]折、摊!M18</f>
        <v>0</v>
      </c>
      <c r="L7" s="140">
        <f>[1]折、摊!N18</f>
        <v>0</v>
      </c>
      <c r="M7" s="142">
        <f t="shared" si="2"/>
        <v>0</v>
      </c>
    </row>
    <row r="8" spans="1:13" ht="15.6" customHeight="1">
      <c r="A8" s="136">
        <v>1.3</v>
      </c>
      <c r="B8" s="139" t="s">
        <v>27</v>
      </c>
      <c r="C8" s="140" t="s">
        <v>28</v>
      </c>
      <c r="D8" s="140" t="s">
        <v>28</v>
      </c>
      <c r="E8" s="140" t="s">
        <v>28</v>
      </c>
      <c r="F8" s="140" t="s">
        <v>28</v>
      </c>
      <c r="G8" s="140" t="s">
        <v>28</v>
      </c>
      <c r="H8" s="140" t="s">
        <v>28</v>
      </c>
      <c r="I8" s="140" t="s">
        <v>28</v>
      </c>
      <c r="J8" s="140" t="s">
        <v>28</v>
      </c>
      <c r="K8" s="140" t="s">
        <v>28</v>
      </c>
      <c r="L8" s="140"/>
      <c r="M8" s="142">
        <f t="shared" si="2"/>
        <v>0</v>
      </c>
    </row>
    <row r="9" spans="1:13" s="123" customFormat="1" ht="15.6" customHeight="1">
      <c r="A9" s="141">
        <v>1.4</v>
      </c>
      <c r="B9" s="142" t="s">
        <v>29</v>
      </c>
      <c r="C9" s="140" t="s">
        <v>28</v>
      </c>
      <c r="D9" s="140" t="s">
        <v>28</v>
      </c>
      <c r="E9" s="140" t="s">
        <v>28</v>
      </c>
      <c r="F9" s="140" t="s">
        <v>28</v>
      </c>
      <c r="G9" s="140" t="s">
        <v>28</v>
      </c>
      <c r="H9" s="140" t="s">
        <v>28</v>
      </c>
      <c r="I9" s="140" t="s">
        <v>28</v>
      </c>
      <c r="J9" s="140" t="s">
        <v>28</v>
      </c>
      <c r="K9" s="140" t="s">
        <v>28</v>
      </c>
      <c r="L9" s="140" t="s">
        <v>28</v>
      </c>
      <c r="M9" s="142">
        <f t="shared" si="2"/>
        <v>0</v>
      </c>
    </row>
    <row r="10" spans="1:13" ht="15.6" customHeight="1">
      <c r="A10" s="141">
        <v>2</v>
      </c>
      <c r="B10" s="137" t="s">
        <v>30</v>
      </c>
      <c r="C10" s="138">
        <f t="shared" ref="C10:L10" si="3">SUM(C11:C16)</f>
        <v>0</v>
      </c>
      <c r="D10" s="138">
        <f t="shared" si="3"/>
        <v>0</v>
      </c>
      <c r="E10" s="138">
        <f t="shared" si="3"/>
        <v>0</v>
      </c>
      <c r="F10" s="138">
        <f t="shared" si="3"/>
        <v>0</v>
      </c>
      <c r="G10" s="138">
        <f t="shared" si="3"/>
        <v>0</v>
      </c>
      <c r="H10" s="138">
        <f t="shared" si="3"/>
        <v>0</v>
      </c>
      <c r="I10" s="138">
        <f t="shared" si="3"/>
        <v>0</v>
      </c>
      <c r="J10" s="138">
        <f t="shared" si="3"/>
        <v>0</v>
      </c>
      <c r="K10" s="138">
        <f t="shared" si="3"/>
        <v>0</v>
      </c>
      <c r="L10" s="138">
        <f t="shared" si="3"/>
        <v>0</v>
      </c>
      <c r="M10" s="142">
        <f t="shared" si="2"/>
        <v>0</v>
      </c>
    </row>
    <row r="11" spans="1:13" ht="15" customHeight="1">
      <c r="A11" s="136">
        <v>2.1</v>
      </c>
      <c r="B11" s="136" t="s">
        <v>31</v>
      </c>
      <c r="C11" s="140">
        <f>([1]计划!C6-[1]计划!C7)</f>
        <v>0</v>
      </c>
      <c r="D11" s="140">
        <f>([1]计划!D6-[1]计划!D7)</f>
        <v>0</v>
      </c>
      <c r="E11" s="140">
        <f>([1]计划!E6-[1]计划!E7)</f>
        <v>0</v>
      </c>
      <c r="F11" s="140">
        <f>([1]计划!F6-[1]计划!F7)</f>
        <v>0</v>
      </c>
      <c r="G11" s="140">
        <f>([1]计划!G6-[1]计划!G7)</f>
        <v>0</v>
      </c>
      <c r="H11" s="140">
        <f>([1]计划!H6-[1]计划!H7)</f>
        <v>0</v>
      </c>
      <c r="I11" s="140">
        <f>([1]计划!I6-[1]计划!I7)</f>
        <v>0</v>
      </c>
      <c r="J11" s="140">
        <f>([1]计划!J6-[1]计划!J7)</f>
        <v>0</v>
      </c>
      <c r="K11" s="140">
        <f>([1]计划!K6-[1]计划!K7)</f>
        <v>0</v>
      </c>
      <c r="L11" s="140">
        <f>([1]计划!L6-[1]计划!L7)</f>
        <v>0</v>
      </c>
      <c r="M11" s="142">
        <f t="shared" si="2"/>
        <v>0</v>
      </c>
    </row>
    <row r="12" spans="1:13" s="123" customFormat="1" ht="15" customHeight="1">
      <c r="A12" s="136">
        <v>2.2000000000000002</v>
      </c>
      <c r="B12" s="142" t="s">
        <v>32</v>
      </c>
      <c r="C12" s="140">
        <f>[1]计划!C8</f>
        <v>0</v>
      </c>
      <c r="D12" s="140">
        <f>[1]计划!D8</f>
        <v>0</v>
      </c>
      <c r="E12" s="140">
        <f>[1]计划!E8</f>
        <v>0</v>
      </c>
      <c r="F12" s="140">
        <f>[1]计划!F8</f>
        <v>0</v>
      </c>
      <c r="G12" s="140">
        <f>[1]计划!G8</f>
        <v>0</v>
      </c>
      <c r="H12" s="140">
        <f>[1]计划!H8</f>
        <v>0</v>
      </c>
      <c r="I12" s="140">
        <f>[1]计划!I8</f>
        <v>0</v>
      </c>
      <c r="J12" s="140">
        <f>[1]计划!J8</f>
        <v>0</v>
      </c>
      <c r="K12" s="140">
        <f>[1]计划!K8</f>
        <v>0</v>
      </c>
      <c r="L12" s="140">
        <f>[1]计划!L8</f>
        <v>0</v>
      </c>
      <c r="M12" s="142">
        <f t="shared" si="2"/>
        <v>0</v>
      </c>
    </row>
    <row r="13" spans="1:13" ht="15" customHeight="1">
      <c r="A13" s="136">
        <v>2.2999999999999998</v>
      </c>
      <c r="B13" s="139" t="s">
        <v>33</v>
      </c>
      <c r="C13" s="140">
        <f>[1]总成本!C22</f>
        <v>0</v>
      </c>
      <c r="D13" s="140">
        <f>[1]总成本!D22</f>
        <v>0</v>
      </c>
      <c r="E13" s="140">
        <f>[1]总成本!E22</f>
        <v>0</v>
      </c>
      <c r="F13" s="140">
        <f>[1]总成本!F22</f>
        <v>0</v>
      </c>
      <c r="G13" s="140">
        <f>[1]总成本!G22</f>
        <v>0</v>
      </c>
      <c r="H13" s="140">
        <f>[1]总成本!H22</f>
        <v>0</v>
      </c>
      <c r="I13" s="140">
        <f>[1]总成本!I22</f>
        <v>0</v>
      </c>
      <c r="J13" s="140">
        <f>[1]总成本!J22</f>
        <v>0</v>
      </c>
      <c r="K13" s="140">
        <f>[1]总成本!K22</f>
        <v>0</v>
      </c>
      <c r="L13" s="140">
        <f>[1]总成本!L22</f>
        <v>0</v>
      </c>
      <c r="M13" s="142">
        <f t="shared" si="2"/>
        <v>0</v>
      </c>
    </row>
    <row r="14" spans="1:13" ht="15" customHeight="1">
      <c r="A14" s="136">
        <v>2.4</v>
      </c>
      <c r="B14" s="139" t="s">
        <v>34</v>
      </c>
      <c r="C14" s="140">
        <f>[1]价格!D15</f>
        <v>0</v>
      </c>
      <c r="D14" s="140">
        <f>[1]价格!E15</f>
        <v>0</v>
      </c>
      <c r="E14" s="140">
        <f>[1]价格!F15</f>
        <v>0</v>
      </c>
      <c r="F14" s="140">
        <f>[1]价格!G15</f>
        <v>0</v>
      </c>
      <c r="G14" s="140">
        <f>[1]价格!H15</f>
        <v>0</v>
      </c>
      <c r="H14" s="140">
        <f>[1]价格!I15</f>
        <v>0</v>
      </c>
      <c r="I14" s="140">
        <f>[1]价格!J15</f>
        <v>0</v>
      </c>
      <c r="J14" s="140">
        <f>[1]价格!K15</f>
        <v>0</v>
      </c>
      <c r="K14" s="140">
        <f>[1]价格!L15</f>
        <v>0</v>
      </c>
      <c r="L14" s="140">
        <f>[1]价格!M15</f>
        <v>0</v>
      </c>
      <c r="M14" s="142">
        <f t="shared" si="2"/>
        <v>0</v>
      </c>
    </row>
    <row r="15" spans="1:13" ht="15" customHeight="1">
      <c r="A15" s="136">
        <v>2.5</v>
      </c>
      <c r="B15" s="139" t="s">
        <v>35</v>
      </c>
      <c r="C15" s="140">
        <f>[1]利润!C13</f>
        <v>0</v>
      </c>
      <c r="D15" s="140">
        <f>[1]利润!D13</f>
        <v>0</v>
      </c>
      <c r="E15" s="140">
        <f>[1]利润!E13</f>
        <v>0</v>
      </c>
      <c r="F15" s="140">
        <f>[1]利润!F13</f>
        <v>0</v>
      </c>
      <c r="G15" s="140">
        <f>[1]利润!G13</f>
        <v>0</v>
      </c>
      <c r="H15" s="140">
        <f>[1]利润!H13</f>
        <v>0</v>
      </c>
      <c r="I15" s="140">
        <f>[1]利润!I13</f>
        <v>0</v>
      </c>
      <c r="J15" s="140">
        <f>[1]利润!J13</f>
        <v>0</v>
      </c>
      <c r="K15" s="140">
        <f>[1]利润!K13</f>
        <v>0</v>
      </c>
      <c r="L15" s="140">
        <f>[1]利润!L13</f>
        <v>0</v>
      </c>
      <c r="M15" s="142">
        <f t="shared" si="2"/>
        <v>0</v>
      </c>
    </row>
    <row r="16" spans="1:13" ht="15" customHeight="1">
      <c r="A16" s="136">
        <v>2.6</v>
      </c>
      <c r="B16" s="139" t="s">
        <v>36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2">
        <f t="shared" si="2"/>
        <v>0</v>
      </c>
    </row>
    <row r="17" spans="1:18" ht="12">
      <c r="A17" s="136">
        <v>3</v>
      </c>
      <c r="B17" s="137" t="s">
        <v>37</v>
      </c>
      <c r="C17" s="138">
        <f t="shared" ref="C17:L17" si="4">C5-C10</f>
        <v>0</v>
      </c>
      <c r="D17" s="138">
        <f t="shared" si="4"/>
        <v>0</v>
      </c>
      <c r="E17" s="138" t="e">
        <f t="shared" si="4"/>
        <v>#REF!</v>
      </c>
      <c r="F17" s="138" t="e">
        <f t="shared" si="4"/>
        <v>#REF!</v>
      </c>
      <c r="G17" s="138" t="e">
        <f t="shared" si="4"/>
        <v>#REF!</v>
      </c>
      <c r="H17" s="138" t="e">
        <f t="shared" si="4"/>
        <v>#REF!</v>
      </c>
      <c r="I17" s="138" t="e">
        <f t="shared" si="4"/>
        <v>#REF!</v>
      </c>
      <c r="J17" s="138" t="e">
        <f t="shared" si="4"/>
        <v>#REF!</v>
      </c>
      <c r="K17" s="138" t="e">
        <f t="shared" si="4"/>
        <v>#REF!</v>
      </c>
      <c r="L17" s="138" t="e">
        <f t="shared" si="4"/>
        <v>#REF!</v>
      </c>
      <c r="M17" s="142" t="e">
        <f t="shared" si="2"/>
        <v>#REF!</v>
      </c>
    </row>
    <row r="18" spans="1:18" ht="12">
      <c r="A18" s="143">
        <v>4</v>
      </c>
      <c r="B18" s="139" t="s">
        <v>38</v>
      </c>
      <c r="C18" s="140">
        <f>C17</f>
        <v>0</v>
      </c>
      <c r="D18" s="140">
        <f t="shared" ref="D18:L18" si="5">C18+D17</f>
        <v>0</v>
      </c>
      <c r="E18" s="140" t="e">
        <f t="shared" si="5"/>
        <v>#REF!</v>
      </c>
      <c r="F18" s="140" t="e">
        <f t="shared" si="5"/>
        <v>#REF!</v>
      </c>
      <c r="G18" s="140" t="e">
        <f t="shared" si="5"/>
        <v>#REF!</v>
      </c>
      <c r="H18" s="140" t="e">
        <f t="shared" si="5"/>
        <v>#REF!</v>
      </c>
      <c r="I18" s="140" t="e">
        <f t="shared" si="5"/>
        <v>#REF!</v>
      </c>
      <c r="J18" s="140" t="e">
        <f t="shared" si="5"/>
        <v>#REF!</v>
      </c>
      <c r="K18" s="140" t="e">
        <f t="shared" si="5"/>
        <v>#REF!</v>
      </c>
      <c r="L18" s="140" t="e">
        <f t="shared" si="5"/>
        <v>#REF!</v>
      </c>
      <c r="M18" s="139" t="s">
        <v>28</v>
      </c>
    </row>
    <row r="19" spans="1:18" s="123" customFormat="1" ht="12">
      <c r="A19" s="143">
        <v>5</v>
      </c>
      <c r="B19" s="139" t="s">
        <v>39</v>
      </c>
      <c r="C19" s="140">
        <f t="shared" ref="C19:L19" si="6">C17+C15</f>
        <v>0</v>
      </c>
      <c r="D19" s="140">
        <f t="shared" si="6"/>
        <v>0</v>
      </c>
      <c r="E19" s="140" t="e">
        <f t="shared" si="6"/>
        <v>#REF!</v>
      </c>
      <c r="F19" s="140" t="e">
        <f t="shared" si="6"/>
        <v>#REF!</v>
      </c>
      <c r="G19" s="140" t="e">
        <f t="shared" si="6"/>
        <v>#REF!</v>
      </c>
      <c r="H19" s="140" t="e">
        <f t="shared" si="6"/>
        <v>#REF!</v>
      </c>
      <c r="I19" s="140" t="e">
        <f t="shared" si="6"/>
        <v>#REF!</v>
      </c>
      <c r="J19" s="140" t="e">
        <f t="shared" si="6"/>
        <v>#REF!</v>
      </c>
      <c r="K19" s="140" t="e">
        <f t="shared" si="6"/>
        <v>#REF!</v>
      </c>
      <c r="L19" s="140" t="e">
        <f t="shared" si="6"/>
        <v>#REF!</v>
      </c>
      <c r="M19" s="142" t="e">
        <f>SUM(C19:L19)</f>
        <v>#REF!</v>
      </c>
    </row>
    <row r="20" spans="1:18" s="123" customFormat="1" ht="12">
      <c r="A20" s="136">
        <v>6</v>
      </c>
      <c r="B20" s="139" t="s">
        <v>40</v>
      </c>
      <c r="C20" s="140">
        <f>C19</f>
        <v>0</v>
      </c>
      <c r="D20" s="140">
        <f t="shared" ref="D20:L20" si="7">C20+D19</f>
        <v>0</v>
      </c>
      <c r="E20" s="140" t="e">
        <f t="shared" si="7"/>
        <v>#REF!</v>
      </c>
      <c r="F20" s="140" t="e">
        <f t="shared" si="7"/>
        <v>#REF!</v>
      </c>
      <c r="G20" s="140" t="e">
        <f t="shared" si="7"/>
        <v>#REF!</v>
      </c>
      <c r="H20" s="140" t="e">
        <f t="shared" si="7"/>
        <v>#REF!</v>
      </c>
      <c r="I20" s="140" t="e">
        <f t="shared" si="7"/>
        <v>#REF!</v>
      </c>
      <c r="J20" s="140" t="e">
        <f t="shared" si="7"/>
        <v>#REF!</v>
      </c>
      <c r="K20" s="140" t="e">
        <f t="shared" si="7"/>
        <v>#REF!</v>
      </c>
      <c r="L20" s="140" t="e">
        <f t="shared" si="7"/>
        <v>#REF!</v>
      </c>
      <c r="M20" s="139" t="s">
        <v>28</v>
      </c>
    </row>
    <row r="21" spans="1:18" ht="12">
      <c r="A21" s="144"/>
      <c r="B21" s="145" t="s">
        <v>41</v>
      </c>
      <c r="C21" s="145"/>
      <c r="D21" s="145"/>
      <c r="E21" s="145" t="s">
        <v>42</v>
      </c>
      <c r="F21" s="145"/>
      <c r="G21" s="145"/>
      <c r="H21" s="145"/>
      <c r="I21" s="145" t="s">
        <v>43</v>
      </c>
      <c r="J21" s="145"/>
      <c r="K21" s="145"/>
      <c r="L21" s="145"/>
      <c r="M21" s="156"/>
    </row>
    <row r="22" spans="1:18" ht="12">
      <c r="A22" s="146"/>
      <c r="B22" s="147" t="s">
        <v>44</v>
      </c>
      <c r="C22" s="147"/>
      <c r="D22" s="148" t="s">
        <v>45</v>
      </c>
      <c r="E22" s="149" t="e">
        <f>IRR(C17:L17,0.15)</f>
        <v>#VALUE!</v>
      </c>
      <c r="F22" s="147"/>
      <c r="G22" s="147"/>
      <c r="H22" s="147"/>
      <c r="I22" s="149" t="e">
        <f>IRR(C19:L19,0.15)</f>
        <v>#VALUE!</v>
      </c>
      <c r="J22" s="147"/>
      <c r="K22" s="147"/>
      <c r="L22" s="147"/>
      <c r="M22" s="157"/>
    </row>
    <row r="23" spans="1:18" ht="12">
      <c r="A23" s="146"/>
      <c r="B23" s="147" t="s">
        <v>46</v>
      </c>
      <c r="C23" s="147"/>
      <c r="D23" s="147"/>
      <c r="E23" s="150" t="e">
        <f>NPV(0.12,C17:L17)</f>
        <v>#REF!</v>
      </c>
      <c r="F23" s="147"/>
      <c r="G23" s="147"/>
      <c r="H23" s="147"/>
      <c r="I23" s="150" t="e">
        <f>NPV(0.12,C19:L19)</f>
        <v>#REF!</v>
      </c>
      <c r="J23" s="147"/>
      <c r="K23" s="147"/>
      <c r="L23" s="147"/>
      <c r="M23" s="157"/>
      <c r="R23" s="124">
        <f>30.9-29.82</f>
        <v>1.08</v>
      </c>
    </row>
    <row r="24" spans="1:18" ht="12">
      <c r="A24" s="151"/>
      <c r="B24" s="152" t="s">
        <v>47</v>
      </c>
      <c r="C24" s="152"/>
      <c r="D24" s="152"/>
      <c r="E24" s="153" t="e">
        <f>6-H18/I17</f>
        <v>#REF!</v>
      </c>
      <c r="F24" s="152"/>
      <c r="G24" s="152"/>
      <c r="H24" s="152"/>
      <c r="I24" s="153" t="e">
        <f>6-H20/I19</f>
        <v>#REF!</v>
      </c>
      <c r="J24" s="152"/>
      <c r="K24" s="152"/>
      <c r="L24" s="152"/>
      <c r="M24" s="158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H2" sqref="H2"/>
    </sheetView>
  </sheetViews>
  <sheetFormatPr defaultColWidth="9" defaultRowHeight="16.5"/>
  <cols>
    <col min="1" max="1" width="5.125" style="101" customWidth="1"/>
    <col min="2" max="2" width="19.625" style="101" customWidth="1"/>
    <col min="3" max="3" width="12.5" style="101" customWidth="1"/>
    <col min="4" max="7" width="12.5" style="102" customWidth="1"/>
    <col min="8" max="8" width="14.25" style="102" customWidth="1"/>
    <col min="9" max="34" width="9" style="101"/>
    <col min="35" max="35" width="4.375" style="101" customWidth="1"/>
    <col min="36" max="36" width="13.875" style="101" customWidth="1"/>
    <col min="37" max="16384" width="9" style="101"/>
  </cols>
  <sheetData>
    <row r="1" spans="1:37" ht="36.75" customHeight="1">
      <c r="A1" s="230" t="s">
        <v>306</v>
      </c>
      <c r="B1" s="230"/>
      <c r="C1" s="230"/>
      <c r="D1" s="230"/>
      <c r="E1" s="230"/>
      <c r="F1" s="230"/>
      <c r="G1" s="230"/>
      <c r="H1" s="230"/>
    </row>
    <row r="2" spans="1:37" ht="22.5" customHeight="1">
      <c r="B2" s="168"/>
      <c r="C2" s="168"/>
      <c r="D2" s="168"/>
      <c r="E2" s="168"/>
      <c r="F2" s="168"/>
      <c r="G2" s="168" t="s">
        <v>269</v>
      </c>
      <c r="H2" s="168"/>
    </row>
    <row r="3" spans="1:37" ht="21.75" customHeight="1">
      <c r="A3" s="228" t="s">
        <v>18</v>
      </c>
      <c r="B3" s="103" t="s">
        <v>1</v>
      </c>
      <c r="C3" s="103" t="s">
        <v>264</v>
      </c>
      <c r="D3" s="103" t="s">
        <v>265</v>
      </c>
      <c r="E3" s="103" t="s">
        <v>266</v>
      </c>
      <c r="F3" s="103" t="s">
        <v>267</v>
      </c>
      <c r="G3" s="103" t="s">
        <v>268</v>
      </c>
      <c r="H3" s="119" t="s">
        <v>51</v>
      </c>
      <c r="AK3" s="101" t="s">
        <v>52</v>
      </c>
    </row>
    <row r="4" spans="1:37" s="71" customFormat="1" ht="15.75" customHeight="1">
      <c r="A4" s="229"/>
      <c r="B4" s="79" t="s">
        <v>3</v>
      </c>
      <c r="C4" s="104">
        <f>'2025年'!S6</f>
        <v>2000</v>
      </c>
      <c r="D4" s="104">
        <f>'2026年'!S6</f>
        <v>36000</v>
      </c>
      <c r="E4" s="104">
        <f>'2027年'!S6</f>
        <v>40000</v>
      </c>
      <c r="F4" s="104">
        <f>'2028年'!S6</f>
        <v>40000</v>
      </c>
      <c r="G4" s="104">
        <f>'2029年'!S6</f>
        <v>0</v>
      </c>
      <c r="H4" s="104">
        <f t="shared" ref="H4:H10" si="0">SUM(C4:G4)</f>
        <v>118000</v>
      </c>
      <c r="AI4" s="78" t="s">
        <v>18</v>
      </c>
      <c r="AJ4" s="79" t="s">
        <v>3</v>
      </c>
      <c r="AK4" s="71" t="s">
        <v>53</v>
      </c>
    </row>
    <row r="5" spans="1:37" s="71" customFormat="1" ht="15.75" customHeight="1">
      <c r="A5" s="75">
        <v>1</v>
      </c>
      <c r="B5" s="79" t="s">
        <v>54</v>
      </c>
      <c r="C5" s="104">
        <f>'2025年'!S7</f>
        <v>1738940</v>
      </c>
      <c r="D5" s="104">
        <f>'2026年'!S7</f>
        <v>31300920</v>
      </c>
      <c r="E5" s="104">
        <f>'2027年'!S7</f>
        <v>34778800</v>
      </c>
      <c r="F5" s="104">
        <f>'2028年'!S7</f>
        <v>34778800</v>
      </c>
      <c r="G5" s="104">
        <f>'2029年'!S7</f>
        <v>0</v>
      </c>
      <c r="H5" s="104">
        <f t="shared" si="0"/>
        <v>102597460</v>
      </c>
      <c r="AI5" s="78" t="s">
        <v>55</v>
      </c>
      <c r="AJ5" s="79" t="s">
        <v>54</v>
      </c>
      <c r="AK5" s="71" t="s">
        <v>53</v>
      </c>
    </row>
    <row r="6" spans="1:37" s="71" customFormat="1" ht="15.75" customHeight="1">
      <c r="A6" s="75">
        <v>2</v>
      </c>
      <c r="B6" s="75" t="s">
        <v>56</v>
      </c>
      <c r="C6" s="104">
        <f>'2025年'!S8</f>
        <v>0</v>
      </c>
      <c r="D6" s="104">
        <f>'2026年'!S8</f>
        <v>313009.2000000003</v>
      </c>
      <c r="E6" s="104">
        <f>'2027年'!S8</f>
        <v>692098.1199999972</v>
      </c>
      <c r="F6" s="104">
        <f>'2028年'!S8</f>
        <v>1032965.1387999991</v>
      </c>
      <c r="G6" s="104">
        <f>'2029年'!S8</f>
        <v>0</v>
      </c>
      <c r="H6" s="104">
        <f t="shared" si="0"/>
        <v>2038072.4587999966</v>
      </c>
      <c r="AI6" s="78" t="s">
        <v>57</v>
      </c>
      <c r="AJ6" s="75" t="s">
        <v>58</v>
      </c>
      <c r="AK6" s="71" t="s">
        <v>53</v>
      </c>
    </row>
    <row r="7" spans="1:37" s="71" customFormat="1" ht="15.75" customHeight="1">
      <c r="A7" s="75">
        <v>3</v>
      </c>
      <c r="B7" s="79" t="s">
        <v>59</v>
      </c>
      <c r="C7" s="105">
        <f>'2025年'!S9</f>
        <v>1738940</v>
      </c>
      <c r="D7" s="105">
        <f>D5-D6</f>
        <v>30987910.800000001</v>
      </c>
      <c r="E7" s="105">
        <f>'2027年'!S9</f>
        <v>34086701.880000003</v>
      </c>
      <c r="F7" s="104">
        <f>'2028年'!S9</f>
        <v>33745834.861199997</v>
      </c>
      <c r="G7" s="104">
        <f>'2029年'!S9</f>
        <v>0</v>
      </c>
      <c r="H7" s="104">
        <f t="shared" si="0"/>
        <v>100559387.54120001</v>
      </c>
      <c r="AI7" s="78" t="s">
        <v>60</v>
      </c>
      <c r="AJ7" s="79" t="s">
        <v>59</v>
      </c>
      <c r="AK7" s="71" t="s">
        <v>61</v>
      </c>
    </row>
    <row r="8" spans="1:37" s="71" customFormat="1" ht="15.75" customHeight="1">
      <c r="A8" s="75">
        <v>4</v>
      </c>
      <c r="B8" s="288" t="s">
        <v>270</v>
      </c>
      <c r="C8" s="289">
        <f>'2025年'!S10</f>
        <v>1290431.170861962</v>
      </c>
      <c r="D8" s="289">
        <f>'2026年'!S10</f>
        <v>22995483.464760162</v>
      </c>
      <c r="E8" s="290">
        <f>'2027年'!S10</f>
        <v>25295031.811236177</v>
      </c>
      <c r="F8" s="289">
        <f>'2028年'!S10</f>
        <v>25042081.493123814</v>
      </c>
      <c r="G8" s="289">
        <f>'2029年'!S10</f>
        <v>0</v>
      </c>
      <c r="H8" s="289">
        <f t="shared" si="0"/>
        <v>74623027.939982116</v>
      </c>
      <c r="AI8" s="78" t="s">
        <v>62</v>
      </c>
      <c r="AJ8" s="78" t="s">
        <v>63</v>
      </c>
      <c r="AK8" s="71" t="s">
        <v>64</v>
      </c>
    </row>
    <row r="9" spans="1:37" s="71" customFormat="1" ht="15.75" customHeight="1">
      <c r="A9" s="75">
        <v>5</v>
      </c>
      <c r="B9" s="78" t="s">
        <v>65</v>
      </c>
      <c r="C9" s="104">
        <f>'2025年'!S11</f>
        <v>120682.436</v>
      </c>
      <c r="D9" s="104">
        <f>'2026年'!S11</f>
        <v>2172283.8479999998</v>
      </c>
      <c r="E9" s="105">
        <f>'2027年'!S11</f>
        <v>2413648.7199999997</v>
      </c>
      <c r="F9" s="104">
        <f>'2028年'!S11</f>
        <v>2413648.7199999997</v>
      </c>
      <c r="G9" s="104">
        <f>'2029年'!S11</f>
        <v>0</v>
      </c>
      <c r="H9" s="104">
        <f t="shared" si="0"/>
        <v>7120263.7239999995</v>
      </c>
      <c r="AI9" s="78" t="s">
        <v>66</v>
      </c>
      <c r="AJ9" s="78" t="s">
        <v>65</v>
      </c>
    </row>
    <row r="10" spans="1:37" s="71" customFormat="1" ht="15.75" customHeight="1">
      <c r="A10" s="75">
        <v>6</v>
      </c>
      <c r="B10" s="78" t="s">
        <v>67</v>
      </c>
      <c r="C10" s="104">
        <f>'2025年'!S12</f>
        <v>75469.995999999999</v>
      </c>
      <c r="D10" s="104">
        <f>'2026年'!S12</f>
        <v>1358459.9279999998</v>
      </c>
      <c r="E10" s="105">
        <f>'2027年'!S12</f>
        <v>1509399.92</v>
      </c>
      <c r="F10" s="104">
        <f>'2028年'!S12</f>
        <v>1509399.92</v>
      </c>
      <c r="G10" s="104">
        <f>'2029年'!S12</f>
        <v>0</v>
      </c>
      <c r="H10" s="104">
        <f t="shared" si="0"/>
        <v>4452729.7639999995</v>
      </c>
      <c r="AI10" s="78" t="s">
        <v>68</v>
      </c>
      <c r="AJ10" s="78" t="s">
        <v>67</v>
      </c>
    </row>
    <row r="11" spans="1:37" s="71" customFormat="1" ht="15.75" customHeight="1">
      <c r="A11" s="75">
        <v>7</v>
      </c>
      <c r="B11" s="78" t="s">
        <v>69</v>
      </c>
      <c r="C11" s="104">
        <f>'2025年'!S13</f>
        <v>113204.99400000001</v>
      </c>
      <c r="D11" s="104">
        <f>'2026年'!S13</f>
        <v>2037689.8920000002</v>
      </c>
      <c r="E11" s="105">
        <f>'2027年'!S13</f>
        <v>2264099.8800000004</v>
      </c>
      <c r="F11" s="104">
        <f>'2028年'!S13</f>
        <v>2264099.8800000004</v>
      </c>
      <c r="G11" s="104">
        <f>'2029年'!S13</f>
        <v>0</v>
      </c>
      <c r="H11" s="104">
        <f>SUM(C11:G11)</f>
        <v>6679094.6460000016</v>
      </c>
      <c r="AI11" s="78" t="s">
        <v>70</v>
      </c>
      <c r="AJ11" s="78" t="s">
        <v>69</v>
      </c>
      <c r="AK11" s="71" t="s">
        <v>53</v>
      </c>
    </row>
    <row r="12" spans="1:37" s="71" customFormat="1" ht="15.75" customHeight="1">
      <c r="A12" s="75">
        <v>8</v>
      </c>
      <c r="B12" s="291" t="s">
        <v>71</v>
      </c>
      <c r="C12" s="290">
        <f>SUM(C9:C11)</f>
        <v>309357.42599999998</v>
      </c>
      <c r="D12" s="290">
        <f t="shared" ref="D12:H12" si="1">SUM(D9:D11)</f>
        <v>5568433.6679999996</v>
      </c>
      <c r="E12" s="290">
        <f t="shared" si="1"/>
        <v>6187148.5199999996</v>
      </c>
      <c r="F12" s="290">
        <f t="shared" si="1"/>
        <v>6187148.5199999996</v>
      </c>
      <c r="G12" s="290">
        <f t="shared" si="1"/>
        <v>0</v>
      </c>
      <c r="H12" s="290">
        <f t="shared" si="1"/>
        <v>18252088.134</v>
      </c>
      <c r="AI12" s="78" t="s">
        <v>72</v>
      </c>
      <c r="AJ12" s="83" t="s">
        <v>71</v>
      </c>
    </row>
    <row r="13" spans="1:37" s="71" customFormat="1" ht="15.75" customHeight="1">
      <c r="A13" s="75">
        <v>9</v>
      </c>
      <c r="B13" s="106" t="s">
        <v>73</v>
      </c>
      <c r="C13" s="104">
        <f>'2025年'!S15</f>
        <v>139151.403138038</v>
      </c>
      <c r="D13" s="104">
        <f>'2026年'!S15</f>
        <v>2423993.6672398392</v>
      </c>
      <c r="E13" s="105">
        <f>'2027年'!S15</f>
        <v>2604521.5487638265</v>
      </c>
      <c r="F13" s="104">
        <f>'2028年'!S15</f>
        <v>2516604.8480761833</v>
      </c>
      <c r="G13" s="104">
        <f>'2029年'!S15</f>
        <v>0</v>
      </c>
      <c r="H13" s="104">
        <f>SUM(C13:G13)</f>
        <v>7684271.4672178868</v>
      </c>
      <c r="J13" s="101"/>
      <c r="K13" s="101"/>
      <c r="L13" s="101"/>
      <c r="M13" s="101"/>
      <c r="N13" s="101"/>
      <c r="O13" s="101"/>
      <c r="AI13" s="78" t="s">
        <v>74</v>
      </c>
      <c r="AJ13" s="83" t="s">
        <v>73</v>
      </c>
    </row>
    <row r="14" spans="1:37" ht="15.75" customHeight="1">
      <c r="A14" s="75">
        <v>10</v>
      </c>
      <c r="B14" s="107" t="s">
        <v>75</v>
      </c>
      <c r="C14" s="108">
        <f>+C13/C7</f>
        <v>8.0020819084061556E-2</v>
      </c>
      <c r="D14" s="108">
        <f>+D13/D7</f>
        <v>7.8223849387091926E-2</v>
      </c>
      <c r="E14" s="108">
        <f t="shared" ref="E14:F14" si="2">+E13/E7</f>
        <v>7.6408728481062019E-2</v>
      </c>
      <c r="F14" s="108">
        <f t="shared" si="2"/>
        <v>7.457527302042552E-2</v>
      </c>
      <c r="G14" s="108" t="e">
        <f>+G13/G7</f>
        <v>#DIV/0!</v>
      </c>
      <c r="H14" s="108">
        <f>+H13/H7</f>
        <v>7.6415257243582335E-2</v>
      </c>
      <c r="AI14" s="107" t="s">
        <v>76</v>
      </c>
      <c r="AJ14" s="107" t="s">
        <v>75</v>
      </c>
    </row>
    <row r="15" spans="1:37" ht="15.75" customHeight="1">
      <c r="A15" s="75">
        <v>11</v>
      </c>
      <c r="B15" s="107" t="s">
        <v>77</v>
      </c>
      <c r="C15" s="104">
        <f>'2025年'!S17</f>
        <v>190962.55</v>
      </c>
      <c r="D15" s="104">
        <f>'2026年'!S17</f>
        <v>2629825.9</v>
      </c>
      <c r="E15" s="105">
        <f>'2027年'!S17</f>
        <v>2916751</v>
      </c>
      <c r="F15" s="104">
        <f>'2028年'!$S$17</f>
        <v>2916751</v>
      </c>
      <c r="G15" s="104"/>
      <c r="H15" s="104">
        <f>SUM(C15:G15)</f>
        <v>8654290.4499999993</v>
      </c>
      <c r="AI15" s="107" t="s">
        <v>78</v>
      </c>
      <c r="AJ15" s="107" t="s">
        <v>77</v>
      </c>
    </row>
    <row r="16" spans="1:37" ht="15.75" hidden="1" customHeight="1">
      <c r="A16" s="75"/>
      <c r="B16" s="107"/>
      <c r="C16" s="104"/>
      <c r="D16" s="104"/>
      <c r="E16" s="104"/>
      <c r="F16" s="104"/>
      <c r="G16" s="104"/>
      <c r="H16" s="104">
        <f>SUM(D16:F16)</f>
        <v>0</v>
      </c>
      <c r="AI16" s="107"/>
      <c r="AJ16" s="107"/>
    </row>
    <row r="17" spans="1:37" ht="15.75" customHeight="1">
      <c r="A17" s="75">
        <v>12</v>
      </c>
      <c r="B17" s="107" t="s">
        <v>79</v>
      </c>
      <c r="C17" s="109">
        <f>'2025年'!S19</f>
        <v>29909.767999999996</v>
      </c>
      <c r="D17" s="109">
        <f>'2026年'!S19</f>
        <v>538375.82400000002</v>
      </c>
      <c r="E17" s="109">
        <f>'2027年'!S19</f>
        <v>598195.36</v>
      </c>
      <c r="F17" s="104">
        <f>'2028年'!S19</f>
        <v>598195.36</v>
      </c>
      <c r="G17" s="104">
        <f>'2029年'!S19</f>
        <v>0</v>
      </c>
      <c r="H17" s="104">
        <f>SUM(C17:G17)</f>
        <v>1764676.3119999999</v>
      </c>
      <c r="P17" s="82"/>
      <c r="AI17" s="107" t="s">
        <v>80</v>
      </c>
      <c r="AJ17" s="107" t="s">
        <v>79</v>
      </c>
      <c r="AK17" s="101" t="s">
        <v>53</v>
      </c>
    </row>
    <row r="18" spans="1:37" ht="15.75" customHeight="1">
      <c r="A18" s="75">
        <v>13</v>
      </c>
      <c r="B18" s="107" t="s">
        <v>81</v>
      </c>
      <c r="C18" s="109">
        <f>'2025年'!S20</f>
        <v>45908.016000000003</v>
      </c>
      <c r="D18" s="109">
        <f>'2026年'!S20</f>
        <v>826344.28799999994</v>
      </c>
      <c r="E18" s="109">
        <f>'2027年'!S20</f>
        <v>918160.32000000007</v>
      </c>
      <c r="F18" s="104">
        <f>'2028年'!S20</f>
        <v>918160.32000000007</v>
      </c>
      <c r="G18" s="104">
        <f>'2029年'!S20</f>
        <v>0</v>
      </c>
      <c r="H18" s="104">
        <f>SUM(C18:G18)</f>
        <v>2708572.9440000001</v>
      </c>
      <c r="AI18" s="107" t="s">
        <v>82</v>
      </c>
      <c r="AJ18" s="107" t="s">
        <v>81</v>
      </c>
    </row>
    <row r="19" spans="1:37" s="73" customFormat="1" ht="15.75" customHeight="1">
      <c r="A19" s="75">
        <v>14</v>
      </c>
      <c r="B19" s="90" t="s">
        <v>83</v>
      </c>
      <c r="C19" s="110">
        <f>'2025年'!S21</f>
        <v>28750</v>
      </c>
      <c r="D19" s="110">
        <f>'2026年'!S21</f>
        <v>28750</v>
      </c>
      <c r="E19" s="110">
        <f>'2027年'!S21</f>
        <v>28750</v>
      </c>
      <c r="F19" s="110">
        <f>'2028年'!S21</f>
        <v>28750</v>
      </c>
      <c r="G19" s="104">
        <f>'2029年'!S21</f>
        <v>0</v>
      </c>
      <c r="H19" s="104">
        <f>SUM(C19:G19)</f>
        <v>115000</v>
      </c>
      <c r="AI19" s="90"/>
      <c r="AJ19" s="90"/>
    </row>
    <row r="20" spans="1:37" s="71" customFormat="1" ht="15.75" customHeight="1">
      <c r="A20" s="75">
        <v>15</v>
      </c>
      <c r="B20" s="78" t="s">
        <v>84</v>
      </c>
      <c r="C20" s="109">
        <f>'2025年'!S22</f>
        <v>61732.369999999995</v>
      </c>
      <c r="D20" s="109">
        <f>'2026年'!S22</f>
        <v>1111182.6599999997</v>
      </c>
      <c r="E20" s="109">
        <f>'2027年'!S22</f>
        <v>1234647.3999999999</v>
      </c>
      <c r="F20" s="104">
        <f>'2028年'!S22</f>
        <v>1234647.3999999999</v>
      </c>
      <c r="G20" s="104">
        <f>'2029年'!S22</f>
        <v>0</v>
      </c>
      <c r="H20" s="104">
        <f>SUM(C20:G20)</f>
        <v>3642209.8299999996</v>
      </c>
      <c r="AI20" s="78" t="s">
        <v>85</v>
      </c>
      <c r="AJ20" s="78" t="s">
        <v>84</v>
      </c>
    </row>
    <row r="21" spans="1:37" s="99" customFormat="1" ht="15.75" customHeight="1">
      <c r="A21" s="75">
        <v>16</v>
      </c>
      <c r="B21" s="292" t="s">
        <v>86</v>
      </c>
      <c r="C21" s="290">
        <f t="shared" ref="C21:G21" si="3">+C20+C19+C18+C17+C15</f>
        <v>357262.70399999997</v>
      </c>
      <c r="D21" s="290">
        <f t="shared" si="3"/>
        <v>5134478.6720000003</v>
      </c>
      <c r="E21" s="290">
        <f t="shared" si="3"/>
        <v>5696504.0800000001</v>
      </c>
      <c r="F21" s="290">
        <f t="shared" si="3"/>
        <v>5696504.0800000001</v>
      </c>
      <c r="G21" s="290">
        <f t="shared" si="3"/>
        <v>0</v>
      </c>
      <c r="H21" s="290">
        <f>+H20+H19+H18+H17+H15</f>
        <v>16884749.535999998</v>
      </c>
      <c r="AI21" s="120" t="s">
        <v>87</v>
      </c>
      <c r="AJ21" s="121" t="s">
        <v>86</v>
      </c>
    </row>
    <row r="22" spans="1:37" ht="15.75" customHeight="1">
      <c r="A22" s="75">
        <v>17</v>
      </c>
      <c r="B22" s="107" t="s">
        <v>88</v>
      </c>
      <c r="C22" s="110">
        <f>'2025年'!S24</f>
        <v>-218111.30086196196</v>
      </c>
      <c r="D22" s="111">
        <f>'2026年'!S24</f>
        <v>-2710485.004760161</v>
      </c>
      <c r="E22" s="111">
        <f>'2027年'!S24</f>
        <v>-3091982.5312361727</v>
      </c>
      <c r="F22" s="104">
        <f>'2028年'!$S$24</f>
        <v>-3179899.2319238167</v>
      </c>
      <c r="G22" s="104"/>
      <c r="H22" s="104">
        <f>SUM(C22:G22)</f>
        <v>-9200478.0687821135</v>
      </c>
      <c r="AI22" s="107" t="s">
        <v>89</v>
      </c>
      <c r="AJ22" s="107" t="s">
        <v>88</v>
      </c>
    </row>
    <row r="23" spans="1:37" ht="15.75" customHeight="1">
      <c r="A23" s="75">
        <v>18</v>
      </c>
      <c r="B23" s="107" t="s">
        <v>35</v>
      </c>
      <c r="C23" s="110">
        <f>'2025年'!S25</f>
        <v>0</v>
      </c>
      <c r="D23" s="111">
        <f>'2026年'!S25</f>
        <v>0</v>
      </c>
      <c r="E23" s="111">
        <f>'2027年'!S25</f>
        <v>0</v>
      </c>
      <c r="F23" s="104">
        <f>'2028年'!S25</f>
        <v>0</v>
      </c>
      <c r="G23" s="104" t="e">
        <f>'2029年'!S25</f>
        <v>#DIV/0!</v>
      </c>
      <c r="H23" s="104">
        <f t="shared" ref="H23" si="4">IF(H22&lt;0,0,H22*0.15)</f>
        <v>0</v>
      </c>
      <c r="AI23" s="107" t="s">
        <v>90</v>
      </c>
      <c r="AJ23" s="107" t="s">
        <v>35</v>
      </c>
    </row>
    <row r="24" spans="1:37" ht="15.75" customHeight="1">
      <c r="A24" s="75">
        <v>19</v>
      </c>
      <c r="B24" s="107" t="s">
        <v>91</v>
      </c>
      <c r="C24" s="110">
        <f>'2025年'!S26</f>
        <v>-218111.30086196202</v>
      </c>
      <c r="D24" s="111">
        <f>'2026年'!S26</f>
        <v>-2710485.004760161</v>
      </c>
      <c r="E24" s="111">
        <f>'2027年'!S26</f>
        <v>-3091982.5312361727</v>
      </c>
      <c r="F24" s="104">
        <f>'2028年'!S26</f>
        <v>-3179899.2319238167</v>
      </c>
      <c r="G24" s="104" t="e">
        <f>'2029年'!S26</f>
        <v>#DIV/0!</v>
      </c>
      <c r="H24" s="104">
        <f>H22-H23</f>
        <v>-9200478.0687821135</v>
      </c>
      <c r="AI24" s="107" t="s">
        <v>92</v>
      </c>
      <c r="AJ24" s="107" t="s">
        <v>91</v>
      </c>
    </row>
    <row r="25" spans="1:37" ht="15.75" customHeight="1">
      <c r="A25" s="75">
        <v>20</v>
      </c>
      <c r="B25" s="107" t="s">
        <v>93</v>
      </c>
      <c r="C25" s="112">
        <f>C24/C7</f>
        <v>-0.12542773233231855</v>
      </c>
      <c r="D25" s="112">
        <f t="shared" ref="D25:G25" si="5">D24/D7</f>
        <v>-8.7469110849517515E-2</v>
      </c>
      <c r="E25" s="112">
        <f>E24/E7</f>
        <v>-9.0709348828211495E-2</v>
      </c>
      <c r="F25" s="112">
        <f t="shared" si="5"/>
        <v>-9.4230865675810391E-2</v>
      </c>
      <c r="G25" s="112" t="e">
        <f t="shared" si="5"/>
        <v>#DIV/0!</v>
      </c>
      <c r="H25" s="112">
        <f>H24/H7</f>
        <v>-9.1492980354644676E-2</v>
      </c>
      <c r="AI25" s="122" t="s">
        <v>94</v>
      </c>
      <c r="AJ25" s="122" t="s">
        <v>95</v>
      </c>
    </row>
    <row r="26" spans="1:37" s="100" customFormat="1" ht="15.75" customHeight="1">
      <c r="D26" s="113"/>
      <c r="E26" s="113"/>
      <c r="F26" s="113"/>
      <c r="G26" s="113"/>
      <c r="H26" s="113"/>
    </row>
    <row r="27" spans="1:37" s="100" customFormat="1" ht="15.75" customHeight="1">
      <c r="A27" s="100" t="s">
        <v>96</v>
      </c>
      <c r="D27" s="114"/>
      <c r="E27" s="114"/>
      <c r="F27" s="114"/>
      <c r="G27" s="114"/>
      <c r="H27" s="114"/>
      <c r="AI27" s="100" t="s">
        <v>96</v>
      </c>
    </row>
    <row r="28" spans="1:37" ht="25.5" customHeight="1">
      <c r="A28" s="107" t="s">
        <v>18</v>
      </c>
      <c r="B28" s="169" t="s">
        <v>1</v>
      </c>
      <c r="C28" s="103" t="str">
        <f>C3</f>
        <v>2025年</v>
      </c>
      <c r="D28" s="103" t="str">
        <f t="shared" ref="D28:G28" si="6">D3</f>
        <v>2026年</v>
      </c>
      <c r="E28" s="103" t="str">
        <f t="shared" si="6"/>
        <v>2027年</v>
      </c>
      <c r="F28" s="103" t="str">
        <f t="shared" si="6"/>
        <v>2028年</v>
      </c>
      <c r="G28" s="103" t="str">
        <f t="shared" si="6"/>
        <v>2029年</v>
      </c>
      <c r="H28" s="119" t="s">
        <v>51</v>
      </c>
      <c r="AK28" s="101" t="s">
        <v>52</v>
      </c>
    </row>
    <row r="29" spans="1:37" s="71" customFormat="1" ht="15.75" customHeight="1">
      <c r="A29" s="78" t="s">
        <v>97</v>
      </c>
      <c r="B29" s="83" t="s">
        <v>98</v>
      </c>
      <c r="C29" s="83"/>
      <c r="D29" s="89"/>
      <c r="E29" s="89"/>
      <c r="F29" s="89"/>
      <c r="G29" s="89"/>
      <c r="H29" s="89"/>
      <c r="AI29" s="78" t="s">
        <v>99</v>
      </c>
      <c r="AJ29" s="83" t="s">
        <v>98</v>
      </c>
    </row>
    <row r="30" spans="1:37" s="71" customFormat="1" ht="15.75" customHeight="1">
      <c r="A30" s="78" t="s">
        <v>55</v>
      </c>
      <c r="B30" s="78" t="s">
        <v>100</v>
      </c>
      <c r="C30" s="81">
        <f>+C7/C4</f>
        <v>869.47</v>
      </c>
      <c r="D30" s="81">
        <f t="shared" ref="D30:H30" si="7">+D7/D4</f>
        <v>860.77530000000002</v>
      </c>
      <c r="E30" s="81">
        <f t="shared" si="7"/>
        <v>852.16754700000001</v>
      </c>
      <c r="F30" s="81">
        <f t="shared" si="7"/>
        <v>843.64587152999991</v>
      </c>
      <c r="G30" s="81" t="e">
        <f t="shared" si="7"/>
        <v>#DIV/0!</v>
      </c>
      <c r="H30" s="81">
        <f t="shared" si="7"/>
        <v>852.19819950169506</v>
      </c>
      <c r="AI30" s="78" t="s">
        <v>55</v>
      </c>
      <c r="AJ30" s="78" t="s">
        <v>100</v>
      </c>
    </row>
    <row r="31" spans="1:37" s="71" customFormat="1" ht="15.75" customHeight="1">
      <c r="A31" s="78" t="s">
        <v>57</v>
      </c>
      <c r="B31" s="78" t="s">
        <v>101</v>
      </c>
      <c r="C31" s="81">
        <f>+C8/C4</f>
        <v>645.21558543098104</v>
      </c>
      <c r="D31" s="81">
        <f t="shared" ref="D31:H31" si="8">+D8/D4</f>
        <v>638.76342957667111</v>
      </c>
      <c r="E31" s="81">
        <f t="shared" si="8"/>
        <v>632.37579528090441</v>
      </c>
      <c r="F31" s="81">
        <f t="shared" si="8"/>
        <v>626.05203732809537</v>
      </c>
      <c r="G31" s="81" t="e">
        <f t="shared" si="8"/>
        <v>#DIV/0!</v>
      </c>
      <c r="H31" s="81">
        <f t="shared" si="8"/>
        <v>632.39854186425521</v>
      </c>
      <c r="AI31" s="78" t="s">
        <v>57</v>
      </c>
      <c r="AJ31" s="78" t="s">
        <v>101</v>
      </c>
    </row>
    <row r="32" spans="1:37" s="71" customFormat="1" ht="15.75" customHeight="1">
      <c r="A32" s="78" t="s">
        <v>102</v>
      </c>
      <c r="B32" s="78" t="s">
        <v>103</v>
      </c>
      <c r="C32" s="89">
        <f>C30-C31</f>
        <v>224.25441456901899</v>
      </c>
      <c r="D32" s="89">
        <f t="shared" ref="D32:H32" si="9">D30-D31</f>
        <v>222.0118704233289</v>
      </c>
      <c r="E32" s="89">
        <f t="shared" si="9"/>
        <v>219.7917517190956</v>
      </c>
      <c r="F32" s="89">
        <f t="shared" si="9"/>
        <v>217.59383420190454</v>
      </c>
      <c r="G32" s="89" t="e">
        <f t="shared" si="9"/>
        <v>#DIV/0!</v>
      </c>
      <c r="H32" s="89">
        <f t="shared" si="9"/>
        <v>219.79965763743985</v>
      </c>
      <c r="AI32" s="78" t="s">
        <v>102</v>
      </c>
      <c r="AJ32" s="78" t="s">
        <v>103</v>
      </c>
    </row>
    <row r="33" spans="1:36" s="71" customFormat="1" ht="15.75" customHeight="1">
      <c r="A33" s="78">
        <v>3.1</v>
      </c>
      <c r="B33" s="78" t="s">
        <v>104</v>
      </c>
      <c r="C33" s="84">
        <f>C32/C30</f>
        <v>0.25792081908406156</v>
      </c>
      <c r="D33" s="84">
        <f t="shared" ref="D33:H33" si="10">D32/D30</f>
        <v>0.25792081908406167</v>
      </c>
      <c r="E33" s="84">
        <f t="shared" si="10"/>
        <v>0.25792081908406167</v>
      </c>
      <c r="F33" s="84">
        <f t="shared" si="10"/>
        <v>0.25792081908406156</v>
      </c>
      <c r="G33" s="84" t="e">
        <f t="shared" si="10"/>
        <v>#DIV/0!</v>
      </c>
      <c r="H33" s="84">
        <f t="shared" si="10"/>
        <v>0.25792081908406173</v>
      </c>
      <c r="AI33" s="78"/>
      <c r="AJ33" s="78"/>
    </row>
    <row r="34" spans="1:36" s="71" customFormat="1" ht="15.75" customHeight="1">
      <c r="A34" s="78" t="s">
        <v>99</v>
      </c>
      <c r="B34" s="83" t="s">
        <v>9</v>
      </c>
      <c r="C34" s="89"/>
      <c r="D34" s="89"/>
      <c r="E34" s="89"/>
      <c r="F34" s="89"/>
      <c r="G34" s="89"/>
      <c r="H34" s="89"/>
      <c r="AI34" s="78" t="s">
        <v>105</v>
      </c>
      <c r="AJ34" s="83" t="s">
        <v>9</v>
      </c>
    </row>
    <row r="35" spans="1:36" s="71" customFormat="1" ht="15.75" customHeight="1">
      <c r="A35" s="78" t="s">
        <v>55</v>
      </c>
      <c r="B35" s="90" t="s">
        <v>106</v>
      </c>
      <c r="C35" s="81">
        <f>+C9/C4</f>
        <v>60.341217999999998</v>
      </c>
      <c r="D35" s="81">
        <f t="shared" ref="D35:H35" si="11">+D9/D4</f>
        <v>60.341217999999991</v>
      </c>
      <c r="E35" s="81">
        <f t="shared" si="11"/>
        <v>60.341217999999991</v>
      </c>
      <c r="F35" s="81">
        <f t="shared" si="11"/>
        <v>60.341217999999991</v>
      </c>
      <c r="G35" s="81" t="e">
        <f t="shared" si="11"/>
        <v>#DIV/0!</v>
      </c>
      <c r="H35" s="81">
        <f t="shared" si="11"/>
        <v>60.341217999999998</v>
      </c>
      <c r="AI35" s="78" t="s">
        <v>102</v>
      </c>
      <c r="AJ35" s="78" t="s">
        <v>106</v>
      </c>
    </row>
    <row r="36" spans="1:36" s="71" customFormat="1" ht="15.75" customHeight="1">
      <c r="A36" s="78" t="s">
        <v>57</v>
      </c>
      <c r="B36" s="90" t="s">
        <v>107</v>
      </c>
      <c r="C36" s="81">
        <f>+C10/C4</f>
        <v>37.734997999999997</v>
      </c>
      <c r="D36" s="81">
        <f t="shared" ref="D36:H36" si="12">+D10/D4</f>
        <v>37.734997999999997</v>
      </c>
      <c r="E36" s="81">
        <f t="shared" si="12"/>
        <v>37.734997999999997</v>
      </c>
      <c r="F36" s="81">
        <f t="shared" si="12"/>
        <v>37.734997999999997</v>
      </c>
      <c r="G36" s="81" t="e">
        <f t="shared" si="12"/>
        <v>#DIV/0!</v>
      </c>
      <c r="H36" s="81">
        <f t="shared" si="12"/>
        <v>37.734997999999997</v>
      </c>
      <c r="AI36" s="78" t="s">
        <v>60</v>
      </c>
      <c r="AJ36" s="78" t="s">
        <v>107</v>
      </c>
    </row>
    <row r="37" spans="1:36" s="71" customFormat="1" ht="15.75" customHeight="1">
      <c r="A37" s="78" t="s">
        <v>102</v>
      </c>
      <c r="B37" s="90" t="s">
        <v>108</v>
      </c>
      <c r="C37" s="81">
        <f>+C11/C4</f>
        <v>56.602497</v>
      </c>
      <c r="D37" s="81">
        <f t="shared" ref="D37:H37" si="13">+D11/D4</f>
        <v>56.602497000000007</v>
      </c>
      <c r="E37" s="81">
        <f t="shared" si="13"/>
        <v>56.602497000000007</v>
      </c>
      <c r="F37" s="81">
        <f t="shared" si="13"/>
        <v>56.602497000000007</v>
      </c>
      <c r="G37" s="81" t="e">
        <f t="shared" si="13"/>
        <v>#DIV/0!</v>
      </c>
      <c r="H37" s="81">
        <f t="shared" si="13"/>
        <v>56.602497000000014</v>
      </c>
      <c r="AI37" s="78" t="s">
        <v>66</v>
      </c>
      <c r="AJ37" s="78" t="s">
        <v>108</v>
      </c>
    </row>
    <row r="38" spans="1:36" s="71" customFormat="1" ht="15.75" customHeight="1">
      <c r="A38" s="78" t="s">
        <v>109</v>
      </c>
      <c r="B38" s="106" t="s">
        <v>110</v>
      </c>
      <c r="C38" s="81"/>
      <c r="D38" s="81"/>
      <c r="E38" s="81"/>
      <c r="F38" s="81"/>
      <c r="G38" s="81"/>
      <c r="H38" s="81"/>
      <c r="AI38" s="78" t="s">
        <v>109</v>
      </c>
      <c r="AJ38" s="83" t="s">
        <v>110</v>
      </c>
    </row>
    <row r="39" spans="1:36" s="71" customFormat="1">
      <c r="A39" s="78" t="s">
        <v>55</v>
      </c>
      <c r="B39" s="90" t="s">
        <v>272</v>
      </c>
      <c r="C39" s="81">
        <f>+C13/C4</f>
        <v>69.575701569019003</v>
      </c>
      <c r="D39" s="81">
        <f t="shared" ref="D39:H39" si="14">+D13/D4</f>
        <v>67.333157423328871</v>
      </c>
      <c r="E39" s="81">
        <f t="shared" si="14"/>
        <v>65.113038719095655</v>
      </c>
      <c r="F39" s="81">
        <f t="shared" si="14"/>
        <v>62.915121201904583</v>
      </c>
      <c r="G39" s="81" t="e">
        <f t="shared" si="14"/>
        <v>#DIV/0!</v>
      </c>
      <c r="H39" s="81">
        <f t="shared" si="14"/>
        <v>65.12094463743972</v>
      </c>
      <c r="AI39" s="78" t="s">
        <v>55</v>
      </c>
      <c r="AJ39" s="78" t="s">
        <v>111</v>
      </c>
    </row>
    <row r="40" spans="1:36" s="71" customFormat="1" ht="15.75" customHeight="1">
      <c r="A40" s="78" t="s">
        <v>57</v>
      </c>
      <c r="B40" s="90" t="s">
        <v>112</v>
      </c>
      <c r="C40" s="104">
        <f>+C21/C39</f>
        <v>5134.8774923325182</v>
      </c>
      <c r="D40" s="104">
        <f t="shared" ref="D40:H40" si="15">+D21/D39</f>
        <v>76254.832960217915</v>
      </c>
      <c r="E40" s="104">
        <f t="shared" si="15"/>
        <v>87486.38048633092</v>
      </c>
      <c r="F40" s="104">
        <f t="shared" si="15"/>
        <v>90542.686260096627</v>
      </c>
      <c r="G40" s="104" t="e">
        <f t="shared" si="15"/>
        <v>#DIV/0!</v>
      </c>
      <c r="H40" s="104">
        <f t="shared" si="15"/>
        <v>259282.93316391049</v>
      </c>
      <c r="AI40" s="78" t="s">
        <v>57</v>
      </c>
      <c r="AJ40" s="78" t="s">
        <v>112</v>
      </c>
    </row>
    <row r="41" spans="1:36" s="71" customFormat="1" ht="15.75" customHeight="1">
      <c r="A41" s="78" t="s">
        <v>113</v>
      </c>
      <c r="B41" s="83" t="s">
        <v>114</v>
      </c>
      <c r="C41" s="89"/>
      <c r="D41" s="89"/>
      <c r="E41" s="89"/>
      <c r="F41" s="89"/>
      <c r="G41" s="89"/>
      <c r="H41" s="89"/>
      <c r="AI41" s="78" t="s">
        <v>113</v>
      </c>
      <c r="AJ41" s="83" t="s">
        <v>114</v>
      </c>
    </row>
    <row r="42" spans="1:36" s="71" customFormat="1" ht="15.75" customHeight="1">
      <c r="A42" s="78" t="s">
        <v>55</v>
      </c>
      <c r="B42" s="78" t="s">
        <v>115</v>
      </c>
      <c r="C42" s="89">
        <f>+C15/C4</f>
        <v>95.481274999999997</v>
      </c>
      <c r="D42" s="89">
        <f t="shared" ref="D42:H42" si="16">+D15/D4</f>
        <v>73.050719444444439</v>
      </c>
      <c r="E42" s="89">
        <f t="shared" si="16"/>
        <v>72.918774999999997</v>
      </c>
      <c r="F42" s="89">
        <f t="shared" si="16"/>
        <v>72.918774999999997</v>
      </c>
      <c r="G42" s="89" t="e">
        <f t="shared" si="16"/>
        <v>#DIV/0!</v>
      </c>
      <c r="H42" s="89">
        <f t="shared" si="16"/>
        <v>73.341444491525422</v>
      </c>
      <c r="AI42" s="78" t="s">
        <v>55</v>
      </c>
      <c r="AJ42" s="78" t="s">
        <v>115</v>
      </c>
    </row>
    <row r="43" spans="1:36" s="71" customFormat="1" ht="15.75" customHeight="1">
      <c r="A43" s="78" t="s">
        <v>57</v>
      </c>
      <c r="B43" s="78" t="s">
        <v>116</v>
      </c>
      <c r="C43" s="89">
        <f>+C17/C4</f>
        <v>14.954883999999998</v>
      </c>
      <c r="D43" s="89">
        <f t="shared" ref="D43:H43" si="17">+D17/D4</f>
        <v>14.954884</v>
      </c>
      <c r="E43" s="89">
        <f t="shared" si="17"/>
        <v>14.954884</v>
      </c>
      <c r="F43" s="89">
        <f t="shared" si="17"/>
        <v>14.954884</v>
      </c>
      <c r="G43" s="89" t="e">
        <f t="shared" si="17"/>
        <v>#DIV/0!</v>
      </c>
      <c r="H43" s="89">
        <f t="shared" si="17"/>
        <v>14.954884</v>
      </c>
      <c r="AI43" s="78" t="s">
        <v>57</v>
      </c>
      <c r="AJ43" s="78" t="s">
        <v>116</v>
      </c>
    </row>
    <row r="44" spans="1:36" s="71" customFormat="1" ht="15.75" customHeight="1">
      <c r="A44" s="78" t="s">
        <v>102</v>
      </c>
      <c r="B44" s="78" t="s">
        <v>117</v>
      </c>
      <c r="C44" s="89">
        <f>+C18/C4</f>
        <v>22.954008000000002</v>
      </c>
      <c r="D44" s="89">
        <f t="shared" ref="D44:H44" si="18">+D18/D4</f>
        <v>22.954007999999998</v>
      </c>
      <c r="E44" s="89">
        <f t="shared" si="18"/>
        <v>22.954008000000002</v>
      </c>
      <c r="F44" s="89">
        <f t="shared" si="18"/>
        <v>22.954008000000002</v>
      </c>
      <c r="G44" s="89" t="e">
        <f t="shared" si="18"/>
        <v>#DIV/0!</v>
      </c>
      <c r="H44" s="89">
        <f t="shared" si="18"/>
        <v>22.954008000000002</v>
      </c>
      <c r="AI44" s="78" t="s">
        <v>102</v>
      </c>
      <c r="AJ44" s="78" t="s">
        <v>117</v>
      </c>
    </row>
    <row r="45" spans="1:36" s="71" customFormat="1" ht="15.75" customHeight="1">
      <c r="A45" s="78" t="s">
        <v>60</v>
      </c>
      <c r="B45" s="78" t="s">
        <v>118</v>
      </c>
      <c r="C45" s="89">
        <f>C19/C4</f>
        <v>14.375</v>
      </c>
      <c r="D45" s="89">
        <f t="shared" ref="D45:H45" si="19">D19/D4</f>
        <v>0.79861111111111116</v>
      </c>
      <c r="E45" s="89">
        <f t="shared" si="19"/>
        <v>0.71875</v>
      </c>
      <c r="F45" s="89">
        <f t="shared" si="19"/>
        <v>0.71875</v>
      </c>
      <c r="G45" s="89" t="e">
        <f t="shared" si="19"/>
        <v>#DIV/0!</v>
      </c>
      <c r="H45" s="89">
        <f t="shared" si="19"/>
        <v>0.97457627118644063</v>
      </c>
      <c r="AI45" s="78" t="s">
        <v>60</v>
      </c>
      <c r="AJ45" s="78" t="s">
        <v>119</v>
      </c>
    </row>
    <row r="46" spans="1:36" s="71" customFormat="1" ht="15.75" customHeight="1">
      <c r="A46" s="78" t="s">
        <v>62</v>
      </c>
      <c r="B46" s="78" t="s">
        <v>120</v>
      </c>
      <c r="C46" s="89">
        <f>C20/C4</f>
        <v>30.866184999999998</v>
      </c>
      <c r="D46" s="89">
        <f t="shared" ref="D46:H46" si="20">D20/D4</f>
        <v>30.866184999999991</v>
      </c>
      <c r="E46" s="89">
        <f t="shared" si="20"/>
        <v>30.866184999999998</v>
      </c>
      <c r="F46" s="89">
        <f t="shared" si="20"/>
        <v>30.866184999999998</v>
      </c>
      <c r="G46" s="89" t="e">
        <f t="shared" si="20"/>
        <v>#DIV/0!</v>
      </c>
      <c r="H46" s="89">
        <f t="shared" si="20"/>
        <v>30.866184999999998</v>
      </c>
      <c r="AI46" s="78" t="s">
        <v>62</v>
      </c>
      <c r="AJ46" s="78" t="s">
        <v>120</v>
      </c>
    </row>
    <row r="47" spans="1:36" s="71" customFormat="1" ht="15.75" customHeight="1">
      <c r="A47" s="78" t="s">
        <v>121</v>
      </c>
      <c r="B47" s="83" t="s">
        <v>122</v>
      </c>
      <c r="C47" s="89"/>
      <c r="D47" s="89"/>
      <c r="E47" s="89"/>
      <c r="F47" s="89"/>
      <c r="G47" s="89"/>
      <c r="H47" s="89"/>
      <c r="AI47" s="78" t="s">
        <v>121</v>
      </c>
      <c r="AJ47" s="83" t="s">
        <v>122</v>
      </c>
    </row>
    <row r="48" spans="1:36" s="71" customFormat="1" ht="15.75" customHeight="1">
      <c r="A48" s="78" t="s">
        <v>55</v>
      </c>
      <c r="B48" s="78" t="s">
        <v>123</v>
      </c>
      <c r="C48" s="92">
        <f>+(C11+C17)/C7</f>
        <v>8.2299999999999998E-2</v>
      </c>
      <c r="D48" s="92">
        <f t="shared" ref="D48:H48" si="21">+(D11+D17)/D7</f>
        <v>8.3131313131313125E-2</v>
      </c>
      <c r="E48" s="92">
        <f t="shared" si="21"/>
        <v>8.397102336496276E-2</v>
      </c>
      <c r="F48" s="92">
        <f t="shared" si="21"/>
        <v>8.4819215520164415E-2</v>
      </c>
      <c r="G48" s="92" t="e">
        <f t="shared" si="21"/>
        <v>#DIV/0!</v>
      </c>
      <c r="H48" s="92">
        <f t="shared" si="21"/>
        <v>8.3968003032442076E-2</v>
      </c>
      <c r="AI48" s="78" t="s">
        <v>55</v>
      </c>
      <c r="AJ48" s="78" t="s">
        <v>123</v>
      </c>
    </row>
    <row r="49" spans="1:36" s="71" customFormat="1" ht="15.75" customHeight="1">
      <c r="A49" s="78" t="s">
        <v>57</v>
      </c>
      <c r="B49" s="78" t="s">
        <v>124</v>
      </c>
      <c r="C49" s="92">
        <f>+(C9+C10+C15)/C7</f>
        <v>0.22261549104626954</v>
      </c>
      <c r="D49" s="92">
        <f t="shared" ref="D49:H49" si="22">+(D9+D10+D15)/D7</f>
        <v>0.1988055831114629</v>
      </c>
      <c r="E49" s="92">
        <f t="shared" si="22"/>
        <v>0.20065888639150439</v>
      </c>
      <c r="F49" s="92">
        <f t="shared" si="22"/>
        <v>0.20268574382980245</v>
      </c>
      <c r="G49" s="92" t="e">
        <f t="shared" si="22"/>
        <v>#DIV/0!</v>
      </c>
      <c r="H49" s="92">
        <f t="shared" si="22"/>
        <v>0.20114764451715372</v>
      </c>
      <c r="AI49" s="78" t="s">
        <v>57</v>
      </c>
      <c r="AJ49" s="78" t="s">
        <v>124</v>
      </c>
    </row>
    <row r="50" spans="1:36" s="71" customFormat="1" ht="15.75" customHeight="1">
      <c r="A50" s="78" t="s">
        <v>102</v>
      </c>
      <c r="B50" s="78" t="s">
        <v>125</v>
      </c>
      <c r="C50" s="92">
        <f>+C18/C7</f>
        <v>2.6400000000000003E-2</v>
      </c>
      <c r="D50" s="92">
        <f t="shared" ref="D50:H50" si="23">+D18/D7</f>
        <v>2.6666666666666665E-2</v>
      </c>
      <c r="E50" s="92">
        <f t="shared" si="23"/>
        <v>2.6936026936026935E-2</v>
      </c>
      <c r="F50" s="92">
        <f t="shared" si="23"/>
        <v>2.720810801618883E-2</v>
      </c>
      <c r="G50" s="92" t="e">
        <f t="shared" si="23"/>
        <v>#DIV/0!</v>
      </c>
      <c r="H50" s="92">
        <f t="shared" si="23"/>
        <v>2.6935058080880567E-2</v>
      </c>
      <c r="AI50" s="78" t="s">
        <v>102</v>
      </c>
      <c r="AJ50" s="78" t="s">
        <v>125</v>
      </c>
    </row>
    <row r="51" spans="1:36" s="71" customFormat="1" ht="15.75" customHeight="1">
      <c r="A51" s="78" t="s">
        <v>60</v>
      </c>
      <c r="B51" s="78" t="s">
        <v>126</v>
      </c>
      <c r="C51" s="92">
        <f>+C19/C7</f>
        <v>1.6533060370110528E-2</v>
      </c>
      <c r="D51" s="92">
        <f t="shared" ref="D51:H51" si="24">+D19/D7</f>
        <v>9.2778116555053457E-4</v>
      </c>
      <c r="E51" s="92">
        <f t="shared" si="24"/>
        <v>8.4343742322775866E-4</v>
      </c>
      <c r="F51" s="92">
        <f t="shared" si="24"/>
        <v>8.5195699315935235E-4</v>
      </c>
      <c r="G51" s="92" t="e">
        <f t="shared" si="24"/>
        <v>#DIV/0!</v>
      </c>
      <c r="H51" s="92">
        <f t="shared" si="24"/>
        <v>1.1436028282579142E-3</v>
      </c>
      <c r="AI51" s="78" t="s">
        <v>60</v>
      </c>
      <c r="AJ51" s="78" t="s">
        <v>126</v>
      </c>
    </row>
    <row r="52" spans="1:36" s="71" customFormat="1" ht="15.75" customHeight="1">
      <c r="A52" s="78" t="s">
        <v>62</v>
      </c>
      <c r="B52" s="78" t="s">
        <v>127</v>
      </c>
      <c r="C52" s="92">
        <f>+C20/C7</f>
        <v>3.5499999999999997E-2</v>
      </c>
      <c r="D52" s="92">
        <f t="shared" ref="D52:H52" si="25">+D20/D7</f>
        <v>3.5858585858585847E-2</v>
      </c>
      <c r="E52" s="92">
        <f t="shared" si="25"/>
        <v>3.6220793796551368E-2</v>
      </c>
      <c r="F52" s="92">
        <f t="shared" si="25"/>
        <v>3.6586660400556942E-2</v>
      </c>
      <c r="G52" s="92" t="e">
        <f t="shared" si="25"/>
        <v>#DIV/0!</v>
      </c>
      <c r="H52" s="92">
        <f t="shared" si="25"/>
        <v>3.6219490979971972E-2</v>
      </c>
      <c r="AI52" s="78" t="s">
        <v>62</v>
      </c>
      <c r="AJ52" s="78" t="s">
        <v>127</v>
      </c>
    </row>
    <row r="53" spans="1:36" s="71" customFormat="1" ht="15.75" customHeight="1">
      <c r="A53" s="78" t="s">
        <v>66</v>
      </c>
      <c r="B53" s="78" t="s">
        <v>128</v>
      </c>
      <c r="C53" s="92">
        <f>+C24/C7</f>
        <v>-0.12542773233231855</v>
      </c>
      <c r="D53" s="92">
        <f t="shared" ref="D53:H53" si="26">+D24/D7</f>
        <v>-8.7469110849517515E-2</v>
      </c>
      <c r="E53" s="92">
        <f t="shared" si="26"/>
        <v>-9.0709348828211495E-2</v>
      </c>
      <c r="F53" s="92">
        <f t="shared" si="26"/>
        <v>-9.4230865675810391E-2</v>
      </c>
      <c r="G53" s="92" t="e">
        <f t="shared" si="26"/>
        <v>#DIV/0!</v>
      </c>
      <c r="H53" s="92">
        <f t="shared" si="26"/>
        <v>-9.1492980354644676E-2</v>
      </c>
      <c r="AI53" s="78" t="s">
        <v>66</v>
      </c>
      <c r="AJ53" s="78" t="s">
        <v>129</v>
      </c>
    </row>
    <row r="54" spans="1:36" s="71" customFormat="1" ht="15.75" customHeight="1">
      <c r="A54" s="78" t="s">
        <v>130</v>
      </c>
      <c r="B54" s="83" t="s">
        <v>131</v>
      </c>
      <c r="C54" s="89">
        <f>+C22/C4</f>
        <v>-109.05565043098099</v>
      </c>
      <c r="D54" s="89">
        <f t="shared" ref="D54:H54" si="27">+D22/D4</f>
        <v>-75.291250132226693</v>
      </c>
      <c r="E54" s="89">
        <f t="shared" si="27"/>
        <v>-77.299563280904323</v>
      </c>
      <c r="F54" s="89">
        <f t="shared" si="27"/>
        <v>-79.497480798095424</v>
      </c>
      <c r="G54" s="89" t="e">
        <f t="shared" si="27"/>
        <v>#DIV/0!</v>
      </c>
      <c r="H54" s="89">
        <f t="shared" si="27"/>
        <v>-77.970153125272148</v>
      </c>
      <c r="AI54" s="78" t="s">
        <v>130</v>
      </c>
      <c r="AJ54" s="83" t="s">
        <v>131</v>
      </c>
    </row>
    <row r="55" spans="1:36" s="71" customFormat="1" ht="32.25" customHeight="1">
      <c r="A55" s="78" t="s">
        <v>132</v>
      </c>
      <c r="B55" s="115" t="s">
        <v>133</v>
      </c>
      <c r="C55" s="115"/>
      <c r="D55" s="89"/>
      <c r="E55" s="89"/>
      <c r="F55" s="89"/>
      <c r="G55" s="89"/>
      <c r="H55" s="89"/>
      <c r="AI55" s="78"/>
      <c r="AJ55" s="83"/>
    </row>
    <row r="56" spans="1:36" s="71" customFormat="1" ht="15.75" customHeight="1">
      <c r="A56" s="78" t="s">
        <v>55</v>
      </c>
      <c r="B56" s="78" t="s">
        <v>134</v>
      </c>
      <c r="C56" s="89">
        <f>C57+C58</f>
        <v>315000</v>
      </c>
      <c r="D56" s="89"/>
      <c r="E56" s="89"/>
      <c r="F56" s="89"/>
      <c r="G56" s="89"/>
      <c r="H56" s="89"/>
    </row>
    <row r="57" spans="1:36" s="71" customFormat="1" ht="15.75" customHeight="1">
      <c r="A57" s="78">
        <v>1.1000000000000001</v>
      </c>
      <c r="B57" s="116" t="s">
        <v>135</v>
      </c>
      <c r="C57" s="89">
        <f>项目投资!B27</f>
        <v>115000</v>
      </c>
      <c r="D57" s="89"/>
      <c r="E57" s="89"/>
      <c r="F57" s="89"/>
      <c r="G57" s="89"/>
      <c r="H57" s="89"/>
    </row>
    <row r="58" spans="1:36" s="71" customFormat="1" ht="15.75" customHeight="1">
      <c r="A58" s="78">
        <v>1.2</v>
      </c>
      <c r="B58" s="78" t="s">
        <v>136</v>
      </c>
      <c r="C58" s="89">
        <f>项目投资!B26</f>
        <v>200000</v>
      </c>
      <c r="D58" s="89"/>
      <c r="E58" s="89"/>
      <c r="F58" s="89"/>
      <c r="G58" s="89"/>
      <c r="H58" s="89"/>
    </row>
    <row r="59" spans="1:36" ht="15.75" customHeight="1">
      <c r="A59" s="107" t="s">
        <v>57</v>
      </c>
      <c r="B59" s="107" t="s">
        <v>137</v>
      </c>
      <c r="C59" s="117">
        <f>C60+C61</f>
        <v>-218111.30086196202</v>
      </c>
      <c r="D59" s="117">
        <f t="shared" ref="D59:H59" si="28">D60+D61</f>
        <v>-2710485.004760161</v>
      </c>
      <c r="E59" s="117">
        <f t="shared" si="28"/>
        <v>-3091982.5312361727</v>
      </c>
      <c r="F59" s="117">
        <f t="shared" si="28"/>
        <v>-3179899.2319238167</v>
      </c>
      <c r="G59" s="117" t="e">
        <f t="shared" si="28"/>
        <v>#DIV/0!</v>
      </c>
      <c r="H59" s="117">
        <f t="shared" si="28"/>
        <v>-9200478.0687821135</v>
      </c>
    </row>
    <row r="60" spans="1:36" ht="15.75" customHeight="1">
      <c r="A60" s="107" t="s">
        <v>102</v>
      </c>
      <c r="B60" s="107" t="s">
        <v>138</v>
      </c>
      <c r="C60" s="117">
        <f>C24</f>
        <v>-218111.30086196202</v>
      </c>
      <c r="D60" s="117">
        <f t="shared" ref="D60:H60" si="29">D24</f>
        <v>-2710485.004760161</v>
      </c>
      <c r="E60" s="117">
        <f t="shared" si="29"/>
        <v>-3091982.5312361727</v>
      </c>
      <c r="F60" s="117">
        <f t="shared" si="29"/>
        <v>-3179899.2319238167</v>
      </c>
      <c r="G60" s="117" t="e">
        <f t="shared" si="29"/>
        <v>#DIV/0!</v>
      </c>
      <c r="H60" s="117">
        <f t="shared" si="29"/>
        <v>-9200478.0687821135</v>
      </c>
    </row>
    <row r="61" spans="1:36" ht="15.75" customHeight="1">
      <c r="A61" s="107" t="s">
        <v>60</v>
      </c>
      <c r="B61" s="107" t="s">
        <v>139</v>
      </c>
      <c r="C61" s="107"/>
      <c r="D61" s="117">
        <f>'[2]2023年'!I18</f>
        <v>0</v>
      </c>
      <c r="E61" s="117"/>
      <c r="F61" s="117"/>
      <c r="G61" s="117"/>
      <c r="H61" s="117">
        <f>[2]项目投资!G26</f>
        <v>0</v>
      </c>
    </row>
    <row r="62" spans="1:36" ht="15.75" customHeight="1">
      <c r="A62" s="107" t="s">
        <v>62</v>
      </c>
      <c r="B62" s="107" t="s">
        <v>140</v>
      </c>
      <c r="C62" s="107"/>
      <c r="D62" s="118"/>
      <c r="E62" s="118"/>
      <c r="F62" s="118"/>
      <c r="G62" s="118"/>
      <c r="H62" s="117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2" width="9" style="71"/>
    <col min="43" max="43" width="4.375" style="71" customWidth="1"/>
    <col min="44" max="44" width="13.875" style="71" customWidth="1"/>
    <col min="45" max="16384" width="9" style="71"/>
  </cols>
  <sheetData>
    <row r="1" spans="1:45">
      <c r="A1" s="231" t="s">
        <v>141</v>
      </c>
      <c r="B1" s="231"/>
      <c r="C1" s="235" t="s">
        <v>263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7"/>
    </row>
    <row r="2" spans="1:45">
      <c r="A2" s="231" t="s">
        <v>142</v>
      </c>
      <c r="B2" s="231"/>
      <c r="C2" s="238" t="s">
        <v>281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</row>
    <row r="3" spans="1:45">
      <c r="A3" s="231" t="s">
        <v>143</v>
      </c>
      <c r="B3" s="231"/>
      <c r="C3" s="76" t="str">
        <f>销量!C5</f>
        <v>司机座椅总成</v>
      </c>
      <c r="D3" s="76" t="str">
        <f>销量!D5</f>
        <v>副司机座椅总裁</v>
      </c>
      <c r="E3" s="76">
        <f>销量!E5</f>
        <v>0</v>
      </c>
      <c r="F3" s="76">
        <f>销量!F5</f>
        <v>0</v>
      </c>
      <c r="G3" s="76">
        <f>销量!G5</f>
        <v>0</v>
      </c>
      <c r="H3" s="76">
        <f>销量!H5</f>
        <v>0</v>
      </c>
      <c r="I3" s="76">
        <f>销量!I5</f>
        <v>0</v>
      </c>
      <c r="J3" s="76">
        <f>销量!J5</f>
        <v>0</v>
      </c>
      <c r="K3" s="76">
        <f>销量!K5</f>
        <v>0</v>
      </c>
      <c r="L3" s="76">
        <f>销量!L5</f>
        <v>0</v>
      </c>
      <c r="M3" s="76">
        <f>销量!M5</f>
        <v>0</v>
      </c>
      <c r="N3" s="76">
        <f>销量!N5</f>
        <v>0</v>
      </c>
      <c r="O3" s="76">
        <f>销量!O5</f>
        <v>0</v>
      </c>
      <c r="P3" s="76">
        <f>销量!P5</f>
        <v>0</v>
      </c>
      <c r="Q3" s="76">
        <f>销量!Q5</f>
        <v>0</v>
      </c>
      <c r="R3" s="76">
        <f>销量!R5</f>
        <v>0</v>
      </c>
      <c r="S3" s="232" t="s">
        <v>51</v>
      </c>
    </row>
    <row r="4" spans="1:45" ht="45">
      <c r="A4" s="231" t="s">
        <v>144</v>
      </c>
      <c r="B4" s="231"/>
      <c r="C4" s="76" t="str">
        <f>销量!C6</f>
        <v>XGA68EFAF411-000010/ XGA68EFAF411-000020</v>
      </c>
      <c r="D4" s="76" t="str">
        <f>销量!D6</f>
        <v>XGA69EFAF411-000110</v>
      </c>
      <c r="E4" s="76">
        <f>销量!E6</f>
        <v>0</v>
      </c>
      <c r="F4" s="76">
        <f>销量!F6</f>
        <v>0</v>
      </c>
      <c r="G4" s="76">
        <f>销量!G6</f>
        <v>0</v>
      </c>
      <c r="H4" s="76">
        <f>销量!H6</f>
        <v>0</v>
      </c>
      <c r="I4" s="76">
        <f>销量!I6</f>
        <v>0</v>
      </c>
      <c r="J4" s="76">
        <f>销量!J6</f>
        <v>0</v>
      </c>
      <c r="K4" s="76">
        <f>销量!K6</f>
        <v>0</v>
      </c>
      <c r="L4" s="76">
        <f>销量!L6</f>
        <v>0</v>
      </c>
      <c r="M4" s="76">
        <f>销量!M6</f>
        <v>0</v>
      </c>
      <c r="N4" s="76">
        <f>销量!N6</f>
        <v>0</v>
      </c>
      <c r="O4" s="76">
        <f>销量!O6</f>
        <v>0</v>
      </c>
      <c r="P4" s="76">
        <f>销量!P6</f>
        <v>0</v>
      </c>
      <c r="Q4" s="76">
        <f>销量!Q6</f>
        <v>0</v>
      </c>
      <c r="R4" s="76">
        <f>销量!R6</f>
        <v>0</v>
      </c>
      <c r="S4" s="233"/>
    </row>
    <row r="5" spans="1:45" ht="31.5" customHeight="1">
      <c r="A5" s="231" t="s">
        <v>145</v>
      </c>
      <c r="B5" s="231"/>
      <c r="C5" s="77" t="str">
        <f>销量!C7</f>
        <v>靠背调节、前后调节、高低调节、三点式安全带、单扶手、两气袋气腰托、可变阻尼、织物面料（不带底支架）</v>
      </c>
      <c r="D5" s="77" t="str">
        <f>销量!D7</f>
        <v>靠背调节、固定座垫、织物面料（不带底支架、不带三点式安全带）</v>
      </c>
      <c r="E5" s="77">
        <f>销量!E7</f>
        <v>0</v>
      </c>
      <c r="F5" s="77">
        <f>销量!F7</f>
        <v>0</v>
      </c>
      <c r="G5" s="77">
        <f>销量!G7</f>
        <v>0</v>
      </c>
      <c r="H5" s="77">
        <f>销量!H7</f>
        <v>0</v>
      </c>
      <c r="I5" s="77">
        <f>销量!I7</f>
        <v>0</v>
      </c>
      <c r="J5" s="77">
        <f>销量!J7</f>
        <v>0</v>
      </c>
      <c r="K5" s="77">
        <f>销量!K7</f>
        <v>0</v>
      </c>
      <c r="L5" s="77">
        <f>销量!L7</f>
        <v>0</v>
      </c>
      <c r="M5" s="77">
        <f>销量!M7</f>
        <v>0</v>
      </c>
      <c r="N5" s="77">
        <f>销量!N7</f>
        <v>0</v>
      </c>
      <c r="O5" s="77">
        <f>销量!O7</f>
        <v>0</v>
      </c>
      <c r="P5" s="77">
        <f>销量!P7</f>
        <v>0</v>
      </c>
      <c r="Q5" s="77">
        <f>销量!Q7</f>
        <v>0</v>
      </c>
      <c r="R5" s="77">
        <f>销量!R7</f>
        <v>0</v>
      </c>
      <c r="S5" s="234"/>
      <c r="AS5" s="71" t="s">
        <v>52</v>
      </c>
    </row>
    <row r="6" spans="1:45" ht="17.25">
      <c r="A6" s="78" t="s">
        <v>18</v>
      </c>
      <c r="B6" s="79" t="s">
        <v>146</v>
      </c>
      <c r="C6" s="98">
        <f>销量!C9</f>
        <v>1000</v>
      </c>
      <c r="D6" s="98">
        <f>销量!D9</f>
        <v>1000</v>
      </c>
      <c r="E6" s="98">
        <f>销量!E9</f>
        <v>0</v>
      </c>
      <c r="F6" s="98">
        <f>销量!F9</f>
        <v>0</v>
      </c>
      <c r="G6" s="98">
        <f>销量!G9</f>
        <v>0</v>
      </c>
      <c r="H6" s="98">
        <f>销量!H9</f>
        <v>0</v>
      </c>
      <c r="I6" s="98">
        <f>销量!I9</f>
        <v>0</v>
      </c>
      <c r="J6" s="98">
        <f>销量!J9</f>
        <v>0</v>
      </c>
      <c r="K6" s="98">
        <f>销量!K9</f>
        <v>0</v>
      </c>
      <c r="L6" s="98">
        <f>销量!L9</f>
        <v>0</v>
      </c>
      <c r="M6" s="98">
        <f>销量!M9</f>
        <v>0</v>
      </c>
      <c r="N6" s="98">
        <f>销量!N9</f>
        <v>0</v>
      </c>
      <c r="O6" s="98">
        <f>销量!O9</f>
        <v>0</v>
      </c>
      <c r="P6" s="98">
        <f>销量!P9</f>
        <v>0</v>
      </c>
      <c r="Q6" s="98">
        <f>销量!Q9</f>
        <v>0</v>
      </c>
      <c r="R6" s="98">
        <f>销量!R9</f>
        <v>0</v>
      </c>
      <c r="S6" s="81">
        <f>+SUM(C6:R6)</f>
        <v>2000</v>
      </c>
      <c r="AQ6" s="78" t="s">
        <v>18</v>
      </c>
      <c r="AR6" s="79" t="s">
        <v>3</v>
      </c>
      <c r="AS6" s="71" t="s">
        <v>53</v>
      </c>
    </row>
    <row r="7" spans="1:45">
      <c r="A7" s="75">
        <v>1</v>
      </c>
      <c r="B7" s="79" t="s">
        <v>54</v>
      </c>
      <c r="C7" s="81">
        <f>C6*销量!C8</f>
        <v>1353980</v>
      </c>
      <c r="D7" s="81">
        <f>D6*销量!D8</f>
        <v>384960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26" si="0">+SUM(C7:R7)</f>
        <v>1738940</v>
      </c>
      <c r="T7" s="74"/>
      <c r="AQ7" s="78" t="s">
        <v>55</v>
      </c>
      <c r="AR7" s="79" t="s">
        <v>54</v>
      </c>
      <c r="AS7" s="71" t="s">
        <v>53</v>
      </c>
    </row>
    <row r="8" spans="1:45">
      <c r="A8" s="75">
        <v>2</v>
      </c>
      <c r="B8" s="75" t="s">
        <v>56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>
        <f t="shared" si="0"/>
        <v>0</v>
      </c>
      <c r="T8" s="82"/>
      <c r="AQ8" s="78" t="s">
        <v>57</v>
      </c>
      <c r="AR8" s="75" t="s">
        <v>58</v>
      </c>
      <c r="AS8" s="71" t="s">
        <v>53</v>
      </c>
    </row>
    <row r="9" spans="1:45">
      <c r="A9" s="75">
        <v>3</v>
      </c>
      <c r="B9" s="79" t="s">
        <v>59</v>
      </c>
      <c r="C9" s="81">
        <f>+C7-C8</f>
        <v>1353980</v>
      </c>
      <c r="D9" s="81">
        <f t="shared" ref="D9:R9" si="1">+D7-D8</f>
        <v>384960</v>
      </c>
      <c r="E9" s="81">
        <f t="shared" si="1"/>
        <v>0</v>
      </c>
      <c r="F9" s="81">
        <f t="shared" si="1"/>
        <v>0</v>
      </c>
      <c r="G9" s="81">
        <f t="shared" si="1"/>
        <v>0</v>
      </c>
      <c r="H9" s="81">
        <f t="shared" si="1"/>
        <v>0</v>
      </c>
      <c r="I9" s="81">
        <f t="shared" si="1"/>
        <v>0</v>
      </c>
      <c r="J9" s="81">
        <f t="shared" si="1"/>
        <v>0</v>
      </c>
      <c r="K9" s="81">
        <f t="shared" si="1"/>
        <v>0</v>
      </c>
      <c r="L9" s="81">
        <f t="shared" si="1"/>
        <v>0</v>
      </c>
      <c r="M9" s="81">
        <f t="shared" si="1"/>
        <v>0</v>
      </c>
      <c r="N9" s="81">
        <f t="shared" si="1"/>
        <v>0</v>
      </c>
      <c r="O9" s="81">
        <f t="shared" si="1"/>
        <v>0</v>
      </c>
      <c r="P9" s="81">
        <f t="shared" si="1"/>
        <v>0</v>
      </c>
      <c r="Q9" s="81">
        <f t="shared" si="1"/>
        <v>0</v>
      </c>
      <c r="R9" s="81">
        <f t="shared" si="1"/>
        <v>0</v>
      </c>
      <c r="S9" s="81">
        <f t="shared" si="0"/>
        <v>1738940</v>
      </c>
      <c r="AQ9" s="78" t="s">
        <v>60</v>
      </c>
      <c r="AR9" s="79" t="s">
        <v>59</v>
      </c>
      <c r="AS9" s="71" t="s">
        <v>61</v>
      </c>
    </row>
    <row r="10" spans="1:45">
      <c r="A10" s="75">
        <v>4</v>
      </c>
      <c r="B10" s="78" t="s">
        <v>63</v>
      </c>
      <c r="C10" s="81">
        <f>C6*C33</f>
        <v>919911.38898128201</v>
      </c>
      <c r="D10" s="81">
        <f t="shared" ref="D10:R10" si="2">D6*D33</f>
        <v>370519.78188068001</v>
      </c>
      <c r="E10" s="81">
        <f t="shared" si="2"/>
        <v>0</v>
      </c>
      <c r="F10" s="81">
        <f t="shared" si="2"/>
        <v>0</v>
      </c>
      <c r="G10" s="81">
        <f t="shared" si="2"/>
        <v>0</v>
      </c>
      <c r="H10" s="81">
        <f t="shared" si="2"/>
        <v>0</v>
      </c>
      <c r="I10" s="81">
        <f t="shared" si="2"/>
        <v>0</v>
      </c>
      <c r="J10" s="81">
        <f t="shared" si="2"/>
        <v>0</v>
      </c>
      <c r="K10" s="81">
        <f t="shared" si="2"/>
        <v>0</v>
      </c>
      <c r="L10" s="81">
        <f t="shared" si="2"/>
        <v>0</v>
      </c>
      <c r="M10" s="81">
        <f t="shared" si="2"/>
        <v>0</v>
      </c>
      <c r="N10" s="81">
        <f t="shared" si="2"/>
        <v>0</v>
      </c>
      <c r="O10" s="81">
        <f t="shared" si="2"/>
        <v>0</v>
      </c>
      <c r="P10" s="81">
        <f t="shared" si="2"/>
        <v>0</v>
      </c>
      <c r="Q10" s="81">
        <f t="shared" si="2"/>
        <v>0</v>
      </c>
      <c r="R10" s="81">
        <f t="shared" si="2"/>
        <v>0</v>
      </c>
      <c r="S10" s="81">
        <f t="shared" si="0"/>
        <v>1290431.170861962</v>
      </c>
      <c r="AQ10" s="78" t="s">
        <v>62</v>
      </c>
      <c r="AR10" s="78" t="s">
        <v>63</v>
      </c>
      <c r="AS10" s="71" t="s">
        <v>64</v>
      </c>
    </row>
    <row r="11" spans="1:45">
      <c r="A11" s="75">
        <v>5</v>
      </c>
      <c r="B11" s="78" t="s">
        <v>65</v>
      </c>
      <c r="C11" s="81">
        <f>+C6*C36</f>
        <v>93966.212</v>
      </c>
      <c r="D11" s="81">
        <f t="shared" ref="D11:R11" si="3">+D6*D36</f>
        <v>26716.224000000002</v>
      </c>
      <c r="E11" s="81">
        <f t="shared" si="3"/>
        <v>0</v>
      </c>
      <c r="F11" s="81">
        <f t="shared" si="3"/>
        <v>0</v>
      </c>
      <c r="G11" s="81">
        <f t="shared" si="3"/>
        <v>0</v>
      </c>
      <c r="H11" s="81">
        <f t="shared" si="3"/>
        <v>0</v>
      </c>
      <c r="I11" s="81">
        <f t="shared" si="3"/>
        <v>0</v>
      </c>
      <c r="J11" s="81">
        <f t="shared" si="3"/>
        <v>0</v>
      </c>
      <c r="K11" s="81">
        <f t="shared" si="3"/>
        <v>0</v>
      </c>
      <c r="L11" s="81">
        <f t="shared" si="3"/>
        <v>0</v>
      </c>
      <c r="M11" s="81">
        <f t="shared" si="3"/>
        <v>0</v>
      </c>
      <c r="N11" s="81">
        <f t="shared" si="3"/>
        <v>0</v>
      </c>
      <c r="O11" s="81">
        <f t="shared" si="3"/>
        <v>0</v>
      </c>
      <c r="P11" s="81">
        <f t="shared" si="3"/>
        <v>0</v>
      </c>
      <c r="Q11" s="81">
        <f t="shared" si="3"/>
        <v>0</v>
      </c>
      <c r="R11" s="81">
        <f t="shared" si="3"/>
        <v>0</v>
      </c>
      <c r="S11" s="81">
        <f t="shared" si="0"/>
        <v>120682.436</v>
      </c>
      <c r="AQ11" s="78" t="s">
        <v>66</v>
      </c>
      <c r="AR11" s="78" t="s">
        <v>65</v>
      </c>
    </row>
    <row r="12" spans="1:45">
      <c r="A12" s="75">
        <v>6</v>
      </c>
      <c r="B12" s="78" t="s">
        <v>67</v>
      </c>
      <c r="C12" s="81">
        <f>+C6*C37</f>
        <v>58762.731999999996</v>
      </c>
      <c r="D12" s="81">
        <f t="shared" ref="D12:R12" si="4">+D6*D37</f>
        <v>16707.263999999999</v>
      </c>
      <c r="E12" s="81">
        <f t="shared" si="4"/>
        <v>0</v>
      </c>
      <c r="F12" s="81">
        <f t="shared" si="4"/>
        <v>0</v>
      </c>
      <c r="G12" s="81">
        <f t="shared" si="4"/>
        <v>0</v>
      </c>
      <c r="H12" s="81">
        <f t="shared" si="4"/>
        <v>0</v>
      </c>
      <c r="I12" s="81">
        <f t="shared" si="4"/>
        <v>0</v>
      </c>
      <c r="J12" s="81">
        <f t="shared" si="4"/>
        <v>0</v>
      </c>
      <c r="K12" s="81">
        <f t="shared" si="4"/>
        <v>0</v>
      </c>
      <c r="L12" s="81">
        <f t="shared" si="4"/>
        <v>0</v>
      </c>
      <c r="M12" s="81">
        <f t="shared" si="4"/>
        <v>0</v>
      </c>
      <c r="N12" s="81">
        <f t="shared" si="4"/>
        <v>0</v>
      </c>
      <c r="O12" s="81">
        <f t="shared" si="4"/>
        <v>0</v>
      </c>
      <c r="P12" s="81">
        <f t="shared" si="4"/>
        <v>0</v>
      </c>
      <c r="Q12" s="81">
        <f t="shared" si="4"/>
        <v>0</v>
      </c>
      <c r="R12" s="81">
        <f t="shared" si="4"/>
        <v>0</v>
      </c>
      <c r="S12" s="81">
        <f t="shared" si="0"/>
        <v>75469.995999999999</v>
      </c>
      <c r="AQ12" s="78" t="s">
        <v>68</v>
      </c>
      <c r="AR12" s="78" t="s">
        <v>67</v>
      </c>
    </row>
    <row r="13" spans="1:45">
      <c r="A13" s="75">
        <v>7</v>
      </c>
      <c r="B13" s="78" t="s">
        <v>69</v>
      </c>
      <c r="C13" s="81">
        <f>+C6*C38</f>
        <v>88144.098000000013</v>
      </c>
      <c r="D13" s="81">
        <f t="shared" ref="D13:R13" si="5">+D6*D38</f>
        <v>25060.896000000001</v>
      </c>
      <c r="E13" s="81">
        <f t="shared" si="5"/>
        <v>0</v>
      </c>
      <c r="F13" s="81">
        <f t="shared" si="5"/>
        <v>0</v>
      </c>
      <c r="G13" s="81">
        <f t="shared" si="5"/>
        <v>0</v>
      </c>
      <c r="H13" s="81">
        <f t="shared" si="5"/>
        <v>0</v>
      </c>
      <c r="I13" s="81">
        <f t="shared" si="5"/>
        <v>0</v>
      </c>
      <c r="J13" s="81">
        <f t="shared" si="5"/>
        <v>0</v>
      </c>
      <c r="K13" s="81">
        <f t="shared" si="5"/>
        <v>0</v>
      </c>
      <c r="L13" s="81">
        <f t="shared" si="5"/>
        <v>0</v>
      </c>
      <c r="M13" s="81">
        <f t="shared" si="5"/>
        <v>0</v>
      </c>
      <c r="N13" s="81">
        <f t="shared" si="5"/>
        <v>0</v>
      </c>
      <c r="O13" s="81">
        <f t="shared" si="5"/>
        <v>0</v>
      </c>
      <c r="P13" s="81">
        <f t="shared" si="5"/>
        <v>0</v>
      </c>
      <c r="Q13" s="81">
        <f t="shared" si="5"/>
        <v>0</v>
      </c>
      <c r="R13" s="81">
        <f t="shared" si="5"/>
        <v>0</v>
      </c>
      <c r="S13" s="81">
        <f t="shared" si="0"/>
        <v>113204.99400000001</v>
      </c>
      <c r="AQ13" s="78" t="s">
        <v>70</v>
      </c>
      <c r="AR13" s="78" t="s">
        <v>69</v>
      </c>
      <c r="AS13" s="71" t="s">
        <v>53</v>
      </c>
    </row>
    <row r="14" spans="1:45">
      <c r="A14" s="75">
        <v>8</v>
      </c>
      <c r="B14" s="83" t="s">
        <v>71</v>
      </c>
      <c r="C14" s="81">
        <f>SUM(C11:C13)</f>
        <v>240873.04200000002</v>
      </c>
      <c r="D14" s="81">
        <f t="shared" ref="D14:R14" si="6">SUM(D11:D13)</f>
        <v>68484.383999999991</v>
      </c>
      <c r="E14" s="81">
        <f t="shared" si="6"/>
        <v>0</v>
      </c>
      <c r="F14" s="81">
        <f t="shared" si="6"/>
        <v>0</v>
      </c>
      <c r="G14" s="81">
        <f t="shared" si="6"/>
        <v>0</v>
      </c>
      <c r="H14" s="81">
        <f t="shared" si="6"/>
        <v>0</v>
      </c>
      <c r="I14" s="81">
        <f t="shared" si="6"/>
        <v>0</v>
      </c>
      <c r="J14" s="81">
        <f t="shared" si="6"/>
        <v>0</v>
      </c>
      <c r="K14" s="81">
        <f t="shared" si="6"/>
        <v>0</v>
      </c>
      <c r="L14" s="81">
        <f t="shared" si="6"/>
        <v>0</v>
      </c>
      <c r="M14" s="81">
        <f t="shared" si="6"/>
        <v>0</v>
      </c>
      <c r="N14" s="81">
        <f t="shared" si="6"/>
        <v>0</v>
      </c>
      <c r="O14" s="81">
        <f t="shared" si="6"/>
        <v>0</v>
      </c>
      <c r="P14" s="81">
        <f t="shared" si="6"/>
        <v>0</v>
      </c>
      <c r="Q14" s="81">
        <f t="shared" si="6"/>
        <v>0</v>
      </c>
      <c r="R14" s="81">
        <f t="shared" si="6"/>
        <v>0</v>
      </c>
      <c r="S14" s="81">
        <f>SUM(S11:S13)</f>
        <v>309357.42599999998</v>
      </c>
      <c r="AQ14" s="78" t="s">
        <v>72</v>
      </c>
      <c r="AR14" s="83" t="s">
        <v>71</v>
      </c>
    </row>
    <row r="15" spans="1:45">
      <c r="A15" s="75">
        <v>9</v>
      </c>
      <c r="B15" s="83" t="s">
        <v>73</v>
      </c>
      <c r="C15" s="81">
        <f>+C9-C10-C14</f>
        <v>193195.56901871797</v>
      </c>
      <c r="D15" s="81">
        <f t="shared" ref="D15:R15" si="7">+D9-D10-D14</f>
        <v>-54044.165880679997</v>
      </c>
      <c r="E15" s="81">
        <f t="shared" si="7"/>
        <v>0</v>
      </c>
      <c r="F15" s="81">
        <f t="shared" si="7"/>
        <v>0</v>
      </c>
      <c r="G15" s="81">
        <f t="shared" si="7"/>
        <v>0</v>
      </c>
      <c r="H15" s="81">
        <f t="shared" si="7"/>
        <v>0</v>
      </c>
      <c r="I15" s="81">
        <f t="shared" si="7"/>
        <v>0</v>
      </c>
      <c r="J15" s="81">
        <f t="shared" si="7"/>
        <v>0</v>
      </c>
      <c r="K15" s="81">
        <f t="shared" si="7"/>
        <v>0</v>
      </c>
      <c r="L15" s="81">
        <f t="shared" si="7"/>
        <v>0</v>
      </c>
      <c r="M15" s="81">
        <f t="shared" si="7"/>
        <v>0</v>
      </c>
      <c r="N15" s="81">
        <f t="shared" si="7"/>
        <v>0</v>
      </c>
      <c r="O15" s="81">
        <f t="shared" si="7"/>
        <v>0</v>
      </c>
      <c r="P15" s="81">
        <f t="shared" si="7"/>
        <v>0</v>
      </c>
      <c r="Q15" s="81">
        <f t="shared" si="7"/>
        <v>0</v>
      </c>
      <c r="R15" s="81">
        <f t="shared" si="7"/>
        <v>0</v>
      </c>
      <c r="S15" s="81">
        <f t="shared" ref="S15" si="8">+S9-S10-S14</f>
        <v>139151.403138038</v>
      </c>
      <c r="AQ15" s="78" t="s">
        <v>74</v>
      </c>
      <c r="AR15" s="83" t="s">
        <v>73</v>
      </c>
    </row>
    <row r="16" spans="1:45">
      <c r="A16" s="75">
        <v>10</v>
      </c>
      <c r="B16" s="78" t="s">
        <v>75</v>
      </c>
      <c r="C16" s="84">
        <f>+C15/C9</f>
        <v>0.14268716599855091</v>
      </c>
      <c r="D16" s="84">
        <f t="shared" ref="D16:R16" si="9">+D15/D9</f>
        <v>-0.14038904270750208</v>
      </c>
      <c r="E16" s="84" t="e">
        <f t="shared" si="9"/>
        <v>#DIV/0!</v>
      </c>
      <c r="F16" s="84" t="e">
        <f t="shared" si="9"/>
        <v>#DIV/0!</v>
      </c>
      <c r="G16" s="84" t="e">
        <f t="shared" si="9"/>
        <v>#DIV/0!</v>
      </c>
      <c r="H16" s="84" t="e">
        <f t="shared" si="9"/>
        <v>#DIV/0!</v>
      </c>
      <c r="I16" s="84" t="e">
        <f t="shared" si="9"/>
        <v>#DIV/0!</v>
      </c>
      <c r="J16" s="84" t="e">
        <f t="shared" si="9"/>
        <v>#DIV/0!</v>
      </c>
      <c r="K16" s="84" t="e">
        <f t="shared" si="9"/>
        <v>#DIV/0!</v>
      </c>
      <c r="L16" s="84" t="e">
        <f t="shared" si="9"/>
        <v>#DIV/0!</v>
      </c>
      <c r="M16" s="84" t="e">
        <f t="shared" si="9"/>
        <v>#DIV/0!</v>
      </c>
      <c r="N16" s="84" t="e">
        <f t="shared" si="9"/>
        <v>#DIV/0!</v>
      </c>
      <c r="O16" s="84" t="e">
        <f t="shared" si="9"/>
        <v>#DIV/0!</v>
      </c>
      <c r="P16" s="84" t="e">
        <f t="shared" si="9"/>
        <v>#DIV/0!</v>
      </c>
      <c r="Q16" s="84" t="e">
        <f t="shared" si="9"/>
        <v>#DIV/0!</v>
      </c>
      <c r="R16" s="84" t="e">
        <f t="shared" si="9"/>
        <v>#DIV/0!</v>
      </c>
      <c r="S16" s="84">
        <f>+S15/S9</f>
        <v>8.0020819084061556E-2</v>
      </c>
      <c r="AQ16" s="78" t="s">
        <v>76</v>
      </c>
      <c r="AR16" s="78" t="s">
        <v>75</v>
      </c>
    </row>
    <row r="17" spans="1:45">
      <c r="A17" s="75">
        <v>11</v>
      </c>
      <c r="B17" s="78" t="s">
        <v>77</v>
      </c>
      <c r="C17" s="81">
        <f>C6*C43+C18</f>
        <v>135453.35</v>
      </c>
      <c r="D17" s="81">
        <f t="shared" ref="D17:R17" si="10">D6*D43+D18</f>
        <v>55509.2</v>
      </c>
      <c r="E17" s="81">
        <f t="shared" si="10"/>
        <v>0</v>
      </c>
      <c r="F17" s="81">
        <f t="shared" si="10"/>
        <v>0</v>
      </c>
      <c r="G17" s="81">
        <f t="shared" si="10"/>
        <v>0</v>
      </c>
      <c r="H17" s="81">
        <f t="shared" si="10"/>
        <v>0</v>
      </c>
      <c r="I17" s="81">
        <f t="shared" si="10"/>
        <v>0</v>
      </c>
      <c r="J17" s="81">
        <f t="shared" si="10"/>
        <v>0</v>
      </c>
      <c r="K17" s="81">
        <f t="shared" si="10"/>
        <v>0</v>
      </c>
      <c r="L17" s="81">
        <f t="shared" si="10"/>
        <v>0</v>
      </c>
      <c r="M17" s="81">
        <f t="shared" si="10"/>
        <v>0</v>
      </c>
      <c r="N17" s="81">
        <f t="shared" si="10"/>
        <v>0</v>
      </c>
      <c r="O17" s="81">
        <f t="shared" si="10"/>
        <v>0</v>
      </c>
      <c r="P17" s="81">
        <f t="shared" si="10"/>
        <v>0</v>
      </c>
      <c r="Q17" s="81">
        <f t="shared" si="10"/>
        <v>0</v>
      </c>
      <c r="R17" s="81">
        <f t="shared" si="10"/>
        <v>0</v>
      </c>
      <c r="S17" s="81">
        <f t="shared" si="0"/>
        <v>190962.55</v>
      </c>
      <c r="T17" s="82"/>
      <c r="AQ17" s="78" t="s">
        <v>78</v>
      </c>
      <c r="AR17" s="78" t="s">
        <v>77</v>
      </c>
    </row>
    <row r="18" spans="1:45" s="72" customFormat="1">
      <c r="A18" s="75">
        <v>12</v>
      </c>
      <c r="B18" s="86" t="s">
        <v>147</v>
      </c>
      <c r="C18" s="87">
        <f t="shared" ref="C18:R18" si="11">$S$18/$S$6*C6</f>
        <v>23750</v>
      </c>
      <c r="D18" s="87">
        <f t="shared" si="11"/>
        <v>23750</v>
      </c>
      <c r="E18" s="87">
        <f t="shared" si="11"/>
        <v>0</v>
      </c>
      <c r="F18" s="87">
        <f t="shared" si="11"/>
        <v>0</v>
      </c>
      <c r="G18" s="87">
        <f t="shared" si="11"/>
        <v>0</v>
      </c>
      <c r="H18" s="87">
        <f t="shared" si="11"/>
        <v>0</v>
      </c>
      <c r="I18" s="87">
        <f t="shared" si="11"/>
        <v>0</v>
      </c>
      <c r="J18" s="87">
        <f t="shared" si="11"/>
        <v>0</v>
      </c>
      <c r="K18" s="87">
        <f t="shared" si="11"/>
        <v>0</v>
      </c>
      <c r="L18" s="87">
        <f t="shared" si="11"/>
        <v>0</v>
      </c>
      <c r="M18" s="87">
        <f t="shared" si="11"/>
        <v>0</v>
      </c>
      <c r="N18" s="87">
        <f t="shared" si="11"/>
        <v>0</v>
      </c>
      <c r="O18" s="87">
        <f t="shared" si="11"/>
        <v>0</v>
      </c>
      <c r="P18" s="87">
        <f t="shared" si="11"/>
        <v>0</v>
      </c>
      <c r="Q18" s="87">
        <f t="shared" si="11"/>
        <v>0</v>
      </c>
      <c r="R18" s="87">
        <f t="shared" si="11"/>
        <v>0</v>
      </c>
      <c r="S18" s="81">
        <f>项目投资!D26</f>
        <v>47500</v>
      </c>
      <c r="T18" s="88" t="s">
        <v>148</v>
      </c>
      <c r="U18" s="88"/>
      <c r="V18" s="88"/>
    </row>
    <row r="19" spans="1:45">
      <c r="A19" s="75">
        <v>13</v>
      </c>
      <c r="B19" s="78" t="s">
        <v>79</v>
      </c>
      <c r="C19" s="81">
        <f>C6*C44</f>
        <v>23288.455999999998</v>
      </c>
      <c r="D19" s="81">
        <f t="shared" ref="D19:R19" si="12">D6*D44</f>
        <v>6621.3119999999999</v>
      </c>
      <c r="E19" s="81">
        <f t="shared" si="12"/>
        <v>0</v>
      </c>
      <c r="F19" s="81">
        <f t="shared" si="12"/>
        <v>0</v>
      </c>
      <c r="G19" s="81">
        <f t="shared" si="12"/>
        <v>0</v>
      </c>
      <c r="H19" s="81">
        <f t="shared" si="12"/>
        <v>0</v>
      </c>
      <c r="I19" s="81">
        <f t="shared" si="12"/>
        <v>0</v>
      </c>
      <c r="J19" s="81">
        <f t="shared" si="12"/>
        <v>0</v>
      </c>
      <c r="K19" s="81">
        <f t="shared" si="12"/>
        <v>0</v>
      </c>
      <c r="L19" s="81">
        <f t="shared" si="12"/>
        <v>0</v>
      </c>
      <c r="M19" s="81">
        <f t="shared" si="12"/>
        <v>0</v>
      </c>
      <c r="N19" s="81">
        <f t="shared" si="12"/>
        <v>0</v>
      </c>
      <c r="O19" s="81">
        <f t="shared" si="12"/>
        <v>0</v>
      </c>
      <c r="P19" s="81">
        <f t="shared" si="12"/>
        <v>0</v>
      </c>
      <c r="Q19" s="81">
        <f t="shared" si="12"/>
        <v>0</v>
      </c>
      <c r="R19" s="81">
        <f t="shared" si="12"/>
        <v>0</v>
      </c>
      <c r="S19" s="81">
        <f t="shared" si="0"/>
        <v>29909.767999999996</v>
      </c>
      <c r="T19" s="72"/>
      <c r="AQ19" s="78" t="s">
        <v>80</v>
      </c>
      <c r="AR19" s="78" t="s">
        <v>79</v>
      </c>
      <c r="AS19" s="71" t="s">
        <v>53</v>
      </c>
    </row>
    <row r="20" spans="1:45">
      <c r="A20" s="75">
        <v>14</v>
      </c>
      <c r="B20" s="78" t="s">
        <v>81</v>
      </c>
      <c r="C20" s="81">
        <f>C6*C45</f>
        <v>35745.072</v>
      </c>
      <c r="D20" s="81">
        <f t="shared" ref="D20:R20" si="13">D6*D45</f>
        <v>10162.944</v>
      </c>
      <c r="E20" s="81">
        <f t="shared" si="13"/>
        <v>0</v>
      </c>
      <c r="F20" s="81">
        <f t="shared" si="13"/>
        <v>0</v>
      </c>
      <c r="G20" s="81">
        <f t="shared" si="13"/>
        <v>0</v>
      </c>
      <c r="H20" s="81">
        <f t="shared" si="13"/>
        <v>0</v>
      </c>
      <c r="I20" s="81">
        <f t="shared" si="13"/>
        <v>0</v>
      </c>
      <c r="J20" s="81">
        <f t="shared" si="13"/>
        <v>0</v>
      </c>
      <c r="K20" s="81">
        <f t="shared" si="13"/>
        <v>0</v>
      </c>
      <c r="L20" s="81">
        <f t="shared" si="13"/>
        <v>0</v>
      </c>
      <c r="M20" s="81">
        <f t="shared" si="13"/>
        <v>0</v>
      </c>
      <c r="N20" s="81">
        <f t="shared" si="13"/>
        <v>0</v>
      </c>
      <c r="O20" s="81">
        <f t="shared" si="13"/>
        <v>0</v>
      </c>
      <c r="P20" s="81">
        <f t="shared" si="13"/>
        <v>0</v>
      </c>
      <c r="Q20" s="81">
        <f t="shared" si="13"/>
        <v>0</v>
      </c>
      <c r="R20" s="81">
        <f t="shared" si="13"/>
        <v>0</v>
      </c>
      <c r="S20" s="81">
        <f t="shared" si="0"/>
        <v>45908.016000000003</v>
      </c>
      <c r="AQ20" s="78" t="s">
        <v>82</v>
      </c>
      <c r="AR20" s="78" t="s">
        <v>81</v>
      </c>
    </row>
    <row r="21" spans="1:45">
      <c r="A21" s="75">
        <v>15</v>
      </c>
      <c r="B21" s="78" t="s">
        <v>83</v>
      </c>
      <c r="C21" s="89">
        <f>$S$21/$S$6*C6</f>
        <v>14375</v>
      </c>
      <c r="D21" s="89">
        <f t="shared" ref="D21:R21" si="14">$S$21/$S$6*D6</f>
        <v>14375</v>
      </c>
      <c r="E21" s="89">
        <f t="shared" si="14"/>
        <v>0</v>
      </c>
      <c r="F21" s="89">
        <f t="shared" si="14"/>
        <v>0</v>
      </c>
      <c r="G21" s="89">
        <f t="shared" si="14"/>
        <v>0</v>
      </c>
      <c r="H21" s="89">
        <f t="shared" si="14"/>
        <v>0</v>
      </c>
      <c r="I21" s="89">
        <f t="shared" si="14"/>
        <v>0</v>
      </c>
      <c r="J21" s="89">
        <f t="shared" si="14"/>
        <v>0</v>
      </c>
      <c r="K21" s="89">
        <f t="shared" si="14"/>
        <v>0</v>
      </c>
      <c r="L21" s="89">
        <f t="shared" si="14"/>
        <v>0</v>
      </c>
      <c r="M21" s="89">
        <f t="shared" si="14"/>
        <v>0</v>
      </c>
      <c r="N21" s="89">
        <f t="shared" si="14"/>
        <v>0</v>
      </c>
      <c r="O21" s="89">
        <f t="shared" si="14"/>
        <v>0</v>
      </c>
      <c r="P21" s="89">
        <f t="shared" si="14"/>
        <v>0</v>
      </c>
      <c r="Q21" s="89">
        <f t="shared" si="14"/>
        <v>0</v>
      </c>
      <c r="R21" s="89">
        <f t="shared" si="14"/>
        <v>0</v>
      </c>
      <c r="S21" s="81">
        <f>项目投资!D27</f>
        <v>28750</v>
      </c>
      <c r="AQ21" s="78"/>
      <c r="AR21" s="78"/>
    </row>
    <row r="22" spans="1:45">
      <c r="A22" s="75">
        <v>16</v>
      </c>
      <c r="B22" s="78" t="s">
        <v>84</v>
      </c>
      <c r="C22" s="81">
        <f>C6*C47</f>
        <v>48066.289999999994</v>
      </c>
      <c r="D22" s="81">
        <f t="shared" ref="D22:R22" si="15">D6*D47</f>
        <v>13666.079999999998</v>
      </c>
      <c r="E22" s="81">
        <f t="shared" si="15"/>
        <v>0</v>
      </c>
      <c r="F22" s="81">
        <f t="shared" si="15"/>
        <v>0</v>
      </c>
      <c r="G22" s="81">
        <f t="shared" si="15"/>
        <v>0</v>
      </c>
      <c r="H22" s="81">
        <f t="shared" si="15"/>
        <v>0</v>
      </c>
      <c r="I22" s="81">
        <f t="shared" si="15"/>
        <v>0</v>
      </c>
      <c r="J22" s="81">
        <f t="shared" si="15"/>
        <v>0</v>
      </c>
      <c r="K22" s="81">
        <f t="shared" si="15"/>
        <v>0</v>
      </c>
      <c r="L22" s="81">
        <f t="shared" si="15"/>
        <v>0</v>
      </c>
      <c r="M22" s="81">
        <f t="shared" si="15"/>
        <v>0</v>
      </c>
      <c r="N22" s="81">
        <f t="shared" si="15"/>
        <v>0</v>
      </c>
      <c r="O22" s="81">
        <f t="shared" si="15"/>
        <v>0</v>
      </c>
      <c r="P22" s="81">
        <f t="shared" si="15"/>
        <v>0</v>
      </c>
      <c r="Q22" s="81">
        <f t="shared" si="15"/>
        <v>0</v>
      </c>
      <c r="R22" s="81">
        <f t="shared" si="15"/>
        <v>0</v>
      </c>
      <c r="S22" s="81">
        <f t="shared" si="0"/>
        <v>61732.369999999995</v>
      </c>
      <c r="AQ22" s="78" t="s">
        <v>85</v>
      </c>
      <c r="AR22" s="78" t="s">
        <v>84</v>
      </c>
    </row>
    <row r="23" spans="1:45">
      <c r="A23" s="75">
        <v>17</v>
      </c>
      <c r="B23" s="83" t="s">
        <v>86</v>
      </c>
      <c r="C23" s="89">
        <f>+C22+C21+C20+C19+C17</f>
        <v>256928.16800000001</v>
      </c>
      <c r="D23" s="89">
        <f t="shared" ref="D23:R23" si="16">+D22+D21+D20+D19+D17</f>
        <v>100334.53599999999</v>
      </c>
      <c r="E23" s="89">
        <f t="shared" si="16"/>
        <v>0</v>
      </c>
      <c r="F23" s="89">
        <f t="shared" si="16"/>
        <v>0</v>
      </c>
      <c r="G23" s="89">
        <f t="shared" si="16"/>
        <v>0</v>
      </c>
      <c r="H23" s="89">
        <f t="shared" si="16"/>
        <v>0</v>
      </c>
      <c r="I23" s="89">
        <f t="shared" si="16"/>
        <v>0</v>
      </c>
      <c r="J23" s="89">
        <f t="shared" si="16"/>
        <v>0</v>
      </c>
      <c r="K23" s="89">
        <f t="shared" si="16"/>
        <v>0</v>
      </c>
      <c r="L23" s="89">
        <f t="shared" si="16"/>
        <v>0</v>
      </c>
      <c r="M23" s="89">
        <f t="shared" si="16"/>
        <v>0</v>
      </c>
      <c r="N23" s="89">
        <f t="shared" si="16"/>
        <v>0</v>
      </c>
      <c r="O23" s="89">
        <f t="shared" si="16"/>
        <v>0</v>
      </c>
      <c r="P23" s="89">
        <f t="shared" si="16"/>
        <v>0</v>
      </c>
      <c r="Q23" s="89">
        <f t="shared" si="16"/>
        <v>0</v>
      </c>
      <c r="R23" s="89">
        <f t="shared" si="16"/>
        <v>0</v>
      </c>
      <c r="S23" s="89">
        <f>+S22+S21+S20+S19+S17</f>
        <v>357262.70399999997</v>
      </c>
      <c r="AQ23" s="78" t="s">
        <v>87</v>
      </c>
      <c r="AR23" s="83" t="s">
        <v>86</v>
      </c>
    </row>
    <row r="24" spans="1:45">
      <c r="A24" s="75">
        <v>18</v>
      </c>
      <c r="B24" s="90" t="s">
        <v>88</v>
      </c>
      <c r="C24" s="89">
        <f>+C15-C23</f>
        <v>-63732.598981282033</v>
      </c>
      <c r="D24" s="89">
        <f t="shared" ref="D24:R24" si="17">+D15-D23</f>
        <v>-154378.70188067999</v>
      </c>
      <c r="E24" s="89">
        <f t="shared" si="17"/>
        <v>0</v>
      </c>
      <c r="F24" s="89">
        <f t="shared" si="17"/>
        <v>0</v>
      </c>
      <c r="G24" s="89">
        <f t="shared" si="17"/>
        <v>0</v>
      </c>
      <c r="H24" s="89">
        <f t="shared" si="17"/>
        <v>0</v>
      </c>
      <c r="I24" s="89">
        <f t="shared" si="17"/>
        <v>0</v>
      </c>
      <c r="J24" s="89">
        <f t="shared" si="17"/>
        <v>0</v>
      </c>
      <c r="K24" s="89">
        <f t="shared" si="17"/>
        <v>0</v>
      </c>
      <c r="L24" s="89">
        <f t="shared" si="17"/>
        <v>0</v>
      </c>
      <c r="M24" s="89">
        <f t="shared" si="17"/>
        <v>0</v>
      </c>
      <c r="N24" s="89">
        <f t="shared" si="17"/>
        <v>0</v>
      </c>
      <c r="O24" s="89">
        <f t="shared" si="17"/>
        <v>0</v>
      </c>
      <c r="P24" s="89">
        <f t="shared" si="17"/>
        <v>0</v>
      </c>
      <c r="Q24" s="89">
        <f t="shared" si="17"/>
        <v>0</v>
      </c>
      <c r="R24" s="89">
        <f t="shared" si="17"/>
        <v>0</v>
      </c>
      <c r="S24" s="89">
        <f>+S15-S23</f>
        <v>-218111.30086196196</v>
      </c>
      <c r="U24" s="91"/>
      <c r="AQ24" s="78" t="s">
        <v>89</v>
      </c>
      <c r="AR24" s="78" t="s">
        <v>88</v>
      </c>
    </row>
    <row r="25" spans="1:45">
      <c r="A25" s="75">
        <v>19</v>
      </c>
      <c r="B25" s="78" t="s">
        <v>273</v>
      </c>
      <c r="C25" s="89">
        <f>IF(C24&lt;0,0,C24*0.15)</f>
        <v>0</v>
      </c>
      <c r="D25" s="89">
        <f t="shared" ref="D25:R25" si="18">IF(D24&lt;0,0,D24*0.15)</f>
        <v>0</v>
      </c>
      <c r="E25" s="89">
        <f t="shared" si="18"/>
        <v>0</v>
      </c>
      <c r="F25" s="89">
        <f t="shared" si="18"/>
        <v>0</v>
      </c>
      <c r="G25" s="89">
        <f t="shared" si="18"/>
        <v>0</v>
      </c>
      <c r="H25" s="89">
        <f t="shared" si="18"/>
        <v>0</v>
      </c>
      <c r="I25" s="89">
        <f t="shared" si="18"/>
        <v>0</v>
      </c>
      <c r="J25" s="89">
        <f t="shared" si="18"/>
        <v>0</v>
      </c>
      <c r="K25" s="89">
        <f t="shared" si="18"/>
        <v>0</v>
      </c>
      <c r="L25" s="89">
        <f t="shared" si="18"/>
        <v>0</v>
      </c>
      <c r="M25" s="89">
        <f t="shared" si="18"/>
        <v>0</v>
      </c>
      <c r="N25" s="89">
        <f t="shared" si="18"/>
        <v>0</v>
      </c>
      <c r="O25" s="89">
        <f t="shared" si="18"/>
        <v>0</v>
      </c>
      <c r="P25" s="89">
        <f t="shared" si="18"/>
        <v>0</v>
      </c>
      <c r="Q25" s="89">
        <f t="shared" si="18"/>
        <v>0</v>
      </c>
      <c r="R25" s="89">
        <f t="shared" si="18"/>
        <v>0</v>
      </c>
      <c r="S25" s="89">
        <f t="shared" ref="S25" si="19">IF(S24&lt;0,0,S24*0.15)</f>
        <v>0</v>
      </c>
      <c r="T25" s="2"/>
      <c r="U25" s="2"/>
      <c r="V25" s="2"/>
      <c r="AQ25" s="78" t="s">
        <v>90</v>
      </c>
      <c r="AR25" s="78" t="s">
        <v>35</v>
      </c>
    </row>
    <row r="26" spans="1:45">
      <c r="A26" s="75">
        <v>20</v>
      </c>
      <c r="B26" s="78" t="s">
        <v>91</v>
      </c>
      <c r="C26" s="89">
        <f>C24-C25</f>
        <v>-63732.598981282033</v>
      </c>
      <c r="D26" s="89">
        <f t="shared" ref="D26:R26" si="20">D24-D25</f>
        <v>-154378.70188067999</v>
      </c>
      <c r="E26" s="89">
        <f t="shared" si="20"/>
        <v>0</v>
      </c>
      <c r="F26" s="89">
        <f t="shared" si="20"/>
        <v>0</v>
      </c>
      <c r="G26" s="89">
        <f t="shared" si="20"/>
        <v>0</v>
      </c>
      <c r="H26" s="89">
        <f t="shared" si="20"/>
        <v>0</v>
      </c>
      <c r="I26" s="89">
        <f t="shared" si="20"/>
        <v>0</v>
      </c>
      <c r="J26" s="89">
        <f t="shared" si="20"/>
        <v>0</v>
      </c>
      <c r="K26" s="89">
        <f t="shared" si="20"/>
        <v>0</v>
      </c>
      <c r="L26" s="89">
        <f t="shared" si="20"/>
        <v>0</v>
      </c>
      <c r="M26" s="89">
        <f t="shared" si="20"/>
        <v>0</v>
      </c>
      <c r="N26" s="89">
        <f t="shared" si="20"/>
        <v>0</v>
      </c>
      <c r="O26" s="89">
        <f t="shared" si="20"/>
        <v>0</v>
      </c>
      <c r="P26" s="89">
        <f t="shared" si="20"/>
        <v>0</v>
      </c>
      <c r="Q26" s="89">
        <f t="shared" si="20"/>
        <v>0</v>
      </c>
      <c r="R26" s="89">
        <f t="shared" si="20"/>
        <v>0</v>
      </c>
      <c r="S26" s="81">
        <f t="shared" si="0"/>
        <v>-218111.30086196202</v>
      </c>
      <c r="T26" s="2"/>
      <c r="U26" s="2"/>
      <c r="V26" s="2"/>
      <c r="AQ26" s="78" t="s">
        <v>92</v>
      </c>
      <c r="AR26" s="78" t="s">
        <v>91</v>
      </c>
    </row>
    <row r="27" spans="1:45">
      <c r="A27" s="75">
        <v>21</v>
      </c>
      <c r="B27" s="78" t="s">
        <v>95</v>
      </c>
      <c r="C27" s="92">
        <f>C26/C9</f>
        <v>-4.7070561589744334E-2</v>
      </c>
      <c r="D27" s="92">
        <f t="shared" ref="D27:R27" si="21">D26/D9</f>
        <v>-0.401025306215399</v>
      </c>
      <c r="E27" s="92" t="e">
        <f t="shared" si="21"/>
        <v>#DIV/0!</v>
      </c>
      <c r="F27" s="92" t="e">
        <f t="shared" si="21"/>
        <v>#DIV/0!</v>
      </c>
      <c r="G27" s="92" t="e">
        <f t="shared" si="21"/>
        <v>#DIV/0!</v>
      </c>
      <c r="H27" s="92" t="e">
        <f t="shared" si="21"/>
        <v>#DIV/0!</v>
      </c>
      <c r="I27" s="92" t="e">
        <f t="shared" si="21"/>
        <v>#DIV/0!</v>
      </c>
      <c r="J27" s="92" t="e">
        <f t="shared" si="21"/>
        <v>#DIV/0!</v>
      </c>
      <c r="K27" s="92" t="e">
        <f t="shared" si="21"/>
        <v>#DIV/0!</v>
      </c>
      <c r="L27" s="92" t="e">
        <f t="shared" si="21"/>
        <v>#DIV/0!</v>
      </c>
      <c r="M27" s="92" t="e">
        <f t="shared" si="21"/>
        <v>#DIV/0!</v>
      </c>
      <c r="N27" s="92" t="e">
        <f t="shared" si="21"/>
        <v>#DIV/0!</v>
      </c>
      <c r="O27" s="92" t="e">
        <f t="shared" si="21"/>
        <v>#DIV/0!</v>
      </c>
      <c r="P27" s="92" t="e">
        <f t="shared" si="21"/>
        <v>#DIV/0!</v>
      </c>
      <c r="Q27" s="92" t="e">
        <f t="shared" si="21"/>
        <v>#DIV/0!</v>
      </c>
      <c r="R27" s="92" t="e">
        <f t="shared" si="21"/>
        <v>#DIV/0!</v>
      </c>
      <c r="S27" s="92">
        <f>S26/S9</f>
        <v>-0.12542773233231855</v>
      </c>
      <c r="T27" s="2"/>
      <c r="U27" s="2"/>
      <c r="V27" s="2"/>
      <c r="AQ27" s="78" t="s">
        <v>94</v>
      </c>
      <c r="AR27" s="78" t="s">
        <v>95</v>
      </c>
    </row>
    <row r="28" spans="1:45">
      <c r="T28" s="2"/>
      <c r="U28" s="2"/>
      <c r="V28" s="2"/>
    </row>
    <row r="29" spans="1:45">
      <c r="A29" s="71" t="s">
        <v>96</v>
      </c>
      <c r="S29" s="74" t="s">
        <v>149</v>
      </c>
      <c r="T29" s="2"/>
      <c r="U29" s="2"/>
      <c r="V29" s="2"/>
      <c r="AQ29" s="71" t="s">
        <v>96</v>
      </c>
    </row>
    <row r="30" spans="1:45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Q30" s="78" t="s">
        <v>99</v>
      </c>
      <c r="AR30" s="83" t="s">
        <v>98</v>
      </c>
    </row>
    <row r="31" spans="1:45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Q31" s="78" t="s">
        <v>55</v>
      </c>
      <c r="AR31" s="78" t="s">
        <v>100</v>
      </c>
    </row>
    <row r="32" spans="1:45">
      <c r="A32" s="75">
        <v>2</v>
      </c>
      <c r="B32" s="78" t="s">
        <v>150</v>
      </c>
      <c r="C32" s="81">
        <f>C9/C6</f>
        <v>1353.98</v>
      </c>
      <c r="D32" s="81">
        <f t="shared" ref="D32:R32" si="22">D9/D6</f>
        <v>384.96</v>
      </c>
      <c r="E32" s="81" t="e">
        <f t="shared" si="22"/>
        <v>#DIV/0!</v>
      </c>
      <c r="F32" s="81" t="e">
        <f t="shared" si="22"/>
        <v>#DIV/0!</v>
      </c>
      <c r="G32" s="81" t="e">
        <f t="shared" si="22"/>
        <v>#DIV/0!</v>
      </c>
      <c r="H32" s="81" t="e">
        <f t="shared" si="22"/>
        <v>#DIV/0!</v>
      </c>
      <c r="I32" s="81" t="e">
        <f t="shared" si="22"/>
        <v>#DIV/0!</v>
      </c>
      <c r="J32" s="81" t="e">
        <f t="shared" si="22"/>
        <v>#DIV/0!</v>
      </c>
      <c r="K32" s="81" t="e">
        <f t="shared" si="22"/>
        <v>#DIV/0!</v>
      </c>
      <c r="L32" s="81" t="e">
        <f t="shared" si="22"/>
        <v>#DIV/0!</v>
      </c>
      <c r="M32" s="81" t="e">
        <f t="shared" si="22"/>
        <v>#DIV/0!</v>
      </c>
      <c r="N32" s="81" t="e">
        <f t="shared" si="22"/>
        <v>#DIV/0!</v>
      </c>
      <c r="O32" s="81" t="e">
        <f t="shared" si="22"/>
        <v>#DIV/0!</v>
      </c>
      <c r="P32" s="81" t="e">
        <f t="shared" si="22"/>
        <v>#DIV/0!</v>
      </c>
      <c r="Q32" s="81" t="e">
        <f t="shared" si="22"/>
        <v>#DIV/0!</v>
      </c>
      <c r="R32" s="81" t="e">
        <f t="shared" si="22"/>
        <v>#DIV/0!</v>
      </c>
      <c r="S32" s="89"/>
      <c r="T32" s="2"/>
      <c r="U32" s="2"/>
      <c r="V32" s="2"/>
      <c r="W32" s="2"/>
      <c r="X32" s="2"/>
      <c r="Y32" s="2"/>
      <c r="Z32" s="2"/>
      <c r="AQ32" s="78"/>
      <c r="AR32" s="78"/>
    </row>
    <row r="33" spans="1:44">
      <c r="A33" s="75">
        <v>3</v>
      </c>
      <c r="B33" s="86" t="s">
        <v>101</v>
      </c>
      <c r="C33" s="81">
        <f>材料成本!D24</f>
        <v>919.91138898128202</v>
      </c>
      <c r="D33" s="81">
        <f>材料成本!E24</f>
        <v>370.51978188068</v>
      </c>
      <c r="E33" s="81">
        <f>材料成本!F24</f>
        <v>0</v>
      </c>
      <c r="F33" s="81">
        <f>材料成本!G24</f>
        <v>0</v>
      </c>
      <c r="G33" s="81">
        <f>材料成本!H24</f>
        <v>0</v>
      </c>
      <c r="H33" s="81">
        <f>材料成本!I24</f>
        <v>0</v>
      </c>
      <c r="I33" s="81">
        <f>材料成本!J24</f>
        <v>0</v>
      </c>
      <c r="J33" s="81">
        <f>材料成本!K24</f>
        <v>0</v>
      </c>
      <c r="K33" s="81">
        <f>材料成本!L24</f>
        <v>0</v>
      </c>
      <c r="L33" s="81">
        <f>材料成本!M24</f>
        <v>0</v>
      </c>
      <c r="M33" s="81">
        <f>材料成本!N24</f>
        <v>0</v>
      </c>
      <c r="N33" s="81">
        <f>材料成本!O24</f>
        <v>0</v>
      </c>
      <c r="O33" s="81">
        <f>材料成本!P24</f>
        <v>0</v>
      </c>
      <c r="P33" s="81">
        <f>材料成本!Q24</f>
        <v>0</v>
      </c>
      <c r="Q33" s="81">
        <f>材料成本!R24</f>
        <v>0</v>
      </c>
      <c r="R33" s="81">
        <f>材料成本!S24</f>
        <v>0</v>
      </c>
      <c r="S33" s="89"/>
      <c r="U33" s="2"/>
      <c r="V33" s="2"/>
      <c r="W33" s="2"/>
      <c r="X33" s="2"/>
      <c r="Y33" s="2"/>
      <c r="Z33" s="2"/>
      <c r="AQ33" s="78" t="s">
        <v>57</v>
      </c>
      <c r="AR33" s="78" t="s">
        <v>101</v>
      </c>
    </row>
    <row r="34" spans="1:44" ht="17.25" customHeight="1">
      <c r="A34" s="75">
        <v>4</v>
      </c>
      <c r="B34" s="78" t="s">
        <v>103</v>
      </c>
      <c r="C34" s="94">
        <f>C32-C33</f>
        <v>434.068611018718</v>
      </c>
      <c r="D34" s="94">
        <f t="shared" ref="D34:R34" si="23">D32-D33</f>
        <v>14.440218119319979</v>
      </c>
      <c r="E34" s="94" t="e">
        <f t="shared" si="23"/>
        <v>#DIV/0!</v>
      </c>
      <c r="F34" s="94" t="e">
        <f t="shared" si="23"/>
        <v>#DIV/0!</v>
      </c>
      <c r="G34" s="94" t="e">
        <f t="shared" si="23"/>
        <v>#DIV/0!</v>
      </c>
      <c r="H34" s="94" t="e">
        <f t="shared" si="23"/>
        <v>#DIV/0!</v>
      </c>
      <c r="I34" s="94" t="e">
        <f t="shared" si="23"/>
        <v>#DIV/0!</v>
      </c>
      <c r="J34" s="94" t="e">
        <f t="shared" si="23"/>
        <v>#DIV/0!</v>
      </c>
      <c r="K34" s="94" t="e">
        <f t="shared" si="23"/>
        <v>#DIV/0!</v>
      </c>
      <c r="L34" s="94" t="e">
        <f t="shared" si="23"/>
        <v>#DIV/0!</v>
      </c>
      <c r="M34" s="94" t="e">
        <f t="shared" si="23"/>
        <v>#DIV/0!</v>
      </c>
      <c r="N34" s="94" t="e">
        <f t="shared" si="23"/>
        <v>#DIV/0!</v>
      </c>
      <c r="O34" s="94" t="e">
        <f t="shared" si="23"/>
        <v>#DIV/0!</v>
      </c>
      <c r="P34" s="94" t="e">
        <f t="shared" si="23"/>
        <v>#DIV/0!</v>
      </c>
      <c r="Q34" s="94" t="e">
        <f t="shared" si="23"/>
        <v>#DIV/0!</v>
      </c>
      <c r="R34" s="94" t="e">
        <f t="shared" si="23"/>
        <v>#DIV/0!</v>
      </c>
      <c r="S34" s="89"/>
      <c r="U34" s="2"/>
      <c r="V34" s="2"/>
      <c r="W34" s="2"/>
      <c r="X34" s="2"/>
      <c r="Y34" s="2"/>
      <c r="Z34" s="2"/>
      <c r="AQ34" s="78" t="s">
        <v>102</v>
      </c>
      <c r="AR34" s="78" t="s">
        <v>103</v>
      </c>
    </row>
    <row r="35" spans="1:44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Q35" s="78" t="s">
        <v>105</v>
      </c>
      <c r="AR35" s="83" t="s">
        <v>9</v>
      </c>
    </row>
    <row r="36" spans="1:44">
      <c r="A36" s="75">
        <v>1</v>
      </c>
      <c r="B36" s="78" t="s">
        <v>106</v>
      </c>
      <c r="C36" s="87">
        <f>标准成本!E4</f>
        <v>93.966211999999999</v>
      </c>
      <c r="D36" s="87">
        <f>标准成本!E16</f>
        <v>26.716224</v>
      </c>
      <c r="E36" s="87">
        <f>标准成本!E29</f>
        <v>0</v>
      </c>
      <c r="F36" s="87">
        <f>标准成本!E42</f>
        <v>0</v>
      </c>
      <c r="G36" s="87">
        <f>标准成本!E55</f>
        <v>0</v>
      </c>
      <c r="H36" s="87">
        <f>标准成本!E68</f>
        <v>0</v>
      </c>
      <c r="I36" s="87">
        <f>标准成本!E81</f>
        <v>0</v>
      </c>
      <c r="J36" s="87">
        <f>标准成本!E94</f>
        <v>0</v>
      </c>
      <c r="K36" s="87">
        <f>标准成本!E107</f>
        <v>0</v>
      </c>
      <c r="L36" s="87">
        <f>标准成本!E120</f>
        <v>0</v>
      </c>
      <c r="M36" s="87">
        <f>标准成本!E133</f>
        <v>0</v>
      </c>
      <c r="N36" s="87">
        <f>标准成本!E146</f>
        <v>0</v>
      </c>
      <c r="O36" s="87">
        <f>标准成本!E159</f>
        <v>0</v>
      </c>
      <c r="P36" s="87">
        <f>标准成本!E172</f>
        <v>0</v>
      </c>
      <c r="Q36" s="87">
        <f>标准成本!E185</f>
        <v>0</v>
      </c>
      <c r="R36" s="87">
        <f>标准成本!E198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Q36" s="78" t="s">
        <v>102</v>
      </c>
      <c r="AR36" s="78" t="s">
        <v>106</v>
      </c>
    </row>
    <row r="37" spans="1:44">
      <c r="A37" s="75">
        <v>2</v>
      </c>
      <c r="B37" s="78" t="s">
        <v>107</v>
      </c>
      <c r="C37" s="87">
        <f>标准成本!E6</f>
        <v>58.762732</v>
      </c>
      <c r="D37" s="87">
        <f>标准成本!E18</f>
        <v>16.707263999999999</v>
      </c>
      <c r="E37" s="87">
        <f>标准成本!E31</f>
        <v>0</v>
      </c>
      <c r="F37" s="87">
        <f>标准成本!E44</f>
        <v>0</v>
      </c>
      <c r="G37" s="87">
        <f>标准成本!E57</f>
        <v>0</v>
      </c>
      <c r="H37" s="87">
        <f>标准成本!E70</f>
        <v>0</v>
      </c>
      <c r="I37" s="87">
        <f>标准成本!E83</f>
        <v>0</v>
      </c>
      <c r="J37" s="87">
        <f>标准成本!E96</f>
        <v>0</v>
      </c>
      <c r="K37" s="87">
        <f>标准成本!E109</f>
        <v>0</v>
      </c>
      <c r="L37" s="87">
        <f>标准成本!E122</f>
        <v>0</v>
      </c>
      <c r="M37" s="87">
        <f>标准成本!E135</f>
        <v>0</v>
      </c>
      <c r="N37" s="87">
        <f>标准成本!E148</f>
        <v>0</v>
      </c>
      <c r="O37" s="87">
        <f>标准成本!E161</f>
        <v>0</v>
      </c>
      <c r="P37" s="87">
        <f>标准成本!E174</f>
        <v>0</v>
      </c>
      <c r="Q37" s="87">
        <f>标准成本!E187</f>
        <v>0</v>
      </c>
      <c r="R37" s="87">
        <f>标准成本!E200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Q37" s="78" t="s">
        <v>60</v>
      </c>
      <c r="AR37" s="78" t="s">
        <v>107</v>
      </c>
    </row>
    <row r="38" spans="1:44">
      <c r="A38" s="75">
        <v>3</v>
      </c>
      <c r="B38" s="78" t="s">
        <v>108</v>
      </c>
      <c r="C38" s="87">
        <f>标准成本!E10</f>
        <v>88.144098000000014</v>
      </c>
      <c r="D38" s="87">
        <f>标准成本!E22</f>
        <v>25.060896</v>
      </c>
      <c r="E38" s="87">
        <f>标准成本!E35</f>
        <v>0</v>
      </c>
      <c r="F38" s="87">
        <f>标准成本!E48</f>
        <v>0</v>
      </c>
      <c r="G38" s="87">
        <f>标准成本!E61</f>
        <v>0</v>
      </c>
      <c r="H38" s="87">
        <f>标准成本!E74</f>
        <v>0</v>
      </c>
      <c r="I38" s="87">
        <f>标准成本!E87</f>
        <v>0</v>
      </c>
      <c r="J38" s="87">
        <f>标准成本!E100</f>
        <v>0</v>
      </c>
      <c r="K38" s="87">
        <f>标准成本!E113</f>
        <v>0</v>
      </c>
      <c r="L38" s="87">
        <f>标准成本!E126</f>
        <v>0</v>
      </c>
      <c r="M38" s="87">
        <f>标准成本!E139</f>
        <v>0</v>
      </c>
      <c r="N38" s="87">
        <f>标准成本!E152</f>
        <v>0</v>
      </c>
      <c r="O38" s="87">
        <f>标准成本!E165</f>
        <v>0</v>
      </c>
      <c r="P38" s="87">
        <f>标准成本!E178</f>
        <v>0</v>
      </c>
      <c r="Q38" s="87">
        <f>标准成本!E191</f>
        <v>0</v>
      </c>
      <c r="R38" s="87">
        <f>标准成本!E204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Q38" s="78" t="s">
        <v>66</v>
      </c>
      <c r="AR38" s="78" t="s">
        <v>108</v>
      </c>
    </row>
    <row r="39" spans="1:44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Q39" s="78" t="s">
        <v>109</v>
      </c>
      <c r="AR39" s="83" t="s">
        <v>110</v>
      </c>
    </row>
    <row r="40" spans="1:44">
      <c r="A40" s="75">
        <v>1</v>
      </c>
      <c r="B40" s="78" t="s">
        <v>111</v>
      </c>
      <c r="C40" s="89">
        <f>C34-C36-C37-C38</f>
        <v>193.19556901871803</v>
      </c>
      <c r="D40" s="89">
        <f>D34-D36-D37-D38</f>
        <v>-54.044165880680019</v>
      </c>
      <c r="E40" s="89" t="e">
        <f t="shared" ref="E40:R40" si="24">E34-E36-E37-E38</f>
        <v>#DIV/0!</v>
      </c>
      <c r="F40" s="89" t="e">
        <f t="shared" si="24"/>
        <v>#DIV/0!</v>
      </c>
      <c r="G40" s="89" t="e">
        <f t="shared" si="24"/>
        <v>#DIV/0!</v>
      </c>
      <c r="H40" s="89" t="e">
        <f t="shared" si="24"/>
        <v>#DIV/0!</v>
      </c>
      <c r="I40" s="89" t="e">
        <f t="shared" si="24"/>
        <v>#DIV/0!</v>
      </c>
      <c r="J40" s="89" t="e">
        <f t="shared" si="24"/>
        <v>#DIV/0!</v>
      </c>
      <c r="K40" s="89" t="e">
        <f t="shared" si="24"/>
        <v>#DIV/0!</v>
      </c>
      <c r="L40" s="89" t="e">
        <f t="shared" si="24"/>
        <v>#DIV/0!</v>
      </c>
      <c r="M40" s="89" t="e">
        <f t="shared" si="24"/>
        <v>#DIV/0!</v>
      </c>
      <c r="N40" s="89" t="e">
        <f t="shared" si="24"/>
        <v>#DIV/0!</v>
      </c>
      <c r="O40" s="89" t="e">
        <f t="shared" si="24"/>
        <v>#DIV/0!</v>
      </c>
      <c r="P40" s="89" t="e">
        <f t="shared" si="24"/>
        <v>#DIV/0!</v>
      </c>
      <c r="Q40" s="89" t="e">
        <f t="shared" si="24"/>
        <v>#DIV/0!</v>
      </c>
      <c r="R40" s="89" t="e">
        <f t="shared" si="24"/>
        <v>#DIV/0!</v>
      </c>
      <c r="S40" s="89"/>
      <c r="AQ40" s="78" t="s">
        <v>55</v>
      </c>
      <c r="AR40" s="78" t="s">
        <v>111</v>
      </c>
    </row>
    <row r="41" spans="1:44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Q41" s="78" t="s">
        <v>57</v>
      </c>
      <c r="AR41" s="78" t="s">
        <v>112</v>
      </c>
    </row>
    <row r="42" spans="1:44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Q42" s="78" t="s">
        <v>113</v>
      </c>
      <c r="AR42" s="83" t="s">
        <v>114</v>
      </c>
    </row>
    <row r="43" spans="1:44">
      <c r="A43" s="75">
        <v>1</v>
      </c>
      <c r="B43" s="90" t="s">
        <v>115</v>
      </c>
      <c r="C43" s="87">
        <f>标准成本!E5</f>
        <v>111.70335</v>
      </c>
      <c r="D43" s="87">
        <f>标准成本!E17</f>
        <v>31.7592</v>
      </c>
      <c r="E43" s="87">
        <f>标准成本!E30</f>
        <v>0</v>
      </c>
      <c r="F43" s="87">
        <f>标准成本!E43</f>
        <v>0</v>
      </c>
      <c r="G43" s="87">
        <f>标准成本!E56</f>
        <v>0</v>
      </c>
      <c r="H43" s="87">
        <f>标准成本!E69</f>
        <v>0</v>
      </c>
      <c r="I43" s="87">
        <f>标准成本!E82</f>
        <v>0</v>
      </c>
      <c r="J43" s="87">
        <f>标准成本!E95</f>
        <v>0</v>
      </c>
      <c r="K43" s="87">
        <f>标准成本!E108</f>
        <v>0</v>
      </c>
      <c r="L43" s="87">
        <f>标准成本!E121</f>
        <v>0</v>
      </c>
      <c r="M43" s="87">
        <f>标准成本!E134</f>
        <v>0</v>
      </c>
      <c r="N43" s="87">
        <f>标准成本!E147</f>
        <v>0</v>
      </c>
      <c r="O43" s="87">
        <f>标准成本!E160</f>
        <v>0</v>
      </c>
      <c r="P43" s="87">
        <f>标准成本!E173</f>
        <v>0</v>
      </c>
      <c r="Q43" s="87">
        <f>标准成本!E186</f>
        <v>0</v>
      </c>
      <c r="R43" s="87">
        <f>标准成本!E199</f>
        <v>0</v>
      </c>
      <c r="S43" s="89"/>
      <c r="AQ43" s="78" t="s">
        <v>55</v>
      </c>
      <c r="AR43" s="78" t="s">
        <v>115</v>
      </c>
    </row>
    <row r="44" spans="1:44">
      <c r="A44" s="75">
        <v>2</v>
      </c>
      <c r="B44" s="90" t="s">
        <v>116</v>
      </c>
      <c r="C44" s="87">
        <f>标准成本!E9</f>
        <v>23.288456</v>
      </c>
      <c r="D44" s="87">
        <f>标准成本!E21</f>
        <v>6.6213119999999996</v>
      </c>
      <c r="E44" s="87">
        <f>标准成本!E34</f>
        <v>0</v>
      </c>
      <c r="F44" s="87">
        <f>标准成本!E47</f>
        <v>0</v>
      </c>
      <c r="G44" s="87">
        <f>标准成本!E60</f>
        <v>0</v>
      </c>
      <c r="H44" s="87">
        <f>标准成本!E73</f>
        <v>0</v>
      </c>
      <c r="I44" s="87">
        <f>标准成本!E86</f>
        <v>0</v>
      </c>
      <c r="J44" s="87">
        <f>标准成本!E99</f>
        <v>0</v>
      </c>
      <c r="K44" s="87">
        <f>标准成本!E112</f>
        <v>0</v>
      </c>
      <c r="L44" s="87">
        <f>标准成本!E125</f>
        <v>0</v>
      </c>
      <c r="M44" s="87">
        <f>标准成本!E138</f>
        <v>0</v>
      </c>
      <c r="N44" s="87">
        <f>标准成本!E151</f>
        <v>0</v>
      </c>
      <c r="O44" s="87">
        <f>标准成本!E164</f>
        <v>0</v>
      </c>
      <c r="P44" s="87">
        <f>标准成本!E177</f>
        <v>0</v>
      </c>
      <c r="Q44" s="87">
        <f>标准成本!E190</f>
        <v>0</v>
      </c>
      <c r="R44" s="87">
        <f>标准成本!E203</f>
        <v>0</v>
      </c>
      <c r="S44" s="89"/>
      <c r="AQ44" s="78" t="s">
        <v>57</v>
      </c>
      <c r="AR44" s="78" t="s">
        <v>116</v>
      </c>
    </row>
    <row r="45" spans="1:44">
      <c r="A45" s="75">
        <v>3</v>
      </c>
      <c r="B45" s="90" t="s">
        <v>117</v>
      </c>
      <c r="C45" s="87">
        <f>标准成本!E8</f>
        <v>35.745072</v>
      </c>
      <c r="D45" s="87">
        <f>标准成本!E20</f>
        <v>10.162944</v>
      </c>
      <c r="E45" s="87">
        <f>标准成本!E33</f>
        <v>0</v>
      </c>
      <c r="F45" s="87">
        <f>标准成本!E46</f>
        <v>0</v>
      </c>
      <c r="G45" s="87">
        <f>标准成本!E59</f>
        <v>0</v>
      </c>
      <c r="H45" s="87">
        <f>标准成本!E72</f>
        <v>0</v>
      </c>
      <c r="I45" s="87">
        <f>标准成本!E85</f>
        <v>0</v>
      </c>
      <c r="J45" s="87">
        <f>标准成本!E98</f>
        <v>0</v>
      </c>
      <c r="K45" s="87">
        <f>标准成本!E111</f>
        <v>0</v>
      </c>
      <c r="L45" s="87">
        <f>标准成本!E124</f>
        <v>0</v>
      </c>
      <c r="M45" s="87">
        <f>标准成本!E137</f>
        <v>0</v>
      </c>
      <c r="N45" s="87">
        <f>标准成本!E150</f>
        <v>0</v>
      </c>
      <c r="O45" s="87">
        <f>标准成本!E163</f>
        <v>0</v>
      </c>
      <c r="P45" s="87">
        <f>标准成本!E176</f>
        <v>0</v>
      </c>
      <c r="Q45" s="87">
        <f>标准成本!E189</f>
        <v>0</v>
      </c>
      <c r="R45" s="87">
        <f>标准成本!E202</f>
        <v>0</v>
      </c>
      <c r="S45" s="89"/>
      <c r="AQ45" s="78" t="s">
        <v>102</v>
      </c>
      <c r="AR45" s="78" t="s">
        <v>117</v>
      </c>
    </row>
    <row r="46" spans="1:44" s="73" customFormat="1">
      <c r="A46" s="75">
        <v>4</v>
      </c>
      <c r="B46" s="90" t="s">
        <v>118</v>
      </c>
      <c r="C46" s="95">
        <f>C21/C6</f>
        <v>14.375</v>
      </c>
      <c r="D46" s="95">
        <f>D21/D6</f>
        <v>14.375</v>
      </c>
      <c r="E46" s="95" t="e">
        <f t="shared" ref="E46:R46" si="25">E21/E6</f>
        <v>#DIV/0!</v>
      </c>
      <c r="F46" s="95" t="e">
        <f t="shared" si="25"/>
        <v>#DIV/0!</v>
      </c>
      <c r="G46" s="95" t="e">
        <f t="shared" si="25"/>
        <v>#DIV/0!</v>
      </c>
      <c r="H46" s="95" t="e">
        <f t="shared" si="25"/>
        <v>#DIV/0!</v>
      </c>
      <c r="I46" s="95" t="e">
        <f t="shared" si="25"/>
        <v>#DIV/0!</v>
      </c>
      <c r="J46" s="95" t="e">
        <f t="shared" si="25"/>
        <v>#DIV/0!</v>
      </c>
      <c r="K46" s="95" t="e">
        <f t="shared" si="25"/>
        <v>#DIV/0!</v>
      </c>
      <c r="L46" s="95" t="e">
        <f t="shared" si="25"/>
        <v>#DIV/0!</v>
      </c>
      <c r="M46" s="95" t="e">
        <f t="shared" si="25"/>
        <v>#DIV/0!</v>
      </c>
      <c r="N46" s="95" t="e">
        <f t="shared" si="25"/>
        <v>#DIV/0!</v>
      </c>
      <c r="O46" s="95" t="e">
        <f t="shared" si="25"/>
        <v>#DIV/0!</v>
      </c>
      <c r="P46" s="95" t="e">
        <f t="shared" si="25"/>
        <v>#DIV/0!</v>
      </c>
      <c r="Q46" s="95" t="e">
        <f t="shared" si="25"/>
        <v>#DIV/0!</v>
      </c>
      <c r="R46" s="95" t="e">
        <f t="shared" si="25"/>
        <v>#DIV/0!</v>
      </c>
      <c r="S46" s="95"/>
      <c r="AQ46" s="90" t="s">
        <v>62</v>
      </c>
      <c r="AR46" s="90" t="s">
        <v>120</v>
      </c>
    </row>
    <row r="47" spans="1:44" s="73" customFormat="1">
      <c r="A47" s="75">
        <v>5</v>
      </c>
      <c r="B47" s="90" t="s">
        <v>120</v>
      </c>
      <c r="C47" s="87">
        <f>标准成本!E11</f>
        <v>48.066289999999995</v>
      </c>
      <c r="D47" s="87">
        <f>标准成本!E23</f>
        <v>13.666079999999997</v>
      </c>
      <c r="E47" s="87">
        <f>标准成本!E36</f>
        <v>0</v>
      </c>
      <c r="F47" s="87">
        <f>标准成本!E49</f>
        <v>0</v>
      </c>
      <c r="G47" s="87">
        <f>标准成本!E62</f>
        <v>0</v>
      </c>
      <c r="H47" s="87">
        <f>标准成本!E75</f>
        <v>0</v>
      </c>
      <c r="I47" s="87">
        <f>标准成本!E88</f>
        <v>0</v>
      </c>
      <c r="J47" s="87">
        <f>标准成本!E101</f>
        <v>0</v>
      </c>
      <c r="K47" s="87">
        <f>标准成本!E114</f>
        <v>0</v>
      </c>
      <c r="L47" s="87">
        <f>标准成本!E127</f>
        <v>0</v>
      </c>
      <c r="M47" s="87">
        <f>标准成本!E140</f>
        <v>0</v>
      </c>
      <c r="N47" s="87">
        <f>标准成本!E153</f>
        <v>0</v>
      </c>
      <c r="O47" s="87">
        <f>标准成本!E166</f>
        <v>0</v>
      </c>
      <c r="P47" s="87">
        <f>标准成本!E179</f>
        <v>0</v>
      </c>
      <c r="Q47" s="87">
        <f>标准成本!E192</f>
        <v>0</v>
      </c>
      <c r="R47" s="87">
        <f>标准成本!E205</f>
        <v>0</v>
      </c>
      <c r="S47" s="95"/>
      <c r="AQ47" s="90" t="s">
        <v>62</v>
      </c>
      <c r="AR47" s="90" t="s">
        <v>120</v>
      </c>
    </row>
    <row r="48" spans="1:44">
      <c r="A48" s="78" t="s">
        <v>113</v>
      </c>
      <c r="B48" s="83" t="s">
        <v>131</v>
      </c>
      <c r="C48" s="89">
        <f>C40-C43-C44-C45-C47-C46</f>
        <v>-39.98259898128196</v>
      </c>
      <c r="D48" s="89">
        <f>D40-D43-D44-D45-D47-D46</f>
        <v>-130.62870188068001</v>
      </c>
      <c r="E48" s="89" t="e">
        <f t="shared" ref="E48:R48" si="26">E40-E43-E44-E45-E47-E46</f>
        <v>#DIV/0!</v>
      </c>
      <c r="F48" s="89" t="e">
        <f t="shared" si="26"/>
        <v>#DIV/0!</v>
      </c>
      <c r="G48" s="89" t="e">
        <f t="shared" si="26"/>
        <v>#DIV/0!</v>
      </c>
      <c r="H48" s="89" t="e">
        <f t="shared" si="26"/>
        <v>#DIV/0!</v>
      </c>
      <c r="I48" s="89" t="e">
        <f t="shared" si="26"/>
        <v>#DIV/0!</v>
      </c>
      <c r="J48" s="89" t="e">
        <f t="shared" si="26"/>
        <v>#DIV/0!</v>
      </c>
      <c r="K48" s="89" t="e">
        <f t="shared" si="26"/>
        <v>#DIV/0!</v>
      </c>
      <c r="L48" s="89" t="e">
        <f t="shared" si="26"/>
        <v>#DIV/0!</v>
      </c>
      <c r="M48" s="89" t="e">
        <f t="shared" si="26"/>
        <v>#DIV/0!</v>
      </c>
      <c r="N48" s="89" t="e">
        <f t="shared" si="26"/>
        <v>#DIV/0!</v>
      </c>
      <c r="O48" s="89" t="e">
        <f t="shared" si="26"/>
        <v>#DIV/0!</v>
      </c>
      <c r="P48" s="89" t="e">
        <f t="shared" si="26"/>
        <v>#DIV/0!</v>
      </c>
      <c r="Q48" s="89" t="e">
        <f t="shared" si="26"/>
        <v>#DIV/0!</v>
      </c>
      <c r="R48" s="89" t="e">
        <f t="shared" si="26"/>
        <v>#DIV/0!</v>
      </c>
      <c r="S48" s="89"/>
      <c r="AQ48" s="78" t="s">
        <v>130</v>
      </c>
      <c r="AR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G8" sqref="G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1" t="s">
        <v>141</v>
      </c>
      <c r="B1" s="231"/>
      <c r="C1" s="235" t="s">
        <v>262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7"/>
    </row>
    <row r="2" spans="1:47">
      <c r="A2" s="231" t="s">
        <v>142</v>
      </c>
      <c r="B2" s="231"/>
      <c r="C2" s="238" t="str">
        <f>'2025年'!$C$2</f>
        <v>北汽福田戴姆勒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</row>
    <row r="3" spans="1:47">
      <c r="A3" s="231" t="s">
        <v>143</v>
      </c>
      <c r="B3" s="231"/>
      <c r="C3" s="76" t="str">
        <f>'2025年'!C3</f>
        <v>司机座椅总成</v>
      </c>
      <c r="D3" s="76" t="str">
        <f>'2025年'!D3</f>
        <v>副司机座椅总裁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2" t="s">
        <v>51</v>
      </c>
    </row>
    <row r="4" spans="1:47" ht="45">
      <c r="A4" s="231" t="s">
        <v>144</v>
      </c>
      <c r="B4" s="231"/>
      <c r="C4" s="76" t="str">
        <f>'2025年'!C4</f>
        <v>XGA68EFAF411-000010/ XGA68EFAF411-000020</v>
      </c>
      <c r="D4" s="76" t="str">
        <f>'2025年'!D4</f>
        <v>XGA69EFAF411-000110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3"/>
    </row>
    <row r="5" spans="1:47" ht="85.5">
      <c r="A5" s="231" t="s">
        <v>145</v>
      </c>
      <c r="B5" s="231"/>
      <c r="C5" s="77" t="str">
        <f>'2025年'!C5</f>
        <v>靠背调节、前后调节、高低调节、三点式安全带、单扶手、两气袋气腰托、可变阻尼、织物面料（不带底支架）</v>
      </c>
      <c r="D5" s="77" t="str">
        <f>'2025年'!D5</f>
        <v>靠背调节、固定座垫、织物面料（不带底支架、不带三点式安全带）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4"/>
      <c r="AU5" s="71" t="s">
        <v>52</v>
      </c>
    </row>
    <row r="6" spans="1:47" ht="17.25">
      <c r="A6" s="78" t="s">
        <v>18</v>
      </c>
      <c r="B6" s="79" t="s">
        <v>146</v>
      </c>
      <c r="C6" s="98">
        <f>销量!C10</f>
        <v>18000</v>
      </c>
      <c r="D6" s="98">
        <f>销量!D10</f>
        <v>18000</v>
      </c>
      <c r="E6" s="98">
        <f>销量!E10</f>
        <v>0</v>
      </c>
      <c r="F6" s="98">
        <f>销量!F10</f>
        <v>0</v>
      </c>
      <c r="G6" s="98">
        <f>销量!G10</f>
        <v>0</v>
      </c>
      <c r="H6" s="98">
        <f>销量!H10</f>
        <v>0</v>
      </c>
      <c r="I6" s="98">
        <f>销量!I10</f>
        <v>0</v>
      </c>
      <c r="J6" s="98">
        <f>销量!J10</f>
        <v>0</v>
      </c>
      <c r="K6" s="98">
        <f>销量!K10</f>
        <v>0</v>
      </c>
      <c r="L6" s="98">
        <f>销量!L10</f>
        <v>0</v>
      </c>
      <c r="M6" s="98">
        <f>销量!M10</f>
        <v>0</v>
      </c>
      <c r="N6" s="98">
        <f>销量!N10</f>
        <v>0</v>
      </c>
      <c r="O6" s="98">
        <f>销量!O10</f>
        <v>0</v>
      </c>
      <c r="P6" s="98">
        <f>销量!P10</f>
        <v>0</v>
      </c>
      <c r="Q6" s="98">
        <f>销量!Q10</f>
        <v>0</v>
      </c>
      <c r="R6" s="98">
        <f>销量!R10</f>
        <v>0</v>
      </c>
      <c r="S6" s="81">
        <f>+SUM(C6:R6)</f>
        <v>36000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24371640</v>
      </c>
      <c r="D7" s="81">
        <f>D6*销量!D8</f>
        <v>6929280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31300920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C7*(1-销量!$V$7)</f>
        <v>243716.40000000023</v>
      </c>
      <c r="D8" s="81">
        <f>D7*(1-销量!$V$7)</f>
        <v>69292.800000000061</v>
      </c>
      <c r="E8" s="81">
        <f>E7*(1-销量!$V$7)</f>
        <v>0</v>
      </c>
      <c r="F8" s="81">
        <f>F7*(1-销量!$V$7)</f>
        <v>0</v>
      </c>
      <c r="G8" s="81">
        <f>G7*(1-销量!$V$7)</f>
        <v>0</v>
      </c>
      <c r="H8" s="81">
        <f>H7*(1-销量!$V$7)</f>
        <v>0</v>
      </c>
      <c r="I8" s="81">
        <f>I7*(1-销量!$V$7)</f>
        <v>0</v>
      </c>
      <c r="J8" s="81">
        <f>J7*(1-销量!$V$7)</f>
        <v>0</v>
      </c>
      <c r="K8" s="81">
        <f>K7*(1-销量!$V$7)</f>
        <v>0</v>
      </c>
      <c r="L8" s="81">
        <f>L7*(1-销量!$V$7)</f>
        <v>0</v>
      </c>
      <c r="M8" s="81">
        <f>M7*(1-销量!$V$7)</f>
        <v>0</v>
      </c>
      <c r="N8" s="81">
        <f>N7*(1-销量!$V$7)</f>
        <v>0</v>
      </c>
      <c r="O8" s="81">
        <f>O7*(1-销量!$V$7)</f>
        <v>0</v>
      </c>
      <c r="P8" s="81">
        <f>P7*(1-销量!$V$7)</f>
        <v>0</v>
      </c>
      <c r="Q8" s="81">
        <f>Q7*(1-销量!$V$7)</f>
        <v>0</v>
      </c>
      <c r="R8" s="81">
        <f>R7*(1-销量!$V$7)</f>
        <v>0</v>
      </c>
      <c r="S8" s="81">
        <f t="shared" si="0"/>
        <v>313009.2000000003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24127923.600000001</v>
      </c>
      <c r="D9" s="81">
        <f>+D7-D8</f>
        <v>6859987.2000000002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30987910.800000001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16392820.951646445</v>
      </c>
      <c r="D10" s="81">
        <f>D6*D33</f>
        <v>6602662.5131137175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22995483.464760162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1691391.8159999999</v>
      </c>
      <c r="D11" s="81">
        <f>+D6*D36</f>
        <v>480892.03200000001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2172283.8479999998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1057729.176</v>
      </c>
      <c r="D12" s="81">
        <f>+D6*D37</f>
        <v>300730.75199999998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1358459.9279999998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1586593.7640000002</v>
      </c>
      <c r="D13" s="81">
        <f>+D6*D38</f>
        <v>451096.12799999997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2037689.8920000002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4335714.7560000001</v>
      </c>
      <c r="D14" s="81">
        <f>SUM(D11:D13)</f>
        <v>1232718.912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5568433.6679999996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3399387.8923535561</v>
      </c>
      <c r="D15" s="81">
        <f>+D9-D10-D14</f>
        <v>-975394.22511371737</v>
      </c>
      <c r="E15" s="81">
        <f t="shared" ref="E15:F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>+S9-S10-S14</f>
        <v>2423993.6672398392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0.14089019630158128</v>
      </c>
      <c r="D16" s="84">
        <f>+D15/D9</f>
        <v>-0.14218601240447173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7.8223849387091926E-2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2034410.3</v>
      </c>
      <c r="D17" s="81">
        <f>D6*D43+D18</f>
        <v>595415.6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2629825.9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23750</v>
      </c>
      <c r="D18" s="87">
        <f>$S$18/$S$6*D6</f>
        <v>23750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项目投资!E26</f>
        <v>47500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419192.20799999998</v>
      </c>
      <c r="D19" s="81">
        <f>D6*D44</f>
        <v>119183.61599999999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538375.82400000002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643411.29599999997</v>
      </c>
      <c r="D20" s="81">
        <f>D6*D45</f>
        <v>182932.992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826344.28799999994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14375</v>
      </c>
      <c r="D21" s="89">
        <f>$S$21/$S$6*D6</f>
        <v>14375</v>
      </c>
      <c r="E21" s="89">
        <f t="shared" ref="E21:F21" si="25">$S$21/$S$6*E6</f>
        <v>0</v>
      </c>
      <c r="F21" s="89">
        <f t="shared" si="25"/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项目投资!E27</f>
        <v>28750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865193.21999999986</v>
      </c>
      <c r="D22" s="81">
        <f>D6*D47</f>
        <v>245989.43999999994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1111182.6599999997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3976582.0240000002</v>
      </c>
      <c r="D23" s="89">
        <f>+D22+D21+D20+D19+D17</f>
        <v>1157896.648</v>
      </c>
      <c r="E23" s="89">
        <f t="shared" ref="E23:F23" si="29">+E22+E21+E20+E19+E17</f>
        <v>0</v>
      </c>
      <c r="F23" s="89">
        <f t="shared" si="29"/>
        <v>0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5134478.6720000003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-577194.13164644409</v>
      </c>
      <c r="D24" s="89">
        <f>+D15-D23</f>
        <v>-2133290.8731137174</v>
      </c>
      <c r="E24" s="89">
        <f t="shared" ref="E24:F24" si="31">+E15-E23</f>
        <v>0</v>
      </c>
      <c r="F24" s="89">
        <f t="shared" si="31"/>
        <v>0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-2710485.004760161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>
        <f>IF(C24&lt;0,0,C24*0.15)</f>
        <v>0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-577194.13164644409</v>
      </c>
      <c r="D26" s="89">
        <f>D24-D25</f>
        <v>-2133290.8731137174</v>
      </c>
      <c r="E26" s="89">
        <f t="shared" ref="E26:F26" si="36">E24-E25</f>
        <v>0</v>
      </c>
      <c r="F26" s="89">
        <f t="shared" si="36"/>
        <v>0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>S24-S25</f>
        <v>-2710485.004760161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-2.3922246324024503E-2</v>
      </c>
      <c r="D27" s="92">
        <f t="shared" ref="D27:F27" si="38">D26/D9</f>
        <v>-0.31097592618157033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>S26/S9</f>
        <v>-8.7469110849517515E-2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1340.4402</v>
      </c>
      <c r="D32" s="81">
        <f t="shared" ref="D32:F32" si="40">D9/D6</f>
        <v>381.11040000000003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材料成本!D25</f>
        <v>910.71227509146922</v>
      </c>
      <c r="D33" s="81">
        <f>材料成本!E25</f>
        <v>366.81458406187318</v>
      </c>
      <c r="E33" s="81">
        <f>材料成本!F25</f>
        <v>0</v>
      </c>
      <c r="F33" s="81">
        <f>材料成本!G25</f>
        <v>0</v>
      </c>
      <c r="G33" s="81">
        <f>材料成本!H25</f>
        <v>0</v>
      </c>
      <c r="H33" s="81">
        <f>材料成本!I25</f>
        <v>0</v>
      </c>
      <c r="I33" s="81">
        <f>材料成本!J25</f>
        <v>0</v>
      </c>
      <c r="J33" s="81">
        <f>材料成本!K25</f>
        <v>0</v>
      </c>
      <c r="K33" s="81">
        <f>材料成本!L25</f>
        <v>0</v>
      </c>
      <c r="L33" s="81">
        <f>材料成本!M25</f>
        <v>0</v>
      </c>
      <c r="M33" s="81">
        <f>材料成本!N25</f>
        <v>0</v>
      </c>
      <c r="N33" s="81">
        <f>材料成本!O25</f>
        <v>0</v>
      </c>
      <c r="O33" s="81">
        <f>材料成本!P25</f>
        <v>0</v>
      </c>
      <c r="P33" s="81">
        <f>材料成本!Q25</f>
        <v>0</v>
      </c>
      <c r="Q33" s="81">
        <f>材料成本!R25</f>
        <v>0</v>
      </c>
      <c r="R33" s="81">
        <f>材料成本!S25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429.72792490853078</v>
      </c>
      <c r="D34" s="94">
        <f t="shared" ref="D34:F34" si="42">D32-D33</f>
        <v>14.29581593812685</v>
      </c>
      <c r="E34" s="94" t="e">
        <f t="shared" si="42"/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93.966211999999999</v>
      </c>
      <c r="D36" s="87">
        <f>'2025年'!D36</f>
        <v>26.716224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58.762732</v>
      </c>
      <c r="D37" s="87">
        <f>'2025年'!D37</f>
        <v>16.707263999999999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88.144098000000014</v>
      </c>
      <c r="D38" s="87">
        <f>'2025年'!D38</f>
        <v>25.060896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188.85488290853081</v>
      </c>
      <c r="D40" s="89">
        <f>D34-D36-D37-D38</f>
        <v>-54.188568061873148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111.70335</v>
      </c>
      <c r="D43" s="87">
        <f>'2025年'!D43</f>
        <v>31.7592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23.288456</v>
      </c>
      <c r="D44" s="87">
        <f>'2025年'!D44</f>
        <v>6.6213119999999996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35.745072</v>
      </c>
      <c r="D45" s="87">
        <f>'2025年'!D45</f>
        <v>10.162944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0.79861111111111116</v>
      </c>
      <c r="D46" s="95">
        <f>D21/D6</f>
        <v>0.79861111111111116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48.066289999999995</v>
      </c>
      <c r="D47" s="87">
        <f>'2025年'!D47</f>
        <v>13.666079999999997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-30.746896202580292</v>
      </c>
      <c r="D48" s="89">
        <f>D40-D43-D44-D45-D47-D46</f>
        <v>-117.19671517298426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71" customWidth="1"/>
    <col min="2" max="2" width="17.5" style="71" customWidth="1"/>
    <col min="3" max="3" width="15.375" style="74" customWidth="1"/>
    <col min="4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1" t="s">
        <v>141</v>
      </c>
      <c r="B1" s="231"/>
      <c r="C1" s="235" t="s">
        <v>261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7"/>
    </row>
    <row r="2" spans="1:47">
      <c r="A2" s="231" t="s">
        <v>142</v>
      </c>
      <c r="B2" s="231"/>
      <c r="C2" s="238" t="str">
        <f>'2025年'!$C$2</f>
        <v>北汽福田戴姆勒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</row>
    <row r="3" spans="1:47">
      <c r="A3" s="231" t="s">
        <v>143</v>
      </c>
      <c r="B3" s="231"/>
      <c r="C3" s="76" t="str">
        <f>'2025年'!C3</f>
        <v>司机座椅总成</v>
      </c>
      <c r="D3" s="76" t="str">
        <f>'2025年'!D3</f>
        <v>副司机座椅总裁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2" t="s">
        <v>51</v>
      </c>
    </row>
    <row r="4" spans="1:47" ht="33.75">
      <c r="A4" s="231" t="s">
        <v>144</v>
      </c>
      <c r="B4" s="231"/>
      <c r="C4" s="76" t="str">
        <f>'2025年'!C4</f>
        <v>XGA68EFAF411-000010/ XGA68EFAF411-000020</v>
      </c>
      <c r="D4" s="76" t="str">
        <f>'2025年'!D4</f>
        <v>XGA69EFAF411-000110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3"/>
    </row>
    <row r="5" spans="1:47" ht="85.5">
      <c r="A5" s="231" t="s">
        <v>145</v>
      </c>
      <c r="B5" s="231"/>
      <c r="C5" s="77" t="str">
        <f>'2025年'!C5</f>
        <v>靠背调节、前后调节、高低调节、三点式安全带、单扶手、两气袋气腰托、可变阻尼、织物面料（不带底支架）</v>
      </c>
      <c r="D5" s="77" t="str">
        <f>'2025年'!D5</f>
        <v>靠背调节、固定座垫、织物面料（不带底支架、不带三点式安全带）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4"/>
      <c r="AU5" s="71" t="s">
        <v>52</v>
      </c>
    </row>
    <row r="6" spans="1:47">
      <c r="A6" s="78" t="s">
        <v>18</v>
      </c>
      <c r="B6" s="79" t="s">
        <v>146</v>
      </c>
      <c r="C6" s="80">
        <f>销量!C11</f>
        <v>20000</v>
      </c>
      <c r="D6" s="80">
        <f>销量!D11</f>
        <v>20000</v>
      </c>
      <c r="E6" s="80">
        <f>销量!E11</f>
        <v>0</v>
      </c>
      <c r="F6" s="80">
        <f>销量!F11</f>
        <v>0</v>
      </c>
      <c r="G6" s="80">
        <f>销量!G11</f>
        <v>0</v>
      </c>
      <c r="H6" s="80">
        <f>销量!H11</f>
        <v>0</v>
      </c>
      <c r="I6" s="80">
        <f>销量!I11</f>
        <v>0</v>
      </c>
      <c r="J6" s="80">
        <f>销量!J11</f>
        <v>0</v>
      </c>
      <c r="K6" s="80">
        <f>销量!K11</f>
        <v>0</v>
      </c>
      <c r="L6" s="80">
        <f>销量!L11</f>
        <v>0</v>
      </c>
      <c r="M6" s="80">
        <f>销量!M11</f>
        <v>0</v>
      </c>
      <c r="N6" s="80">
        <f>销量!N11</f>
        <v>0</v>
      </c>
      <c r="O6" s="80">
        <f>销量!O11</f>
        <v>0</v>
      </c>
      <c r="P6" s="80">
        <f>销量!P11</f>
        <v>0</v>
      </c>
      <c r="Q6" s="80">
        <f>销量!Q11</f>
        <v>0</v>
      </c>
      <c r="R6" s="80">
        <f>销量!R11</f>
        <v>0</v>
      </c>
      <c r="S6" s="81">
        <f>+SUM(C6:R6)</f>
        <v>40000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27079600</v>
      </c>
      <c r="D7" s="81">
        <f>D6*销量!D8</f>
        <v>7699200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34778800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C7*(1-销量!$V$8)</f>
        <v>538884.03999999783</v>
      </c>
      <c r="D8" s="81">
        <f>D7*(1-销量!$V$8)</f>
        <v>153214.07999999938</v>
      </c>
      <c r="E8" s="81">
        <f>E7*(1-销量!$V$8)</f>
        <v>0</v>
      </c>
      <c r="F8" s="81">
        <f>F7*(1-销量!$V$8)</f>
        <v>0</v>
      </c>
      <c r="G8" s="81">
        <f>G7*(1-销量!$V$8)</f>
        <v>0</v>
      </c>
      <c r="H8" s="81">
        <f>H7*(1-销量!$V$8)</f>
        <v>0</v>
      </c>
      <c r="I8" s="81">
        <f>I7*(1-销量!$V$8)</f>
        <v>0</v>
      </c>
      <c r="J8" s="81">
        <f>J7*(1-销量!$V$8)</f>
        <v>0</v>
      </c>
      <c r="K8" s="81">
        <f>K7*(1-销量!$V$8)</f>
        <v>0</v>
      </c>
      <c r="L8" s="81">
        <f>L7*(1-销量!$V$8)</f>
        <v>0</v>
      </c>
      <c r="M8" s="81">
        <f>M7*(1-销量!$V$8)</f>
        <v>0</v>
      </c>
      <c r="N8" s="81">
        <f>N7*(1-销量!$V$8)</f>
        <v>0</v>
      </c>
      <c r="O8" s="81">
        <f>O7*(1-销量!$V$8)</f>
        <v>0</v>
      </c>
      <c r="P8" s="81">
        <f>P7*(1-销量!$V$8)</f>
        <v>0</v>
      </c>
      <c r="Q8" s="81">
        <f>Q7*(1-销量!$V$8)</f>
        <v>0</v>
      </c>
      <c r="R8" s="81">
        <f>R7*(1-销量!$V$8)</f>
        <v>0</v>
      </c>
      <c r="S8" s="81">
        <f t="shared" si="0"/>
        <v>692098.1199999972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26540715.960000001</v>
      </c>
      <c r="D9" s="81">
        <f>+D7-D8</f>
        <v>7545985.9200000009</v>
      </c>
      <c r="E9" s="81">
        <f t="shared" ref="E9:F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0"/>
        <v>34086701.880000003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18032103.046811089</v>
      </c>
      <c r="D10" s="81">
        <f>D6*D33</f>
        <v>7262928.7644250887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25295031.811236177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1879324.24</v>
      </c>
      <c r="D11" s="81">
        <f>+D6*D36</f>
        <v>534324.47999999998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2413648.7199999997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1175254.6399999999</v>
      </c>
      <c r="D12" s="81">
        <f>+D6*D37</f>
        <v>334145.27999999997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1509399.92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1762881.9600000002</v>
      </c>
      <c r="D13" s="81">
        <f>+D6*D38</f>
        <v>501217.92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2264099.8800000004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4817460.84</v>
      </c>
      <c r="D14" s="81">
        <f>SUM(D11:D13)</f>
        <v>1369687.68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6187148.5199999996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3691152.0731889121</v>
      </c>
      <c r="D15" s="81">
        <f>+D9-D10-D14</f>
        <v>-1086630.5244250877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2604521.5487638265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0.13907507539555131</v>
      </c>
      <c r="D16" s="84">
        <f>+D15/D9</f>
        <v>-0.14400113331050154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7.6408728481062019E-2</v>
      </c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2257817</v>
      </c>
      <c r="D17" s="81">
        <f>D6*D43+D18</f>
        <v>658934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2916751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23750</v>
      </c>
      <c r="D18" s="87">
        <f>$S$18/$S$6*D6</f>
        <v>23750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项目投资!F26</f>
        <v>47500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465769.12</v>
      </c>
      <c r="D19" s="81">
        <f>D6*D44</f>
        <v>132426.23999999999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>+SUM(C19:R19)</f>
        <v>598195.36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714901.44000000006</v>
      </c>
      <c r="D20" s="81">
        <f>D6*D45</f>
        <v>203258.88</v>
      </c>
      <c r="E20" s="81">
        <f t="shared" ref="E20:F20" si="22">E6*E45</f>
        <v>0</v>
      </c>
      <c r="F20" s="81">
        <f t="shared" si="22"/>
        <v>0</v>
      </c>
      <c r="G20" s="81">
        <f t="shared" ref="G20:R20" si="23">G6*G45</f>
        <v>0</v>
      </c>
      <c r="H20" s="81">
        <f t="shared" si="23"/>
        <v>0</v>
      </c>
      <c r="I20" s="81">
        <f t="shared" si="23"/>
        <v>0</v>
      </c>
      <c r="J20" s="81">
        <f t="shared" si="23"/>
        <v>0</v>
      </c>
      <c r="K20" s="81">
        <f t="shared" si="23"/>
        <v>0</v>
      </c>
      <c r="L20" s="81">
        <f t="shared" si="23"/>
        <v>0</v>
      </c>
      <c r="M20" s="81">
        <f t="shared" si="23"/>
        <v>0</v>
      </c>
      <c r="N20" s="81">
        <f t="shared" si="23"/>
        <v>0</v>
      </c>
      <c r="O20" s="81">
        <f t="shared" si="23"/>
        <v>0</v>
      </c>
      <c r="P20" s="81">
        <f t="shared" si="23"/>
        <v>0</v>
      </c>
      <c r="Q20" s="81">
        <f t="shared" si="23"/>
        <v>0</v>
      </c>
      <c r="R20" s="81">
        <f t="shared" si="23"/>
        <v>0</v>
      </c>
      <c r="S20" s="81">
        <f>+SUM(C20:R20)</f>
        <v>918160.32000000007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14375</v>
      </c>
      <c r="D21" s="89">
        <f>$S$21/$S$6*D6</f>
        <v>14375</v>
      </c>
      <c r="E21" s="89">
        <f>$S$21/$S$6*E6</f>
        <v>0</v>
      </c>
      <c r="F21" s="89">
        <f>$S$21/$S$6*F6</f>
        <v>0</v>
      </c>
      <c r="G21" s="89">
        <f t="shared" ref="G21:R21" si="24">$S$21/$S$6*G6</f>
        <v>0</v>
      </c>
      <c r="H21" s="89">
        <f t="shared" si="24"/>
        <v>0</v>
      </c>
      <c r="I21" s="89">
        <f t="shared" si="24"/>
        <v>0</v>
      </c>
      <c r="J21" s="89">
        <f t="shared" si="24"/>
        <v>0</v>
      </c>
      <c r="K21" s="89">
        <f t="shared" si="24"/>
        <v>0</v>
      </c>
      <c r="L21" s="89">
        <f t="shared" si="24"/>
        <v>0</v>
      </c>
      <c r="M21" s="89">
        <f t="shared" si="24"/>
        <v>0</v>
      </c>
      <c r="N21" s="89">
        <f t="shared" si="24"/>
        <v>0</v>
      </c>
      <c r="O21" s="89">
        <f t="shared" si="24"/>
        <v>0</v>
      </c>
      <c r="P21" s="89">
        <f t="shared" si="24"/>
        <v>0</v>
      </c>
      <c r="Q21" s="89">
        <f t="shared" si="24"/>
        <v>0</v>
      </c>
      <c r="R21" s="89">
        <f t="shared" si="24"/>
        <v>0</v>
      </c>
      <c r="S21" s="81">
        <f>项目投资!F27</f>
        <v>28750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961325.79999999993</v>
      </c>
      <c r="D22" s="81">
        <f>D6*D47</f>
        <v>273321.59999999992</v>
      </c>
      <c r="E22" s="81">
        <f t="shared" ref="E22:F22" si="25">E6*E47</f>
        <v>0</v>
      </c>
      <c r="F22" s="81">
        <f t="shared" si="25"/>
        <v>0</v>
      </c>
      <c r="G22" s="81">
        <f t="shared" ref="G22:R22" si="26">G6*G47</f>
        <v>0</v>
      </c>
      <c r="H22" s="81">
        <f t="shared" si="26"/>
        <v>0</v>
      </c>
      <c r="I22" s="81">
        <f t="shared" si="26"/>
        <v>0</v>
      </c>
      <c r="J22" s="81">
        <f t="shared" si="26"/>
        <v>0</v>
      </c>
      <c r="K22" s="81">
        <f t="shared" si="26"/>
        <v>0</v>
      </c>
      <c r="L22" s="81">
        <f t="shared" si="26"/>
        <v>0</v>
      </c>
      <c r="M22" s="81">
        <f t="shared" si="26"/>
        <v>0</v>
      </c>
      <c r="N22" s="81">
        <f t="shared" si="26"/>
        <v>0</v>
      </c>
      <c r="O22" s="81">
        <f t="shared" si="26"/>
        <v>0</v>
      </c>
      <c r="P22" s="81">
        <f t="shared" si="26"/>
        <v>0</v>
      </c>
      <c r="Q22" s="81">
        <f t="shared" si="26"/>
        <v>0</v>
      </c>
      <c r="R22" s="81">
        <f t="shared" si="26"/>
        <v>0</v>
      </c>
      <c r="S22" s="81">
        <f t="shared" ref="S22:S23" si="27">+SUM(C22:R22)</f>
        <v>1234647.3999999999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4414188.3599999994</v>
      </c>
      <c r="D23" s="89">
        <f>+D22+D21+D20+D19+D17</f>
        <v>1282315.72</v>
      </c>
      <c r="E23" s="89">
        <f t="shared" ref="E23:F23" si="28">+E22+E21+E20+E19+E17</f>
        <v>0</v>
      </c>
      <c r="F23" s="89">
        <f t="shared" si="28"/>
        <v>0</v>
      </c>
      <c r="G23" s="89">
        <f t="shared" ref="G23:R23" si="29">+G22+G21+G20+G19+G17</f>
        <v>0</v>
      </c>
      <c r="H23" s="89">
        <f t="shared" si="29"/>
        <v>0</v>
      </c>
      <c r="I23" s="89">
        <f t="shared" si="29"/>
        <v>0</v>
      </c>
      <c r="J23" s="89">
        <f t="shared" si="29"/>
        <v>0</v>
      </c>
      <c r="K23" s="89">
        <f t="shared" si="29"/>
        <v>0</v>
      </c>
      <c r="L23" s="89">
        <f t="shared" si="29"/>
        <v>0</v>
      </c>
      <c r="M23" s="89">
        <f t="shared" si="29"/>
        <v>0</v>
      </c>
      <c r="N23" s="89">
        <f t="shared" si="29"/>
        <v>0</v>
      </c>
      <c r="O23" s="89">
        <f t="shared" si="29"/>
        <v>0</v>
      </c>
      <c r="P23" s="89">
        <f t="shared" si="29"/>
        <v>0</v>
      </c>
      <c r="Q23" s="89">
        <f t="shared" si="29"/>
        <v>0</v>
      </c>
      <c r="R23" s="89">
        <f t="shared" si="29"/>
        <v>0</v>
      </c>
      <c r="S23" s="81">
        <f t="shared" si="27"/>
        <v>5696504.0799999991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-723036.28681108728</v>
      </c>
      <c r="D24" s="89">
        <f>+D15-D23</f>
        <v>-2368946.2444250877</v>
      </c>
      <c r="E24" s="89">
        <f t="shared" ref="E24:F24" si="30">+E15-E23</f>
        <v>0</v>
      </c>
      <c r="F24" s="89">
        <f t="shared" si="30"/>
        <v>0</v>
      </c>
      <c r="G24" s="89">
        <f t="shared" ref="G24:R24" si="31">+G15-G23</f>
        <v>0</v>
      </c>
      <c r="H24" s="89">
        <f t="shared" si="31"/>
        <v>0</v>
      </c>
      <c r="I24" s="89">
        <f t="shared" si="31"/>
        <v>0</v>
      </c>
      <c r="J24" s="89">
        <f t="shared" si="31"/>
        <v>0</v>
      </c>
      <c r="K24" s="89">
        <f t="shared" si="31"/>
        <v>0</v>
      </c>
      <c r="L24" s="89">
        <f t="shared" si="31"/>
        <v>0</v>
      </c>
      <c r="M24" s="89">
        <f t="shared" si="31"/>
        <v>0</v>
      </c>
      <c r="N24" s="89">
        <f t="shared" si="31"/>
        <v>0</v>
      </c>
      <c r="O24" s="89">
        <f t="shared" si="31"/>
        <v>0</v>
      </c>
      <c r="P24" s="89">
        <f t="shared" si="31"/>
        <v>0</v>
      </c>
      <c r="Q24" s="89">
        <f t="shared" si="31"/>
        <v>0</v>
      </c>
      <c r="R24" s="89">
        <f t="shared" si="31"/>
        <v>0</v>
      </c>
      <c r="S24" s="89">
        <f>+S15-S23</f>
        <v>-3091982.5312361727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>
        <f>IF(C24&lt;0,0,C24*0.15)</f>
        <v>0</v>
      </c>
      <c r="D25" s="89">
        <f t="shared" ref="D25:S25" si="32">IF(D24&lt;0,0,D24*0.15)</f>
        <v>0</v>
      </c>
      <c r="E25" s="89">
        <f t="shared" ref="E25:F25" si="33">IF(E24&lt;0,0,E24*0.15)</f>
        <v>0</v>
      </c>
      <c r="F25" s="89">
        <f t="shared" si="33"/>
        <v>0</v>
      </c>
      <c r="G25" s="89">
        <f t="shared" ref="G25:R25" si="34">IF(G24&lt;0,0,G24*0.15)</f>
        <v>0</v>
      </c>
      <c r="H25" s="89">
        <f t="shared" si="34"/>
        <v>0</v>
      </c>
      <c r="I25" s="89">
        <f t="shared" si="34"/>
        <v>0</v>
      </c>
      <c r="J25" s="89">
        <f t="shared" si="34"/>
        <v>0</v>
      </c>
      <c r="K25" s="89">
        <f t="shared" si="34"/>
        <v>0</v>
      </c>
      <c r="L25" s="89">
        <f t="shared" si="34"/>
        <v>0</v>
      </c>
      <c r="M25" s="89">
        <f t="shared" si="34"/>
        <v>0</v>
      </c>
      <c r="N25" s="89">
        <f t="shared" si="34"/>
        <v>0</v>
      </c>
      <c r="O25" s="89">
        <f t="shared" si="34"/>
        <v>0</v>
      </c>
      <c r="P25" s="89">
        <f t="shared" si="34"/>
        <v>0</v>
      </c>
      <c r="Q25" s="89">
        <f t="shared" si="34"/>
        <v>0</v>
      </c>
      <c r="R25" s="89">
        <f t="shared" si="34"/>
        <v>0</v>
      </c>
      <c r="S25" s="89">
        <f t="shared" si="32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-723036.28681108728</v>
      </c>
      <c r="D26" s="89">
        <f>D24-D25</f>
        <v>-2368946.2444250877</v>
      </c>
      <c r="E26" s="89">
        <f t="shared" ref="E26:S26" si="35">E24-E25</f>
        <v>0</v>
      </c>
      <c r="F26" s="89">
        <f t="shared" si="35"/>
        <v>0</v>
      </c>
      <c r="G26" s="89">
        <f t="shared" ref="G26:R26" si="36">G24-G25</f>
        <v>0</v>
      </c>
      <c r="H26" s="89">
        <f t="shared" si="36"/>
        <v>0</v>
      </c>
      <c r="I26" s="89">
        <f t="shared" si="36"/>
        <v>0</v>
      </c>
      <c r="J26" s="89">
        <f t="shared" si="36"/>
        <v>0</v>
      </c>
      <c r="K26" s="89">
        <f t="shared" si="36"/>
        <v>0</v>
      </c>
      <c r="L26" s="89">
        <f t="shared" si="36"/>
        <v>0</v>
      </c>
      <c r="M26" s="89">
        <f t="shared" si="36"/>
        <v>0</v>
      </c>
      <c r="N26" s="89">
        <f t="shared" si="36"/>
        <v>0</v>
      </c>
      <c r="O26" s="89">
        <f t="shared" si="36"/>
        <v>0</v>
      </c>
      <c r="P26" s="89">
        <f t="shared" si="36"/>
        <v>0</v>
      </c>
      <c r="Q26" s="89">
        <f t="shared" si="36"/>
        <v>0</v>
      </c>
      <c r="R26" s="89">
        <f t="shared" si="36"/>
        <v>0</v>
      </c>
      <c r="S26" s="89">
        <f t="shared" si="35"/>
        <v>-3091982.5312361727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-2.7242531358264356E-2</v>
      </c>
      <c r="D27" s="92">
        <f t="shared" ref="D27:S27" si="37">D26/D9</f>
        <v>-0.31393462292931068</v>
      </c>
      <c r="E27" s="92" t="e">
        <f t="shared" si="37"/>
        <v>#DIV/0!</v>
      </c>
      <c r="F27" s="92" t="e">
        <f t="shared" si="37"/>
        <v>#DIV/0!</v>
      </c>
      <c r="G27" s="92" t="e">
        <f t="shared" ref="G27:R27" si="38">G26/G9</f>
        <v>#DIV/0!</v>
      </c>
      <c r="H27" s="92" t="e">
        <f t="shared" si="38"/>
        <v>#DIV/0!</v>
      </c>
      <c r="I27" s="92" t="e">
        <f t="shared" si="38"/>
        <v>#DIV/0!</v>
      </c>
      <c r="J27" s="92" t="e">
        <f t="shared" si="38"/>
        <v>#DIV/0!</v>
      </c>
      <c r="K27" s="92" t="e">
        <f t="shared" si="38"/>
        <v>#DIV/0!</v>
      </c>
      <c r="L27" s="92" t="e">
        <f t="shared" si="38"/>
        <v>#DIV/0!</v>
      </c>
      <c r="M27" s="92" t="e">
        <f t="shared" si="38"/>
        <v>#DIV/0!</v>
      </c>
      <c r="N27" s="92" t="e">
        <f t="shared" si="38"/>
        <v>#DIV/0!</v>
      </c>
      <c r="O27" s="92" t="e">
        <f t="shared" si="38"/>
        <v>#DIV/0!</v>
      </c>
      <c r="P27" s="92" t="e">
        <f t="shared" si="38"/>
        <v>#DIV/0!</v>
      </c>
      <c r="Q27" s="92" t="e">
        <f t="shared" si="38"/>
        <v>#DIV/0!</v>
      </c>
      <c r="R27" s="92" t="e">
        <f t="shared" si="38"/>
        <v>#DIV/0!</v>
      </c>
      <c r="S27" s="92">
        <f t="shared" si="37"/>
        <v>-9.0709348828211495E-2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1327.0357980000001</v>
      </c>
      <c r="D32" s="81">
        <f t="shared" ref="D32:F32" si="39">D9/D6</f>
        <v>377.29929600000003</v>
      </c>
      <c r="E32" s="81" t="e">
        <f t="shared" si="39"/>
        <v>#DIV/0!</v>
      </c>
      <c r="F32" s="81" t="e">
        <f t="shared" si="39"/>
        <v>#DIV/0!</v>
      </c>
      <c r="G32" s="81" t="e">
        <f t="shared" ref="G32:R32" si="40">G9/G6</f>
        <v>#DIV/0!</v>
      </c>
      <c r="H32" s="81" t="e">
        <f t="shared" si="40"/>
        <v>#DIV/0!</v>
      </c>
      <c r="I32" s="81" t="e">
        <f t="shared" si="40"/>
        <v>#DIV/0!</v>
      </c>
      <c r="J32" s="81" t="e">
        <f t="shared" si="40"/>
        <v>#DIV/0!</v>
      </c>
      <c r="K32" s="81" t="e">
        <f t="shared" si="40"/>
        <v>#DIV/0!</v>
      </c>
      <c r="L32" s="81" t="e">
        <f t="shared" si="40"/>
        <v>#DIV/0!</v>
      </c>
      <c r="M32" s="81" t="e">
        <f t="shared" si="40"/>
        <v>#DIV/0!</v>
      </c>
      <c r="N32" s="81" t="e">
        <f t="shared" si="40"/>
        <v>#DIV/0!</v>
      </c>
      <c r="O32" s="81" t="e">
        <f t="shared" si="40"/>
        <v>#DIV/0!</v>
      </c>
      <c r="P32" s="81" t="e">
        <f t="shared" si="40"/>
        <v>#DIV/0!</v>
      </c>
      <c r="Q32" s="81" t="e">
        <f t="shared" si="40"/>
        <v>#DIV/0!</v>
      </c>
      <c r="R32" s="81" t="e">
        <f t="shared" si="40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材料成本!D26</f>
        <v>901.60515234055447</v>
      </c>
      <c r="D33" s="81">
        <f>材料成本!E26</f>
        <v>363.14643822125441</v>
      </c>
      <c r="E33" s="81">
        <f>材料成本!F26</f>
        <v>0</v>
      </c>
      <c r="F33" s="81">
        <f>材料成本!G26</f>
        <v>0</v>
      </c>
      <c r="G33" s="81">
        <f>材料成本!H26</f>
        <v>0</v>
      </c>
      <c r="H33" s="81">
        <f>材料成本!I26</f>
        <v>0</v>
      </c>
      <c r="I33" s="81">
        <f>材料成本!J26</f>
        <v>0</v>
      </c>
      <c r="J33" s="81">
        <f>材料成本!K26</f>
        <v>0</v>
      </c>
      <c r="K33" s="81">
        <f>材料成本!L26</f>
        <v>0</v>
      </c>
      <c r="L33" s="81">
        <f>材料成本!M26</f>
        <v>0</v>
      </c>
      <c r="M33" s="81">
        <f>材料成本!N26</f>
        <v>0</v>
      </c>
      <c r="N33" s="81">
        <f>材料成本!O26</f>
        <v>0</v>
      </c>
      <c r="O33" s="81">
        <f>材料成本!P26</f>
        <v>0</v>
      </c>
      <c r="P33" s="81">
        <f>材料成本!Q26</f>
        <v>0</v>
      </c>
      <c r="Q33" s="81">
        <f>材料成本!R26</f>
        <v>0</v>
      </c>
      <c r="R33" s="81">
        <f>材料成本!S26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425.43064565944564</v>
      </c>
      <c r="D34" s="94">
        <f>D32-D33</f>
        <v>14.152857778745613</v>
      </c>
      <c r="E34" s="94" t="e">
        <f t="shared" ref="E34:F34" si="41">E32-E33</f>
        <v>#DIV/0!</v>
      </c>
      <c r="F34" s="94" t="e">
        <f t="shared" si="41"/>
        <v>#DIV/0!</v>
      </c>
      <c r="G34" s="94" t="e">
        <f t="shared" ref="G34:R34" si="42">G32-G33</f>
        <v>#DIV/0!</v>
      </c>
      <c r="H34" s="94" t="e">
        <f t="shared" si="42"/>
        <v>#DIV/0!</v>
      </c>
      <c r="I34" s="94" t="e">
        <f t="shared" si="42"/>
        <v>#DIV/0!</v>
      </c>
      <c r="J34" s="94" t="e">
        <f t="shared" si="42"/>
        <v>#DIV/0!</v>
      </c>
      <c r="K34" s="94" t="e">
        <f t="shared" si="42"/>
        <v>#DIV/0!</v>
      </c>
      <c r="L34" s="94" t="e">
        <f t="shared" si="42"/>
        <v>#DIV/0!</v>
      </c>
      <c r="M34" s="94" t="e">
        <f t="shared" si="42"/>
        <v>#DIV/0!</v>
      </c>
      <c r="N34" s="94" t="e">
        <f t="shared" si="42"/>
        <v>#DIV/0!</v>
      </c>
      <c r="O34" s="94" t="e">
        <f t="shared" si="42"/>
        <v>#DIV/0!</v>
      </c>
      <c r="P34" s="94" t="e">
        <f t="shared" si="42"/>
        <v>#DIV/0!</v>
      </c>
      <c r="Q34" s="94" t="e">
        <f t="shared" si="42"/>
        <v>#DIV/0!</v>
      </c>
      <c r="R34" s="94" t="e">
        <f t="shared" si="42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93.966211999999999</v>
      </c>
      <c r="D36" s="87">
        <f>'2025年'!D36</f>
        <v>26.716224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58.762732</v>
      </c>
      <c r="D37" s="87">
        <f>'2025年'!D37</f>
        <v>16.707263999999999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88.144098000000014</v>
      </c>
      <c r="D38" s="87">
        <f>'2025年'!D38</f>
        <v>25.060896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184.55760365944568</v>
      </c>
      <c r="D40" s="89">
        <f>D34-D36-D37-D38</f>
        <v>-54.331526221254386</v>
      </c>
      <c r="E40" s="89" t="e">
        <f t="shared" ref="E40:F40" si="43">E34-E36-E37-E38</f>
        <v>#DIV/0!</v>
      </c>
      <c r="F40" s="89" t="e">
        <f t="shared" si="43"/>
        <v>#DIV/0!</v>
      </c>
      <c r="G40" s="89" t="e">
        <f t="shared" ref="G40:R40" si="44">G34-G36-G37-G38</f>
        <v>#DIV/0!</v>
      </c>
      <c r="H40" s="89" t="e">
        <f t="shared" si="44"/>
        <v>#DIV/0!</v>
      </c>
      <c r="I40" s="89" t="e">
        <f t="shared" si="44"/>
        <v>#DIV/0!</v>
      </c>
      <c r="J40" s="89" t="e">
        <f t="shared" si="44"/>
        <v>#DIV/0!</v>
      </c>
      <c r="K40" s="89" t="e">
        <f t="shared" si="44"/>
        <v>#DIV/0!</v>
      </c>
      <c r="L40" s="89" t="e">
        <f t="shared" si="44"/>
        <v>#DIV/0!</v>
      </c>
      <c r="M40" s="89" t="e">
        <f t="shared" si="44"/>
        <v>#DIV/0!</v>
      </c>
      <c r="N40" s="89" t="e">
        <f t="shared" si="44"/>
        <v>#DIV/0!</v>
      </c>
      <c r="O40" s="89" t="e">
        <f t="shared" si="44"/>
        <v>#DIV/0!</v>
      </c>
      <c r="P40" s="89" t="e">
        <f t="shared" si="44"/>
        <v>#DIV/0!</v>
      </c>
      <c r="Q40" s="89" t="e">
        <f t="shared" si="44"/>
        <v>#DIV/0!</v>
      </c>
      <c r="R40" s="89" t="e">
        <f t="shared" si="44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111.70335</v>
      </c>
      <c r="D43" s="87">
        <f>'2025年'!D43</f>
        <v>31.7592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23.288456</v>
      </c>
      <c r="D44" s="87">
        <f>'2025年'!D44</f>
        <v>6.6213119999999996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35.745072</v>
      </c>
      <c r="D45" s="87">
        <f>'2025年'!D45</f>
        <v>10.162944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0.71875</v>
      </c>
      <c r="D46" s="95">
        <f>D21/D6</f>
        <v>0.71875</v>
      </c>
      <c r="E46" s="95" t="e">
        <f t="shared" ref="E46:F46" si="45">E21/E6</f>
        <v>#DIV/0!</v>
      </c>
      <c r="F46" s="95" t="e">
        <f t="shared" si="45"/>
        <v>#DIV/0!</v>
      </c>
      <c r="G46" s="95" t="e">
        <f t="shared" ref="G46:R46" si="46">G21/G6</f>
        <v>#DIV/0!</v>
      </c>
      <c r="H46" s="95" t="e">
        <f t="shared" si="46"/>
        <v>#DIV/0!</v>
      </c>
      <c r="I46" s="95" t="e">
        <f t="shared" si="46"/>
        <v>#DIV/0!</v>
      </c>
      <c r="J46" s="95" t="e">
        <f t="shared" si="46"/>
        <v>#DIV/0!</v>
      </c>
      <c r="K46" s="95" t="e">
        <f t="shared" si="46"/>
        <v>#DIV/0!</v>
      </c>
      <c r="L46" s="95" t="e">
        <f t="shared" si="46"/>
        <v>#DIV/0!</v>
      </c>
      <c r="M46" s="95" t="e">
        <f t="shared" si="46"/>
        <v>#DIV/0!</v>
      </c>
      <c r="N46" s="95" t="e">
        <f t="shared" si="46"/>
        <v>#DIV/0!</v>
      </c>
      <c r="O46" s="95" t="e">
        <f t="shared" si="46"/>
        <v>#DIV/0!</v>
      </c>
      <c r="P46" s="95" t="e">
        <f t="shared" si="46"/>
        <v>#DIV/0!</v>
      </c>
      <c r="Q46" s="95" t="e">
        <f t="shared" si="46"/>
        <v>#DIV/0!</v>
      </c>
      <c r="R46" s="95" t="e">
        <f t="shared" si="46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48.066289999999995</v>
      </c>
      <c r="D47" s="87">
        <f>'2025年'!D47</f>
        <v>13.666079999999997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-34.964314340554317</v>
      </c>
      <c r="D48" s="89">
        <f>D40-D43-D44-D45-D47-D46</f>
        <v>-117.25981222125438</v>
      </c>
      <c r="E48" s="89" t="e">
        <f t="shared" ref="E48:F48" si="47">E40-E43-E44-E45-E47-E46</f>
        <v>#DIV/0!</v>
      </c>
      <c r="F48" s="89" t="e">
        <f t="shared" si="47"/>
        <v>#DIV/0!</v>
      </c>
      <c r="G48" s="89" t="e">
        <f t="shared" ref="G48:R48" si="48">G40-G43-G44-G45-G47-G46</f>
        <v>#DIV/0!</v>
      </c>
      <c r="H48" s="89" t="e">
        <f t="shared" si="48"/>
        <v>#DIV/0!</v>
      </c>
      <c r="I48" s="89" t="e">
        <f t="shared" si="48"/>
        <v>#DIV/0!</v>
      </c>
      <c r="J48" s="89" t="e">
        <f t="shared" si="48"/>
        <v>#DIV/0!</v>
      </c>
      <c r="K48" s="89" t="e">
        <f t="shared" si="48"/>
        <v>#DIV/0!</v>
      </c>
      <c r="L48" s="89" t="e">
        <f t="shared" si="48"/>
        <v>#DIV/0!</v>
      </c>
      <c r="M48" s="89" t="e">
        <f t="shared" si="48"/>
        <v>#DIV/0!</v>
      </c>
      <c r="N48" s="89" t="e">
        <f t="shared" si="48"/>
        <v>#DIV/0!</v>
      </c>
      <c r="O48" s="89" t="e">
        <f t="shared" si="48"/>
        <v>#DIV/0!</v>
      </c>
      <c r="P48" s="89" t="e">
        <f t="shared" si="48"/>
        <v>#DIV/0!</v>
      </c>
      <c r="Q48" s="89" t="e">
        <f t="shared" si="48"/>
        <v>#DIV/0!</v>
      </c>
      <c r="R48" s="89" t="e">
        <f t="shared" si="48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1" t="s">
        <v>141</v>
      </c>
      <c r="B1" s="231"/>
      <c r="C1" s="235" t="s">
        <v>260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7"/>
    </row>
    <row r="2" spans="1:47">
      <c r="A2" s="231" t="s">
        <v>142</v>
      </c>
      <c r="B2" s="231"/>
      <c r="C2" s="238" t="str">
        <f>'2025年'!$C$2</f>
        <v>北汽福田戴姆勒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</row>
    <row r="3" spans="1:47">
      <c r="A3" s="231" t="s">
        <v>143</v>
      </c>
      <c r="B3" s="231"/>
      <c r="C3" s="76" t="str">
        <f>'2025年'!C3</f>
        <v>司机座椅总成</v>
      </c>
      <c r="D3" s="76" t="str">
        <f>'2025年'!D3</f>
        <v>副司机座椅总裁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2" t="s">
        <v>51</v>
      </c>
    </row>
    <row r="4" spans="1:47" ht="45">
      <c r="A4" s="231" t="s">
        <v>144</v>
      </c>
      <c r="B4" s="231"/>
      <c r="C4" s="76" t="str">
        <f>'2025年'!C4</f>
        <v>XGA68EFAF411-000010/ XGA68EFAF411-000020</v>
      </c>
      <c r="D4" s="76" t="str">
        <f>'2025年'!D4</f>
        <v>XGA69EFAF411-000110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3"/>
    </row>
    <row r="5" spans="1:47" ht="85.5">
      <c r="A5" s="231" t="s">
        <v>145</v>
      </c>
      <c r="B5" s="231"/>
      <c r="C5" s="77" t="str">
        <f>'2025年'!C5</f>
        <v>靠背调节、前后调节、高低调节、三点式安全带、单扶手、两气袋气腰托、可变阻尼、织物面料（不带底支架）</v>
      </c>
      <c r="D5" s="77" t="str">
        <f>'2025年'!D5</f>
        <v>靠背调节、固定座垫、织物面料（不带底支架、不带三点式安全带）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4"/>
      <c r="AU5" s="71" t="s">
        <v>52</v>
      </c>
    </row>
    <row r="6" spans="1:47" ht="17.25">
      <c r="A6" s="78" t="s">
        <v>18</v>
      </c>
      <c r="B6" s="79" t="s">
        <v>146</v>
      </c>
      <c r="C6" s="98">
        <f>销量!C12</f>
        <v>20000</v>
      </c>
      <c r="D6" s="98">
        <f>销量!D12</f>
        <v>20000</v>
      </c>
      <c r="E6" s="98">
        <f>销量!E12</f>
        <v>0</v>
      </c>
      <c r="F6" s="98">
        <f>销量!F12</f>
        <v>0</v>
      </c>
      <c r="G6" s="98">
        <f>销量!G12</f>
        <v>0</v>
      </c>
      <c r="H6" s="98">
        <f>销量!H12</f>
        <v>0</v>
      </c>
      <c r="I6" s="98">
        <f>销量!I12</f>
        <v>0</v>
      </c>
      <c r="J6" s="98">
        <f>销量!J12</f>
        <v>0</v>
      </c>
      <c r="K6" s="98">
        <f>销量!K12</f>
        <v>0</v>
      </c>
      <c r="L6" s="98">
        <f>销量!L12</f>
        <v>0</v>
      </c>
      <c r="M6" s="98">
        <f>销量!M12</f>
        <v>0</v>
      </c>
      <c r="N6" s="98">
        <f>销量!N12</f>
        <v>0</v>
      </c>
      <c r="O6" s="98">
        <f>销量!O12</f>
        <v>0</v>
      </c>
      <c r="P6" s="98">
        <f>销量!P12</f>
        <v>0</v>
      </c>
      <c r="Q6" s="98">
        <f>销量!Q12</f>
        <v>0</v>
      </c>
      <c r="R6" s="98">
        <f>销量!R12</f>
        <v>0</v>
      </c>
      <c r="S6" s="81">
        <f>+SUM(C6:R6)</f>
        <v>40000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27079600</v>
      </c>
      <c r="D7" s="81">
        <f>D6*销量!D8</f>
        <v>7699200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34778800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C7*(1-销量!$V$9)</f>
        <v>804291.19959999935</v>
      </c>
      <c r="D8" s="81">
        <f>D7*(1-销量!$V$9)</f>
        <v>228673.93919999982</v>
      </c>
      <c r="E8" s="81">
        <f>E7*(1-销量!$V$9)</f>
        <v>0</v>
      </c>
      <c r="F8" s="81">
        <f>F7*(1-销量!$V$9)</f>
        <v>0</v>
      </c>
      <c r="G8" s="81">
        <f>G7*(1-销量!$V$9)</f>
        <v>0</v>
      </c>
      <c r="H8" s="81">
        <f>H7*(1-销量!$V$9)</f>
        <v>0</v>
      </c>
      <c r="I8" s="81">
        <f>I7*(1-销量!$V$9)</f>
        <v>0</v>
      </c>
      <c r="J8" s="81">
        <f>J7*(1-销量!$V$9)</f>
        <v>0</v>
      </c>
      <c r="K8" s="81">
        <f>K7*(1-销量!$V$9)</f>
        <v>0</v>
      </c>
      <c r="L8" s="81">
        <f>L7*(1-销量!$V$9)</f>
        <v>0</v>
      </c>
      <c r="M8" s="81">
        <f>M7*(1-销量!$V$9)</f>
        <v>0</v>
      </c>
      <c r="N8" s="81">
        <f>N7*(1-销量!$V$9)</f>
        <v>0</v>
      </c>
      <c r="O8" s="81">
        <f>O7*(1-销量!$V$9)</f>
        <v>0</v>
      </c>
      <c r="P8" s="81">
        <f>P7*(1-销量!$V$9)</f>
        <v>0</v>
      </c>
      <c r="Q8" s="81">
        <f>Q7*(1-销量!$V$9)</f>
        <v>0</v>
      </c>
      <c r="R8" s="81">
        <f>R7*(1-销量!$V$9)</f>
        <v>0</v>
      </c>
      <c r="S8" s="81">
        <f t="shared" si="0"/>
        <v>1032965.1387999991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26275308.8004</v>
      </c>
      <c r="D9" s="81">
        <f>+D7-D8</f>
        <v>7470526.0608000001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33745834.861199997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17851782.016342979</v>
      </c>
      <c r="D10" s="81">
        <f>D6*D33</f>
        <v>7190299.4767808374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25042081.493123814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1879324.24</v>
      </c>
      <c r="D11" s="81">
        <f>+D6*D36</f>
        <v>534324.47999999998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2413648.7199999997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1175254.6399999999</v>
      </c>
      <c r="D12" s="81">
        <f>+D6*D37</f>
        <v>334145.27999999997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1509399.92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1762881.9600000002</v>
      </c>
      <c r="D13" s="81">
        <f>+D6*D38</f>
        <v>501217.92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2264099.8800000004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4817460.84</v>
      </c>
      <c r="D14" s="81">
        <f>SUM(D11:D13)</f>
        <v>1369687.68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6187148.5199999996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3606065.9440570213</v>
      </c>
      <c r="D15" s="81">
        <f>+D9-D10-D14</f>
        <v>-1089461.0959808372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2516604.8480761833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>
        <f>+C15/C9</f>
        <v>0.13724161993491488</v>
      </c>
      <c r="D16" s="84">
        <f>+D15/D9</f>
        <v>-0.14583458877113797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>
        <f>+S15/S9</f>
        <v>7.457527302042552E-2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>
        <f>C6*C43+C18</f>
        <v>2257817</v>
      </c>
      <c r="D17" s="81">
        <f>D6*D43+D18</f>
        <v>658934</v>
      </c>
      <c r="E17" s="81">
        <f t="shared" ref="E17:F17" si="17">E6*E43+E18</f>
        <v>0</v>
      </c>
      <c r="F17" s="81">
        <f t="shared" si="17"/>
        <v>0</v>
      </c>
      <c r="G17" s="81">
        <f t="shared" ref="G17:R17" si="18">G6*G43+G18</f>
        <v>0</v>
      </c>
      <c r="H17" s="81">
        <f t="shared" si="18"/>
        <v>0</v>
      </c>
      <c r="I17" s="81">
        <f t="shared" si="18"/>
        <v>0</v>
      </c>
      <c r="J17" s="81">
        <f t="shared" si="18"/>
        <v>0</v>
      </c>
      <c r="K17" s="81">
        <f t="shared" si="18"/>
        <v>0</v>
      </c>
      <c r="L17" s="81">
        <f t="shared" si="18"/>
        <v>0</v>
      </c>
      <c r="M17" s="81">
        <f t="shared" si="18"/>
        <v>0</v>
      </c>
      <c r="N17" s="81">
        <f t="shared" si="18"/>
        <v>0</v>
      </c>
      <c r="O17" s="81">
        <f t="shared" si="18"/>
        <v>0</v>
      </c>
      <c r="P17" s="81">
        <f t="shared" si="18"/>
        <v>0</v>
      </c>
      <c r="Q17" s="81">
        <f t="shared" si="18"/>
        <v>0</v>
      </c>
      <c r="R17" s="81">
        <f t="shared" si="18"/>
        <v>0</v>
      </c>
      <c r="S17" s="81">
        <f>+SUM(C17:R17)</f>
        <v>2916751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>
        <f>$S$18/$S$6*C6</f>
        <v>23750</v>
      </c>
      <c r="D18" s="87">
        <f>$S$18/$S$6*D6</f>
        <v>23750</v>
      </c>
      <c r="E18" s="87">
        <f>$S$18/$S$6*E6</f>
        <v>0</v>
      </c>
      <c r="F18" s="87">
        <f>$S$18/$S$6*F6</f>
        <v>0</v>
      </c>
      <c r="G18" s="87">
        <f t="shared" ref="G18:R18" si="19">$S$18/$S$6*G6</f>
        <v>0</v>
      </c>
      <c r="H18" s="87">
        <f t="shared" si="19"/>
        <v>0</v>
      </c>
      <c r="I18" s="87">
        <f t="shared" si="19"/>
        <v>0</v>
      </c>
      <c r="J18" s="87">
        <f t="shared" si="19"/>
        <v>0</v>
      </c>
      <c r="K18" s="87">
        <f t="shared" si="19"/>
        <v>0</v>
      </c>
      <c r="L18" s="87">
        <f t="shared" si="19"/>
        <v>0</v>
      </c>
      <c r="M18" s="87">
        <f t="shared" si="19"/>
        <v>0</v>
      </c>
      <c r="N18" s="87">
        <f t="shared" si="19"/>
        <v>0</v>
      </c>
      <c r="O18" s="87">
        <f t="shared" si="19"/>
        <v>0</v>
      </c>
      <c r="P18" s="87">
        <f t="shared" si="19"/>
        <v>0</v>
      </c>
      <c r="Q18" s="87">
        <f t="shared" si="19"/>
        <v>0</v>
      </c>
      <c r="R18" s="87">
        <f t="shared" si="19"/>
        <v>0</v>
      </c>
      <c r="S18" s="81">
        <f>项目投资!G26</f>
        <v>47500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465769.12</v>
      </c>
      <c r="D19" s="81">
        <f>D6*D44</f>
        <v>132426.23999999999</v>
      </c>
      <c r="E19" s="81">
        <f t="shared" ref="E19:F19" si="20">E6*E44</f>
        <v>0</v>
      </c>
      <c r="F19" s="81">
        <f t="shared" si="20"/>
        <v>0</v>
      </c>
      <c r="G19" s="81">
        <f t="shared" ref="G19:R19" si="21">G6*G44</f>
        <v>0</v>
      </c>
      <c r="H19" s="81">
        <f t="shared" si="21"/>
        <v>0</v>
      </c>
      <c r="I19" s="81">
        <f t="shared" si="21"/>
        <v>0</v>
      </c>
      <c r="J19" s="81">
        <f t="shared" si="21"/>
        <v>0</v>
      </c>
      <c r="K19" s="81">
        <f t="shared" si="21"/>
        <v>0</v>
      </c>
      <c r="L19" s="81">
        <f t="shared" si="21"/>
        <v>0</v>
      </c>
      <c r="M19" s="81">
        <f t="shared" si="21"/>
        <v>0</v>
      </c>
      <c r="N19" s="81">
        <f t="shared" si="21"/>
        <v>0</v>
      </c>
      <c r="O19" s="81">
        <f t="shared" si="21"/>
        <v>0</v>
      </c>
      <c r="P19" s="81">
        <f t="shared" si="21"/>
        <v>0</v>
      </c>
      <c r="Q19" s="81">
        <f t="shared" si="21"/>
        <v>0</v>
      </c>
      <c r="R19" s="81">
        <f t="shared" si="21"/>
        <v>0</v>
      </c>
      <c r="S19" s="81">
        <f t="shared" ref="S19:S20" si="22">+SUM(C19:R19)</f>
        <v>598195.36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714901.44000000006</v>
      </c>
      <c r="D20" s="81">
        <f>D6*D45</f>
        <v>203258.88</v>
      </c>
      <c r="E20" s="81">
        <f t="shared" ref="E20:F20" si="23">E6*E45</f>
        <v>0</v>
      </c>
      <c r="F20" s="81">
        <f t="shared" si="23"/>
        <v>0</v>
      </c>
      <c r="G20" s="81">
        <f t="shared" ref="G20:R20" si="24">G6*G45</f>
        <v>0</v>
      </c>
      <c r="H20" s="81">
        <f t="shared" si="24"/>
        <v>0</v>
      </c>
      <c r="I20" s="81">
        <f t="shared" si="24"/>
        <v>0</v>
      </c>
      <c r="J20" s="81">
        <f t="shared" si="24"/>
        <v>0</v>
      </c>
      <c r="K20" s="81">
        <f t="shared" si="24"/>
        <v>0</v>
      </c>
      <c r="L20" s="81">
        <f t="shared" si="24"/>
        <v>0</v>
      </c>
      <c r="M20" s="81">
        <f t="shared" si="24"/>
        <v>0</v>
      </c>
      <c r="N20" s="81">
        <f t="shared" si="24"/>
        <v>0</v>
      </c>
      <c r="O20" s="81">
        <f t="shared" si="24"/>
        <v>0</v>
      </c>
      <c r="P20" s="81">
        <f t="shared" si="24"/>
        <v>0</v>
      </c>
      <c r="Q20" s="81">
        <f t="shared" si="24"/>
        <v>0</v>
      </c>
      <c r="R20" s="81">
        <f t="shared" si="24"/>
        <v>0</v>
      </c>
      <c r="S20" s="81">
        <f t="shared" si="22"/>
        <v>918160.32000000007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>
        <f>$S$21/$S$6*C6</f>
        <v>14375</v>
      </c>
      <c r="D21" s="89">
        <f>$S$21/$S$6*D6</f>
        <v>14375</v>
      </c>
      <c r="E21" s="89">
        <f t="shared" ref="E21:F21" si="25">$S$21/$S$6*E6</f>
        <v>0</v>
      </c>
      <c r="F21" s="89">
        <f t="shared" si="25"/>
        <v>0</v>
      </c>
      <c r="G21" s="89">
        <f t="shared" ref="G21:R21" si="26">$S$21/$S$6*G6</f>
        <v>0</v>
      </c>
      <c r="H21" s="89">
        <f t="shared" si="26"/>
        <v>0</v>
      </c>
      <c r="I21" s="89">
        <f t="shared" si="26"/>
        <v>0</v>
      </c>
      <c r="J21" s="89">
        <f t="shared" si="26"/>
        <v>0</v>
      </c>
      <c r="K21" s="89">
        <f t="shared" si="26"/>
        <v>0</v>
      </c>
      <c r="L21" s="89">
        <f t="shared" si="26"/>
        <v>0</v>
      </c>
      <c r="M21" s="89">
        <f t="shared" si="26"/>
        <v>0</v>
      </c>
      <c r="N21" s="89">
        <f t="shared" si="26"/>
        <v>0</v>
      </c>
      <c r="O21" s="89">
        <f t="shared" si="26"/>
        <v>0</v>
      </c>
      <c r="P21" s="89">
        <f t="shared" si="26"/>
        <v>0</v>
      </c>
      <c r="Q21" s="89">
        <f t="shared" si="26"/>
        <v>0</v>
      </c>
      <c r="R21" s="89">
        <f t="shared" si="26"/>
        <v>0</v>
      </c>
      <c r="S21" s="81">
        <f>项目投资!G27</f>
        <v>28750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961325.79999999993</v>
      </c>
      <c r="D22" s="81">
        <f>D6*D47</f>
        <v>273321.59999999992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>+SUM(C22:R22)</f>
        <v>1234647.3999999999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>
        <f>+C22+C21+C20+C19+C17</f>
        <v>4414188.3599999994</v>
      </c>
      <c r="D23" s="89">
        <f>+D22+D21+D20+D19+D17</f>
        <v>1282315.72</v>
      </c>
      <c r="E23" s="89">
        <f t="shared" ref="E23:F23" si="29">+E22+E21+E20+E19+E17</f>
        <v>0</v>
      </c>
      <c r="F23" s="89">
        <f t="shared" si="29"/>
        <v>0</v>
      </c>
      <c r="G23" s="89">
        <f t="shared" ref="G23:R23" si="30">+G22+G21+G20+G19+G17</f>
        <v>0</v>
      </c>
      <c r="H23" s="89">
        <f t="shared" si="30"/>
        <v>0</v>
      </c>
      <c r="I23" s="89">
        <f t="shared" si="30"/>
        <v>0</v>
      </c>
      <c r="J23" s="89">
        <f t="shared" si="30"/>
        <v>0</v>
      </c>
      <c r="K23" s="89">
        <f t="shared" si="30"/>
        <v>0</v>
      </c>
      <c r="L23" s="89">
        <f t="shared" si="30"/>
        <v>0</v>
      </c>
      <c r="M23" s="89">
        <f t="shared" si="30"/>
        <v>0</v>
      </c>
      <c r="N23" s="89">
        <f t="shared" si="30"/>
        <v>0</v>
      </c>
      <c r="O23" s="89">
        <f t="shared" si="30"/>
        <v>0</v>
      </c>
      <c r="P23" s="89">
        <f t="shared" si="30"/>
        <v>0</v>
      </c>
      <c r="Q23" s="89">
        <f t="shared" si="30"/>
        <v>0</v>
      </c>
      <c r="R23" s="89">
        <f t="shared" si="30"/>
        <v>0</v>
      </c>
      <c r="S23" s="89">
        <f>+S22+S21+S20+S19+S17</f>
        <v>5696504.0800000001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>
        <f>+C15-C23</f>
        <v>-808122.41594297811</v>
      </c>
      <c r="D24" s="89">
        <f>+D15-D23</f>
        <v>-2371776.8159808372</v>
      </c>
      <c r="E24" s="89">
        <f t="shared" ref="E24:F24" si="31">+E15-E23</f>
        <v>0</v>
      </c>
      <c r="F24" s="89">
        <f t="shared" si="31"/>
        <v>0</v>
      </c>
      <c r="G24" s="89">
        <f t="shared" ref="G24:R24" si="32">+G15-G23</f>
        <v>0</v>
      </c>
      <c r="H24" s="89">
        <f t="shared" si="32"/>
        <v>0</v>
      </c>
      <c r="I24" s="89">
        <f t="shared" si="32"/>
        <v>0</v>
      </c>
      <c r="J24" s="89">
        <f t="shared" si="32"/>
        <v>0</v>
      </c>
      <c r="K24" s="89">
        <f t="shared" si="32"/>
        <v>0</v>
      </c>
      <c r="L24" s="89">
        <f t="shared" si="32"/>
        <v>0</v>
      </c>
      <c r="M24" s="89">
        <f t="shared" si="32"/>
        <v>0</v>
      </c>
      <c r="N24" s="89">
        <f t="shared" si="32"/>
        <v>0</v>
      </c>
      <c r="O24" s="89">
        <f t="shared" si="32"/>
        <v>0</v>
      </c>
      <c r="P24" s="89">
        <f t="shared" si="32"/>
        <v>0</v>
      </c>
      <c r="Q24" s="89">
        <f t="shared" si="32"/>
        <v>0</v>
      </c>
      <c r="R24" s="89">
        <f t="shared" si="32"/>
        <v>0</v>
      </c>
      <c r="S24" s="89">
        <f>+S15-S23</f>
        <v>-3179899.2319238167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>
        <f>IF(C24&lt;0,0,C24*0.15)</f>
        <v>0</v>
      </c>
      <c r="D25" s="89">
        <f t="shared" ref="D25:S25" si="33">IF(D24&lt;0,0,D24*0.15)</f>
        <v>0</v>
      </c>
      <c r="E25" s="89">
        <f t="shared" ref="E25:F25" si="34">IF(E24&lt;0,0,E24*0.15)</f>
        <v>0</v>
      </c>
      <c r="F25" s="89">
        <f t="shared" si="34"/>
        <v>0</v>
      </c>
      <c r="G25" s="89">
        <f t="shared" ref="G25:R25" si="35">IF(G24&lt;0,0,G24*0.15)</f>
        <v>0</v>
      </c>
      <c r="H25" s="89">
        <f t="shared" si="35"/>
        <v>0</v>
      </c>
      <c r="I25" s="89">
        <f t="shared" si="35"/>
        <v>0</v>
      </c>
      <c r="J25" s="89">
        <f t="shared" si="35"/>
        <v>0</v>
      </c>
      <c r="K25" s="89">
        <f t="shared" si="35"/>
        <v>0</v>
      </c>
      <c r="L25" s="89">
        <f t="shared" si="35"/>
        <v>0</v>
      </c>
      <c r="M25" s="89">
        <f t="shared" si="35"/>
        <v>0</v>
      </c>
      <c r="N25" s="89">
        <f t="shared" si="35"/>
        <v>0</v>
      </c>
      <c r="O25" s="89">
        <f t="shared" si="35"/>
        <v>0</v>
      </c>
      <c r="P25" s="89">
        <f t="shared" si="35"/>
        <v>0</v>
      </c>
      <c r="Q25" s="89">
        <f t="shared" si="35"/>
        <v>0</v>
      </c>
      <c r="R25" s="89">
        <f t="shared" si="35"/>
        <v>0</v>
      </c>
      <c r="S25" s="89">
        <f t="shared" si="33"/>
        <v>0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>
        <f>C24-C25</f>
        <v>-808122.41594297811</v>
      </c>
      <c r="D26" s="89">
        <f>D24-D25</f>
        <v>-2371776.8159808372</v>
      </c>
      <c r="E26" s="89">
        <f t="shared" ref="E26:S26" si="36">E24-E25</f>
        <v>0</v>
      </c>
      <c r="F26" s="89">
        <f t="shared" si="36"/>
        <v>0</v>
      </c>
      <c r="G26" s="89">
        <f t="shared" ref="G26:R26" si="37">G24-G25</f>
        <v>0</v>
      </c>
      <c r="H26" s="89">
        <f t="shared" si="37"/>
        <v>0</v>
      </c>
      <c r="I26" s="89">
        <f t="shared" si="37"/>
        <v>0</v>
      </c>
      <c r="J26" s="89">
        <f t="shared" si="37"/>
        <v>0</v>
      </c>
      <c r="K26" s="89">
        <f t="shared" si="37"/>
        <v>0</v>
      </c>
      <c r="L26" s="89">
        <f t="shared" si="37"/>
        <v>0</v>
      </c>
      <c r="M26" s="89">
        <f t="shared" si="37"/>
        <v>0</v>
      </c>
      <c r="N26" s="89">
        <f t="shared" si="37"/>
        <v>0</v>
      </c>
      <c r="O26" s="89">
        <f t="shared" si="37"/>
        <v>0</v>
      </c>
      <c r="P26" s="89">
        <f t="shared" si="37"/>
        <v>0</v>
      </c>
      <c r="Q26" s="89">
        <f t="shared" si="37"/>
        <v>0</v>
      </c>
      <c r="R26" s="89">
        <f t="shared" si="37"/>
        <v>0</v>
      </c>
      <c r="S26" s="89">
        <f t="shared" si="36"/>
        <v>-3179899.2319238167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>
        <f>C26/C9</f>
        <v>-3.0755962644696901E-2</v>
      </c>
      <c r="D27" s="92">
        <f t="shared" ref="D27:S27" si="38">D26/D9</f>
        <v>-0.31748457828508658</v>
      </c>
      <c r="E27" s="92" t="e">
        <f t="shared" si="38"/>
        <v>#DIV/0!</v>
      </c>
      <c r="F27" s="92" t="e">
        <f t="shared" si="38"/>
        <v>#DIV/0!</v>
      </c>
      <c r="G27" s="92" t="e">
        <f t="shared" ref="G27:R27" si="39">G26/G9</f>
        <v>#DIV/0!</v>
      </c>
      <c r="H27" s="92" t="e">
        <f t="shared" si="39"/>
        <v>#DIV/0!</v>
      </c>
      <c r="I27" s="92" t="e">
        <f t="shared" si="39"/>
        <v>#DIV/0!</v>
      </c>
      <c r="J27" s="92" t="e">
        <f t="shared" si="39"/>
        <v>#DIV/0!</v>
      </c>
      <c r="K27" s="92" t="e">
        <f t="shared" si="39"/>
        <v>#DIV/0!</v>
      </c>
      <c r="L27" s="92" t="e">
        <f t="shared" si="39"/>
        <v>#DIV/0!</v>
      </c>
      <c r="M27" s="92" t="e">
        <f t="shared" si="39"/>
        <v>#DIV/0!</v>
      </c>
      <c r="N27" s="92" t="e">
        <f t="shared" si="39"/>
        <v>#DIV/0!</v>
      </c>
      <c r="O27" s="92" t="e">
        <f t="shared" si="39"/>
        <v>#DIV/0!</v>
      </c>
      <c r="P27" s="92" t="e">
        <f t="shared" si="39"/>
        <v>#DIV/0!</v>
      </c>
      <c r="Q27" s="92" t="e">
        <f t="shared" si="39"/>
        <v>#DIV/0!</v>
      </c>
      <c r="R27" s="92" t="e">
        <f t="shared" si="39"/>
        <v>#DIV/0!</v>
      </c>
      <c r="S27" s="92">
        <f t="shared" si="38"/>
        <v>-9.4230865675810391E-2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>
        <f>C9/C6</f>
        <v>1313.7654400199999</v>
      </c>
      <c r="D32" s="81">
        <f t="shared" ref="D32:F32" si="40">D9/D6</f>
        <v>373.52630304000002</v>
      </c>
      <c r="E32" s="81" t="e">
        <f t="shared" si="40"/>
        <v>#DIV/0!</v>
      </c>
      <c r="F32" s="81" t="e">
        <f t="shared" si="40"/>
        <v>#DIV/0!</v>
      </c>
      <c r="G32" s="81" t="e">
        <f t="shared" ref="G32:R32" si="41">G9/G6</f>
        <v>#DIV/0!</v>
      </c>
      <c r="H32" s="81" t="e">
        <f t="shared" si="41"/>
        <v>#DIV/0!</v>
      </c>
      <c r="I32" s="81" t="e">
        <f t="shared" si="41"/>
        <v>#DIV/0!</v>
      </c>
      <c r="J32" s="81" t="e">
        <f t="shared" si="41"/>
        <v>#DIV/0!</v>
      </c>
      <c r="K32" s="81" t="e">
        <f t="shared" si="41"/>
        <v>#DIV/0!</v>
      </c>
      <c r="L32" s="81" t="e">
        <f t="shared" si="41"/>
        <v>#DIV/0!</v>
      </c>
      <c r="M32" s="81" t="e">
        <f t="shared" si="41"/>
        <v>#DIV/0!</v>
      </c>
      <c r="N32" s="81" t="e">
        <f t="shared" si="41"/>
        <v>#DIV/0!</v>
      </c>
      <c r="O32" s="81" t="e">
        <f t="shared" si="41"/>
        <v>#DIV/0!</v>
      </c>
      <c r="P32" s="81" t="e">
        <f t="shared" si="41"/>
        <v>#DIV/0!</v>
      </c>
      <c r="Q32" s="81" t="e">
        <f t="shared" si="41"/>
        <v>#DIV/0!</v>
      </c>
      <c r="R32" s="81" t="e">
        <f t="shared" si="41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材料成本!D27</f>
        <v>892.58910081714896</v>
      </c>
      <c r="D33" s="81">
        <f>材料成本!E27</f>
        <v>359.51497383904189</v>
      </c>
      <c r="E33" s="81">
        <f>材料成本!F27</f>
        <v>0</v>
      </c>
      <c r="F33" s="81">
        <f>材料成本!G27</f>
        <v>0</v>
      </c>
      <c r="G33" s="81">
        <f>材料成本!H27</f>
        <v>0</v>
      </c>
      <c r="H33" s="81">
        <f>材料成本!I27</f>
        <v>0</v>
      </c>
      <c r="I33" s="81">
        <f>材料成本!J27</f>
        <v>0</v>
      </c>
      <c r="J33" s="81">
        <f>材料成本!K27</f>
        <v>0</v>
      </c>
      <c r="K33" s="81">
        <f>材料成本!L27</f>
        <v>0</v>
      </c>
      <c r="L33" s="81">
        <f>材料成本!M27</f>
        <v>0</v>
      </c>
      <c r="M33" s="81">
        <f>材料成本!N27</f>
        <v>0</v>
      </c>
      <c r="N33" s="81">
        <f>材料成本!O27</f>
        <v>0</v>
      </c>
      <c r="O33" s="81">
        <f>材料成本!P27</f>
        <v>0</v>
      </c>
      <c r="P33" s="81">
        <f>材料成本!Q27</f>
        <v>0</v>
      </c>
      <c r="Q33" s="81">
        <f>材料成本!R27</f>
        <v>0</v>
      </c>
      <c r="R33" s="81">
        <f>材料成本!S27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>
        <f>C32-C33</f>
        <v>421.17633920285095</v>
      </c>
      <c r="D34" s="94">
        <f>D32-D33</f>
        <v>14.01132920095813</v>
      </c>
      <c r="E34" s="94" t="e">
        <f t="shared" ref="E34:F34" si="42">E32-E33</f>
        <v>#DIV/0!</v>
      </c>
      <c r="F34" s="94" t="e">
        <f t="shared" si="42"/>
        <v>#DIV/0!</v>
      </c>
      <c r="G34" s="94" t="e">
        <f t="shared" ref="G34:R34" si="43">G32-G33</f>
        <v>#DIV/0!</v>
      </c>
      <c r="H34" s="94" t="e">
        <f t="shared" si="43"/>
        <v>#DIV/0!</v>
      </c>
      <c r="I34" s="94" t="e">
        <f t="shared" si="43"/>
        <v>#DIV/0!</v>
      </c>
      <c r="J34" s="94" t="e">
        <f t="shared" si="43"/>
        <v>#DIV/0!</v>
      </c>
      <c r="K34" s="94" t="e">
        <f t="shared" si="43"/>
        <v>#DIV/0!</v>
      </c>
      <c r="L34" s="94" t="e">
        <f t="shared" si="43"/>
        <v>#DIV/0!</v>
      </c>
      <c r="M34" s="94" t="e">
        <f t="shared" si="43"/>
        <v>#DIV/0!</v>
      </c>
      <c r="N34" s="94" t="e">
        <f t="shared" si="43"/>
        <v>#DIV/0!</v>
      </c>
      <c r="O34" s="94" t="e">
        <f t="shared" si="43"/>
        <v>#DIV/0!</v>
      </c>
      <c r="P34" s="94" t="e">
        <f t="shared" si="43"/>
        <v>#DIV/0!</v>
      </c>
      <c r="Q34" s="94" t="e">
        <f t="shared" si="43"/>
        <v>#DIV/0!</v>
      </c>
      <c r="R34" s="94" t="e">
        <f t="shared" si="43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93.966211999999999</v>
      </c>
      <c r="D36" s="87">
        <f>'2025年'!D36</f>
        <v>26.716224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58.762732</v>
      </c>
      <c r="D37" s="87">
        <f>'2025年'!D37</f>
        <v>16.707263999999999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88.144098000000014</v>
      </c>
      <c r="D38" s="87">
        <f>'2025年'!D38</f>
        <v>25.060896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>
        <f>C34-C36-C37-C38</f>
        <v>180.30329720285098</v>
      </c>
      <c r="D40" s="89">
        <f>D34-D36-D37-D38</f>
        <v>-54.473054799041869</v>
      </c>
      <c r="E40" s="89" t="e">
        <f t="shared" ref="E40:F40" si="44">E34-E36-E37-E38</f>
        <v>#DIV/0!</v>
      </c>
      <c r="F40" s="89" t="e">
        <f t="shared" si="44"/>
        <v>#DIV/0!</v>
      </c>
      <c r="G40" s="89" t="e">
        <f t="shared" ref="G40:R40" si="45">G34-G36-G37-G38</f>
        <v>#DIV/0!</v>
      </c>
      <c r="H40" s="89" t="e">
        <f t="shared" si="45"/>
        <v>#DIV/0!</v>
      </c>
      <c r="I40" s="89" t="e">
        <f t="shared" si="45"/>
        <v>#DIV/0!</v>
      </c>
      <c r="J40" s="89" t="e">
        <f t="shared" si="45"/>
        <v>#DIV/0!</v>
      </c>
      <c r="K40" s="89" t="e">
        <f t="shared" si="45"/>
        <v>#DIV/0!</v>
      </c>
      <c r="L40" s="89" t="e">
        <f t="shared" si="45"/>
        <v>#DIV/0!</v>
      </c>
      <c r="M40" s="89" t="e">
        <f t="shared" si="45"/>
        <v>#DIV/0!</v>
      </c>
      <c r="N40" s="89" t="e">
        <f t="shared" si="45"/>
        <v>#DIV/0!</v>
      </c>
      <c r="O40" s="89" t="e">
        <f t="shared" si="45"/>
        <v>#DIV/0!</v>
      </c>
      <c r="P40" s="89" t="e">
        <f t="shared" si="45"/>
        <v>#DIV/0!</v>
      </c>
      <c r="Q40" s="89" t="e">
        <f t="shared" si="45"/>
        <v>#DIV/0!</v>
      </c>
      <c r="R40" s="89" t="e">
        <f t="shared" si="45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111.70335</v>
      </c>
      <c r="D43" s="87">
        <f>'2025年'!D43</f>
        <v>31.7592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23.288456</v>
      </c>
      <c r="D44" s="87">
        <f>'2025年'!D44</f>
        <v>6.6213119999999996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35.745072</v>
      </c>
      <c r="D45" s="87">
        <f>'2025年'!D45</f>
        <v>10.162944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>
        <f>C21/C6</f>
        <v>0.71875</v>
      </c>
      <c r="D46" s="95">
        <f>D21/D6</f>
        <v>0.71875</v>
      </c>
      <c r="E46" s="95" t="e">
        <f t="shared" ref="E46:F46" si="46">E21/E6</f>
        <v>#DIV/0!</v>
      </c>
      <c r="F46" s="95" t="e">
        <f t="shared" si="46"/>
        <v>#DIV/0!</v>
      </c>
      <c r="G46" s="95" t="e">
        <f t="shared" ref="G46:R46" si="47">G21/G6</f>
        <v>#DIV/0!</v>
      </c>
      <c r="H46" s="95" t="e">
        <f t="shared" si="47"/>
        <v>#DIV/0!</v>
      </c>
      <c r="I46" s="95" t="e">
        <f t="shared" si="47"/>
        <v>#DIV/0!</v>
      </c>
      <c r="J46" s="95" t="e">
        <f t="shared" si="47"/>
        <v>#DIV/0!</v>
      </c>
      <c r="K46" s="95" t="e">
        <f t="shared" si="47"/>
        <v>#DIV/0!</v>
      </c>
      <c r="L46" s="95" t="e">
        <f t="shared" si="47"/>
        <v>#DIV/0!</v>
      </c>
      <c r="M46" s="95" t="e">
        <f t="shared" si="47"/>
        <v>#DIV/0!</v>
      </c>
      <c r="N46" s="95" t="e">
        <f t="shared" si="47"/>
        <v>#DIV/0!</v>
      </c>
      <c r="O46" s="95" t="e">
        <f t="shared" si="47"/>
        <v>#DIV/0!</v>
      </c>
      <c r="P46" s="95" t="e">
        <f t="shared" si="47"/>
        <v>#DIV/0!</v>
      </c>
      <c r="Q46" s="95" t="e">
        <f t="shared" si="47"/>
        <v>#DIV/0!</v>
      </c>
      <c r="R46" s="95" t="e">
        <f t="shared" si="47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48.066289999999995</v>
      </c>
      <c r="D47" s="87">
        <f>'2025年'!D47</f>
        <v>13.666079999999997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>
        <f>C40-C43-C44-C45-C47-C46</f>
        <v>-39.218620797149008</v>
      </c>
      <c r="D48" s="89">
        <f>D40-D43-D44-D45-D47-D46</f>
        <v>-117.40134079904186</v>
      </c>
      <c r="E48" s="89" t="e">
        <f t="shared" ref="E48:F48" si="48">E40-E43-E44-E45-E47-E46</f>
        <v>#DIV/0!</v>
      </c>
      <c r="F48" s="89" t="e">
        <f t="shared" si="48"/>
        <v>#DIV/0!</v>
      </c>
      <c r="G48" s="89" t="e">
        <f t="shared" ref="G48:R48" si="49">G40-G43-G44-G45-G47-G46</f>
        <v>#DIV/0!</v>
      </c>
      <c r="H48" s="89" t="e">
        <f t="shared" si="49"/>
        <v>#DIV/0!</v>
      </c>
      <c r="I48" s="89" t="e">
        <f t="shared" si="49"/>
        <v>#DIV/0!</v>
      </c>
      <c r="J48" s="89" t="e">
        <f t="shared" si="49"/>
        <v>#DIV/0!</v>
      </c>
      <c r="K48" s="89" t="e">
        <f t="shared" si="49"/>
        <v>#DIV/0!</v>
      </c>
      <c r="L48" s="89" t="e">
        <f t="shared" si="49"/>
        <v>#DIV/0!</v>
      </c>
      <c r="M48" s="89" t="e">
        <f t="shared" si="49"/>
        <v>#DIV/0!</v>
      </c>
      <c r="N48" s="89" t="e">
        <f t="shared" si="49"/>
        <v>#DIV/0!</v>
      </c>
      <c r="O48" s="89" t="e">
        <f t="shared" si="49"/>
        <v>#DIV/0!</v>
      </c>
      <c r="P48" s="89" t="e">
        <f t="shared" si="49"/>
        <v>#DIV/0!</v>
      </c>
      <c r="Q48" s="89" t="e">
        <f t="shared" si="49"/>
        <v>#DIV/0!</v>
      </c>
      <c r="R48" s="89" t="e">
        <f t="shared" si="49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ColWidth="9" defaultRowHeight="16.5"/>
  <cols>
    <col min="1" max="1" width="5.125" style="71" customWidth="1"/>
    <col min="2" max="2" width="17.5" style="71" customWidth="1"/>
    <col min="3" max="18" width="14.375" style="74" customWidth="1"/>
    <col min="19" max="19" width="18.75" style="74" customWidth="1"/>
    <col min="20" max="20" width="12.375" style="71" customWidth="1"/>
    <col min="21" max="21" width="10.125" style="71" customWidth="1"/>
    <col min="22" max="28" width="9" style="71" customWidth="1"/>
    <col min="29" max="44" width="9" style="71"/>
    <col min="45" max="45" width="4.375" style="71" customWidth="1"/>
    <col min="46" max="46" width="13.875" style="71" customWidth="1"/>
    <col min="47" max="16384" width="9" style="71"/>
  </cols>
  <sheetData>
    <row r="1" spans="1:47">
      <c r="A1" s="231" t="s">
        <v>141</v>
      </c>
      <c r="B1" s="231"/>
      <c r="C1" s="235" t="s">
        <v>259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7"/>
    </row>
    <row r="2" spans="1:47">
      <c r="A2" s="231" t="s">
        <v>142</v>
      </c>
      <c r="B2" s="231"/>
      <c r="C2" s="238" t="str">
        <f>'2025年'!$C$2</f>
        <v>北汽福田戴姆勒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</row>
    <row r="3" spans="1:47">
      <c r="A3" s="231" t="s">
        <v>143</v>
      </c>
      <c r="B3" s="231"/>
      <c r="C3" s="76" t="str">
        <f>'2025年'!C3</f>
        <v>司机座椅总成</v>
      </c>
      <c r="D3" s="76" t="str">
        <f>'2025年'!D3</f>
        <v>副司机座椅总裁</v>
      </c>
      <c r="E3" s="76">
        <f>'2025年'!E3</f>
        <v>0</v>
      </c>
      <c r="F3" s="76">
        <f>'2025年'!F3</f>
        <v>0</v>
      </c>
      <c r="G3" s="76">
        <f>'2025年'!G3</f>
        <v>0</v>
      </c>
      <c r="H3" s="76">
        <f>'2025年'!H3</f>
        <v>0</v>
      </c>
      <c r="I3" s="76">
        <f>'2025年'!I3</f>
        <v>0</v>
      </c>
      <c r="J3" s="76">
        <f>'2025年'!J3</f>
        <v>0</v>
      </c>
      <c r="K3" s="76">
        <f>'2025年'!K3</f>
        <v>0</v>
      </c>
      <c r="L3" s="76">
        <f>'2025年'!L3</f>
        <v>0</v>
      </c>
      <c r="M3" s="76">
        <f>'2025年'!M3</f>
        <v>0</v>
      </c>
      <c r="N3" s="76">
        <f>'2025年'!N3</f>
        <v>0</v>
      </c>
      <c r="O3" s="76">
        <f>'2025年'!O3</f>
        <v>0</v>
      </c>
      <c r="P3" s="76">
        <f>'2025年'!P3</f>
        <v>0</v>
      </c>
      <c r="Q3" s="76">
        <f>'2025年'!Q3</f>
        <v>0</v>
      </c>
      <c r="R3" s="76">
        <f>'2025年'!R3</f>
        <v>0</v>
      </c>
      <c r="S3" s="232" t="s">
        <v>51</v>
      </c>
    </row>
    <row r="4" spans="1:47" ht="45">
      <c r="A4" s="231" t="s">
        <v>144</v>
      </c>
      <c r="B4" s="231"/>
      <c r="C4" s="76" t="str">
        <f>'2025年'!C4</f>
        <v>XGA68EFAF411-000010/ XGA68EFAF411-000020</v>
      </c>
      <c r="D4" s="76" t="str">
        <f>'2025年'!D4</f>
        <v>XGA69EFAF411-000110</v>
      </c>
      <c r="E4" s="76">
        <f>'2025年'!E4</f>
        <v>0</v>
      </c>
      <c r="F4" s="76">
        <f>'2025年'!F4</f>
        <v>0</v>
      </c>
      <c r="G4" s="76">
        <f>'2025年'!G4</f>
        <v>0</v>
      </c>
      <c r="H4" s="76">
        <f>'2025年'!H4</f>
        <v>0</v>
      </c>
      <c r="I4" s="76">
        <f>'2025年'!I4</f>
        <v>0</v>
      </c>
      <c r="J4" s="76">
        <f>'2025年'!J4</f>
        <v>0</v>
      </c>
      <c r="K4" s="76">
        <f>'2025年'!K4</f>
        <v>0</v>
      </c>
      <c r="L4" s="76">
        <f>'2025年'!L4</f>
        <v>0</v>
      </c>
      <c r="M4" s="76">
        <f>'2025年'!M4</f>
        <v>0</v>
      </c>
      <c r="N4" s="76">
        <f>'2025年'!N4</f>
        <v>0</v>
      </c>
      <c r="O4" s="76">
        <f>'2025年'!O4</f>
        <v>0</v>
      </c>
      <c r="P4" s="76">
        <f>'2025年'!P4</f>
        <v>0</v>
      </c>
      <c r="Q4" s="76">
        <f>'2025年'!Q4</f>
        <v>0</v>
      </c>
      <c r="R4" s="76">
        <f>'2025年'!R4</f>
        <v>0</v>
      </c>
      <c r="S4" s="233"/>
    </row>
    <row r="5" spans="1:47" ht="85.5">
      <c r="A5" s="231" t="s">
        <v>145</v>
      </c>
      <c r="B5" s="231"/>
      <c r="C5" s="77" t="str">
        <f>'2025年'!C5</f>
        <v>靠背调节、前后调节、高低调节、三点式安全带、单扶手、两气袋气腰托、可变阻尼、织物面料（不带底支架）</v>
      </c>
      <c r="D5" s="77" t="str">
        <f>'2025年'!D5</f>
        <v>靠背调节、固定座垫、织物面料（不带底支架、不带三点式安全带）</v>
      </c>
      <c r="E5" s="77">
        <f>'2025年'!E5</f>
        <v>0</v>
      </c>
      <c r="F5" s="77">
        <f>'2025年'!F5</f>
        <v>0</v>
      </c>
      <c r="G5" s="77">
        <f>'2025年'!G5</f>
        <v>0</v>
      </c>
      <c r="H5" s="77">
        <f>'2025年'!H5</f>
        <v>0</v>
      </c>
      <c r="I5" s="77">
        <f>'2025年'!I5</f>
        <v>0</v>
      </c>
      <c r="J5" s="77">
        <f>'2025年'!J5</f>
        <v>0</v>
      </c>
      <c r="K5" s="77">
        <f>'2025年'!K5</f>
        <v>0</v>
      </c>
      <c r="L5" s="77">
        <f>'2025年'!L5</f>
        <v>0</v>
      </c>
      <c r="M5" s="77">
        <f>'2025年'!M5</f>
        <v>0</v>
      </c>
      <c r="N5" s="77">
        <f>'2025年'!N5</f>
        <v>0</v>
      </c>
      <c r="O5" s="77">
        <f>'2025年'!O5</f>
        <v>0</v>
      </c>
      <c r="P5" s="77">
        <f>'2025年'!P5</f>
        <v>0</v>
      </c>
      <c r="Q5" s="77">
        <f>'2025年'!Q5</f>
        <v>0</v>
      </c>
      <c r="R5" s="77">
        <f>'2025年'!R5</f>
        <v>0</v>
      </c>
      <c r="S5" s="234"/>
      <c r="AU5" s="71" t="s">
        <v>52</v>
      </c>
    </row>
    <row r="6" spans="1:47">
      <c r="A6" s="78" t="s">
        <v>18</v>
      </c>
      <c r="B6" s="79" t="s">
        <v>146</v>
      </c>
      <c r="C6" s="80">
        <f>销量!C13</f>
        <v>0</v>
      </c>
      <c r="D6" s="80">
        <f>销量!D13</f>
        <v>0</v>
      </c>
      <c r="E6" s="80">
        <f>销量!E13</f>
        <v>0</v>
      </c>
      <c r="F6" s="80">
        <f>销量!F13</f>
        <v>0</v>
      </c>
      <c r="G6" s="80">
        <f>销量!G13</f>
        <v>0</v>
      </c>
      <c r="H6" s="80">
        <f>销量!H13</f>
        <v>0</v>
      </c>
      <c r="I6" s="80">
        <f>销量!I13</f>
        <v>0</v>
      </c>
      <c r="J6" s="80">
        <f>销量!J13</f>
        <v>0</v>
      </c>
      <c r="K6" s="80">
        <f>销量!K13</f>
        <v>0</v>
      </c>
      <c r="L6" s="80">
        <f>销量!L13</f>
        <v>0</v>
      </c>
      <c r="M6" s="80">
        <f>销量!M13</f>
        <v>0</v>
      </c>
      <c r="N6" s="80">
        <f>销量!N13</f>
        <v>0</v>
      </c>
      <c r="O6" s="80">
        <f>销量!O13</f>
        <v>0</v>
      </c>
      <c r="P6" s="80">
        <f>销量!P13</f>
        <v>0</v>
      </c>
      <c r="Q6" s="80">
        <f>销量!Q13</f>
        <v>0</v>
      </c>
      <c r="R6" s="80">
        <f>销量!R13</f>
        <v>0</v>
      </c>
      <c r="S6" s="81">
        <f>+SUM(C6:R6)</f>
        <v>0</v>
      </c>
      <c r="AS6" s="78" t="s">
        <v>18</v>
      </c>
      <c r="AT6" s="79" t="s">
        <v>3</v>
      </c>
      <c r="AU6" s="71" t="s">
        <v>53</v>
      </c>
    </row>
    <row r="7" spans="1:47">
      <c r="A7" s="75">
        <v>1</v>
      </c>
      <c r="B7" s="79" t="s">
        <v>54</v>
      </c>
      <c r="C7" s="81">
        <f>C6*销量!C8</f>
        <v>0</v>
      </c>
      <c r="D7" s="81">
        <f>D6*销量!D8</f>
        <v>0</v>
      </c>
      <c r="E7" s="81">
        <f>E6*销量!E8</f>
        <v>0</v>
      </c>
      <c r="F7" s="81">
        <f>F6*销量!F8</f>
        <v>0</v>
      </c>
      <c r="G7" s="81">
        <f>G6*销量!G8</f>
        <v>0</v>
      </c>
      <c r="H7" s="81">
        <f>H6*销量!H8</f>
        <v>0</v>
      </c>
      <c r="I7" s="81">
        <f>I6*销量!I8</f>
        <v>0</v>
      </c>
      <c r="J7" s="81">
        <f>J6*销量!J8</f>
        <v>0</v>
      </c>
      <c r="K7" s="81">
        <f>K6*销量!K8</f>
        <v>0</v>
      </c>
      <c r="L7" s="81">
        <f>L6*销量!L8</f>
        <v>0</v>
      </c>
      <c r="M7" s="81">
        <f>M6*销量!M8</f>
        <v>0</v>
      </c>
      <c r="N7" s="81">
        <f>N6*销量!N8</f>
        <v>0</v>
      </c>
      <c r="O7" s="81">
        <f>O6*销量!O8</f>
        <v>0</v>
      </c>
      <c r="P7" s="81">
        <f>P6*销量!P8</f>
        <v>0</v>
      </c>
      <c r="Q7" s="81">
        <f>Q6*销量!Q8</f>
        <v>0</v>
      </c>
      <c r="R7" s="81">
        <f>R6*销量!R8</f>
        <v>0</v>
      </c>
      <c r="S7" s="81">
        <f t="shared" ref="S7:S13" si="0">+SUM(C7:R7)</f>
        <v>0</v>
      </c>
      <c r="T7" s="74"/>
      <c r="AS7" s="78" t="s">
        <v>55</v>
      </c>
      <c r="AT7" s="79" t="s">
        <v>54</v>
      </c>
      <c r="AU7" s="71" t="s">
        <v>53</v>
      </c>
    </row>
    <row r="8" spans="1:47">
      <c r="A8" s="75">
        <v>2</v>
      </c>
      <c r="B8" s="75" t="s">
        <v>56</v>
      </c>
      <c r="C8" s="81">
        <f>C7*(1-销量!$V$10)</f>
        <v>0</v>
      </c>
      <c r="D8" s="81">
        <f>D7*(1-销量!$V$10)</f>
        <v>0</v>
      </c>
      <c r="E8" s="81">
        <f>E7*(1-销量!$V$10)</f>
        <v>0</v>
      </c>
      <c r="F8" s="81">
        <f>F7*(1-销量!$V$10)</f>
        <v>0</v>
      </c>
      <c r="G8" s="81">
        <f>G7*(1-销量!$V$10)</f>
        <v>0</v>
      </c>
      <c r="H8" s="81">
        <f>H7*(1-销量!$V$10)</f>
        <v>0</v>
      </c>
      <c r="I8" s="81">
        <f>I7*(1-销量!$V$10)</f>
        <v>0</v>
      </c>
      <c r="J8" s="81">
        <f>J7*(1-销量!$V$10)</f>
        <v>0</v>
      </c>
      <c r="K8" s="81">
        <f>K7*(1-销量!$V$10)</f>
        <v>0</v>
      </c>
      <c r="L8" s="81">
        <f>L7*(1-销量!$V$10)</f>
        <v>0</v>
      </c>
      <c r="M8" s="81">
        <f>M7*(1-销量!$V$10)</f>
        <v>0</v>
      </c>
      <c r="N8" s="81">
        <f>N7*(1-销量!$V$10)</f>
        <v>0</v>
      </c>
      <c r="O8" s="81">
        <f>O7*(1-销量!$V$10)</f>
        <v>0</v>
      </c>
      <c r="P8" s="81">
        <f>P7*(1-销量!$V$10)</f>
        <v>0</v>
      </c>
      <c r="Q8" s="81">
        <f>Q7*(1-销量!$V$10)</f>
        <v>0</v>
      </c>
      <c r="R8" s="81">
        <f>R7*(1-销量!$V$10)</f>
        <v>0</v>
      </c>
      <c r="S8" s="81">
        <f t="shared" si="0"/>
        <v>0</v>
      </c>
      <c r="T8" s="82"/>
      <c r="AS8" s="78" t="s">
        <v>57</v>
      </c>
      <c r="AT8" s="75" t="s">
        <v>58</v>
      </c>
      <c r="AU8" s="71" t="s">
        <v>53</v>
      </c>
    </row>
    <row r="9" spans="1:47">
      <c r="A9" s="75">
        <v>3</v>
      </c>
      <c r="B9" s="79" t="s">
        <v>59</v>
      </c>
      <c r="C9" s="81">
        <f>+C7-C8</f>
        <v>0</v>
      </c>
      <c r="D9" s="81">
        <f>+D7-D8</f>
        <v>0</v>
      </c>
      <c r="E9" s="81">
        <f t="shared" ref="E9:S9" si="1">+E7-E8</f>
        <v>0</v>
      </c>
      <c r="F9" s="81">
        <f t="shared" si="1"/>
        <v>0</v>
      </c>
      <c r="G9" s="81">
        <f t="shared" ref="G9:R9" si="2">+G7-G8</f>
        <v>0</v>
      </c>
      <c r="H9" s="81">
        <f t="shared" si="2"/>
        <v>0</v>
      </c>
      <c r="I9" s="81">
        <f t="shared" si="2"/>
        <v>0</v>
      </c>
      <c r="J9" s="81">
        <f t="shared" si="2"/>
        <v>0</v>
      </c>
      <c r="K9" s="81">
        <f t="shared" si="2"/>
        <v>0</v>
      </c>
      <c r="L9" s="81">
        <f t="shared" si="2"/>
        <v>0</v>
      </c>
      <c r="M9" s="81">
        <f t="shared" si="2"/>
        <v>0</v>
      </c>
      <c r="N9" s="81">
        <f t="shared" si="2"/>
        <v>0</v>
      </c>
      <c r="O9" s="81">
        <f t="shared" si="2"/>
        <v>0</v>
      </c>
      <c r="P9" s="81">
        <f t="shared" si="2"/>
        <v>0</v>
      </c>
      <c r="Q9" s="81">
        <f t="shared" si="2"/>
        <v>0</v>
      </c>
      <c r="R9" s="81">
        <f t="shared" si="2"/>
        <v>0</v>
      </c>
      <c r="S9" s="81">
        <f t="shared" si="1"/>
        <v>0</v>
      </c>
      <c r="AS9" s="78" t="s">
        <v>60</v>
      </c>
      <c r="AT9" s="79" t="s">
        <v>59</v>
      </c>
      <c r="AU9" s="71" t="s">
        <v>61</v>
      </c>
    </row>
    <row r="10" spans="1:47">
      <c r="A10" s="75">
        <v>4</v>
      </c>
      <c r="B10" s="78" t="s">
        <v>63</v>
      </c>
      <c r="C10" s="81">
        <f>C6*C33</f>
        <v>0</v>
      </c>
      <c r="D10" s="81">
        <f>D6*D33</f>
        <v>0</v>
      </c>
      <c r="E10" s="81">
        <f t="shared" ref="E10:F10" si="3">E6*E33</f>
        <v>0</v>
      </c>
      <c r="F10" s="81">
        <f t="shared" si="3"/>
        <v>0</v>
      </c>
      <c r="G10" s="81">
        <f t="shared" ref="G10:R10" si="4">G6*G33</f>
        <v>0</v>
      </c>
      <c r="H10" s="81">
        <f t="shared" si="4"/>
        <v>0</v>
      </c>
      <c r="I10" s="81">
        <f t="shared" si="4"/>
        <v>0</v>
      </c>
      <c r="J10" s="81">
        <f t="shared" si="4"/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si="4"/>
        <v>0</v>
      </c>
      <c r="O10" s="81">
        <f t="shared" si="4"/>
        <v>0</v>
      </c>
      <c r="P10" s="81">
        <f t="shared" si="4"/>
        <v>0</v>
      </c>
      <c r="Q10" s="81">
        <f t="shared" si="4"/>
        <v>0</v>
      </c>
      <c r="R10" s="81">
        <f t="shared" si="4"/>
        <v>0</v>
      </c>
      <c r="S10" s="81">
        <f t="shared" si="0"/>
        <v>0</v>
      </c>
      <c r="AS10" s="78" t="s">
        <v>62</v>
      </c>
      <c r="AT10" s="78" t="s">
        <v>63</v>
      </c>
      <c r="AU10" s="71" t="s">
        <v>64</v>
      </c>
    </row>
    <row r="11" spans="1:47">
      <c r="A11" s="75">
        <v>5</v>
      </c>
      <c r="B11" s="78" t="s">
        <v>65</v>
      </c>
      <c r="C11" s="81">
        <f>+C6*C36</f>
        <v>0</v>
      </c>
      <c r="D11" s="81">
        <f>+D6*D36</f>
        <v>0</v>
      </c>
      <c r="E11" s="81">
        <f t="shared" ref="E11:F11" si="5">+E6*E36</f>
        <v>0</v>
      </c>
      <c r="F11" s="81">
        <f t="shared" si="5"/>
        <v>0</v>
      </c>
      <c r="G11" s="81">
        <f t="shared" ref="G11:R11" si="6">+G6*G36</f>
        <v>0</v>
      </c>
      <c r="H11" s="81">
        <f t="shared" si="6"/>
        <v>0</v>
      </c>
      <c r="I11" s="81">
        <f t="shared" si="6"/>
        <v>0</v>
      </c>
      <c r="J11" s="81">
        <f t="shared" si="6"/>
        <v>0</v>
      </c>
      <c r="K11" s="81">
        <f t="shared" si="6"/>
        <v>0</v>
      </c>
      <c r="L11" s="81">
        <f t="shared" si="6"/>
        <v>0</v>
      </c>
      <c r="M11" s="81">
        <f t="shared" si="6"/>
        <v>0</v>
      </c>
      <c r="N11" s="81">
        <f t="shared" si="6"/>
        <v>0</v>
      </c>
      <c r="O11" s="81">
        <f t="shared" si="6"/>
        <v>0</v>
      </c>
      <c r="P11" s="81">
        <f t="shared" si="6"/>
        <v>0</v>
      </c>
      <c r="Q11" s="81">
        <f t="shared" si="6"/>
        <v>0</v>
      </c>
      <c r="R11" s="81">
        <f t="shared" si="6"/>
        <v>0</v>
      </c>
      <c r="S11" s="81">
        <f t="shared" si="0"/>
        <v>0</v>
      </c>
      <c r="AS11" s="78" t="s">
        <v>66</v>
      </c>
      <c r="AT11" s="78" t="s">
        <v>65</v>
      </c>
    </row>
    <row r="12" spans="1:47">
      <c r="A12" s="75">
        <v>6</v>
      </c>
      <c r="B12" s="78" t="s">
        <v>67</v>
      </c>
      <c r="C12" s="81">
        <f>+C6*C37</f>
        <v>0</v>
      </c>
      <c r="D12" s="81">
        <f>+D6*D37</f>
        <v>0</v>
      </c>
      <c r="E12" s="81">
        <f t="shared" ref="E12:F12" si="7">+E6*E37</f>
        <v>0</v>
      </c>
      <c r="F12" s="81">
        <f t="shared" si="7"/>
        <v>0</v>
      </c>
      <c r="G12" s="81">
        <f t="shared" ref="G12:R12" si="8">+G6*G37</f>
        <v>0</v>
      </c>
      <c r="H12" s="81">
        <f t="shared" si="8"/>
        <v>0</v>
      </c>
      <c r="I12" s="81">
        <f t="shared" si="8"/>
        <v>0</v>
      </c>
      <c r="J12" s="81">
        <f t="shared" si="8"/>
        <v>0</v>
      </c>
      <c r="K12" s="81">
        <f t="shared" si="8"/>
        <v>0</v>
      </c>
      <c r="L12" s="81">
        <f t="shared" si="8"/>
        <v>0</v>
      </c>
      <c r="M12" s="81">
        <f t="shared" si="8"/>
        <v>0</v>
      </c>
      <c r="N12" s="81">
        <f t="shared" si="8"/>
        <v>0</v>
      </c>
      <c r="O12" s="81">
        <f t="shared" si="8"/>
        <v>0</v>
      </c>
      <c r="P12" s="81">
        <f t="shared" si="8"/>
        <v>0</v>
      </c>
      <c r="Q12" s="81">
        <f t="shared" si="8"/>
        <v>0</v>
      </c>
      <c r="R12" s="81">
        <f t="shared" si="8"/>
        <v>0</v>
      </c>
      <c r="S12" s="81">
        <f t="shared" si="0"/>
        <v>0</v>
      </c>
      <c r="AS12" s="78" t="s">
        <v>68</v>
      </c>
      <c r="AT12" s="78" t="s">
        <v>67</v>
      </c>
    </row>
    <row r="13" spans="1:47">
      <c r="A13" s="75">
        <v>7</v>
      </c>
      <c r="B13" s="78" t="s">
        <v>69</v>
      </c>
      <c r="C13" s="81">
        <f>+C6*C38</f>
        <v>0</v>
      </c>
      <c r="D13" s="81">
        <f>+D6*D38</f>
        <v>0</v>
      </c>
      <c r="E13" s="81">
        <f t="shared" ref="E13:F13" si="9">+E6*E38</f>
        <v>0</v>
      </c>
      <c r="F13" s="81">
        <f t="shared" si="9"/>
        <v>0</v>
      </c>
      <c r="G13" s="81">
        <f t="shared" ref="G13:R13" si="10">+G6*G38</f>
        <v>0</v>
      </c>
      <c r="H13" s="81">
        <f t="shared" si="10"/>
        <v>0</v>
      </c>
      <c r="I13" s="81">
        <f t="shared" si="10"/>
        <v>0</v>
      </c>
      <c r="J13" s="81">
        <f t="shared" si="10"/>
        <v>0</v>
      </c>
      <c r="K13" s="81">
        <f t="shared" si="10"/>
        <v>0</v>
      </c>
      <c r="L13" s="81">
        <f t="shared" si="10"/>
        <v>0</v>
      </c>
      <c r="M13" s="81">
        <f t="shared" si="10"/>
        <v>0</v>
      </c>
      <c r="N13" s="81">
        <f t="shared" si="10"/>
        <v>0</v>
      </c>
      <c r="O13" s="81">
        <f t="shared" si="10"/>
        <v>0</v>
      </c>
      <c r="P13" s="81">
        <f t="shared" si="10"/>
        <v>0</v>
      </c>
      <c r="Q13" s="81">
        <f t="shared" si="10"/>
        <v>0</v>
      </c>
      <c r="R13" s="81">
        <f t="shared" si="10"/>
        <v>0</v>
      </c>
      <c r="S13" s="81">
        <f t="shared" si="0"/>
        <v>0</v>
      </c>
      <c r="AS13" s="78" t="s">
        <v>70</v>
      </c>
      <c r="AT13" s="78" t="s">
        <v>69</v>
      </c>
      <c r="AU13" s="71" t="s">
        <v>53</v>
      </c>
    </row>
    <row r="14" spans="1:47">
      <c r="A14" s="75">
        <v>8</v>
      </c>
      <c r="B14" s="83" t="s">
        <v>71</v>
      </c>
      <c r="C14" s="81">
        <f>SUM(C11:C13)</f>
        <v>0</v>
      </c>
      <c r="D14" s="81">
        <f>SUM(D11:D13)</f>
        <v>0</v>
      </c>
      <c r="E14" s="81">
        <f t="shared" ref="E14:S14" si="11">SUM(E11:E13)</f>
        <v>0</v>
      </c>
      <c r="F14" s="81">
        <f t="shared" si="11"/>
        <v>0</v>
      </c>
      <c r="G14" s="81">
        <f t="shared" ref="G14:R14" si="12">SUM(G11:G13)</f>
        <v>0</v>
      </c>
      <c r="H14" s="81">
        <f t="shared" si="12"/>
        <v>0</v>
      </c>
      <c r="I14" s="81">
        <f t="shared" si="12"/>
        <v>0</v>
      </c>
      <c r="J14" s="81">
        <f t="shared" si="12"/>
        <v>0</v>
      </c>
      <c r="K14" s="81">
        <f t="shared" si="12"/>
        <v>0</v>
      </c>
      <c r="L14" s="81">
        <f t="shared" si="12"/>
        <v>0</v>
      </c>
      <c r="M14" s="81">
        <f t="shared" si="12"/>
        <v>0</v>
      </c>
      <c r="N14" s="81">
        <f t="shared" si="12"/>
        <v>0</v>
      </c>
      <c r="O14" s="81">
        <f t="shared" si="12"/>
        <v>0</v>
      </c>
      <c r="P14" s="81">
        <f t="shared" si="12"/>
        <v>0</v>
      </c>
      <c r="Q14" s="81">
        <f t="shared" si="12"/>
        <v>0</v>
      </c>
      <c r="R14" s="81">
        <f t="shared" si="12"/>
        <v>0</v>
      </c>
      <c r="S14" s="81">
        <f t="shared" si="11"/>
        <v>0</v>
      </c>
      <c r="AS14" s="78" t="s">
        <v>72</v>
      </c>
      <c r="AT14" s="83" t="s">
        <v>71</v>
      </c>
    </row>
    <row r="15" spans="1:47">
      <c r="A15" s="75">
        <v>9</v>
      </c>
      <c r="B15" s="83" t="s">
        <v>73</v>
      </c>
      <c r="C15" s="81">
        <f>+C9-C10-C14</f>
        <v>0</v>
      </c>
      <c r="D15" s="81">
        <f>+D9-D10-D14</f>
        <v>0</v>
      </c>
      <c r="E15" s="81">
        <f t="shared" ref="E15:S15" si="13">+E9-E10-E14</f>
        <v>0</v>
      </c>
      <c r="F15" s="81">
        <f t="shared" si="13"/>
        <v>0</v>
      </c>
      <c r="G15" s="81">
        <f t="shared" ref="G15:R15" si="14">+G9-G10-G14</f>
        <v>0</v>
      </c>
      <c r="H15" s="81">
        <f t="shared" si="14"/>
        <v>0</v>
      </c>
      <c r="I15" s="81">
        <f t="shared" si="14"/>
        <v>0</v>
      </c>
      <c r="J15" s="81">
        <f t="shared" si="14"/>
        <v>0</v>
      </c>
      <c r="K15" s="81">
        <f t="shared" si="14"/>
        <v>0</v>
      </c>
      <c r="L15" s="81">
        <f t="shared" si="14"/>
        <v>0</v>
      </c>
      <c r="M15" s="81">
        <f t="shared" si="14"/>
        <v>0</v>
      </c>
      <c r="N15" s="81">
        <f t="shared" si="14"/>
        <v>0</v>
      </c>
      <c r="O15" s="81">
        <f t="shared" si="14"/>
        <v>0</v>
      </c>
      <c r="P15" s="81">
        <f t="shared" si="14"/>
        <v>0</v>
      </c>
      <c r="Q15" s="81">
        <f t="shared" si="14"/>
        <v>0</v>
      </c>
      <c r="R15" s="81">
        <f t="shared" si="14"/>
        <v>0</v>
      </c>
      <c r="S15" s="81">
        <f t="shared" si="13"/>
        <v>0</v>
      </c>
      <c r="AS15" s="78" t="s">
        <v>74</v>
      </c>
      <c r="AT15" s="83" t="s">
        <v>73</v>
      </c>
    </row>
    <row r="16" spans="1:47">
      <c r="A16" s="75">
        <v>10</v>
      </c>
      <c r="B16" s="78" t="s">
        <v>75</v>
      </c>
      <c r="C16" s="84" t="e">
        <f>+C15/C9</f>
        <v>#DIV/0!</v>
      </c>
      <c r="D16" s="84" t="e">
        <f>+D15/D9</f>
        <v>#DIV/0!</v>
      </c>
      <c r="E16" s="84" t="e">
        <f t="shared" ref="E16:F16" si="15">+E15/E9</f>
        <v>#DIV/0!</v>
      </c>
      <c r="F16" s="84" t="e">
        <f t="shared" si="15"/>
        <v>#DIV/0!</v>
      </c>
      <c r="G16" s="84" t="e">
        <f t="shared" ref="G16:R16" si="16">+G15/G9</f>
        <v>#DIV/0!</v>
      </c>
      <c r="H16" s="84" t="e">
        <f t="shared" si="16"/>
        <v>#DIV/0!</v>
      </c>
      <c r="I16" s="84" t="e">
        <f t="shared" si="16"/>
        <v>#DIV/0!</v>
      </c>
      <c r="J16" s="84" t="e">
        <f t="shared" si="16"/>
        <v>#DIV/0!</v>
      </c>
      <c r="K16" s="84" t="e">
        <f t="shared" si="16"/>
        <v>#DIV/0!</v>
      </c>
      <c r="L16" s="84" t="e">
        <f t="shared" si="16"/>
        <v>#DIV/0!</v>
      </c>
      <c r="M16" s="84" t="e">
        <f t="shared" si="16"/>
        <v>#DIV/0!</v>
      </c>
      <c r="N16" s="84" t="e">
        <f t="shared" si="16"/>
        <v>#DIV/0!</v>
      </c>
      <c r="O16" s="84" t="e">
        <f t="shared" si="16"/>
        <v>#DIV/0!</v>
      </c>
      <c r="P16" s="84" t="e">
        <f t="shared" si="16"/>
        <v>#DIV/0!</v>
      </c>
      <c r="Q16" s="84" t="e">
        <f t="shared" si="16"/>
        <v>#DIV/0!</v>
      </c>
      <c r="R16" s="84" t="e">
        <f t="shared" si="16"/>
        <v>#DIV/0!</v>
      </c>
      <c r="S16" s="84" t="e">
        <f>+S15/S9</f>
        <v>#DIV/0!</v>
      </c>
      <c r="T16" s="85"/>
      <c r="U16" s="85"/>
      <c r="V16" s="85"/>
      <c r="AS16" s="78" t="s">
        <v>76</v>
      </c>
      <c r="AT16" s="78" t="s">
        <v>75</v>
      </c>
    </row>
    <row r="17" spans="1:47">
      <c r="A17" s="75">
        <v>11</v>
      </c>
      <c r="B17" s="78" t="s">
        <v>77</v>
      </c>
      <c r="C17" s="81" t="e">
        <f>C6*C43+C18</f>
        <v>#DIV/0!</v>
      </c>
      <c r="D17" s="81" t="e">
        <f>D6*D43+D18</f>
        <v>#DIV/0!</v>
      </c>
      <c r="E17" s="81" t="e">
        <f t="shared" ref="E17:F17" si="17">E6*E43+E18</f>
        <v>#DIV/0!</v>
      </c>
      <c r="F17" s="81" t="e">
        <f t="shared" si="17"/>
        <v>#DIV/0!</v>
      </c>
      <c r="G17" s="81" t="e">
        <f t="shared" ref="G17:R17" si="18">G6*G43+G18</f>
        <v>#DIV/0!</v>
      </c>
      <c r="H17" s="81" t="e">
        <f t="shared" si="18"/>
        <v>#DIV/0!</v>
      </c>
      <c r="I17" s="81" t="e">
        <f t="shared" si="18"/>
        <v>#DIV/0!</v>
      </c>
      <c r="J17" s="81" t="e">
        <f t="shared" si="18"/>
        <v>#DIV/0!</v>
      </c>
      <c r="K17" s="81" t="e">
        <f t="shared" si="18"/>
        <v>#DIV/0!</v>
      </c>
      <c r="L17" s="81" t="e">
        <f t="shared" si="18"/>
        <v>#DIV/0!</v>
      </c>
      <c r="M17" s="81" t="e">
        <f t="shared" si="18"/>
        <v>#DIV/0!</v>
      </c>
      <c r="N17" s="81" t="e">
        <f t="shared" si="18"/>
        <v>#DIV/0!</v>
      </c>
      <c r="O17" s="81" t="e">
        <f t="shared" si="18"/>
        <v>#DIV/0!</v>
      </c>
      <c r="P17" s="81" t="e">
        <f t="shared" si="18"/>
        <v>#DIV/0!</v>
      </c>
      <c r="Q17" s="81" t="e">
        <f t="shared" si="18"/>
        <v>#DIV/0!</v>
      </c>
      <c r="R17" s="81" t="e">
        <f t="shared" si="18"/>
        <v>#DIV/0!</v>
      </c>
      <c r="S17" s="81" t="e">
        <f t="shared" ref="S17" si="19">+SUM(C17:R17)</f>
        <v>#DIV/0!</v>
      </c>
      <c r="T17" s="82"/>
      <c r="AS17" s="78" t="s">
        <v>78</v>
      </c>
      <c r="AT17" s="78" t="s">
        <v>77</v>
      </c>
    </row>
    <row r="18" spans="1:47" s="72" customFormat="1">
      <c r="A18" s="75">
        <v>12</v>
      </c>
      <c r="B18" s="86" t="s">
        <v>147</v>
      </c>
      <c r="C18" s="87" t="e">
        <f>$S$18/$S$6*C6</f>
        <v>#DIV/0!</v>
      </c>
      <c r="D18" s="87" t="e">
        <f>$S$18/$S$6*D6</f>
        <v>#DIV/0!</v>
      </c>
      <c r="E18" s="87" t="e">
        <f>$S$18/$S$6*E6</f>
        <v>#DIV/0!</v>
      </c>
      <c r="F18" s="87" t="e">
        <f>$S$18/$S$6*F6</f>
        <v>#DIV/0!</v>
      </c>
      <c r="G18" s="87" t="e">
        <f t="shared" ref="G18:R18" si="20">$S$18/$S$6*G6</f>
        <v>#DIV/0!</v>
      </c>
      <c r="H18" s="87" t="e">
        <f t="shared" si="20"/>
        <v>#DIV/0!</v>
      </c>
      <c r="I18" s="87" t="e">
        <f t="shared" si="20"/>
        <v>#DIV/0!</v>
      </c>
      <c r="J18" s="87" t="e">
        <f t="shared" si="20"/>
        <v>#DIV/0!</v>
      </c>
      <c r="K18" s="87" t="e">
        <f t="shared" si="20"/>
        <v>#DIV/0!</v>
      </c>
      <c r="L18" s="87" t="e">
        <f t="shared" si="20"/>
        <v>#DIV/0!</v>
      </c>
      <c r="M18" s="87" t="e">
        <f t="shared" si="20"/>
        <v>#DIV/0!</v>
      </c>
      <c r="N18" s="87" t="e">
        <f t="shared" si="20"/>
        <v>#DIV/0!</v>
      </c>
      <c r="O18" s="87" t="e">
        <f t="shared" si="20"/>
        <v>#DIV/0!</v>
      </c>
      <c r="P18" s="87" t="e">
        <f t="shared" si="20"/>
        <v>#DIV/0!</v>
      </c>
      <c r="Q18" s="87" t="e">
        <f t="shared" si="20"/>
        <v>#DIV/0!</v>
      </c>
      <c r="R18" s="87" t="e">
        <f t="shared" si="20"/>
        <v>#DIV/0!</v>
      </c>
      <c r="S18" s="81">
        <f>项目投资!H26</f>
        <v>0</v>
      </c>
      <c r="T18" s="88" t="s">
        <v>148</v>
      </c>
      <c r="U18" s="88"/>
      <c r="V18" s="88"/>
    </row>
    <row r="19" spans="1:47">
      <c r="A19" s="75">
        <v>13</v>
      </c>
      <c r="B19" s="78" t="s">
        <v>79</v>
      </c>
      <c r="C19" s="81">
        <f>C6*C44</f>
        <v>0</v>
      </c>
      <c r="D19" s="81">
        <f>D6*D44</f>
        <v>0</v>
      </c>
      <c r="E19" s="81">
        <f t="shared" ref="E19:F19" si="21">E6*E44</f>
        <v>0</v>
      </c>
      <c r="F19" s="81">
        <f t="shared" si="21"/>
        <v>0</v>
      </c>
      <c r="G19" s="81">
        <f t="shared" ref="G19:R19" si="22">G6*G44</f>
        <v>0</v>
      </c>
      <c r="H19" s="81">
        <f t="shared" si="22"/>
        <v>0</v>
      </c>
      <c r="I19" s="81">
        <f t="shared" si="22"/>
        <v>0</v>
      </c>
      <c r="J19" s="81">
        <f t="shared" si="22"/>
        <v>0</v>
      </c>
      <c r="K19" s="81">
        <f t="shared" si="22"/>
        <v>0</v>
      </c>
      <c r="L19" s="81">
        <f t="shared" si="22"/>
        <v>0</v>
      </c>
      <c r="M19" s="81">
        <f t="shared" si="22"/>
        <v>0</v>
      </c>
      <c r="N19" s="81">
        <f t="shared" si="22"/>
        <v>0</v>
      </c>
      <c r="O19" s="81">
        <f t="shared" si="22"/>
        <v>0</v>
      </c>
      <c r="P19" s="81">
        <f t="shared" si="22"/>
        <v>0</v>
      </c>
      <c r="Q19" s="81">
        <f t="shared" si="22"/>
        <v>0</v>
      </c>
      <c r="R19" s="81">
        <f t="shared" si="22"/>
        <v>0</v>
      </c>
      <c r="S19" s="81">
        <f t="shared" ref="S19:S20" si="23">+SUM(C19:R19)</f>
        <v>0</v>
      </c>
      <c r="T19" s="72"/>
      <c r="AS19" s="78" t="s">
        <v>80</v>
      </c>
      <c r="AT19" s="78" t="s">
        <v>79</v>
      </c>
      <c r="AU19" s="71" t="s">
        <v>53</v>
      </c>
    </row>
    <row r="20" spans="1:47">
      <c r="A20" s="75">
        <v>14</v>
      </c>
      <c r="B20" s="78" t="s">
        <v>81</v>
      </c>
      <c r="C20" s="81">
        <f>C6*C45</f>
        <v>0</v>
      </c>
      <c r="D20" s="81">
        <f>D6*D45</f>
        <v>0</v>
      </c>
      <c r="E20" s="81">
        <f t="shared" ref="E20:F20" si="24">E6*E45</f>
        <v>0</v>
      </c>
      <c r="F20" s="81">
        <f t="shared" si="24"/>
        <v>0</v>
      </c>
      <c r="G20" s="81">
        <f t="shared" ref="G20:R20" si="25">G6*G45</f>
        <v>0</v>
      </c>
      <c r="H20" s="81">
        <f t="shared" si="25"/>
        <v>0</v>
      </c>
      <c r="I20" s="81">
        <f t="shared" si="25"/>
        <v>0</v>
      </c>
      <c r="J20" s="81">
        <f t="shared" si="25"/>
        <v>0</v>
      </c>
      <c r="K20" s="81">
        <f t="shared" si="25"/>
        <v>0</v>
      </c>
      <c r="L20" s="81">
        <f t="shared" si="25"/>
        <v>0</v>
      </c>
      <c r="M20" s="81">
        <f t="shared" si="25"/>
        <v>0</v>
      </c>
      <c r="N20" s="81">
        <f t="shared" si="25"/>
        <v>0</v>
      </c>
      <c r="O20" s="81">
        <f t="shared" si="25"/>
        <v>0</v>
      </c>
      <c r="P20" s="81">
        <f t="shared" si="25"/>
        <v>0</v>
      </c>
      <c r="Q20" s="81">
        <f t="shared" si="25"/>
        <v>0</v>
      </c>
      <c r="R20" s="81">
        <f t="shared" si="25"/>
        <v>0</v>
      </c>
      <c r="S20" s="81">
        <f t="shared" si="23"/>
        <v>0</v>
      </c>
      <c r="AS20" s="78" t="s">
        <v>82</v>
      </c>
      <c r="AT20" s="78" t="s">
        <v>81</v>
      </c>
    </row>
    <row r="21" spans="1:47">
      <c r="A21" s="75">
        <v>15</v>
      </c>
      <c r="B21" s="78" t="s">
        <v>83</v>
      </c>
      <c r="C21" s="89" t="e">
        <f>$S$21/$S$6*C6</f>
        <v>#DIV/0!</v>
      </c>
      <c r="D21" s="89" t="e">
        <f>$S$21/$S$6*D6</f>
        <v>#DIV/0!</v>
      </c>
      <c r="E21" s="89" t="e">
        <f>$S$21/$S$6*E6</f>
        <v>#DIV/0!</v>
      </c>
      <c r="F21" s="89" t="e">
        <f>$S$21/$S$6*F6</f>
        <v>#DIV/0!</v>
      </c>
      <c r="G21" s="89" t="e">
        <f t="shared" ref="G21:R21" si="26">$S$21/$S$6*G6</f>
        <v>#DIV/0!</v>
      </c>
      <c r="H21" s="89" t="e">
        <f t="shared" si="26"/>
        <v>#DIV/0!</v>
      </c>
      <c r="I21" s="89" t="e">
        <f t="shared" si="26"/>
        <v>#DIV/0!</v>
      </c>
      <c r="J21" s="89" t="e">
        <f t="shared" si="26"/>
        <v>#DIV/0!</v>
      </c>
      <c r="K21" s="89" t="e">
        <f t="shared" si="26"/>
        <v>#DIV/0!</v>
      </c>
      <c r="L21" s="89" t="e">
        <f t="shared" si="26"/>
        <v>#DIV/0!</v>
      </c>
      <c r="M21" s="89" t="e">
        <f t="shared" si="26"/>
        <v>#DIV/0!</v>
      </c>
      <c r="N21" s="89" t="e">
        <f t="shared" si="26"/>
        <v>#DIV/0!</v>
      </c>
      <c r="O21" s="89" t="e">
        <f t="shared" si="26"/>
        <v>#DIV/0!</v>
      </c>
      <c r="P21" s="89" t="e">
        <f t="shared" si="26"/>
        <v>#DIV/0!</v>
      </c>
      <c r="Q21" s="89" t="e">
        <f t="shared" si="26"/>
        <v>#DIV/0!</v>
      </c>
      <c r="R21" s="89" t="e">
        <f t="shared" si="26"/>
        <v>#DIV/0!</v>
      </c>
      <c r="S21" s="81">
        <f>项目投资!H27</f>
        <v>0</v>
      </c>
      <c r="AS21" s="78"/>
      <c r="AT21" s="78"/>
    </row>
    <row r="22" spans="1:47">
      <c r="A22" s="75">
        <v>16</v>
      </c>
      <c r="B22" s="78" t="s">
        <v>84</v>
      </c>
      <c r="C22" s="81">
        <f>C6*C47</f>
        <v>0</v>
      </c>
      <c r="D22" s="81">
        <f>D6*D47</f>
        <v>0</v>
      </c>
      <c r="E22" s="81">
        <f t="shared" ref="E22:F22" si="27">E6*E47</f>
        <v>0</v>
      </c>
      <c r="F22" s="81">
        <f t="shared" si="27"/>
        <v>0</v>
      </c>
      <c r="G22" s="81">
        <f t="shared" ref="G22:R22" si="28">G6*G47</f>
        <v>0</v>
      </c>
      <c r="H22" s="81">
        <f t="shared" si="28"/>
        <v>0</v>
      </c>
      <c r="I22" s="81">
        <f t="shared" si="28"/>
        <v>0</v>
      </c>
      <c r="J22" s="81">
        <f t="shared" si="28"/>
        <v>0</v>
      </c>
      <c r="K22" s="81">
        <f t="shared" si="28"/>
        <v>0</v>
      </c>
      <c r="L22" s="81">
        <f t="shared" si="28"/>
        <v>0</v>
      </c>
      <c r="M22" s="81">
        <f t="shared" si="28"/>
        <v>0</v>
      </c>
      <c r="N22" s="81">
        <f t="shared" si="28"/>
        <v>0</v>
      </c>
      <c r="O22" s="81">
        <f t="shared" si="28"/>
        <v>0</v>
      </c>
      <c r="P22" s="81">
        <f t="shared" si="28"/>
        <v>0</v>
      </c>
      <c r="Q22" s="81">
        <f t="shared" si="28"/>
        <v>0</v>
      </c>
      <c r="R22" s="81">
        <f t="shared" si="28"/>
        <v>0</v>
      </c>
      <c r="S22" s="81">
        <f t="shared" ref="S22" si="29">+SUM(C22:R22)</f>
        <v>0</v>
      </c>
      <c r="AS22" s="78" t="s">
        <v>85</v>
      </c>
      <c r="AT22" s="78" t="s">
        <v>84</v>
      </c>
    </row>
    <row r="23" spans="1:47">
      <c r="A23" s="75">
        <v>17</v>
      </c>
      <c r="B23" s="83" t="s">
        <v>86</v>
      </c>
      <c r="C23" s="89" t="e">
        <f>+C22+C21+C20+C19+C17</f>
        <v>#DIV/0!</v>
      </c>
      <c r="D23" s="89" t="e">
        <f>+D22+D21+D20+D19+D17</f>
        <v>#DIV/0!</v>
      </c>
      <c r="E23" s="89" t="e">
        <f t="shared" ref="E23:F23" si="30">+E22+E21+E20+E19+E17</f>
        <v>#DIV/0!</v>
      </c>
      <c r="F23" s="89" t="e">
        <f t="shared" si="30"/>
        <v>#DIV/0!</v>
      </c>
      <c r="G23" s="89" t="e">
        <f t="shared" ref="G23:R23" si="31">+G22+G21+G20+G19+G17</f>
        <v>#DIV/0!</v>
      </c>
      <c r="H23" s="89" t="e">
        <f t="shared" si="31"/>
        <v>#DIV/0!</v>
      </c>
      <c r="I23" s="89" t="e">
        <f t="shared" si="31"/>
        <v>#DIV/0!</v>
      </c>
      <c r="J23" s="89" t="e">
        <f t="shared" si="31"/>
        <v>#DIV/0!</v>
      </c>
      <c r="K23" s="89" t="e">
        <f t="shared" si="31"/>
        <v>#DIV/0!</v>
      </c>
      <c r="L23" s="89" t="e">
        <f t="shared" si="31"/>
        <v>#DIV/0!</v>
      </c>
      <c r="M23" s="89" t="e">
        <f t="shared" si="31"/>
        <v>#DIV/0!</v>
      </c>
      <c r="N23" s="89" t="e">
        <f t="shared" si="31"/>
        <v>#DIV/0!</v>
      </c>
      <c r="O23" s="89" t="e">
        <f t="shared" si="31"/>
        <v>#DIV/0!</v>
      </c>
      <c r="P23" s="89" t="e">
        <f t="shared" si="31"/>
        <v>#DIV/0!</v>
      </c>
      <c r="Q23" s="89" t="e">
        <f t="shared" si="31"/>
        <v>#DIV/0!</v>
      </c>
      <c r="R23" s="89" t="e">
        <f t="shared" si="31"/>
        <v>#DIV/0!</v>
      </c>
      <c r="S23" s="89" t="e">
        <f>+S22+S21+S20+S19+S17</f>
        <v>#DIV/0!</v>
      </c>
      <c r="AS23" s="78" t="s">
        <v>87</v>
      </c>
      <c r="AT23" s="83" t="s">
        <v>86</v>
      </c>
    </row>
    <row r="24" spans="1:47">
      <c r="A24" s="75">
        <v>18</v>
      </c>
      <c r="B24" s="90" t="s">
        <v>88</v>
      </c>
      <c r="C24" s="89" t="e">
        <f>+C15-C23</f>
        <v>#DIV/0!</v>
      </c>
      <c r="D24" s="89" t="e">
        <f>+D15-D23</f>
        <v>#DIV/0!</v>
      </c>
      <c r="E24" s="89" t="e">
        <f t="shared" ref="E24:F24" si="32">+E15-E23</f>
        <v>#DIV/0!</v>
      </c>
      <c r="F24" s="89" t="e">
        <f t="shared" si="32"/>
        <v>#DIV/0!</v>
      </c>
      <c r="G24" s="89" t="e">
        <f t="shared" ref="G24:R24" si="33">+G15-G23</f>
        <v>#DIV/0!</v>
      </c>
      <c r="H24" s="89" t="e">
        <f t="shared" si="33"/>
        <v>#DIV/0!</v>
      </c>
      <c r="I24" s="89" t="e">
        <f t="shared" si="33"/>
        <v>#DIV/0!</v>
      </c>
      <c r="J24" s="89" t="e">
        <f t="shared" si="33"/>
        <v>#DIV/0!</v>
      </c>
      <c r="K24" s="89" t="e">
        <f t="shared" si="33"/>
        <v>#DIV/0!</v>
      </c>
      <c r="L24" s="89" t="e">
        <f t="shared" si="33"/>
        <v>#DIV/0!</v>
      </c>
      <c r="M24" s="89" t="e">
        <f t="shared" si="33"/>
        <v>#DIV/0!</v>
      </c>
      <c r="N24" s="89" t="e">
        <f t="shared" si="33"/>
        <v>#DIV/0!</v>
      </c>
      <c r="O24" s="89" t="e">
        <f t="shared" si="33"/>
        <v>#DIV/0!</v>
      </c>
      <c r="P24" s="89" t="e">
        <f t="shared" si="33"/>
        <v>#DIV/0!</v>
      </c>
      <c r="Q24" s="89" t="e">
        <f t="shared" si="33"/>
        <v>#DIV/0!</v>
      </c>
      <c r="R24" s="89" t="e">
        <f t="shared" si="33"/>
        <v>#DIV/0!</v>
      </c>
      <c r="S24" s="89" t="e">
        <f>+S15-S23</f>
        <v>#DIV/0!</v>
      </c>
      <c r="U24" s="91"/>
      <c r="AS24" s="78" t="s">
        <v>89</v>
      </c>
      <c r="AT24" s="78" t="s">
        <v>88</v>
      </c>
    </row>
    <row r="25" spans="1:47">
      <c r="A25" s="75">
        <v>19</v>
      </c>
      <c r="B25" s="78" t="s">
        <v>273</v>
      </c>
      <c r="C25" s="89" t="e">
        <f>IF(C24&lt;0,0,C24*0.15)</f>
        <v>#DIV/0!</v>
      </c>
      <c r="D25" s="89" t="e">
        <f t="shared" ref="D25:S25" si="34">IF(D24&lt;0,0,D24*0.15)</f>
        <v>#DIV/0!</v>
      </c>
      <c r="E25" s="89" t="e">
        <f t="shared" ref="E25:F25" si="35">IF(E24&lt;0,0,E24*0.15)</f>
        <v>#DIV/0!</v>
      </c>
      <c r="F25" s="89" t="e">
        <f t="shared" si="35"/>
        <v>#DIV/0!</v>
      </c>
      <c r="G25" s="89" t="e">
        <f t="shared" ref="G25:R25" si="36">IF(G24&lt;0,0,G24*0.15)</f>
        <v>#DIV/0!</v>
      </c>
      <c r="H25" s="89" t="e">
        <f t="shared" si="36"/>
        <v>#DIV/0!</v>
      </c>
      <c r="I25" s="89" t="e">
        <f t="shared" si="36"/>
        <v>#DIV/0!</v>
      </c>
      <c r="J25" s="89" t="e">
        <f t="shared" si="36"/>
        <v>#DIV/0!</v>
      </c>
      <c r="K25" s="89" t="e">
        <f t="shared" si="36"/>
        <v>#DIV/0!</v>
      </c>
      <c r="L25" s="89" t="e">
        <f t="shared" si="36"/>
        <v>#DIV/0!</v>
      </c>
      <c r="M25" s="89" t="e">
        <f t="shared" si="36"/>
        <v>#DIV/0!</v>
      </c>
      <c r="N25" s="89" t="e">
        <f t="shared" si="36"/>
        <v>#DIV/0!</v>
      </c>
      <c r="O25" s="89" t="e">
        <f t="shared" si="36"/>
        <v>#DIV/0!</v>
      </c>
      <c r="P25" s="89" t="e">
        <f t="shared" si="36"/>
        <v>#DIV/0!</v>
      </c>
      <c r="Q25" s="89" t="e">
        <f t="shared" si="36"/>
        <v>#DIV/0!</v>
      </c>
      <c r="R25" s="89" t="e">
        <f t="shared" si="36"/>
        <v>#DIV/0!</v>
      </c>
      <c r="S25" s="89" t="e">
        <f t="shared" si="34"/>
        <v>#DIV/0!</v>
      </c>
      <c r="T25" s="2"/>
      <c r="U25" s="2"/>
      <c r="V25" s="2"/>
      <c r="AS25" s="78" t="s">
        <v>90</v>
      </c>
      <c r="AT25" s="78" t="s">
        <v>35</v>
      </c>
    </row>
    <row r="26" spans="1:47">
      <c r="A26" s="75">
        <v>20</v>
      </c>
      <c r="B26" s="78" t="s">
        <v>91</v>
      </c>
      <c r="C26" s="89" t="e">
        <f>C24-C25</f>
        <v>#DIV/0!</v>
      </c>
      <c r="D26" s="89" t="e">
        <f>D24-D25</f>
        <v>#DIV/0!</v>
      </c>
      <c r="E26" s="89" t="e">
        <f t="shared" ref="E26:S26" si="37">E24-E25</f>
        <v>#DIV/0!</v>
      </c>
      <c r="F26" s="89" t="e">
        <f t="shared" si="37"/>
        <v>#DIV/0!</v>
      </c>
      <c r="G26" s="89" t="e">
        <f t="shared" ref="G26:R26" si="38">G24-G25</f>
        <v>#DIV/0!</v>
      </c>
      <c r="H26" s="89" t="e">
        <f t="shared" si="38"/>
        <v>#DIV/0!</v>
      </c>
      <c r="I26" s="89" t="e">
        <f t="shared" si="38"/>
        <v>#DIV/0!</v>
      </c>
      <c r="J26" s="89" t="e">
        <f t="shared" si="38"/>
        <v>#DIV/0!</v>
      </c>
      <c r="K26" s="89" t="e">
        <f t="shared" si="38"/>
        <v>#DIV/0!</v>
      </c>
      <c r="L26" s="89" t="e">
        <f t="shared" si="38"/>
        <v>#DIV/0!</v>
      </c>
      <c r="M26" s="89" t="e">
        <f t="shared" si="38"/>
        <v>#DIV/0!</v>
      </c>
      <c r="N26" s="89" t="e">
        <f t="shared" si="38"/>
        <v>#DIV/0!</v>
      </c>
      <c r="O26" s="89" t="e">
        <f t="shared" si="38"/>
        <v>#DIV/0!</v>
      </c>
      <c r="P26" s="89" t="e">
        <f t="shared" si="38"/>
        <v>#DIV/0!</v>
      </c>
      <c r="Q26" s="89" t="e">
        <f t="shared" si="38"/>
        <v>#DIV/0!</v>
      </c>
      <c r="R26" s="89" t="e">
        <f t="shared" si="38"/>
        <v>#DIV/0!</v>
      </c>
      <c r="S26" s="89" t="e">
        <f t="shared" si="37"/>
        <v>#DIV/0!</v>
      </c>
      <c r="T26" s="2"/>
      <c r="U26" s="2"/>
      <c r="V26" s="2"/>
      <c r="AS26" s="78" t="s">
        <v>92</v>
      </c>
      <c r="AT26" s="78" t="s">
        <v>91</v>
      </c>
    </row>
    <row r="27" spans="1:47">
      <c r="A27" s="75">
        <v>21</v>
      </c>
      <c r="B27" s="78" t="s">
        <v>95</v>
      </c>
      <c r="C27" s="92" t="e">
        <f>C26/C9</f>
        <v>#DIV/0!</v>
      </c>
      <c r="D27" s="92" t="e">
        <f t="shared" ref="D27:S27" si="39">D26/D9</f>
        <v>#DIV/0!</v>
      </c>
      <c r="E27" s="92" t="e">
        <f t="shared" si="39"/>
        <v>#DIV/0!</v>
      </c>
      <c r="F27" s="92" t="e">
        <f t="shared" si="39"/>
        <v>#DIV/0!</v>
      </c>
      <c r="G27" s="92" t="e">
        <f t="shared" ref="G27:R27" si="40">G26/G9</f>
        <v>#DIV/0!</v>
      </c>
      <c r="H27" s="92" t="e">
        <f t="shared" si="40"/>
        <v>#DIV/0!</v>
      </c>
      <c r="I27" s="92" t="e">
        <f t="shared" si="40"/>
        <v>#DIV/0!</v>
      </c>
      <c r="J27" s="92" t="e">
        <f t="shared" si="40"/>
        <v>#DIV/0!</v>
      </c>
      <c r="K27" s="92" t="e">
        <f t="shared" si="40"/>
        <v>#DIV/0!</v>
      </c>
      <c r="L27" s="92" t="e">
        <f t="shared" si="40"/>
        <v>#DIV/0!</v>
      </c>
      <c r="M27" s="92" t="e">
        <f t="shared" si="40"/>
        <v>#DIV/0!</v>
      </c>
      <c r="N27" s="92" t="e">
        <f t="shared" si="40"/>
        <v>#DIV/0!</v>
      </c>
      <c r="O27" s="92" t="e">
        <f t="shared" si="40"/>
        <v>#DIV/0!</v>
      </c>
      <c r="P27" s="92" t="e">
        <f t="shared" si="40"/>
        <v>#DIV/0!</v>
      </c>
      <c r="Q27" s="92" t="e">
        <f t="shared" si="40"/>
        <v>#DIV/0!</v>
      </c>
      <c r="R27" s="92" t="e">
        <f t="shared" si="40"/>
        <v>#DIV/0!</v>
      </c>
      <c r="S27" s="92" t="e">
        <f t="shared" si="39"/>
        <v>#DIV/0!</v>
      </c>
      <c r="T27" s="2"/>
      <c r="U27" s="2"/>
      <c r="V27" s="2"/>
      <c r="AS27" s="78" t="s">
        <v>94</v>
      </c>
      <c r="AT27" s="78" t="s">
        <v>95</v>
      </c>
    </row>
    <row r="28" spans="1:47">
      <c r="T28" s="2"/>
      <c r="U28" s="2"/>
      <c r="V28" s="2"/>
    </row>
    <row r="29" spans="1:47">
      <c r="A29" s="71" t="s">
        <v>96</v>
      </c>
      <c r="S29" s="74" t="s">
        <v>149</v>
      </c>
      <c r="T29" s="2"/>
      <c r="U29" s="2"/>
      <c r="V29" s="2"/>
      <c r="AS29" s="71" t="s">
        <v>96</v>
      </c>
    </row>
    <row r="30" spans="1:47" ht="21" customHeight="1">
      <c r="A30" s="78" t="s">
        <v>97</v>
      </c>
      <c r="B30" s="83" t="s">
        <v>98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2"/>
      <c r="U30" s="2"/>
      <c r="V30" s="2"/>
      <c r="X30" s="2"/>
      <c r="AS30" s="78" t="s">
        <v>99</v>
      </c>
      <c r="AT30" s="83" t="s">
        <v>98</v>
      </c>
    </row>
    <row r="31" spans="1:47">
      <c r="A31" s="75">
        <v>1</v>
      </c>
      <c r="B31" s="86" t="s">
        <v>100</v>
      </c>
      <c r="C31" s="93">
        <f>销量!C8</f>
        <v>1353.98</v>
      </c>
      <c r="D31" s="93">
        <f>销量!D8</f>
        <v>384.96</v>
      </c>
      <c r="E31" s="93">
        <f>销量!E8</f>
        <v>0</v>
      </c>
      <c r="F31" s="93">
        <f>销量!F8</f>
        <v>0</v>
      </c>
      <c r="G31" s="93">
        <f>销量!G8</f>
        <v>0</v>
      </c>
      <c r="H31" s="93">
        <f>销量!H8</f>
        <v>0</v>
      </c>
      <c r="I31" s="93">
        <f>销量!I8</f>
        <v>0</v>
      </c>
      <c r="J31" s="93">
        <f>销量!J8</f>
        <v>0</v>
      </c>
      <c r="K31" s="93">
        <f>销量!K8</f>
        <v>0</v>
      </c>
      <c r="L31" s="93">
        <f>销量!L8</f>
        <v>0</v>
      </c>
      <c r="M31" s="93">
        <f>销量!M8</f>
        <v>0</v>
      </c>
      <c r="N31" s="93">
        <f>销量!N8</f>
        <v>0</v>
      </c>
      <c r="O31" s="93">
        <f>销量!O8</f>
        <v>0</v>
      </c>
      <c r="P31" s="93">
        <f>销量!P8</f>
        <v>0</v>
      </c>
      <c r="Q31" s="93">
        <f>销量!Q8</f>
        <v>0</v>
      </c>
      <c r="R31" s="93">
        <f>销量!R8</f>
        <v>0</v>
      </c>
      <c r="S31" s="89"/>
      <c r="T31" s="2"/>
      <c r="U31" s="2"/>
      <c r="V31" s="2"/>
      <c r="X31" s="2"/>
      <c r="AS31" s="78" t="s">
        <v>55</v>
      </c>
      <c r="AT31" s="78" t="s">
        <v>100</v>
      </c>
    </row>
    <row r="32" spans="1:47">
      <c r="A32" s="75">
        <v>2</v>
      </c>
      <c r="B32" s="78" t="s">
        <v>150</v>
      </c>
      <c r="C32" s="81" t="e">
        <f>C9/C6</f>
        <v>#DIV/0!</v>
      </c>
      <c r="D32" s="81" t="e">
        <f t="shared" ref="D32:F32" si="41">D9/D6</f>
        <v>#DIV/0!</v>
      </c>
      <c r="E32" s="81" t="e">
        <f t="shared" si="41"/>
        <v>#DIV/0!</v>
      </c>
      <c r="F32" s="81" t="e">
        <f t="shared" si="41"/>
        <v>#DIV/0!</v>
      </c>
      <c r="G32" s="81" t="e">
        <f t="shared" ref="G32:R32" si="42">G9/G6</f>
        <v>#DIV/0!</v>
      </c>
      <c r="H32" s="81" t="e">
        <f t="shared" si="42"/>
        <v>#DIV/0!</v>
      </c>
      <c r="I32" s="81" t="e">
        <f t="shared" si="42"/>
        <v>#DIV/0!</v>
      </c>
      <c r="J32" s="81" t="e">
        <f t="shared" si="42"/>
        <v>#DIV/0!</v>
      </c>
      <c r="K32" s="81" t="e">
        <f t="shared" si="42"/>
        <v>#DIV/0!</v>
      </c>
      <c r="L32" s="81" t="e">
        <f t="shared" si="42"/>
        <v>#DIV/0!</v>
      </c>
      <c r="M32" s="81" t="e">
        <f t="shared" si="42"/>
        <v>#DIV/0!</v>
      </c>
      <c r="N32" s="81" t="e">
        <f t="shared" si="42"/>
        <v>#DIV/0!</v>
      </c>
      <c r="O32" s="81" t="e">
        <f t="shared" si="42"/>
        <v>#DIV/0!</v>
      </c>
      <c r="P32" s="81" t="e">
        <f t="shared" si="42"/>
        <v>#DIV/0!</v>
      </c>
      <c r="Q32" s="81" t="e">
        <f t="shared" si="42"/>
        <v>#DIV/0!</v>
      </c>
      <c r="R32" s="81" t="e">
        <f t="shared" si="42"/>
        <v>#DIV/0!</v>
      </c>
      <c r="S32" s="89"/>
      <c r="T32" s="2"/>
      <c r="U32" s="2"/>
      <c r="V32" s="2"/>
      <c r="W32" s="2"/>
      <c r="X32" s="2"/>
      <c r="Y32" s="2"/>
      <c r="Z32" s="2"/>
      <c r="AS32" s="78"/>
      <c r="AT32" s="78"/>
    </row>
    <row r="33" spans="1:46">
      <c r="A33" s="75">
        <v>3</v>
      </c>
      <c r="B33" s="86" t="s">
        <v>101</v>
      </c>
      <c r="C33" s="81">
        <f>材料成本!D28</f>
        <v>883.66320980897751</v>
      </c>
      <c r="D33" s="81">
        <f>材料成本!E28</f>
        <v>355.91982410065145</v>
      </c>
      <c r="E33" s="81">
        <f>材料成本!F28</f>
        <v>0</v>
      </c>
      <c r="F33" s="81">
        <f>材料成本!G28</f>
        <v>0</v>
      </c>
      <c r="G33" s="81">
        <f>材料成本!H28</f>
        <v>0</v>
      </c>
      <c r="H33" s="81">
        <f>材料成本!I28</f>
        <v>0</v>
      </c>
      <c r="I33" s="81">
        <f>材料成本!J28</f>
        <v>0</v>
      </c>
      <c r="J33" s="81">
        <f>材料成本!K28</f>
        <v>0</v>
      </c>
      <c r="K33" s="81">
        <f>材料成本!L28</f>
        <v>0</v>
      </c>
      <c r="L33" s="81">
        <f>材料成本!M28</f>
        <v>0</v>
      </c>
      <c r="M33" s="81">
        <f>材料成本!N28</f>
        <v>0</v>
      </c>
      <c r="N33" s="81">
        <f>材料成本!O28</f>
        <v>0</v>
      </c>
      <c r="O33" s="81">
        <f>材料成本!P28</f>
        <v>0</v>
      </c>
      <c r="P33" s="81">
        <f>材料成本!Q28</f>
        <v>0</v>
      </c>
      <c r="Q33" s="81">
        <f>材料成本!R28</f>
        <v>0</v>
      </c>
      <c r="R33" s="81">
        <f>材料成本!S28</f>
        <v>0</v>
      </c>
      <c r="S33" s="89"/>
      <c r="U33" s="2"/>
      <c r="V33" s="2"/>
      <c r="W33" s="2"/>
      <c r="X33" s="2"/>
      <c r="Y33" s="2"/>
      <c r="Z33" s="2"/>
      <c r="AS33" s="78" t="s">
        <v>57</v>
      </c>
      <c r="AT33" s="78" t="s">
        <v>101</v>
      </c>
    </row>
    <row r="34" spans="1:46" ht="17.25" customHeight="1">
      <c r="A34" s="75">
        <v>4</v>
      </c>
      <c r="B34" s="78" t="s">
        <v>103</v>
      </c>
      <c r="C34" s="94" t="e">
        <f>C32-C33</f>
        <v>#DIV/0!</v>
      </c>
      <c r="D34" s="94" t="e">
        <f>D32-D33</f>
        <v>#DIV/0!</v>
      </c>
      <c r="E34" s="94" t="e">
        <f t="shared" ref="E34:F34" si="43">E32-E33</f>
        <v>#DIV/0!</v>
      </c>
      <c r="F34" s="94" t="e">
        <f t="shared" si="43"/>
        <v>#DIV/0!</v>
      </c>
      <c r="G34" s="94" t="e">
        <f t="shared" ref="G34:R34" si="44">G32-G33</f>
        <v>#DIV/0!</v>
      </c>
      <c r="H34" s="94" t="e">
        <f t="shared" si="44"/>
        <v>#DIV/0!</v>
      </c>
      <c r="I34" s="94" t="e">
        <f t="shared" si="44"/>
        <v>#DIV/0!</v>
      </c>
      <c r="J34" s="94" t="e">
        <f t="shared" si="44"/>
        <v>#DIV/0!</v>
      </c>
      <c r="K34" s="94" t="e">
        <f t="shared" si="44"/>
        <v>#DIV/0!</v>
      </c>
      <c r="L34" s="94" t="e">
        <f t="shared" si="44"/>
        <v>#DIV/0!</v>
      </c>
      <c r="M34" s="94" t="e">
        <f t="shared" si="44"/>
        <v>#DIV/0!</v>
      </c>
      <c r="N34" s="94" t="e">
        <f t="shared" si="44"/>
        <v>#DIV/0!</v>
      </c>
      <c r="O34" s="94" t="e">
        <f t="shared" si="44"/>
        <v>#DIV/0!</v>
      </c>
      <c r="P34" s="94" t="e">
        <f t="shared" si="44"/>
        <v>#DIV/0!</v>
      </c>
      <c r="Q34" s="94" t="e">
        <f t="shared" si="44"/>
        <v>#DIV/0!</v>
      </c>
      <c r="R34" s="94" t="e">
        <f t="shared" si="44"/>
        <v>#DIV/0!</v>
      </c>
      <c r="S34" s="89"/>
      <c r="U34" s="2"/>
      <c r="V34" s="2"/>
      <c r="W34" s="2"/>
      <c r="X34" s="2"/>
      <c r="Y34" s="2"/>
      <c r="Z34" s="2"/>
      <c r="AS34" s="78" t="s">
        <v>102</v>
      </c>
      <c r="AT34" s="78" t="s">
        <v>103</v>
      </c>
    </row>
    <row r="35" spans="1:46">
      <c r="A35" s="78" t="s">
        <v>99</v>
      </c>
      <c r="B35" s="83" t="s">
        <v>9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2"/>
      <c r="U35" s="2"/>
      <c r="V35" s="2"/>
      <c r="W35" s="2"/>
      <c r="X35" s="2"/>
      <c r="Y35" s="2"/>
      <c r="Z35" s="2"/>
      <c r="AA35" s="2"/>
      <c r="AB35" s="2"/>
      <c r="AC35" s="2"/>
      <c r="AS35" s="78" t="s">
        <v>105</v>
      </c>
      <c r="AT35" s="83" t="s">
        <v>9</v>
      </c>
    </row>
    <row r="36" spans="1:46">
      <c r="A36" s="75">
        <v>1</v>
      </c>
      <c r="B36" s="78" t="s">
        <v>106</v>
      </c>
      <c r="C36" s="87">
        <f>'2025年'!C36</f>
        <v>93.966211999999999</v>
      </c>
      <c r="D36" s="87">
        <f>'2025年'!D36</f>
        <v>26.716224</v>
      </c>
      <c r="E36" s="87">
        <f>'2025年'!E36</f>
        <v>0</v>
      </c>
      <c r="F36" s="87">
        <f>'2025年'!F36</f>
        <v>0</v>
      </c>
      <c r="G36" s="87">
        <f>'2025年'!G36</f>
        <v>0</v>
      </c>
      <c r="H36" s="87">
        <f>'2025年'!H36</f>
        <v>0</v>
      </c>
      <c r="I36" s="87">
        <f>'2025年'!I36</f>
        <v>0</v>
      </c>
      <c r="J36" s="87">
        <f>'2025年'!J36</f>
        <v>0</v>
      </c>
      <c r="K36" s="87">
        <f>'2025年'!K36</f>
        <v>0</v>
      </c>
      <c r="L36" s="87">
        <f>'2025年'!L36</f>
        <v>0</v>
      </c>
      <c r="M36" s="87">
        <f>'2025年'!M36</f>
        <v>0</v>
      </c>
      <c r="N36" s="87">
        <f>'2025年'!N36</f>
        <v>0</v>
      </c>
      <c r="O36" s="87">
        <f>'2025年'!O36</f>
        <v>0</v>
      </c>
      <c r="P36" s="87">
        <f>'2025年'!P36</f>
        <v>0</v>
      </c>
      <c r="Q36" s="87">
        <f>'2025年'!Q36</f>
        <v>0</v>
      </c>
      <c r="R36" s="87">
        <f>'2025年'!R36</f>
        <v>0</v>
      </c>
      <c r="S36" s="93"/>
      <c r="T36" s="2"/>
      <c r="U36" s="2"/>
      <c r="V36" s="2"/>
      <c r="W36" s="2"/>
      <c r="X36" s="2"/>
      <c r="Y36" s="2"/>
      <c r="Z36" s="2"/>
      <c r="AA36" s="2"/>
      <c r="AB36" s="2"/>
      <c r="AC36" s="2"/>
      <c r="AS36" s="78" t="s">
        <v>102</v>
      </c>
      <c r="AT36" s="78" t="s">
        <v>106</v>
      </c>
    </row>
    <row r="37" spans="1:46">
      <c r="A37" s="75">
        <v>2</v>
      </c>
      <c r="B37" s="78" t="s">
        <v>107</v>
      </c>
      <c r="C37" s="87">
        <f>'2025年'!C37</f>
        <v>58.762732</v>
      </c>
      <c r="D37" s="87">
        <f>'2025年'!D37</f>
        <v>16.707263999999999</v>
      </c>
      <c r="E37" s="87">
        <f>'2025年'!E37</f>
        <v>0</v>
      </c>
      <c r="F37" s="87">
        <f>'2025年'!F37</f>
        <v>0</v>
      </c>
      <c r="G37" s="87">
        <f>'2025年'!G37</f>
        <v>0</v>
      </c>
      <c r="H37" s="87">
        <f>'2025年'!H37</f>
        <v>0</v>
      </c>
      <c r="I37" s="87">
        <f>'2025年'!I37</f>
        <v>0</v>
      </c>
      <c r="J37" s="87">
        <f>'2025年'!J37</f>
        <v>0</v>
      </c>
      <c r="K37" s="87">
        <f>'2025年'!K37</f>
        <v>0</v>
      </c>
      <c r="L37" s="87">
        <f>'2025年'!L37</f>
        <v>0</v>
      </c>
      <c r="M37" s="87">
        <f>'2025年'!M37</f>
        <v>0</v>
      </c>
      <c r="N37" s="87">
        <f>'2025年'!N37</f>
        <v>0</v>
      </c>
      <c r="O37" s="87">
        <f>'2025年'!O37</f>
        <v>0</v>
      </c>
      <c r="P37" s="87">
        <f>'2025年'!P37</f>
        <v>0</v>
      </c>
      <c r="Q37" s="87">
        <f>'2025年'!Q37</f>
        <v>0</v>
      </c>
      <c r="R37" s="87">
        <f>'2025年'!R37</f>
        <v>0</v>
      </c>
      <c r="S37" s="93"/>
      <c r="T37" s="2"/>
      <c r="U37" s="2"/>
      <c r="V37" s="2"/>
      <c r="W37" s="2"/>
      <c r="X37" s="2"/>
      <c r="Y37" s="2"/>
      <c r="Z37" s="2"/>
      <c r="AA37" s="2"/>
      <c r="AB37" s="2"/>
      <c r="AC37" s="2"/>
      <c r="AS37" s="78" t="s">
        <v>60</v>
      </c>
      <c r="AT37" s="78" t="s">
        <v>107</v>
      </c>
    </row>
    <row r="38" spans="1:46">
      <c r="A38" s="75">
        <v>3</v>
      </c>
      <c r="B38" s="78" t="s">
        <v>108</v>
      </c>
      <c r="C38" s="87">
        <f>'2025年'!C38</f>
        <v>88.144098000000014</v>
      </c>
      <c r="D38" s="87">
        <f>'2025年'!D38</f>
        <v>25.060896</v>
      </c>
      <c r="E38" s="87">
        <f>'2025年'!E38</f>
        <v>0</v>
      </c>
      <c r="F38" s="87">
        <f>'2025年'!F38</f>
        <v>0</v>
      </c>
      <c r="G38" s="87">
        <f>'2025年'!G38</f>
        <v>0</v>
      </c>
      <c r="H38" s="87">
        <f>'2025年'!H38</f>
        <v>0</v>
      </c>
      <c r="I38" s="87">
        <f>'2025年'!I38</f>
        <v>0</v>
      </c>
      <c r="J38" s="87">
        <f>'2025年'!J38</f>
        <v>0</v>
      </c>
      <c r="K38" s="87">
        <f>'2025年'!K38</f>
        <v>0</v>
      </c>
      <c r="L38" s="87">
        <f>'2025年'!L38</f>
        <v>0</v>
      </c>
      <c r="M38" s="87">
        <f>'2025年'!M38</f>
        <v>0</v>
      </c>
      <c r="N38" s="87">
        <f>'2025年'!N38</f>
        <v>0</v>
      </c>
      <c r="O38" s="87">
        <f>'2025年'!O38</f>
        <v>0</v>
      </c>
      <c r="P38" s="87">
        <f>'2025年'!P38</f>
        <v>0</v>
      </c>
      <c r="Q38" s="87">
        <f>'2025年'!Q38</f>
        <v>0</v>
      </c>
      <c r="R38" s="87">
        <f>'2025年'!R38</f>
        <v>0</v>
      </c>
      <c r="S38" s="93"/>
      <c r="T38" s="2"/>
      <c r="U38" s="2"/>
      <c r="V38" s="2"/>
      <c r="W38" s="2"/>
      <c r="X38" s="2"/>
      <c r="Y38" s="2"/>
      <c r="Z38" s="2"/>
      <c r="AA38" s="2"/>
      <c r="AB38" s="2"/>
      <c r="AC38" s="2"/>
      <c r="AS38" s="78" t="s">
        <v>66</v>
      </c>
      <c r="AT38" s="78" t="s">
        <v>108</v>
      </c>
    </row>
    <row r="39" spans="1:46">
      <c r="A39" s="78" t="s">
        <v>105</v>
      </c>
      <c r="B39" s="83" t="s">
        <v>110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AS39" s="78" t="s">
        <v>109</v>
      </c>
      <c r="AT39" s="83" t="s">
        <v>110</v>
      </c>
    </row>
    <row r="40" spans="1:46">
      <c r="A40" s="75">
        <v>1</v>
      </c>
      <c r="B40" s="78" t="s">
        <v>111</v>
      </c>
      <c r="C40" s="89" t="e">
        <f>C34-C36-C37-C38</f>
        <v>#DIV/0!</v>
      </c>
      <c r="D40" s="89" t="e">
        <f>D34-D36-D37-D38</f>
        <v>#DIV/0!</v>
      </c>
      <c r="E40" s="89" t="e">
        <f t="shared" ref="E40:F40" si="45">E34-E36-E37-E38</f>
        <v>#DIV/0!</v>
      </c>
      <c r="F40" s="89" t="e">
        <f t="shared" si="45"/>
        <v>#DIV/0!</v>
      </c>
      <c r="G40" s="89" t="e">
        <f t="shared" ref="G40:R40" si="46">G34-G36-G37-G38</f>
        <v>#DIV/0!</v>
      </c>
      <c r="H40" s="89" t="e">
        <f t="shared" si="46"/>
        <v>#DIV/0!</v>
      </c>
      <c r="I40" s="89" t="e">
        <f t="shared" si="46"/>
        <v>#DIV/0!</v>
      </c>
      <c r="J40" s="89" t="e">
        <f t="shared" si="46"/>
        <v>#DIV/0!</v>
      </c>
      <c r="K40" s="89" t="e">
        <f t="shared" si="46"/>
        <v>#DIV/0!</v>
      </c>
      <c r="L40" s="89" t="e">
        <f t="shared" si="46"/>
        <v>#DIV/0!</v>
      </c>
      <c r="M40" s="89" t="e">
        <f t="shared" si="46"/>
        <v>#DIV/0!</v>
      </c>
      <c r="N40" s="89" t="e">
        <f t="shared" si="46"/>
        <v>#DIV/0!</v>
      </c>
      <c r="O40" s="89" t="e">
        <f t="shared" si="46"/>
        <v>#DIV/0!</v>
      </c>
      <c r="P40" s="89" t="e">
        <f t="shared" si="46"/>
        <v>#DIV/0!</v>
      </c>
      <c r="Q40" s="89" t="e">
        <f t="shared" si="46"/>
        <v>#DIV/0!</v>
      </c>
      <c r="R40" s="89" t="e">
        <f t="shared" si="46"/>
        <v>#DIV/0!</v>
      </c>
      <c r="S40" s="89"/>
      <c r="AS40" s="78" t="s">
        <v>55</v>
      </c>
      <c r="AT40" s="78" t="s">
        <v>111</v>
      </c>
    </row>
    <row r="41" spans="1:46">
      <c r="A41" s="75">
        <v>2</v>
      </c>
      <c r="B41" s="78" t="s">
        <v>112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AS41" s="78" t="s">
        <v>57</v>
      </c>
      <c r="AT41" s="78" t="s">
        <v>112</v>
      </c>
    </row>
    <row r="42" spans="1:46">
      <c r="A42" s="78" t="s">
        <v>109</v>
      </c>
      <c r="B42" s="83" t="s">
        <v>114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AS42" s="78" t="s">
        <v>113</v>
      </c>
      <c r="AT42" s="83" t="s">
        <v>114</v>
      </c>
    </row>
    <row r="43" spans="1:46">
      <c r="A43" s="75">
        <v>1</v>
      </c>
      <c r="B43" s="90" t="s">
        <v>115</v>
      </c>
      <c r="C43" s="87">
        <f>'2025年'!C43</f>
        <v>111.70335</v>
      </c>
      <c r="D43" s="87">
        <f>'2025年'!D43</f>
        <v>31.7592</v>
      </c>
      <c r="E43" s="87">
        <f>'2025年'!E43</f>
        <v>0</v>
      </c>
      <c r="F43" s="87">
        <f>'2025年'!F43</f>
        <v>0</v>
      </c>
      <c r="G43" s="87">
        <f>'2025年'!G43</f>
        <v>0</v>
      </c>
      <c r="H43" s="87">
        <f>'2025年'!H43</f>
        <v>0</v>
      </c>
      <c r="I43" s="87">
        <f>'2025年'!I43</f>
        <v>0</v>
      </c>
      <c r="J43" s="87">
        <f>'2025年'!J43</f>
        <v>0</v>
      </c>
      <c r="K43" s="87">
        <f>'2025年'!K43</f>
        <v>0</v>
      </c>
      <c r="L43" s="87">
        <f>'2025年'!L43</f>
        <v>0</v>
      </c>
      <c r="M43" s="87">
        <f>'2025年'!M43</f>
        <v>0</v>
      </c>
      <c r="N43" s="87">
        <f>'2025年'!N43</f>
        <v>0</v>
      </c>
      <c r="O43" s="87">
        <f>'2025年'!O43</f>
        <v>0</v>
      </c>
      <c r="P43" s="87">
        <f>'2025年'!P43</f>
        <v>0</v>
      </c>
      <c r="Q43" s="87">
        <f>'2025年'!Q43</f>
        <v>0</v>
      </c>
      <c r="R43" s="87">
        <f>'2025年'!R43</f>
        <v>0</v>
      </c>
      <c r="S43" s="89"/>
      <c r="AS43" s="78" t="s">
        <v>55</v>
      </c>
      <c r="AT43" s="78" t="s">
        <v>115</v>
      </c>
    </row>
    <row r="44" spans="1:46">
      <c r="A44" s="75">
        <v>2</v>
      </c>
      <c r="B44" s="90" t="s">
        <v>116</v>
      </c>
      <c r="C44" s="87">
        <f>'2025年'!C44</f>
        <v>23.288456</v>
      </c>
      <c r="D44" s="87">
        <f>'2025年'!D44</f>
        <v>6.6213119999999996</v>
      </c>
      <c r="E44" s="87">
        <f>'2025年'!E44</f>
        <v>0</v>
      </c>
      <c r="F44" s="87">
        <f>'2025年'!F44</f>
        <v>0</v>
      </c>
      <c r="G44" s="87">
        <f>'2025年'!G44</f>
        <v>0</v>
      </c>
      <c r="H44" s="87">
        <f>'2025年'!H44</f>
        <v>0</v>
      </c>
      <c r="I44" s="87">
        <f>'2025年'!I44</f>
        <v>0</v>
      </c>
      <c r="J44" s="87">
        <f>'2025年'!J44</f>
        <v>0</v>
      </c>
      <c r="K44" s="87">
        <f>'2025年'!K44</f>
        <v>0</v>
      </c>
      <c r="L44" s="87">
        <f>'2025年'!L44</f>
        <v>0</v>
      </c>
      <c r="M44" s="87">
        <f>'2025年'!M44</f>
        <v>0</v>
      </c>
      <c r="N44" s="87">
        <f>'2025年'!N44</f>
        <v>0</v>
      </c>
      <c r="O44" s="87">
        <f>'2025年'!O44</f>
        <v>0</v>
      </c>
      <c r="P44" s="87">
        <f>'2025年'!P44</f>
        <v>0</v>
      </c>
      <c r="Q44" s="87">
        <f>'2025年'!Q44</f>
        <v>0</v>
      </c>
      <c r="R44" s="87">
        <f>'2025年'!R44</f>
        <v>0</v>
      </c>
      <c r="S44" s="89"/>
      <c r="AS44" s="78" t="s">
        <v>57</v>
      </c>
      <c r="AT44" s="78" t="s">
        <v>116</v>
      </c>
    </row>
    <row r="45" spans="1:46">
      <c r="A45" s="75">
        <v>3</v>
      </c>
      <c r="B45" s="90" t="s">
        <v>117</v>
      </c>
      <c r="C45" s="87">
        <f>'2025年'!C45</f>
        <v>35.745072</v>
      </c>
      <c r="D45" s="87">
        <f>'2025年'!D45</f>
        <v>10.162944</v>
      </c>
      <c r="E45" s="87">
        <f>'2025年'!E45</f>
        <v>0</v>
      </c>
      <c r="F45" s="87">
        <f>'2025年'!F45</f>
        <v>0</v>
      </c>
      <c r="G45" s="87">
        <f>'2025年'!G45</f>
        <v>0</v>
      </c>
      <c r="H45" s="87">
        <f>'2025年'!H45</f>
        <v>0</v>
      </c>
      <c r="I45" s="87">
        <f>'2025年'!I45</f>
        <v>0</v>
      </c>
      <c r="J45" s="87">
        <f>'2025年'!J45</f>
        <v>0</v>
      </c>
      <c r="K45" s="87">
        <f>'2025年'!K45</f>
        <v>0</v>
      </c>
      <c r="L45" s="87">
        <f>'2025年'!L45</f>
        <v>0</v>
      </c>
      <c r="M45" s="87">
        <f>'2025年'!M45</f>
        <v>0</v>
      </c>
      <c r="N45" s="87">
        <f>'2025年'!N45</f>
        <v>0</v>
      </c>
      <c r="O45" s="87">
        <f>'2025年'!O45</f>
        <v>0</v>
      </c>
      <c r="P45" s="87">
        <f>'2025年'!P45</f>
        <v>0</v>
      </c>
      <c r="Q45" s="87">
        <f>'2025年'!Q45</f>
        <v>0</v>
      </c>
      <c r="R45" s="87">
        <f>'2025年'!R45</f>
        <v>0</v>
      </c>
      <c r="S45" s="89"/>
      <c r="AS45" s="78" t="s">
        <v>102</v>
      </c>
      <c r="AT45" s="78" t="s">
        <v>117</v>
      </c>
    </row>
    <row r="46" spans="1:46" s="73" customFormat="1">
      <c r="A46" s="75">
        <v>4</v>
      </c>
      <c r="B46" s="90" t="s">
        <v>118</v>
      </c>
      <c r="C46" s="95" t="e">
        <f>C21/C6</f>
        <v>#DIV/0!</v>
      </c>
      <c r="D46" s="95" t="e">
        <f>D21/D6</f>
        <v>#DIV/0!</v>
      </c>
      <c r="E46" s="95" t="e">
        <f t="shared" ref="E46:F46" si="47">E21/E6</f>
        <v>#DIV/0!</v>
      </c>
      <c r="F46" s="95" t="e">
        <f t="shared" si="47"/>
        <v>#DIV/0!</v>
      </c>
      <c r="G46" s="95" t="e">
        <f t="shared" ref="G46:R46" si="48">G21/G6</f>
        <v>#DIV/0!</v>
      </c>
      <c r="H46" s="95" t="e">
        <f t="shared" si="48"/>
        <v>#DIV/0!</v>
      </c>
      <c r="I46" s="95" t="e">
        <f t="shared" si="48"/>
        <v>#DIV/0!</v>
      </c>
      <c r="J46" s="95" t="e">
        <f t="shared" si="48"/>
        <v>#DIV/0!</v>
      </c>
      <c r="K46" s="95" t="e">
        <f t="shared" si="48"/>
        <v>#DIV/0!</v>
      </c>
      <c r="L46" s="95" t="e">
        <f t="shared" si="48"/>
        <v>#DIV/0!</v>
      </c>
      <c r="M46" s="95" t="e">
        <f t="shared" si="48"/>
        <v>#DIV/0!</v>
      </c>
      <c r="N46" s="95" t="e">
        <f t="shared" si="48"/>
        <v>#DIV/0!</v>
      </c>
      <c r="O46" s="95" t="e">
        <f t="shared" si="48"/>
        <v>#DIV/0!</v>
      </c>
      <c r="P46" s="95" t="e">
        <f t="shared" si="48"/>
        <v>#DIV/0!</v>
      </c>
      <c r="Q46" s="95" t="e">
        <f t="shared" si="48"/>
        <v>#DIV/0!</v>
      </c>
      <c r="R46" s="95" t="e">
        <f t="shared" si="48"/>
        <v>#DIV/0!</v>
      </c>
      <c r="S46" s="95"/>
      <c r="AS46" s="90" t="s">
        <v>62</v>
      </c>
      <c r="AT46" s="90" t="s">
        <v>120</v>
      </c>
    </row>
    <row r="47" spans="1:46" s="73" customFormat="1">
      <c r="A47" s="75">
        <v>5</v>
      </c>
      <c r="B47" s="90" t="s">
        <v>120</v>
      </c>
      <c r="C47" s="87">
        <f>'2025年'!C47</f>
        <v>48.066289999999995</v>
      </c>
      <c r="D47" s="87">
        <f>'2025年'!D47</f>
        <v>13.666079999999997</v>
      </c>
      <c r="E47" s="87">
        <f>'2025年'!E47</f>
        <v>0</v>
      </c>
      <c r="F47" s="87">
        <f>'2025年'!F47</f>
        <v>0</v>
      </c>
      <c r="G47" s="87">
        <f>'2025年'!G47</f>
        <v>0</v>
      </c>
      <c r="H47" s="87">
        <f>'2025年'!H47</f>
        <v>0</v>
      </c>
      <c r="I47" s="87">
        <f>'2025年'!I47</f>
        <v>0</v>
      </c>
      <c r="J47" s="87">
        <f>'2025年'!J47</f>
        <v>0</v>
      </c>
      <c r="K47" s="87">
        <f>'2025年'!K47</f>
        <v>0</v>
      </c>
      <c r="L47" s="87">
        <f>'2025年'!L47</f>
        <v>0</v>
      </c>
      <c r="M47" s="87">
        <f>'2025年'!M47</f>
        <v>0</v>
      </c>
      <c r="N47" s="87">
        <f>'2025年'!N47</f>
        <v>0</v>
      </c>
      <c r="O47" s="87">
        <f>'2025年'!O47</f>
        <v>0</v>
      </c>
      <c r="P47" s="87">
        <f>'2025年'!P47</f>
        <v>0</v>
      </c>
      <c r="Q47" s="87">
        <f>'2025年'!Q47</f>
        <v>0</v>
      </c>
      <c r="R47" s="87">
        <f>'2025年'!R47</f>
        <v>0</v>
      </c>
      <c r="S47" s="95"/>
      <c r="AS47" s="90" t="s">
        <v>62</v>
      </c>
      <c r="AT47" s="90" t="s">
        <v>120</v>
      </c>
    </row>
    <row r="48" spans="1:46">
      <c r="A48" s="78" t="s">
        <v>113</v>
      </c>
      <c r="B48" s="83" t="s">
        <v>131</v>
      </c>
      <c r="C48" s="89" t="e">
        <f>C40-C43-C44-C45-C47-C46</f>
        <v>#DIV/0!</v>
      </c>
      <c r="D48" s="89" t="e">
        <f>D40-D43-D44-D45-D47-D46</f>
        <v>#DIV/0!</v>
      </c>
      <c r="E48" s="89" t="e">
        <f t="shared" ref="E48:F48" si="49">E40-E43-E44-E45-E47-E46</f>
        <v>#DIV/0!</v>
      </c>
      <c r="F48" s="89" t="e">
        <f t="shared" si="49"/>
        <v>#DIV/0!</v>
      </c>
      <c r="G48" s="89" t="e">
        <f t="shared" ref="G48:R48" si="50">G40-G43-G44-G45-G47-G46</f>
        <v>#DIV/0!</v>
      </c>
      <c r="H48" s="89" t="e">
        <f t="shared" si="50"/>
        <v>#DIV/0!</v>
      </c>
      <c r="I48" s="89" t="e">
        <f t="shared" si="50"/>
        <v>#DIV/0!</v>
      </c>
      <c r="J48" s="89" t="e">
        <f t="shared" si="50"/>
        <v>#DIV/0!</v>
      </c>
      <c r="K48" s="89" t="e">
        <f t="shared" si="50"/>
        <v>#DIV/0!</v>
      </c>
      <c r="L48" s="89" t="e">
        <f t="shared" si="50"/>
        <v>#DIV/0!</v>
      </c>
      <c r="M48" s="89" t="e">
        <f t="shared" si="50"/>
        <v>#DIV/0!</v>
      </c>
      <c r="N48" s="89" t="e">
        <f t="shared" si="50"/>
        <v>#DIV/0!</v>
      </c>
      <c r="O48" s="89" t="e">
        <f t="shared" si="50"/>
        <v>#DIV/0!</v>
      </c>
      <c r="P48" s="89" t="e">
        <f t="shared" si="50"/>
        <v>#DIV/0!</v>
      </c>
      <c r="Q48" s="89" t="e">
        <f t="shared" si="50"/>
        <v>#DIV/0!</v>
      </c>
      <c r="R48" s="89" t="e">
        <f t="shared" si="50"/>
        <v>#DIV/0!</v>
      </c>
      <c r="S48" s="89"/>
      <c r="AS48" s="78" t="s">
        <v>130</v>
      </c>
      <c r="AT48" s="83" t="s">
        <v>131</v>
      </c>
    </row>
    <row r="51" spans="2:24"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4" spans="2:24">
      <c r="B54" s="2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2"/>
      <c r="U54" s="2"/>
      <c r="V54" s="2"/>
      <c r="W54" s="2"/>
      <c r="X54" s="2"/>
    </row>
    <row r="55" spans="2:24">
      <c r="B55" s="2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2"/>
      <c r="U55" s="2"/>
      <c r="V55" s="2"/>
      <c r="W55" s="2"/>
      <c r="X55" s="2"/>
    </row>
    <row r="56" spans="2:24">
      <c r="B56" s="2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2"/>
      <c r="U56" s="2"/>
      <c r="V56" s="2"/>
      <c r="W56" s="2"/>
      <c r="X56" s="2"/>
    </row>
    <row r="57" spans="2:24">
      <c r="B57" s="2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2"/>
      <c r="U57" s="2"/>
      <c r="V57" s="2"/>
      <c r="W57" s="2"/>
      <c r="X57" s="2"/>
    </row>
    <row r="58" spans="2:24">
      <c r="B58" s="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2"/>
      <c r="U58" s="2"/>
      <c r="V58" s="2"/>
      <c r="W58" s="2"/>
      <c r="X58" s="2"/>
    </row>
    <row r="59" spans="2:24">
      <c r="B59" s="2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2"/>
      <c r="U59" s="2"/>
      <c r="V59" s="2"/>
      <c r="W59" s="2"/>
      <c r="X59" s="2"/>
    </row>
    <row r="60" spans="2:24">
      <c r="B60" s="2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2"/>
      <c r="U60" s="2"/>
      <c r="V60" s="2"/>
      <c r="W60" s="2"/>
      <c r="X60" s="2"/>
    </row>
    <row r="61" spans="2:24">
      <c r="B61" s="2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2"/>
      <c r="U61" s="2"/>
      <c r="V61" s="2"/>
      <c r="W61" s="2"/>
      <c r="X61" s="2"/>
    </row>
    <row r="62" spans="2:24">
      <c r="B62" s="2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2"/>
      <c r="U62" s="2"/>
      <c r="V62" s="2"/>
      <c r="W62" s="2"/>
      <c r="X62" s="2"/>
    </row>
    <row r="63" spans="2:24">
      <c r="B63" s="2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2"/>
      <c r="U63" s="2"/>
      <c r="V63" s="2"/>
      <c r="W63" s="2"/>
      <c r="X63" s="2"/>
    </row>
    <row r="64" spans="2:24">
      <c r="B64" s="2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2"/>
      <c r="U64" s="2"/>
      <c r="V64" s="2"/>
      <c r="W64" s="2"/>
      <c r="X64" s="2"/>
    </row>
    <row r="65" spans="2:24">
      <c r="B65" s="2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2"/>
      <c r="U65" s="2"/>
      <c r="V65" s="2"/>
      <c r="W65" s="2"/>
      <c r="X65" s="2"/>
    </row>
    <row r="66" spans="2:24">
      <c r="B66" s="2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2"/>
      <c r="U66" s="2"/>
      <c r="V66" s="2"/>
      <c r="W66" s="2"/>
      <c r="X66" s="2"/>
    </row>
    <row r="67" spans="2:24">
      <c r="B67" s="2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2"/>
    </row>
    <row r="68" spans="2:24">
      <c r="B68" s="2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2"/>
    </row>
    <row r="69" spans="2:24">
      <c r="B69" s="2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2"/>
    </row>
    <row r="70" spans="2:24">
      <c r="B70" s="2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2"/>
    </row>
    <row r="71" spans="2:24">
      <c r="B71" s="2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2"/>
    </row>
    <row r="72" spans="2:24">
      <c r="B72" s="2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2"/>
    </row>
    <row r="73" spans="2:24">
      <c r="B73" s="2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2"/>
    </row>
    <row r="74" spans="2:24">
      <c r="B74" s="2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J29" sqref="J29"/>
    </sheetView>
  </sheetViews>
  <sheetFormatPr defaultColWidth="9" defaultRowHeight="13.5"/>
  <cols>
    <col min="1" max="1" width="19.5" customWidth="1"/>
    <col min="2" max="2" width="14.875" style="4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4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39" t="s">
        <v>305</v>
      </c>
      <c r="B1" s="239"/>
      <c r="C1" s="239"/>
      <c r="E1" s="240" t="s">
        <v>256</v>
      </c>
      <c r="F1" s="241"/>
      <c r="G1" s="241"/>
      <c r="H1" s="242"/>
    </row>
    <row r="2" spans="1:10" ht="23.45" customHeight="1">
      <c r="A2" s="45" t="s">
        <v>1</v>
      </c>
      <c r="B2" s="46" t="s">
        <v>151</v>
      </c>
      <c r="C2" s="47" t="s">
        <v>152</v>
      </c>
      <c r="E2" s="48" t="s">
        <v>153</v>
      </c>
      <c r="F2" s="48" t="s">
        <v>1</v>
      </c>
      <c r="G2" s="49" t="s">
        <v>154</v>
      </c>
      <c r="H2" s="48" t="s">
        <v>152</v>
      </c>
    </row>
    <row r="3" spans="1:10" ht="15.75" customHeight="1">
      <c r="A3" s="50" t="s">
        <v>155</v>
      </c>
      <c r="B3" s="51"/>
      <c r="C3" s="52"/>
      <c r="E3" s="247" t="s">
        <v>156</v>
      </c>
      <c r="F3" s="53" t="s">
        <v>157</v>
      </c>
      <c r="G3" s="54"/>
      <c r="H3" s="53"/>
    </row>
    <row r="4" spans="1:10" ht="15.75" customHeight="1">
      <c r="A4" s="50" t="s">
        <v>158</v>
      </c>
      <c r="B4" s="51"/>
      <c r="C4" s="55"/>
      <c r="E4" s="248"/>
      <c r="F4" s="53" t="s">
        <v>159</v>
      </c>
      <c r="G4" s="54"/>
      <c r="H4" s="53"/>
    </row>
    <row r="5" spans="1:10" ht="15.75" customHeight="1">
      <c r="A5" s="50" t="s">
        <v>160</v>
      </c>
      <c r="B5" s="56">
        <f>SUM(G3:G4)</f>
        <v>0</v>
      </c>
      <c r="C5" s="52"/>
      <c r="E5" s="249" t="s">
        <v>161</v>
      </c>
      <c r="F5" s="57" t="s">
        <v>162</v>
      </c>
      <c r="G5" s="54"/>
      <c r="H5" s="57"/>
    </row>
    <row r="6" spans="1:10" ht="15.75" customHeight="1">
      <c r="A6" s="50" t="s">
        <v>163</v>
      </c>
      <c r="B6" s="51"/>
      <c r="C6" s="52"/>
      <c r="E6" s="250"/>
      <c r="F6" s="57" t="s">
        <v>164</v>
      </c>
      <c r="G6" s="54">
        <v>13</v>
      </c>
      <c r="H6" s="170"/>
      <c r="J6">
        <v>10000</v>
      </c>
    </row>
    <row r="7" spans="1:10" ht="15.75" customHeight="1">
      <c r="A7" s="58" t="s">
        <v>165</v>
      </c>
      <c r="B7" s="56">
        <f>SUM(B3:B6)</f>
        <v>0</v>
      </c>
      <c r="C7" s="52"/>
      <c r="E7" s="250"/>
      <c r="F7" s="57" t="s">
        <v>166</v>
      </c>
      <c r="G7" s="54"/>
      <c r="H7" s="170"/>
    </row>
    <row r="8" spans="1:10" ht="15.75" customHeight="1">
      <c r="A8" s="59" t="s">
        <v>167</v>
      </c>
      <c r="B8" s="56">
        <f>SUM(G5:G12)</f>
        <v>20</v>
      </c>
      <c r="C8" s="60"/>
      <c r="E8" s="250"/>
      <c r="F8" s="57" t="s">
        <v>168</v>
      </c>
      <c r="G8" s="54"/>
      <c r="H8" s="170"/>
    </row>
    <row r="9" spans="1:10" ht="15.75" customHeight="1">
      <c r="A9" s="50" t="s">
        <v>169</v>
      </c>
      <c r="B9" s="56">
        <f>SUM(G13:G21)</f>
        <v>11.5</v>
      </c>
      <c r="C9" s="52"/>
      <c r="E9" s="250"/>
      <c r="F9" s="53" t="s">
        <v>170</v>
      </c>
      <c r="G9" s="54">
        <v>7</v>
      </c>
      <c r="H9" s="170"/>
    </row>
    <row r="10" spans="1:10" ht="15.75" customHeight="1">
      <c r="A10" s="55" t="s">
        <v>51</v>
      </c>
      <c r="B10" s="56">
        <f>B7+B8+B9</f>
        <v>31.5</v>
      </c>
      <c r="C10" s="52"/>
      <c r="E10" s="250"/>
      <c r="F10" s="53" t="s">
        <v>171</v>
      </c>
      <c r="G10" s="61"/>
      <c r="H10" s="170"/>
    </row>
    <row r="11" spans="1:10" ht="15.75" customHeight="1">
      <c r="E11" s="250"/>
      <c r="F11" s="53" t="s">
        <v>172</v>
      </c>
      <c r="G11" s="61"/>
      <c r="H11" s="170"/>
    </row>
    <row r="12" spans="1:10" ht="15.75" customHeight="1">
      <c r="E12" s="251"/>
      <c r="F12" s="53" t="s">
        <v>173</v>
      </c>
      <c r="G12" s="54" t="s">
        <v>28</v>
      </c>
      <c r="H12" s="170"/>
    </row>
    <row r="13" spans="1:10" ht="15.75" customHeight="1">
      <c r="E13" s="247" t="s">
        <v>83</v>
      </c>
      <c r="F13" s="53" t="s">
        <v>174</v>
      </c>
      <c r="G13" s="54"/>
      <c r="H13" s="171"/>
    </row>
    <row r="14" spans="1:10" ht="15.75" customHeight="1">
      <c r="E14" s="248"/>
      <c r="F14" s="53" t="s">
        <v>175</v>
      </c>
      <c r="G14" s="54">
        <v>0.5</v>
      </c>
      <c r="H14" s="173"/>
    </row>
    <row r="15" spans="1:10" ht="15.75" customHeight="1">
      <c r="E15" s="248"/>
      <c r="F15" s="53" t="s">
        <v>176</v>
      </c>
      <c r="G15" s="54">
        <v>0.5</v>
      </c>
      <c r="H15" s="173"/>
    </row>
    <row r="16" spans="1:10" ht="15.75" customHeight="1">
      <c r="E16" s="248"/>
      <c r="F16" s="53" t="s">
        <v>177</v>
      </c>
      <c r="G16" s="54">
        <v>0.2</v>
      </c>
      <c r="H16" s="173"/>
    </row>
    <row r="17" spans="1:12" ht="15.75" customHeight="1">
      <c r="E17" s="248"/>
      <c r="F17" s="53" t="s">
        <v>178</v>
      </c>
      <c r="G17" s="54"/>
      <c r="H17" s="171"/>
    </row>
    <row r="18" spans="1:12" ht="15.75" customHeight="1">
      <c r="E18" s="248"/>
      <c r="F18" s="53" t="s">
        <v>179</v>
      </c>
      <c r="G18" s="54">
        <v>0.3</v>
      </c>
      <c r="H18" s="172"/>
    </row>
    <row r="19" spans="1:12" ht="15.75" customHeight="1">
      <c r="E19" s="248"/>
      <c r="F19" s="53" t="s">
        <v>180</v>
      </c>
      <c r="G19" s="54">
        <v>10</v>
      </c>
      <c r="H19" s="172"/>
      <c r="I19" s="174"/>
    </row>
    <row r="20" spans="1:12" ht="15.75" customHeight="1">
      <c r="E20" s="248"/>
      <c r="F20" s="53" t="s">
        <v>181</v>
      </c>
      <c r="G20" s="54"/>
      <c r="H20" s="53"/>
    </row>
    <row r="21" spans="1:12" ht="15.75" customHeight="1">
      <c r="E21" s="252"/>
      <c r="F21" s="53" t="s">
        <v>36</v>
      </c>
      <c r="G21" s="54"/>
      <c r="H21" s="53"/>
      <c r="I21" s="223" t="s">
        <v>302</v>
      </c>
      <c r="J21" s="223" t="s">
        <v>303</v>
      </c>
    </row>
    <row r="22" spans="1:12" ht="27.75" customHeight="1">
      <c r="E22" s="48" t="s">
        <v>51</v>
      </c>
      <c r="F22" s="53"/>
      <c r="G22" s="49">
        <f>SUM(G3:G21)</f>
        <v>31.5</v>
      </c>
      <c r="H22" s="62"/>
      <c r="I22">
        <v>202509</v>
      </c>
      <c r="J22" s="222">
        <f>G22*J6/销量!S16</f>
        <v>2.6694915254237288</v>
      </c>
    </row>
    <row r="23" spans="1:12" ht="30.75" customHeight="1">
      <c r="E23" s="243" t="s">
        <v>182</v>
      </c>
      <c r="F23" s="243"/>
      <c r="G23" s="243"/>
      <c r="H23" s="243"/>
    </row>
    <row r="25" spans="1:12" ht="24.75" customHeight="1">
      <c r="A25" s="63" t="s">
        <v>1</v>
      </c>
      <c r="B25" s="63" t="s">
        <v>151</v>
      </c>
      <c r="C25" s="63" t="s">
        <v>183</v>
      </c>
      <c r="D25" s="64" t="s">
        <v>271</v>
      </c>
      <c r="E25" s="64" t="s">
        <v>49</v>
      </c>
      <c r="F25" s="64" t="s">
        <v>50</v>
      </c>
      <c r="G25" s="64" t="s">
        <v>184</v>
      </c>
      <c r="H25" s="64" t="s">
        <v>185</v>
      </c>
      <c r="I25" s="64" t="s">
        <v>186</v>
      </c>
      <c r="J25" s="64" t="s">
        <v>258</v>
      </c>
      <c r="K25" s="64" t="s">
        <v>51</v>
      </c>
      <c r="L25" s="69" t="s">
        <v>187</v>
      </c>
    </row>
    <row r="26" spans="1:12" ht="16.5">
      <c r="A26" s="65" t="s">
        <v>147</v>
      </c>
      <c r="B26" s="66">
        <f>(B5+B8)*10000</f>
        <v>200000</v>
      </c>
      <c r="C26" s="67">
        <v>0.05</v>
      </c>
      <c r="D26" s="68">
        <f>B26*(1-C26)/4</f>
        <v>47500</v>
      </c>
      <c r="E26" s="68">
        <f t="shared" ref="E26:F26" si="0">D26</f>
        <v>47500</v>
      </c>
      <c r="F26" s="68">
        <f t="shared" si="0"/>
        <v>47500</v>
      </c>
      <c r="G26" s="68">
        <f t="shared" ref="G26:G27" si="1">F26</f>
        <v>47500</v>
      </c>
      <c r="H26" s="68"/>
      <c r="I26" s="68"/>
      <c r="J26" s="68"/>
      <c r="K26" s="68">
        <f>SUM(D26:J26)</f>
        <v>190000</v>
      </c>
      <c r="L26" s="68">
        <f>B26*0.05</f>
        <v>10000</v>
      </c>
    </row>
    <row r="27" spans="1:12" ht="16.5">
      <c r="A27" s="65" t="s">
        <v>188</v>
      </c>
      <c r="B27" s="66">
        <f>B9*10000</f>
        <v>115000</v>
      </c>
      <c r="C27" s="68"/>
      <c r="D27" s="68">
        <f>B27/4</f>
        <v>28750</v>
      </c>
      <c r="E27" s="68">
        <f t="shared" ref="E27:F27" si="2">D27</f>
        <v>28750</v>
      </c>
      <c r="F27" s="68">
        <f t="shared" si="2"/>
        <v>28750</v>
      </c>
      <c r="G27" s="68">
        <f t="shared" si="1"/>
        <v>28750</v>
      </c>
      <c r="H27" s="68"/>
      <c r="I27" s="68"/>
      <c r="J27" s="68"/>
      <c r="K27" s="68">
        <f>SUM(D27:J27)</f>
        <v>115000</v>
      </c>
      <c r="L27" s="68"/>
    </row>
    <row r="28" spans="1:12" ht="26.25" customHeight="1">
      <c r="A28" s="244" t="s">
        <v>139</v>
      </c>
      <c r="B28" s="245"/>
      <c r="C28" s="246"/>
      <c r="D28" s="68">
        <f>SUM(D26:D27)</f>
        <v>76250</v>
      </c>
      <c r="E28" s="68">
        <f t="shared" ref="E28:K28" si="3">SUM(E26:E27)</f>
        <v>76250</v>
      </c>
      <c r="F28" s="68">
        <f t="shared" si="3"/>
        <v>76250</v>
      </c>
      <c r="G28" s="68">
        <f t="shared" si="3"/>
        <v>76250</v>
      </c>
      <c r="H28" s="68">
        <f t="shared" si="3"/>
        <v>0</v>
      </c>
      <c r="I28" s="68">
        <f t="shared" si="3"/>
        <v>0</v>
      </c>
      <c r="J28" s="68">
        <f t="shared" si="3"/>
        <v>0</v>
      </c>
      <c r="K28" s="68">
        <f t="shared" si="3"/>
        <v>305000</v>
      </c>
      <c r="L28" s="7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2025-09-22T08:06:11Z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