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608" windowHeight="6840" tabRatio="907" firstSheet="1" activeTab="5"/>
  </bookViews>
  <sheets>
    <sheet name="发泡修补-计件工资" sheetId="2" r:id="rId1"/>
    <sheet name="修补数量统计" sheetId="5" r:id="rId2"/>
    <sheet name="修补数统计" sheetId="8" r:id="rId3"/>
    <sheet name="生产统计" sheetId="9" r:id="rId4"/>
    <sheet name="发泡生产统计1" sheetId="12" r:id="rId5"/>
    <sheet name="工资1" sheetId="6" r:id="rId6"/>
    <sheet name="工资2" sheetId="7" r:id="rId7"/>
    <sheet name="工资3" sheetId="10" r:id="rId8"/>
    <sheet name="工资4" sheetId="11" r:id="rId9"/>
    <sheet name="汇总" sheetId="13" r:id="rId10"/>
  </sheets>
  <externalReferences>
    <externalReference r:id="rId11"/>
    <externalReference r:id="rId12"/>
    <externalReference r:id="rId13"/>
  </externalReferences>
  <definedNames>
    <definedName name="_xlnm._FilterDatabase" localSheetId="5" hidden="1">工资1!$3:$32</definedName>
    <definedName name="_xlnm._FilterDatabase" localSheetId="9" hidden="1">汇总!$A$4:$XEV$95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1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1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</commentList>
</comments>
</file>

<file path=xl/comments10.xml><?xml version="1.0" encoding="utf-8"?>
<comments xmlns="http://schemas.openxmlformats.org/spreadsheetml/2006/main">
  <authors>
    <author>Administrator</author>
  </authors>
  <commentList>
    <comment ref="AD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班长转正，领导要求管理津贴从其它员工的二次分配里来</t>
        </r>
      </text>
    </comment>
    <comment ref="AA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  <comment ref="F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手工考勤11天，15号十一点多不舒服去医院了</t>
        </r>
      </text>
    </comment>
    <comment ref="F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手工考勤29天缺卡5次剔除3天</t>
        </r>
      </text>
    </comment>
    <comment ref="F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手工考勤28天，缺卡3次</t>
        </r>
      </text>
    </comment>
    <comment ref="B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打磨天数少，没有一半的时间</t>
        </r>
      </text>
    </comment>
    <comment ref="X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  <comment ref="W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  <comment ref="U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支援外出焊接</t>
        </r>
      </text>
    </comment>
    <comment ref="F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手工考勤19天打√20天，最后写的19天，然后11号有打卡，手工写的休
11号是休息了转12号上白班的</t>
        </r>
      </text>
    </comment>
    <comment ref="F43" authorId="0">
      <text>
        <r>
          <rPr>
            <b/>
            <sz val="9"/>
            <rFont val="宋体"/>
            <charset val="134"/>
          </rPr>
          <t>Administrator:
手工考勤26天</t>
        </r>
        <r>
          <rPr>
            <sz val="9"/>
            <rFont val="宋体"/>
            <charset val="134"/>
          </rPr>
          <t xml:space="preserve">
14号上午请两小时，下午两小时</t>
        </r>
      </text>
    </comment>
    <comment ref="T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加焊接5天与修补为返修工资1500</t>
        </r>
      </text>
    </comment>
    <comment ref="C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李利群</t>
        </r>
      </text>
    </comment>
    <comment ref="C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彭建</t>
        </r>
      </text>
    </comment>
    <comment ref="C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陈夏军</t>
        </r>
      </text>
    </comment>
    <comment ref="F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手工考勤27天
8.7 18:点-20点事假2h</t>
        </r>
      </text>
    </comment>
    <comment ref="F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手工考勤30天，缺卡3次</t>
        </r>
      </text>
    </comment>
    <comment ref="T60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加入焊接5天工资1150</t>
        </r>
      </text>
    </comment>
    <comment ref="F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焊接核算9天修补12天计件剩余9天</t>
        </r>
      </text>
    </comment>
    <comment ref="G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原稿13修正为9</t>
        </r>
      </text>
    </comment>
    <comment ref="C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李立争</t>
        </r>
      </text>
    </comment>
    <comment ref="G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原稿9修正为5</t>
        </r>
      </text>
    </comment>
    <comment ref="T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焊接6天工资</t>
        </r>
      </text>
    </comment>
    <comment ref="G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焊接核算22天发泡3天</t>
        </r>
      </text>
    </comment>
    <comment ref="G7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原稿5天，实际按照3天其他按照小时折算天数核算</t>
        </r>
      </text>
    </comment>
    <comment ref="G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原稿5天，实际按照3天其他按照小时折算天数核算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微软用户</author>
  </authors>
  <commentList>
    <comment ref="R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因为修补大坐加了修补加棉工作，所以按照总装焊接修补大坐单价来计算</t>
        </r>
      </text>
    </comment>
    <comment ref="W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返修UN大坐69件难修补产品</t>
        </r>
      </text>
    </comment>
    <comment ref="BZ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返修一体背28件</t>
        </r>
      </text>
    </comment>
    <comment ref="EW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W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上午返修，下午修补UN四分背</t>
        </r>
      </text>
    </comment>
    <comment ref="A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上午返修，下午修补UN六分背</t>
        </r>
      </text>
    </comment>
    <comment ref="AV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G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L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R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W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DS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AB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上午修补，下午请假</t>
        </r>
      </text>
    </comment>
    <comment ref="CY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B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上午修补，下午请假</t>
        </r>
      </text>
    </comment>
    <comment ref="CY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上白班至两点转晚班，返修难修补大坐</t>
        </r>
      </text>
    </comment>
    <comment ref="BK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返修难修补大座100件</t>
        </r>
      </text>
    </comment>
    <comment ref="BP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返修难修补大座100件</t>
        </r>
      </text>
    </comment>
    <comment ref="BU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返修难修补大座100件</t>
        </r>
      </text>
    </comment>
    <comment ref="BZ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返修难修补产品100件</t>
        </r>
      </text>
    </comment>
    <comment ref="CE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返修难修补产品100件</t>
        </r>
      </text>
    </comment>
    <comment ref="CJ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返修难修补产品100件</t>
        </r>
      </text>
    </comment>
    <comment ref="CO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班长请假帮班长代班</t>
        </r>
      </text>
    </comment>
    <comment ref="R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W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CY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R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返修前排背197件</t>
        </r>
      </text>
    </comment>
    <comment ref="W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A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喷脱模剂</t>
        </r>
      </text>
    </comment>
    <comment ref="CY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返修前排背70件</t>
        </r>
      </text>
    </comment>
    <comment ref="EW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W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R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返修前排背257件</t>
        </r>
      </text>
    </comment>
    <comment ref="W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返修前排背38件</t>
        </r>
      </text>
    </comment>
    <comment ref="CY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返修前排背40件</t>
        </r>
      </text>
    </comment>
    <comment ref="EW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W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M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R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CY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6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CY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7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修补大座要贴棉多了一套工序所以单价提高</t>
        </r>
      </text>
    </comment>
    <comment ref="H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M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R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AB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AQ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AV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返修大座30件</t>
        </r>
      </text>
    </comment>
    <comment ref="BK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返修大座7件</t>
        </r>
      </text>
    </comment>
    <comment ref="BZ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返修难修补产品79件</t>
        </r>
      </text>
    </comment>
    <comment ref="CE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返修19件</t>
        </r>
      </text>
    </comment>
    <comment ref="CY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难修补产品</t>
        </r>
      </text>
    </comment>
    <comment ref="CT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I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B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返修31件</t>
        </r>
      </text>
    </comment>
    <comment ref="CJ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DX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M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</t>
        </r>
      </text>
    </comment>
    <comment ref="EW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7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R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再加返修</t>
        </r>
      </text>
    </comment>
    <comment ref="BZ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返修一体背20件</t>
        </r>
      </text>
    </comment>
    <comment ref="R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返修前排背190件</t>
        </r>
      </text>
    </comment>
    <comment ref="CY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CY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R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因四分背无人修补，增加修补85件</t>
        </r>
      </text>
    </comment>
    <comment ref="CY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W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G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9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AG10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V10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0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10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0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AQ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返修大坐</t>
        </r>
      </text>
    </comment>
    <comment ref="AV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A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EW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难修补产品</t>
        </r>
      </text>
    </comment>
    <comment ref="CY1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S1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12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AQ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返修大坐40件</t>
        </r>
      </text>
    </comment>
    <comment ref="BA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K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P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O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返修难修补产品</t>
        </r>
      </text>
    </comment>
    <comment ref="DD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I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N1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AQ1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返修前排背16件</t>
        </r>
      </text>
    </comment>
    <comment ref="D1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BZ1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13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BP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O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T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D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CY1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14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  <comment ref="CJ1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Y1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P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U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BZ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CE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EW1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返修</t>
        </r>
      </text>
    </comment>
    <comment ref="D1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四分背+六分背修补数 </t>
        </r>
      </text>
    </comment>
    <comment ref="E152" authorId="1">
      <text>
        <r>
          <rPr>
            <b/>
            <sz val="9"/>
            <rFont val="宋体"/>
            <charset val="134"/>
          </rPr>
          <t>微软用户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大座需要贴棉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贴无纺布等于四分背+六分背产量
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贴无纺布等于四分背+六分背产量
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E6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8月份样件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8月份样件</t>
        </r>
      </text>
    </comment>
    <comment ref="BO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5月份样件</t>
        </r>
      </text>
    </comment>
    <comment ref="BO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14个样件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AD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班长转正，领导要求管理津贴从其它员工的二次分配里来</t>
        </r>
      </text>
    </comment>
    <comment ref="A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混料</t>
        </r>
      </text>
    </comment>
    <comment ref="E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手工考勤17天
29、25无打卡记录手工上班？缺晚班24下班卡25晚班上班卡？</t>
        </r>
      </text>
    </comment>
    <comment ref="F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手工考勤17天
29、25无打卡记录手工上班？缺晚班24下班卡25晚班上班卡？</t>
        </r>
      </text>
    </comment>
    <comment ref="B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打磨天数少，没有一半的时间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打卡14天
外出支8天</t>
        </r>
      </text>
    </comment>
    <comment ref="U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支援外出焊接</t>
        </r>
      </text>
    </comment>
    <comment ref="T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加8月份为返修产品为极差大座，按照正常修补计件，修补为返修工资1500</t>
        </r>
      </text>
    </comment>
    <comment ref="C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李利群</t>
        </r>
      </text>
    </comment>
    <comment ref="C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彭建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C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陈夏军</t>
        </r>
      </text>
    </comment>
    <comment ref="F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手工考勤25天，10号无打卡记录手工上班，缺卡4次剔除2天</t>
        </r>
      </text>
    </comment>
    <comment ref="T13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加入8月为返修极差产品，按照计件算的，共补1150</t>
        </r>
      </text>
    </comment>
    <comment ref="C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李立争</t>
        </r>
      </text>
    </comment>
  </commentList>
</comments>
</file>

<file path=xl/comments9.xml><?xml version="1.0" encoding="utf-8"?>
<comments xmlns="http://schemas.openxmlformats.org/spreadsheetml/2006/main">
  <authors>
    <author>Administrator</author>
  </authors>
  <commentList>
    <comment ref="F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1-2号发泡车间；3-29焊接24天，缺卡3次剔除1天
10.12工作联系函2号旷工半天</t>
        </r>
      </text>
    </comment>
    <comment ref="T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焊接6天工资</t>
        </r>
      </text>
    </comment>
  </commentList>
</comments>
</file>

<file path=xl/sharedStrings.xml><?xml version="1.0" encoding="utf-8"?>
<sst xmlns="http://schemas.openxmlformats.org/spreadsheetml/2006/main" count="2103" uniqueCount="581">
  <si>
    <t>湖南光华荣昌汽车部件有限公司</t>
  </si>
  <si>
    <r>
      <rPr>
        <sz val="14"/>
        <color theme="1"/>
        <rFont val="宋体"/>
        <charset val="134"/>
        <scheme val="minor"/>
      </rPr>
      <t xml:space="preserve">                      发泡修补产品产量统计表                    </t>
    </r>
    <r>
      <rPr>
        <sz val="11"/>
        <color theme="1"/>
        <rFont val="宋体"/>
        <charset val="134"/>
        <scheme val="minor"/>
      </rPr>
      <t xml:space="preserve"> 主管：肖燕丹</t>
    </r>
  </si>
  <si>
    <t>姓名</t>
  </si>
  <si>
    <r>
      <rPr>
        <sz val="11"/>
        <color theme="1"/>
        <rFont val="宋体"/>
        <charset val="134"/>
        <scheme val="minor"/>
      </rPr>
      <t xml:space="preserve">     </t>
    </r>
    <r>
      <rPr>
        <sz val="9"/>
        <color theme="1"/>
        <rFont val="宋体"/>
        <charset val="134"/>
        <scheme val="minor"/>
      </rPr>
      <t>日期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宋体"/>
        <charset val="134"/>
        <scheme val="minor"/>
      </rPr>
      <t>产品名称</t>
    </r>
  </si>
  <si>
    <t>9月份前排背、前排座、四分背、六分背、后排大座数量</t>
  </si>
  <si>
    <t>合计</t>
  </si>
  <si>
    <t>单价</t>
  </si>
  <si>
    <t>袁珊珊</t>
  </si>
  <si>
    <t>前排背</t>
  </si>
  <si>
    <t>前排座</t>
  </si>
  <si>
    <t>贴无纺布</t>
  </si>
  <si>
    <t>四分背</t>
  </si>
  <si>
    <t>六分背</t>
  </si>
  <si>
    <t>UNEA后排大座</t>
  </si>
  <si>
    <t>HA6整体座</t>
  </si>
  <si>
    <t>EWEA整体背</t>
  </si>
  <si>
    <t>EWEA整体座</t>
  </si>
  <si>
    <t>HA5整体座</t>
  </si>
  <si>
    <t>六义</t>
  </si>
  <si>
    <t>李威</t>
  </si>
  <si>
    <t>HA4后排大座</t>
  </si>
  <si>
    <t>Z04整体座</t>
  </si>
  <si>
    <t>C42DB整体背</t>
  </si>
  <si>
    <t>C42D整体座</t>
  </si>
  <si>
    <t>F03整体背</t>
  </si>
  <si>
    <t>王冬连</t>
  </si>
  <si>
    <t>曾丽梅</t>
  </si>
  <si>
    <t>瞿芬</t>
  </si>
  <si>
    <t>瞿欢</t>
  </si>
  <si>
    <t>毛伟</t>
  </si>
  <si>
    <t>肖春菊</t>
  </si>
  <si>
    <t>高玉霞</t>
  </si>
  <si>
    <t>刘季香</t>
  </si>
  <si>
    <t>谢桂华</t>
  </si>
  <si>
    <t>刘志平</t>
  </si>
  <si>
    <t>范文榜</t>
  </si>
  <si>
    <t>刘辉兵</t>
  </si>
  <si>
    <t>9月修补统计表</t>
  </si>
  <si>
    <t>NO:</t>
  </si>
  <si>
    <t>生产天数</t>
  </si>
  <si>
    <t>产品名称</t>
  </si>
  <si>
    <t>日期</t>
  </si>
  <si>
    <t>汇总</t>
  </si>
  <si>
    <t>生产数</t>
  </si>
  <si>
    <t>报废数</t>
  </si>
  <si>
    <t>修补数量</t>
  </si>
  <si>
    <t>未修补数量</t>
  </si>
  <si>
    <t>修补完成率</t>
  </si>
  <si>
    <t xml:space="preserve">  修补达成率</t>
  </si>
  <si>
    <t>单个产口计件</t>
  </si>
  <si>
    <t>计件汇总</t>
  </si>
  <si>
    <t>合格率</t>
  </si>
  <si>
    <t>UNEA 后排大座</t>
  </si>
  <si>
    <t>易江峰</t>
  </si>
  <si>
    <t>F01整体背</t>
  </si>
  <si>
    <t>赵卫国</t>
  </si>
  <si>
    <t>苏超</t>
  </si>
  <si>
    <t>石素平</t>
  </si>
  <si>
    <t>李立群</t>
  </si>
  <si>
    <t xml:space="preserve">                                       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。，，，，，，，，，，，，，，，，，，，，，，</t>
  </si>
  <si>
    <r>
      <rPr>
        <b/>
        <u/>
        <sz val="18"/>
        <rFont val="宋体"/>
        <charset val="134"/>
      </rPr>
      <t xml:space="preserve"> 2025 </t>
    </r>
    <r>
      <rPr>
        <b/>
        <sz val="18"/>
        <rFont val="宋体"/>
        <charset val="134"/>
      </rPr>
      <t>年</t>
    </r>
    <r>
      <rPr>
        <b/>
        <u/>
        <sz val="18"/>
        <rFont val="宋体"/>
        <charset val="134"/>
      </rPr>
      <t xml:space="preserve">  9</t>
    </r>
    <r>
      <rPr>
        <b/>
        <sz val="18"/>
        <rFont val="宋体"/>
        <charset val="134"/>
      </rPr>
      <t>月份发泡修补统计表</t>
    </r>
  </si>
  <si>
    <t>裁决</t>
  </si>
  <si>
    <t>编制</t>
  </si>
  <si>
    <t>审核</t>
  </si>
  <si>
    <t>批准</t>
  </si>
  <si>
    <t>肖燕丹</t>
  </si>
  <si>
    <t>修补产品统计表</t>
  </si>
  <si>
    <t>序号</t>
  </si>
  <si>
    <t>9月份</t>
  </si>
  <si>
    <t>总金额</t>
  </si>
  <si>
    <t>SBS0010982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</si>
  <si>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六分）泡沫总成</t>
    </r>
  </si>
  <si>
    <t>生产产品</t>
  </si>
  <si>
    <t>修补统计</t>
  </si>
  <si>
    <t>SBS0010996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</si>
  <si>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第三排左座垫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六分）泡沫总成</t>
    </r>
  </si>
  <si>
    <t>SBS0011009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</si>
  <si>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四分）泡沫总成</t>
    </r>
  </si>
  <si>
    <t>SBS0011016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</si>
  <si>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第三排右座垫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四分）泡沫总成</t>
    </r>
  </si>
  <si>
    <t>SBS0010994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</si>
  <si>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第三排左靠背（六分）泡沫总成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</si>
  <si>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SBS0011005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</si>
  <si>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第三排左座垫（六分）泡沫总成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</si>
  <si>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SBS0011013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</si>
  <si>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第三排右靠背（四分）泡沫总成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</si>
  <si>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SBS0011021</t>
  </si>
  <si>
    <r>
      <rPr>
        <b/>
        <sz val="14"/>
        <color rgb="FF0000FF"/>
        <rFont val="Leelawadee"/>
        <charset val="134"/>
      </rPr>
      <t>MRHK</t>
    </r>
    <r>
      <rPr>
        <b/>
        <sz val="14"/>
        <color rgb="FF0000FF"/>
        <rFont val="宋体"/>
        <charset val="134"/>
      </rPr>
      <t>第三排右座垫（四分）泡沫总成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通风加热</t>
    </r>
  </si>
  <si>
    <t>SCS0012290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</si>
  <si>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主驾靠背发泡组件通风按摩</t>
    </r>
  </si>
  <si>
    <t>SCS0012295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</si>
  <si>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副驾靠背发泡组件通风按摩</t>
    </r>
  </si>
  <si>
    <t>SCS0012325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</si>
  <si>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主驾座垫发泡组件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</t>
    </r>
  </si>
  <si>
    <t>SCS0012327</t>
  </si>
  <si>
    <r>
      <rPr>
        <b/>
        <sz val="14"/>
        <color rgb="FF0000FF"/>
        <rFont val="Leelawadee"/>
        <charset val="134"/>
      </rPr>
      <t>MRHB</t>
    </r>
    <r>
      <rPr>
        <b/>
        <sz val="14"/>
        <color rgb="FF0000FF"/>
        <rFont val="宋体"/>
        <charset val="134"/>
      </rPr>
      <t>副驾座垫发泡组件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通风</t>
    </r>
  </si>
  <si>
    <t>SBS0010796</t>
  </si>
  <si>
    <r>
      <rPr>
        <b/>
        <sz val="14"/>
        <color rgb="FF0000FF"/>
        <rFont val="Leelawadee"/>
        <charset val="134"/>
      </rPr>
      <t>UNEA-6805100WB</t>
    </r>
    <r>
      <rPr>
        <b/>
        <sz val="14"/>
        <color rgb="FF0000FF"/>
        <rFont val="宋体"/>
        <charset val="134"/>
      </rPr>
      <t>主驾靠背发泡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</si>
  <si>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SBS0010798</t>
  </si>
  <si>
    <r>
      <rPr>
        <b/>
        <sz val="14"/>
        <color rgb="FF0000FF"/>
        <rFont val="Leelawadee"/>
        <charset val="134"/>
      </rPr>
      <t>UNEA-6905100WA</t>
    </r>
    <r>
      <rPr>
        <b/>
        <sz val="14"/>
        <color rgb="FF0000FF"/>
        <rFont val="宋体"/>
        <charset val="134"/>
      </rPr>
      <t>副驾靠背发泡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</si>
  <si>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SBS0010814</t>
  </si>
  <si>
    <r>
      <rPr>
        <b/>
        <sz val="14"/>
        <color rgb="FF0000FF"/>
        <rFont val="Leelawadee"/>
        <charset val="134"/>
      </rPr>
      <t>UNEA-6803010WA</t>
    </r>
    <r>
      <rPr>
        <b/>
        <sz val="14"/>
        <color rgb="FF0000FF"/>
        <rFont val="宋体"/>
        <charset val="134"/>
      </rPr>
      <t>主驾座垫发泡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</si>
  <si>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SBS0010816</t>
  </si>
  <si>
    <r>
      <rPr>
        <b/>
        <sz val="14"/>
        <color rgb="FF0000FF"/>
        <rFont val="Leelawadee"/>
        <charset val="134"/>
      </rPr>
      <t>UNEA-6903010WA</t>
    </r>
    <r>
      <rPr>
        <b/>
        <sz val="14"/>
        <color rgb="FF0000FF"/>
        <rFont val="宋体"/>
        <charset val="134"/>
      </rPr>
      <t>副驾座垫发泡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带通风</t>
    </r>
  </si>
  <si>
    <t>SBS0010795</t>
  </si>
  <si>
    <r>
      <rPr>
        <b/>
        <sz val="14"/>
        <color rgb="FF0000FF"/>
        <rFont val="Leelawadee"/>
        <charset val="134"/>
      </rPr>
      <t>UNEA-6805100W</t>
    </r>
    <r>
      <rPr>
        <b/>
        <sz val="14"/>
        <color rgb="FF0000FF"/>
        <rFont val="宋体"/>
        <charset val="134"/>
      </rPr>
      <t>主驾靠背发泡</t>
    </r>
  </si>
  <si>
    <t>SBS0010797</t>
  </si>
  <si>
    <r>
      <rPr>
        <b/>
        <sz val="14"/>
        <color rgb="FF0000FF"/>
        <rFont val="Leelawadee"/>
        <charset val="134"/>
      </rPr>
      <t>UNEA-6905100W</t>
    </r>
    <r>
      <rPr>
        <b/>
        <sz val="14"/>
        <color rgb="FF0000FF"/>
        <rFont val="宋体"/>
        <charset val="134"/>
      </rPr>
      <t>副驾靠背发泡</t>
    </r>
  </si>
  <si>
    <t>SBS0010813</t>
  </si>
  <si>
    <r>
      <rPr>
        <b/>
        <sz val="14"/>
        <color rgb="FF0000FF"/>
        <rFont val="Leelawadee"/>
        <charset val="134"/>
      </rPr>
      <t>UNEA-6803010</t>
    </r>
    <r>
      <rPr>
        <b/>
        <sz val="14"/>
        <color rgb="FF0000FF"/>
        <rFont val="宋体"/>
        <charset val="134"/>
      </rPr>
      <t>主驾座垫发泡</t>
    </r>
  </si>
  <si>
    <t>SBS0010815</t>
  </si>
  <si>
    <r>
      <rPr>
        <b/>
        <sz val="14"/>
        <color rgb="FF0000FF"/>
        <rFont val="Leelawadee"/>
        <charset val="134"/>
      </rPr>
      <t>UNEA-6903010W</t>
    </r>
    <r>
      <rPr>
        <b/>
        <sz val="14"/>
        <color rgb="FF0000FF"/>
        <rFont val="宋体"/>
        <charset val="134"/>
      </rPr>
      <t>副驾座垫发泡</t>
    </r>
  </si>
  <si>
    <t>SBS0010830</t>
  </si>
  <si>
    <r>
      <rPr>
        <b/>
        <sz val="14"/>
        <color rgb="FF0000FF"/>
        <rFont val="Leelawadee"/>
        <charset val="134"/>
      </rPr>
      <t>UNEA-7005100W</t>
    </r>
    <r>
      <rPr>
        <b/>
        <sz val="14"/>
        <color rgb="FF0000FF"/>
        <rFont val="宋体"/>
        <charset val="134"/>
      </rPr>
      <t>左后座椅靠背（六分）发泡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带扶手</t>
    </r>
  </si>
  <si>
    <t>SBS0010831</t>
  </si>
  <si>
    <r>
      <rPr>
        <b/>
        <sz val="14"/>
        <color rgb="FF0000FF"/>
        <rFont val="Leelawadee"/>
        <charset val="134"/>
      </rPr>
      <t>UNEA-7005100WB</t>
    </r>
    <r>
      <rPr>
        <b/>
        <sz val="14"/>
        <color rgb="FF0000FF"/>
        <rFont val="宋体"/>
        <charset val="134"/>
      </rPr>
      <t>左后座椅靠背（六分）发泡</t>
    </r>
    <r>
      <rPr>
        <b/>
        <sz val="14"/>
        <color rgb="FF0000FF"/>
        <rFont val="Leelawadee"/>
        <charset val="134"/>
      </rPr>
      <t>-</t>
    </r>
    <r>
      <rPr>
        <b/>
        <sz val="14"/>
        <color rgb="FF0000FF"/>
        <rFont val="宋体"/>
        <charset val="134"/>
      </rPr>
      <t>无扶手</t>
    </r>
  </si>
  <si>
    <t>SBS0010846</t>
  </si>
  <si>
    <r>
      <rPr>
        <b/>
        <sz val="14"/>
        <color rgb="FF0000FF"/>
        <rFont val="Leelawadee"/>
        <charset val="134"/>
      </rPr>
      <t>UNEA-7005200W</t>
    </r>
    <r>
      <rPr>
        <b/>
        <sz val="14"/>
        <color rgb="FF0000FF"/>
        <rFont val="宋体"/>
        <charset val="134"/>
      </rPr>
      <t>右后座椅靠背</t>
    </r>
    <r>
      <rPr>
        <b/>
        <sz val="14"/>
        <color rgb="FF0000FF"/>
        <rFont val="Leelawadee"/>
        <charset val="134"/>
      </rPr>
      <t>(</t>
    </r>
    <r>
      <rPr>
        <b/>
        <sz val="14"/>
        <color rgb="FF0000FF"/>
        <rFont val="宋体"/>
        <charset val="134"/>
      </rPr>
      <t>四分）发泡</t>
    </r>
  </si>
  <si>
    <t>SBS0010851</t>
  </si>
  <si>
    <r>
      <rPr>
        <b/>
        <sz val="14"/>
        <color rgb="FF0000FF"/>
        <rFont val="Leelawadee"/>
        <charset val="134"/>
      </rPr>
      <t>UNEA-7003110WA</t>
    </r>
    <r>
      <rPr>
        <b/>
        <sz val="14"/>
        <color rgb="FF0000FF"/>
        <rFont val="宋体"/>
        <charset val="134"/>
      </rPr>
      <t>左后座椅座垫泡沫</t>
    </r>
  </si>
  <si>
    <t>FKM01</t>
  </si>
  <si>
    <t>SCS0012276</t>
  </si>
  <si>
    <t>EWEA-7005200B座椅靠背发泡总成一体式</t>
  </si>
  <si>
    <t>SCS0012282</t>
  </si>
  <si>
    <t>EWEA-7003020D右后座椅坐垫发泡</t>
  </si>
  <si>
    <t>SBS0010928</t>
  </si>
  <si>
    <r>
      <rPr>
        <b/>
        <sz val="14"/>
        <color rgb="FF0000FF"/>
        <rFont val="宋体"/>
        <charset val="134"/>
      </rPr>
      <t>HA6H-6805100主驾靠背发泡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</si>
  <si>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SBS0010930</t>
  </si>
  <si>
    <r>
      <rPr>
        <b/>
        <sz val="14"/>
        <color rgb="FF0000FF"/>
        <rFont val="宋体"/>
        <charset val="134"/>
      </rPr>
      <t>HA6H-6905100副驾靠背发泡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</si>
  <si>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SBS0010944</t>
  </si>
  <si>
    <r>
      <rPr>
        <b/>
        <sz val="14"/>
        <color rgb="FF0000FF"/>
        <rFont val="宋体"/>
        <charset val="134"/>
      </rPr>
      <t>HA6H-683010主驾座垫发泡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</si>
  <si>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SBS0010946</t>
  </si>
  <si>
    <r>
      <rPr>
        <b/>
        <sz val="14"/>
        <color rgb="FF0000FF"/>
        <rFont val="宋体"/>
        <charset val="134"/>
      </rPr>
      <t>HA6H-6903010副驾座垫发泡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手动</t>
    </r>
  </si>
  <si>
    <t>SBS0010927</t>
  </si>
  <si>
    <r>
      <rPr>
        <b/>
        <sz val="14"/>
        <color rgb="FF0000FF"/>
        <rFont val="宋体"/>
        <charset val="134"/>
      </rPr>
      <t>HA6H-6805100A主驾靠背发泡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</si>
  <si>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SBS0010929</t>
  </si>
  <si>
    <r>
      <rPr>
        <b/>
        <sz val="14"/>
        <color rgb="FF0000FF"/>
        <rFont val="宋体"/>
        <charset val="134"/>
      </rPr>
      <t>HA6H-6905100A副驾靠背发泡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</si>
  <si>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SBS0010943</t>
  </si>
  <si>
    <r>
      <rPr>
        <b/>
        <sz val="14"/>
        <color rgb="FF0000FF"/>
        <rFont val="宋体"/>
        <charset val="134"/>
      </rPr>
      <t>HA6H6803010A主驾座垫发泡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</si>
  <si>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SBS0010945</t>
  </si>
  <si>
    <r>
      <rPr>
        <b/>
        <sz val="14"/>
        <color rgb="FF0000FF"/>
        <rFont val="宋体"/>
        <charset val="134"/>
      </rPr>
      <t>HA6H-6903010A副驾座垫发泡</t>
    </r>
    <r>
      <rPr>
        <b/>
        <sz val="14"/>
        <color rgb="FF0000FF"/>
        <rFont val="Microsoft Sans Serif"/>
        <charset val="134"/>
      </rPr>
      <t>-</t>
    </r>
    <r>
      <rPr>
        <b/>
        <sz val="14"/>
        <color rgb="FF0000FF"/>
        <rFont val="宋体"/>
        <charset val="134"/>
      </rPr>
      <t>电动</t>
    </r>
  </si>
  <si>
    <t>SBS0010957</t>
  </si>
  <si>
    <t>HA6H-7005100左后座椅靠背发泡六分背（不带扶手）</t>
  </si>
  <si>
    <t>SBS0010966</t>
  </si>
  <si>
    <t>HA6H-7005100A左后座椅靠背发泡六分背（带扶手）</t>
  </si>
  <si>
    <t>SBS0010972</t>
  </si>
  <si>
    <t>HA6H-7005200右后座椅靠背发泡</t>
  </si>
  <si>
    <t>SBS0010974</t>
  </si>
  <si>
    <t>HA6H7003010后座坐垫总成</t>
  </si>
  <si>
    <t>HA2前排左背</t>
  </si>
  <si>
    <t>HA2前排左座</t>
  </si>
  <si>
    <t>HA2前排右背</t>
  </si>
  <si>
    <t>HA2前排右座</t>
  </si>
  <si>
    <t>HA2四分背</t>
  </si>
  <si>
    <t>HA2六分背(带扶手）</t>
  </si>
  <si>
    <t>HA2三人座(混动）</t>
  </si>
  <si>
    <t>后排整体座-Z02</t>
  </si>
  <si>
    <t>后排不带扶手背</t>
  </si>
  <si>
    <t>F01后排整体坐垫</t>
  </si>
  <si>
    <t>F09后排整体坐垫</t>
  </si>
  <si>
    <t>SCS0007445</t>
  </si>
  <si>
    <t>HA2前排正背</t>
  </si>
  <si>
    <t>SCS0007446</t>
  </si>
  <si>
    <t>HA2前排副背</t>
  </si>
  <si>
    <t>SCS0007448</t>
  </si>
  <si>
    <t>HA2前排正座</t>
  </si>
  <si>
    <t>SCS0007449</t>
  </si>
  <si>
    <t>HA2前排副座</t>
  </si>
  <si>
    <t>SCS0007452</t>
  </si>
  <si>
    <t>SCS0007451</t>
  </si>
  <si>
    <t>HA2六分背（不带扶手）</t>
  </si>
  <si>
    <t>SCS0007450</t>
  </si>
  <si>
    <t>HA2六分背（带扶手）</t>
  </si>
  <si>
    <t>SCS0007455</t>
  </si>
  <si>
    <t>HA2整体座</t>
  </si>
  <si>
    <t>Z02整体座</t>
  </si>
  <si>
    <t>C40DB后排背</t>
  </si>
  <si>
    <t>麦格纳退回</t>
  </si>
  <si>
    <r>
      <rPr>
        <u/>
        <sz val="12"/>
        <rFont val="宋体"/>
        <charset val="134"/>
      </rPr>
      <t xml:space="preserve">  3</t>
    </r>
    <r>
      <rPr>
        <sz val="12"/>
        <rFont val="宋体"/>
        <charset val="134"/>
      </rPr>
      <t>月份</t>
    </r>
  </si>
  <si>
    <t>HA2前排座</t>
  </si>
  <si>
    <t>退回产品</t>
  </si>
  <si>
    <t>HA2前排背</t>
  </si>
  <si>
    <t>HA2六分背</t>
  </si>
  <si>
    <t>HA2后排大座</t>
  </si>
  <si>
    <t>C32B前排座</t>
  </si>
  <si>
    <t>C33B前排背</t>
  </si>
  <si>
    <t>C32B四分背</t>
  </si>
  <si>
    <t>C32B六分背</t>
  </si>
  <si>
    <t>C32B后排座</t>
  </si>
  <si>
    <t>P203四分座</t>
  </si>
  <si>
    <t>P203六分座</t>
  </si>
  <si>
    <t>p202前排座</t>
  </si>
  <si>
    <t>p202前排背</t>
  </si>
  <si>
    <t>p203后排座</t>
  </si>
  <si>
    <t>F09整体座</t>
  </si>
  <si>
    <t>C40DZ02后排座</t>
  </si>
  <si>
    <t xml:space="preserve">       </t>
  </si>
  <si>
    <t xml:space="preserve">               2月返修产品</t>
  </si>
  <si>
    <t>3月</t>
  </si>
  <si>
    <t>修补和返修产品与生产产品差异</t>
  </si>
  <si>
    <t>产品差异</t>
  </si>
  <si>
    <t>每日差异统计</t>
  </si>
  <si>
    <t xml:space="preserve">                   12月剩余产品</t>
  </si>
  <si>
    <t>2月结余</t>
  </si>
  <si>
    <r>
      <rPr>
        <u/>
        <sz val="12"/>
        <rFont val="宋体"/>
        <charset val="134"/>
      </rPr>
      <t xml:space="preserve">  2</t>
    </r>
    <r>
      <rPr>
        <sz val="12"/>
        <rFont val="宋体"/>
        <charset val="134"/>
      </rPr>
      <t>月份</t>
    </r>
  </si>
  <si>
    <t>剩余产品</t>
  </si>
  <si>
    <t>12月份生产与修补产品差异</t>
  </si>
  <si>
    <t xml:space="preserve">合计 </t>
  </si>
  <si>
    <t>C32B前排背</t>
  </si>
  <si>
    <t>xp202前排座</t>
  </si>
  <si>
    <t>xp202前排背</t>
  </si>
  <si>
    <t>金虎前排座</t>
  </si>
  <si>
    <t>金虎前排背</t>
  </si>
  <si>
    <t>M4前排主座（不通风）</t>
  </si>
  <si>
    <t>M4前排主座（通风）</t>
  </si>
  <si>
    <t>M4前排主座（放骨架）</t>
  </si>
  <si>
    <t>M4前排主背</t>
  </si>
  <si>
    <t>M4前排主背（通风）</t>
  </si>
  <si>
    <t>M4前排副背</t>
  </si>
  <si>
    <t>M4前排副背（1880）</t>
  </si>
  <si>
    <t>M4前排座（1880</t>
  </si>
  <si>
    <t>M4前排副背（2060）</t>
  </si>
  <si>
    <t>M4前排副座（2060）</t>
  </si>
  <si>
    <t>F01整体座</t>
  </si>
  <si>
    <r>
      <rPr>
        <b/>
        <u/>
        <sz val="18"/>
        <rFont val="宋体"/>
        <charset val="134"/>
      </rPr>
      <t xml:space="preserve"> 2025 </t>
    </r>
    <r>
      <rPr>
        <b/>
        <sz val="18"/>
        <rFont val="宋体"/>
        <charset val="134"/>
      </rPr>
      <t>年</t>
    </r>
    <r>
      <rPr>
        <b/>
        <u/>
        <sz val="18"/>
        <rFont val="宋体"/>
        <charset val="134"/>
      </rPr>
      <t xml:space="preserve">  9</t>
    </r>
    <r>
      <rPr>
        <b/>
        <sz val="18"/>
        <rFont val="宋体"/>
        <charset val="134"/>
      </rPr>
      <t>月份发泡生产统计表</t>
    </r>
  </si>
  <si>
    <t>生产产品统计表</t>
  </si>
  <si>
    <t>生产统计</t>
  </si>
  <si>
    <t>1号白班</t>
  </si>
  <si>
    <t>1号晚班</t>
  </si>
  <si>
    <t>2号白班</t>
  </si>
  <si>
    <t>2号晚班</t>
  </si>
  <si>
    <t>3号白班</t>
  </si>
  <si>
    <t>3号晚班</t>
  </si>
  <si>
    <t>4号白班</t>
  </si>
  <si>
    <t>4号晚班</t>
  </si>
  <si>
    <t>5号白班</t>
  </si>
  <si>
    <t>5号晚班</t>
  </si>
  <si>
    <t>6号白班</t>
  </si>
  <si>
    <t>6号晚班</t>
  </si>
  <si>
    <t>7号白班</t>
  </si>
  <si>
    <t>7号晚班</t>
  </si>
  <si>
    <t>8号白班</t>
  </si>
  <si>
    <t>8号晚班</t>
  </si>
  <si>
    <t>9号白班</t>
  </si>
  <si>
    <t>9号晚班</t>
  </si>
  <si>
    <t>10号白班</t>
  </si>
  <si>
    <t>10号晚班</t>
  </si>
  <si>
    <t>11号白班</t>
  </si>
  <si>
    <t>11号晚班</t>
  </si>
  <si>
    <t>12号白班</t>
  </si>
  <si>
    <t>12号晚班</t>
  </si>
  <si>
    <t>13号白班</t>
  </si>
  <si>
    <t>13号晚班</t>
  </si>
  <si>
    <t>14号白班</t>
  </si>
  <si>
    <t>14号晚班</t>
  </si>
  <si>
    <t>15号白班</t>
  </si>
  <si>
    <t>15号晚班</t>
  </si>
  <si>
    <t>16号白班</t>
  </si>
  <si>
    <t>16号晚班</t>
  </si>
  <si>
    <t>17号白班</t>
  </si>
  <si>
    <t>17号晚班</t>
  </si>
  <si>
    <t>18号白班</t>
  </si>
  <si>
    <t>18号晚班</t>
  </si>
  <si>
    <t>19号白班</t>
  </si>
  <si>
    <t>19号晚班</t>
  </si>
  <si>
    <t>20号白班</t>
  </si>
  <si>
    <t>20号晚班</t>
  </si>
  <si>
    <t>21号白班</t>
  </si>
  <si>
    <t>21号晚班</t>
  </si>
  <si>
    <t>22号白班</t>
  </si>
  <si>
    <t>22号晚班</t>
  </si>
  <si>
    <t>23号白班</t>
  </si>
  <si>
    <t>23号晚班</t>
  </si>
  <si>
    <t>24号白班</t>
  </si>
  <si>
    <t>24号晚班</t>
  </si>
  <si>
    <t>25号白班</t>
  </si>
  <si>
    <t>25号晚班</t>
  </si>
  <si>
    <t>26号白班</t>
  </si>
  <si>
    <t>26号晚班</t>
  </si>
  <si>
    <t>27号白班</t>
  </si>
  <si>
    <t>27号晚班</t>
  </si>
  <si>
    <t>28号白班</t>
  </si>
  <si>
    <t>28号晚班</t>
  </si>
  <si>
    <t>29号白班</t>
  </si>
  <si>
    <t>29号晚班</t>
  </si>
  <si>
    <t>30号白班</t>
  </si>
  <si>
    <t>30号晚班</t>
  </si>
  <si>
    <t>31号白班</t>
  </si>
  <si>
    <t>31号晚班</t>
  </si>
  <si>
    <t>UNEA-6805100W</t>
  </si>
  <si>
    <t>UNEA主驾靠背发泡</t>
  </si>
  <si>
    <t>UNEA-6905100W</t>
  </si>
  <si>
    <t>UNEA副驾靠背发泡</t>
  </si>
  <si>
    <t>UNEA-6803010W</t>
  </si>
  <si>
    <t>UNEA主驾座垫发泡</t>
  </si>
  <si>
    <t>UNEA-6903010W</t>
  </si>
  <si>
    <t>UNEA副驾座垫发泡</t>
  </si>
  <si>
    <t>UNEA-6805100WB</t>
  </si>
  <si>
    <t>UNEA主驾靠背发泡-带通风</t>
  </si>
  <si>
    <t>UNEA-6905100WA</t>
  </si>
  <si>
    <t>UNEA副驾靠背发泡-带通风</t>
  </si>
  <si>
    <t>UNEA-6803010WA</t>
  </si>
  <si>
    <t>UNEA主驾座垫发泡-带通风</t>
  </si>
  <si>
    <t>UNEA-6903010WA</t>
  </si>
  <si>
    <t>UNEA副驾座垫发泡-带通风</t>
  </si>
  <si>
    <t>UNEA-7005200W</t>
  </si>
  <si>
    <t>UNEA右后座椅靠背发泡(四分)</t>
  </si>
  <si>
    <t>UNEA-7005100W</t>
  </si>
  <si>
    <t>UNEA六分左后座椅靠背发泡</t>
  </si>
  <si>
    <t>UNEA-7005100WB</t>
  </si>
  <si>
    <t>UNEA六分左后座椅靠背发泡-无扶手</t>
  </si>
  <si>
    <t>UNEA-7003110WA</t>
  </si>
  <si>
    <t>UNEA左后座椅座垫泡沫</t>
  </si>
  <si>
    <t>MRHK-7105110A</t>
  </si>
  <si>
    <t>第三排座椅左靠背泡沫总成</t>
  </si>
  <si>
    <t>MRHK-7105100B</t>
  </si>
  <si>
    <t>三排左背泡沫总成通风加热</t>
  </si>
  <si>
    <t>MRHK-7103110A</t>
  </si>
  <si>
    <t>第三排座椅左座垫泡沫总成</t>
  </si>
  <si>
    <t>MRHK-7103110B</t>
  </si>
  <si>
    <t>三排左座泡沫总成通风加热</t>
  </si>
  <si>
    <t>MRHK-7105120A</t>
  </si>
  <si>
    <t>第三排座椅右靠背泡沫总成</t>
  </si>
  <si>
    <t>MRHK-7105120B</t>
  </si>
  <si>
    <t>三排右背泡沫总成通风加热</t>
  </si>
  <si>
    <t>MRHK-7103120A</t>
  </si>
  <si>
    <t>第三排座椅右座垫泡沫总成</t>
  </si>
  <si>
    <t>MRHK-7103120B</t>
  </si>
  <si>
    <t>三排右座泡沫总成通风加热</t>
  </si>
  <si>
    <t>MRHB-6803122V</t>
  </si>
  <si>
    <t>主驾座垫发泡组件-通风</t>
  </si>
  <si>
    <t>MRHB-6903122V</t>
  </si>
  <si>
    <t>副驾座垫发泡组件-通风</t>
  </si>
  <si>
    <t>MRHB-6805122D</t>
  </si>
  <si>
    <t>主驾靠背发泡组件-通风按摩</t>
  </si>
  <si>
    <t>MRHB-6905122D</t>
  </si>
  <si>
    <t>副驾靠背发泡组件-通风按摩</t>
  </si>
  <si>
    <t>MRHB-6905122E</t>
  </si>
  <si>
    <t>SCS0012292</t>
  </si>
  <si>
    <t>主驾背发泡组件通风按摩  PAD</t>
  </si>
  <si>
    <t>SCS0012297</t>
  </si>
  <si>
    <t>副驾背发泡组件通风按摩  PAD</t>
  </si>
  <si>
    <t>HA6H-6805100A</t>
  </si>
  <si>
    <t>HA6主驾靠背发泡-电动</t>
  </si>
  <si>
    <t>HA6H-6905100A</t>
  </si>
  <si>
    <t>HA6副驾靠背发泡-电动</t>
  </si>
  <si>
    <t>HA6H-6803010A</t>
  </si>
  <si>
    <t>HA6主驾座垫发泡-电动</t>
  </si>
  <si>
    <t>HA6H-6903010A</t>
  </si>
  <si>
    <t>HA6副驾座垫发泡-电动</t>
  </si>
  <si>
    <t>HA6H-6805100</t>
  </si>
  <si>
    <t>HA6主驾靠背发泡-手动</t>
  </si>
  <si>
    <t>HA6H-6905100</t>
  </si>
  <si>
    <t>HA6副驾靠背发泡-手动</t>
  </si>
  <si>
    <t>HA6H-6803010</t>
  </si>
  <si>
    <t>HA6主驾座垫发泡-手动</t>
  </si>
  <si>
    <t>HA6H-6903010</t>
  </si>
  <si>
    <t>HA6副驾座垫发泡-手动</t>
  </si>
  <si>
    <t>HA6H-7005200</t>
  </si>
  <si>
    <t>HA6四分背</t>
  </si>
  <si>
    <t>HA6H-7005100</t>
  </si>
  <si>
    <t>HA6A六分背（不带扶手）</t>
  </si>
  <si>
    <t>HA6H-7005100A</t>
  </si>
  <si>
    <t>HA6六分背（带扶手）</t>
  </si>
  <si>
    <t>HA6H-7003010</t>
  </si>
  <si>
    <t>HA6后座坐垫总成</t>
  </si>
  <si>
    <t>HA5H-6805100A</t>
  </si>
  <si>
    <t>SBS0010862</t>
  </si>
  <si>
    <t>主驾靠背发泡-手动</t>
  </si>
  <si>
    <t>HA5H-6905100A</t>
  </si>
  <si>
    <t>SBS0010864</t>
  </si>
  <si>
    <t>副驾靠背发泡-手动</t>
  </si>
  <si>
    <t>HA5H-6803010A</t>
  </si>
  <si>
    <t>SBS0010866</t>
  </si>
  <si>
    <t>主驾座垫发泡-手动</t>
  </si>
  <si>
    <t>HA5H-6903010A</t>
  </si>
  <si>
    <t>SBS0010868</t>
  </si>
  <si>
    <t>副驾座垫发泡-手动</t>
  </si>
  <si>
    <t>HA5H-6805100B</t>
  </si>
  <si>
    <t>SBS0010863</t>
  </si>
  <si>
    <t>主驾靠背发泡-电动</t>
  </si>
  <si>
    <t>HA5H-6905100B</t>
  </si>
  <si>
    <t>SBS0010865</t>
  </si>
  <si>
    <t>副驾靠背发泡-电动</t>
  </si>
  <si>
    <t>HA5H-6803010B</t>
  </si>
  <si>
    <t>SBS0010867</t>
  </si>
  <si>
    <t>主驾座垫发泡-电动</t>
  </si>
  <si>
    <t>HA5H-6903010B</t>
  </si>
  <si>
    <t>SBS0010869</t>
  </si>
  <si>
    <t>副驾座垫发泡-电动</t>
  </si>
  <si>
    <t>HA5H-7005100</t>
  </si>
  <si>
    <t>SBS0010896</t>
  </si>
  <si>
    <t>左后座椅靠背发泡总成--六分</t>
  </si>
  <si>
    <t>HA5H-7005100A</t>
  </si>
  <si>
    <t>SBS0010905</t>
  </si>
  <si>
    <t>左后靠背发泡总成-带扶手--六分</t>
  </si>
  <si>
    <t>HA5H-7005200</t>
  </si>
  <si>
    <t>SBS0010910</t>
  </si>
  <si>
    <t>右后座椅靠背发泡总成--四分</t>
  </si>
  <si>
    <t>HA5H-7003010</t>
  </si>
  <si>
    <t>SBS0010912</t>
  </si>
  <si>
    <t>后座坐垫总成-混动</t>
  </si>
  <si>
    <t>HA5EA-7003010A</t>
  </si>
  <si>
    <t>SBS0010913</t>
  </si>
  <si>
    <t>后座坐垫总成-纯电</t>
  </si>
  <si>
    <t>EUEA-7005200B</t>
  </si>
  <si>
    <t>右后座椅靠背发泡总成一体式</t>
  </si>
  <si>
    <t>EUEA-7003020D</t>
  </si>
  <si>
    <t>右后座椅座垫发泡</t>
  </si>
  <si>
    <t>UNHA-6805100</t>
  </si>
  <si>
    <t>SBS0011157</t>
  </si>
  <si>
    <t>主驾驶座椅靠背发泡总成</t>
  </si>
  <si>
    <t>UNHA-6805100B</t>
  </si>
  <si>
    <t>SBS0011158</t>
  </si>
  <si>
    <t>主驾驶座椅靠背发泡总成-通风</t>
  </si>
  <si>
    <t>UNHA-7003150A</t>
  </si>
  <si>
    <t>SBS0011161</t>
  </si>
  <si>
    <t>二排座椅座垫发泡总成</t>
  </si>
  <si>
    <t>MRHB-6805122E</t>
  </si>
  <si>
    <t>主驾背发泡组件通风按摩——PAD</t>
  </si>
  <si>
    <t>副驾背发泡组件通风按摩——PAD</t>
  </si>
  <si>
    <t>MRHB-6805122</t>
  </si>
  <si>
    <t>SCS0012288</t>
  </si>
  <si>
    <t>MR青春版  主驾靠背发泡</t>
  </si>
  <si>
    <t>MRHB-6905122</t>
  </si>
  <si>
    <t>SCS0012293</t>
  </si>
  <si>
    <t>MR青春版  副驾靠背发泡</t>
  </si>
  <si>
    <t>MRHB-6803122</t>
  </si>
  <si>
    <t>SCS0012324</t>
  </si>
  <si>
    <t>MR青春版  主驾座垫发泡</t>
  </si>
  <si>
    <t>MRHB-6903122</t>
  </si>
  <si>
    <t>SCS0012326</t>
  </si>
  <si>
    <t>MR青春版  副驾座垫发泡</t>
  </si>
  <si>
    <t>MRHS-6805122</t>
  </si>
  <si>
    <t>SCS0012473</t>
  </si>
  <si>
    <t>MR青春版  主驾靠背发泡——PAD</t>
  </si>
  <si>
    <t>MRHS-6905122</t>
  </si>
  <si>
    <t>SCS0012475</t>
  </si>
  <si>
    <t>MR青春版  副驾靠背发泡——PAD</t>
  </si>
  <si>
    <t>HA2</t>
  </si>
  <si>
    <t>后排座垫泡沫总成（混动） HA2整体座</t>
  </si>
  <si>
    <t>C40D</t>
  </si>
  <si>
    <t>SCS0003839</t>
  </si>
  <si>
    <r>
      <rPr>
        <sz val="10"/>
        <color rgb="FF000000"/>
        <rFont val="宋体"/>
        <charset val="0"/>
      </rPr>
      <t>后排坐垫发泡总成（</t>
    </r>
    <r>
      <rPr>
        <sz val="10"/>
        <color rgb="FF000000"/>
        <rFont val="Arial"/>
        <charset val="0"/>
      </rPr>
      <t>Z02</t>
    </r>
    <r>
      <rPr>
        <sz val="10"/>
        <color rgb="FF000000"/>
        <rFont val="宋体"/>
        <charset val="0"/>
      </rPr>
      <t>）</t>
    </r>
    <r>
      <rPr>
        <sz val="10"/>
        <color rgb="FF000000"/>
        <rFont val="Arial"/>
        <charset val="0"/>
      </rPr>
      <t>C40D</t>
    </r>
    <r>
      <rPr>
        <sz val="10"/>
        <color rgb="FF000000"/>
        <rFont val="宋体"/>
        <charset val="0"/>
      </rPr>
      <t>大座</t>
    </r>
  </si>
  <si>
    <t>2025年9月份发泡车间班员工计件工资核算</t>
  </si>
  <si>
    <t>岗位</t>
  </si>
  <si>
    <r>
      <rPr>
        <sz val="12"/>
        <color indexed="8"/>
        <rFont val="宋体"/>
        <charset val="134"/>
      </rPr>
      <t>姓</t>
    </r>
    <r>
      <rPr>
        <sz val="12"/>
        <color indexed="8"/>
        <rFont val="Times New Roman"/>
        <charset val="134"/>
      </rPr>
      <t>  </t>
    </r>
    <r>
      <rPr>
        <sz val="12"/>
        <color indexed="8"/>
        <rFont val="宋体"/>
        <charset val="134"/>
      </rPr>
      <t>名</t>
    </r>
  </si>
  <si>
    <t>应出勤天数</t>
  </si>
  <si>
    <r>
      <rPr>
        <sz val="12"/>
        <color indexed="8"/>
        <rFont val="宋体"/>
        <charset val="134"/>
      </rPr>
      <t>实出勤天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数</t>
    </r>
  </si>
  <si>
    <t>考勤表天数</t>
  </si>
  <si>
    <t>计件天数汇总</t>
  </si>
  <si>
    <t>差异</t>
  </si>
  <si>
    <t>个人计件工资</t>
  </si>
  <si>
    <t>线上计件
工资总数</t>
  </si>
  <si>
    <t>修补计件
工资总数</t>
  </si>
  <si>
    <t>基本
工资</t>
  </si>
  <si>
    <t>高温补贴</t>
  </si>
  <si>
    <r>
      <rPr>
        <sz val="14"/>
        <rFont val="宋体"/>
        <charset val="134"/>
      </rPr>
      <t>开模温机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津贴</t>
    </r>
  </si>
  <si>
    <t>岗位
补贴</t>
  </si>
  <si>
    <t>全勤（300）</t>
  </si>
  <si>
    <t>特殊
岗位补贴</t>
  </si>
  <si>
    <t>管理
津贴</t>
  </si>
  <si>
    <r>
      <rPr>
        <sz val="14"/>
        <color indexed="8"/>
        <rFont val="宋体"/>
        <charset val="134"/>
      </rPr>
      <t>餐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费
补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贴</t>
    </r>
  </si>
  <si>
    <t>二次分配</t>
  </si>
  <si>
    <t>计划达成率</t>
  </si>
  <si>
    <r>
      <rPr>
        <sz val="14"/>
        <color indexed="8"/>
        <rFont val="宋体"/>
        <charset val="134"/>
      </rPr>
      <t>应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发
工</t>
    </r>
    <r>
      <rPr>
        <sz val="14"/>
        <color indexed="8"/>
        <rFont val="Times New Roman"/>
        <charset val="134"/>
      </rPr>
      <t> </t>
    </r>
    <r>
      <rPr>
        <sz val="14"/>
        <color indexed="8"/>
        <rFont val="宋体"/>
        <charset val="134"/>
      </rPr>
      <t>资</t>
    </r>
  </si>
  <si>
    <t>备注</t>
  </si>
  <si>
    <t>5套
模具
天数</t>
  </si>
  <si>
    <t>5套平均
计件工资/每天</t>
  </si>
  <si>
    <t>6套
模具
天数</t>
  </si>
  <si>
    <t>6套平均
计件工资/每天</t>
  </si>
  <si>
    <t>7套
模具
天数</t>
  </si>
  <si>
    <t>7套平均
计件工资/每天</t>
  </si>
  <si>
    <t>8套
模具
天数</t>
  </si>
  <si>
    <t>8套平均
计件工资/每天</t>
  </si>
  <si>
    <t>9套
模具
天数</t>
  </si>
  <si>
    <t>9套平均
计件工资/每天</t>
  </si>
  <si>
    <t>主管</t>
  </si>
  <si>
    <t>李需</t>
  </si>
  <si>
    <t>班长</t>
  </si>
  <si>
    <t>马凤</t>
  </si>
  <si>
    <t>混料</t>
  </si>
  <si>
    <t>左昌福</t>
  </si>
  <si>
    <t>工艺</t>
  </si>
  <si>
    <t>麻志超</t>
  </si>
  <si>
    <t>取模</t>
  </si>
  <si>
    <t>李水平</t>
  </si>
  <si>
    <t>吴明贵</t>
  </si>
  <si>
    <t>清模</t>
  </si>
  <si>
    <t>吴国秋</t>
  </si>
  <si>
    <t>蒋鹏</t>
  </si>
  <si>
    <t>喷脱模剂</t>
  </si>
  <si>
    <t>王虎彪</t>
  </si>
  <si>
    <t>打磨</t>
  </si>
  <si>
    <t>唐亮</t>
  </si>
  <si>
    <t>放钢丝</t>
  </si>
  <si>
    <t>谭哲</t>
  </si>
  <si>
    <t>黄翠兰</t>
  </si>
  <si>
    <t>陈连湘</t>
  </si>
  <si>
    <t>袁卫星</t>
  </si>
  <si>
    <t>郭正军</t>
  </si>
  <si>
    <t>佘军</t>
  </si>
  <si>
    <t>挂无纺布</t>
  </si>
  <si>
    <t>陈迪</t>
  </si>
  <si>
    <t>王西明</t>
  </si>
  <si>
    <t>李先文</t>
  </si>
  <si>
    <t>张波滔</t>
  </si>
  <si>
    <t>刘湘宇</t>
  </si>
  <si>
    <t>修边</t>
  </si>
  <si>
    <t>陈爱军</t>
  </si>
  <si>
    <t>冉景斌</t>
  </si>
  <si>
    <t>修边/打磨</t>
  </si>
  <si>
    <t>刘俊杰</t>
  </si>
  <si>
    <t>制表：</t>
  </si>
  <si>
    <t>审核：</t>
  </si>
  <si>
    <t>全勤（300|）</t>
  </si>
  <si>
    <r>
      <rPr>
        <sz val="12"/>
        <color indexed="8"/>
        <rFont val="宋体"/>
        <charset val="134"/>
      </rPr>
      <t>餐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费
补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贴</t>
    </r>
  </si>
  <si>
    <r>
      <rPr>
        <sz val="12"/>
        <color indexed="8"/>
        <rFont val="宋体"/>
        <charset val="134"/>
      </rPr>
      <t>应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发
工</t>
    </r>
    <r>
      <rPr>
        <sz val="12"/>
        <color indexed="8"/>
        <rFont val="Times New Roman"/>
        <charset val="134"/>
      </rPr>
      <t> </t>
    </r>
    <r>
      <rPr>
        <sz val="12"/>
        <color indexed="8"/>
        <rFont val="宋体"/>
        <charset val="134"/>
      </rPr>
      <t>资</t>
    </r>
  </si>
  <si>
    <r>
      <rPr>
        <sz val="14"/>
        <rFont val="Times New Roman"/>
        <charset val="134"/>
      </rPr>
      <t>500/</t>
    </r>
    <r>
      <rPr>
        <sz val="14"/>
        <rFont val="宋体"/>
        <charset val="134"/>
      </rPr>
      <t>元</t>
    </r>
    <r>
      <rPr>
        <sz val="14"/>
        <rFont val="Times New Roman"/>
        <charset val="134"/>
      </rPr>
      <t>/</t>
    </r>
    <r>
      <rPr>
        <sz val="14"/>
        <rFont val="宋体"/>
        <charset val="134"/>
      </rPr>
      <t>月</t>
    </r>
  </si>
  <si>
    <t>8元/天</t>
  </si>
  <si>
    <t>张忠宝</t>
  </si>
  <si>
    <t>设备</t>
  </si>
  <si>
    <t>赵新辉</t>
  </si>
  <si>
    <t>取模/清模</t>
  </si>
  <si>
    <t>张迪辉</t>
  </si>
  <si>
    <t>龙意倩</t>
  </si>
  <si>
    <t>卢喜春</t>
  </si>
  <si>
    <t>肖军奇</t>
  </si>
  <si>
    <t>贺翌昂</t>
  </si>
  <si>
    <t>林虎</t>
  </si>
  <si>
    <t>谭金祥</t>
  </si>
  <si>
    <t>焊接支援</t>
  </si>
  <si>
    <t>邹明旺</t>
  </si>
  <si>
    <t>蔡建兵</t>
  </si>
  <si>
    <t>装车</t>
  </si>
  <si>
    <t>陶勇军</t>
  </si>
  <si>
    <t>肖秋明</t>
  </si>
  <si>
    <t>总装支援</t>
  </si>
  <si>
    <t>修补</t>
  </si>
  <si>
    <t>史双宇</t>
  </si>
  <si>
    <t>质检</t>
  </si>
  <si>
    <t>彭健</t>
  </si>
  <si>
    <t>2025年9发泡车间班员工计件工资核算</t>
  </si>
  <si>
    <t>杨兰方</t>
  </si>
  <si>
    <t>周兵湘</t>
  </si>
  <si>
    <t>孙鸿岩</t>
  </si>
  <si>
    <t>陈夏君</t>
  </si>
  <si>
    <t>剪边包边</t>
  </si>
  <si>
    <t>周孝勇</t>
  </si>
  <si>
    <t>破泡</t>
  </si>
  <si>
    <t>易任红</t>
  </si>
  <si>
    <t>刘顺新</t>
  </si>
  <si>
    <t>张永桂</t>
  </si>
  <si>
    <t>王攀</t>
  </si>
  <si>
    <t>王明</t>
  </si>
  <si>
    <t>李力争</t>
  </si>
  <si>
    <t>打磨区装车</t>
  </si>
  <si>
    <t>刘爱国</t>
  </si>
  <si>
    <t>卫伟伟</t>
  </si>
  <si>
    <t>彭智勇</t>
  </si>
  <si>
    <t>吴朗</t>
  </si>
  <si>
    <t>彭孜刚</t>
  </si>
  <si>
    <t>伍志强</t>
  </si>
  <si>
    <t>彭新泉</t>
  </si>
  <si>
    <t>罗晚花</t>
  </si>
  <si>
    <t>黄亚英</t>
  </si>
  <si>
    <t>任勇</t>
  </si>
  <si>
    <t>康嵩</t>
  </si>
  <si>
    <t>张定华</t>
  </si>
  <si>
    <t>熊建成</t>
  </si>
  <si>
    <t>彭雀桥</t>
  </si>
  <si>
    <t>阳为风</t>
  </si>
  <si>
    <t>刘光林</t>
  </si>
  <si>
    <t>热清模</t>
  </si>
  <si>
    <t>赖金龙</t>
  </si>
  <si>
    <t>吴旺宇</t>
  </si>
  <si>
    <t>吴鑫</t>
  </si>
  <si>
    <t>章志华</t>
  </si>
  <si>
    <t>胡平根</t>
  </si>
  <si>
    <t>计件天数</t>
  </si>
  <si>
    <t>实出勤-计件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</si>
</sst>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_);[Red]\(0\)"/>
    <numFmt numFmtId="179" formatCode="0.00_);[Red]\(0.00\)"/>
    <numFmt numFmtId="180" formatCode="0.000_);[Red]\(0.000\)"/>
    <numFmt numFmtId="181" formatCode="0_ "/>
  </numFmts>
  <fonts count="8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0"/>
      <color indexed="8"/>
      <name val="宋体"/>
      <charset val="134"/>
    </font>
    <font>
      <b/>
      <sz val="2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sz val="14"/>
      <color theme="1"/>
      <name val="宋体"/>
      <charset val="134"/>
      <scheme val="minor"/>
    </font>
    <font>
      <sz val="16"/>
      <color indexed="8"/>
      <name val="宋体"/>
      <charset val="134"/>
    </font>
    <font>
      <sz val="16"/>
      <name val="Times New Roman"/>
      <charset val="134"/>
    </font>
    <font>
      <sz val="14"/>
      <color rgb="FFFF0000"/>
      <name val="宋体"/>
      <charset val="134"/>
    </font>
    <font>
      <b/>
      <sz val="14"/>
      <color indexed="8"/>
      <name val="宋体"/>
      <charset val="134"/>
    </font>
    <font>
      <sz val="18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8"/>
      <color indexed="8"/>
      <name val="宋体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b/>
      <sz val="14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color indexed="0"/>
      <name val="Arial"/>
      <charset val="0"/>
    </font>
    <font>
      <sz val="10"/>
      <color rgb="FF000000"/>
      <name val="宋体"/>
      <charset val="0"/>
    </font>
    <font>
      <sz val="11"/>
      <name val="宋体"/>
      <charset val="134"/>
    </font>
    <font>
      <b/>
      <u/>
      <sz val="18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u/>
      <sz val="14"/>
      <name val="宋体"/>
      <charset val="134"/>
    </font>
    <font>
      <b/>
      <sz val="14"/>
      <color indexed="4"/>
      <name val="Leelawadee"/>
      <charset val="134"/>
    </font>
    <font>
      <b/>
      <sz val="14"/>
      <color rgb="FF0000FF"/>
      <name val="Leelawadee"/>
      <charset val="134"/>
    </font>
    <font>
      <sz val="11"/>
      <color rgb="FF000000"/>
      <name val="宋体"/>
      <charset val="134"/>
    </font>
    <font>
      <sz val="14"/>
      <color indexed="4"/>
      <name val="Microsoft Sans Serif"/>
      <charset val="134"/>
    </font>
    <font>
      <b/>
      <sz val="14"/>
      <color rgb="FF0000FF"/>
      <name val="宋体"/>
      <charset val="134"/>
    </font>
    <font>
      <b/>
      <sz val="14"/>
      <color indexed="4"/>
      <name val="Microsoft Sans Serif"/>
      <charset val="134"/>
    </font>
    <font>
      <b/>
      <sz val="14"/>
      <color rgb="FF000000"/>
      <name val="宋体"/>
      <charset val="134"/>
      <scheme val="major"/>
    </font>
    <font>
      <sz val="18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u/>
      <sz val="12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sz val="11"/>
      <color theme="1" tint="0.249977111117893"/>
      <name val="宋体"/>
      <charset val="134"/>
    </font>
    <font>
      <b/>
      <sz val="24"/>
      <color indexed="8"/>
      <name val="宋体"/>
      <charset val="134"/>
    </font>
    <font>
      <b/>
      <sz val="16"/>
      <color indexed="8"/>
      <name val="宋体"/>
      <charset val="134"/>
    </font>
    <font>
      <b/>
      <sz val="14"/>
      <color theme="1" tint="0.249977111117893"/>
      <name val="宋体"/>
      <charset val="134"/>
    </font>
    <font>
      <sz val="10"/>
      <color theme="1" tint="0.249977111117893"/>
      <name val="宋体"/>
      <charset val="134"/>
    </font>
    <font>
      <sz val="14"/>
      <color theme="1" tint="0.249977111117893"/>
      <name val="宋体"/>
      <charset val="134"/>
    </font>
    <font>
      <b/>
      <sz val="11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Times New Roman"/>
      <charset val="134"/>
    </font>
    <font>
      <sz val="14"/>
      <color indexed="8"/>
      <name val="Times New Roman"/>
      <charset val="134"/>
    </font>
    <font>
      <sz val="10"/>
      <color rgb="FF000000"/>
      <name val="Arial"/>
      <charset val="0"/>
    </font>
    <font>
      <b/>
      <sz val="14"/>
      <color rgb="FF0000FF"/>
      <name val="Microsoft Sans Serif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9" fillId="43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61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2" fillId="4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47" borderId="19" applyNumberFormat="0" applyFont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20" applyNumberFormat="0" applyFill="0" applyAlignment="0" applyProtection="0">
      <alignment vertical="center"/>
    </xf>
    <xf numFmtId="0" fontId="70" fillId="0" borderId="20" applyNumberFormat="0" applyFill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71" fillId="48" borderId="22" applyNumberFormat="0" applyAlignment="0" applyProtection="0">
      <alignment vertical="center"/>
    </xf>
    <xf numFmtId="0" fontId="72" fillId="48" borderId="18" applyNumberFormat="0" applyAlignment="0" applyProtection="0">
      <alignment vertical="center"/>
    </xf>
    <xf numFmtId="0" fontId="73" fillId="49" borderId="23" applyNumberFormat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5" fillId="0" borderId="25" applyNumberFormat="0" applyFill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62" fillId="54" borderId="0" applyNumberFormat="0" applyBorder="0" applyAlignment="0" applyProtection="0">
      <alignment vertical="center"/>
    </xf>
    <xf numFmtId="0" fontId="58" fillId="55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62" fillId="5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59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528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4" fillId="2" borderId="0" xfId="0" applyFont="1" applyFill="1" applyBorder="1" applyAlignment="1">
      <alignment horizontal="left" vertical="center"/>
    </xf>
    <xf numFmtId="0" fontId="1" fillId="2" borderId="0" xfId="0" applyFont="1" applyFill="1" applyAlignment="1">
      <alignment vertical="center"/>
    </xf>
    <xf numFmtId="0" fontId="5" fillId="2" borderId="1" xfId="50" applyFon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/>
    </xf>
    <xf numFmtId="0" fontId="2" fillId="2" borderId="1" xfId="5" applyFont="1" applyFill="1" applyBorder="1" applyAlignment="1" applyProtection="1">
      <alignment horizontal="center" vertical="center" wrapText="1"/>
    </xf>
    <xf numFmtId="0" fontId="2" fillId="3" borderId="1" xfId="5" applyFont="1" applyFill="1" applyBorder="1" applyAlignment="1" applyProtection="1">
      <alignment horizontal="center" vertical="center" wrapText="1"/>
    </xf>
    <xf numFmtId="0" fontId="2" fillId="0" borderId="1" xfId="5" applyFont="1" applyFill="1" applyBorder="1" applyAlignment="1" applyProtection="1">
      <alignment horizontal="center" vertical="center" wrapText="1"/>
    </xf>
    <xf numFmtId="0" fontId="2" fillId="4" borderId="1" xfId="5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4" borderId="1" xfId="50" applyFont="1" applyFill="1" applyBorder="1" applyAlignment="1">
      <alignment horizontal="center" vertical="center"/>
    </xf>
    <xf numFmtId="0" fontId="6" fillId="5" borderId="1" xfId="5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176" fontId="7" fillId="2" borderId="1" xfId="5" applyNumberFormat="1" applyFont="1" applyFill="1" applyBorder="1" applyAlignment="1" applyProtection="1">
      <alignment horizontal="center" vertical="center" wrapText="1"/>
    </xf>
    <xf numFmtId="176" fontId="6" fillId="2" borderId="1" xfId="5" applyNumberFormat="1" applyFont="1" applyFill="1" applyBorder="1" applyAlignment="1" applyProtection="1">
      <alignment horizontal="center" vertical="center" wrapText="1"/>
    </xf>
    <xf numFmtId="179" fontId="3" fillId="2" borderId="1" xfId="5" applyNumberFormat="1" applyFont="1" applyFill="1" applyBorder="1" applyAlignment="1" applyProtection="1">
      <alignment horizontal="center" vertical="center" wrapText="1"/>
    </xf>
    <xf numFmtId="179" fontId="7" fillId="2" borderId="1" xfId="5" applyNumberFormat="1" applyFont="1" applyFill="1" applyBorder="1" applyAlignment="1" applyProtection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/>
    </xf>
    <xf numFmtId="0" fontId="8" fillId="2" borderId="1" xfId="5" applyFont="1" applyFill="1" applyBorder="1" applyAlignment="1" applyProtection="1">
      <alignment horizontal="center" vertical="center" wrapText="1"/>
    </xf>
    <xf numFmtId="178" fontId="3" fillId="2" borderId="1" xfId="5" applyNumberFormat="1" applyFont="1" applyFill="1" applyBorder="1" applyAlignment="1" applyProtection="1">
      <alignment horizontal="center" vertical="center" wrapText="1"/>
    </xf>
    <xf numFmtId="0" fontId="3" fillId="2" borderId="1" xfId="5" applyFont="1" applyFill="1" applyBorder="1" applyAlignment="1" applyProtection="1">
      <alignment horizontal="center" vertical="center" wrapText="1"/>
    </xf>
    <xf numFmtId="176" fontId="3" fillId="2" borderId="1" xfId="5" applyNumberFormat="1" applyFont="1" applyFill="1" applyBorder="1" applyAlignment="1" applyProtection="1">
      <alignment horizontal="center" vertical="center" wrapText="1"/>
    </xf>
    <xf numFmtId="179" fontId="2" fillId="2" borderId="1" xfId="5" applyNumberFormat="1" applyFont="1" applyFill="1" applyBorder="1" applyAlignment="1" applyProtection="1">
      <alignment horizontal="center" vertical="center" wrapText="1"/>
    </xf>
    <xf numFmtId="0" fontId="0" fillId="2" borderId="1" xfId="5" applyFont="1" applyFill="1" applyBorder="1" applyAlignment="1" applyProtection="1">
      <alignment horizontal="center" vertical="center" wrapText="1"/>
    </xf>
    <xf numFmtId="178" fontId="2" fillId="2" borderId="1" xfId="5" applyNumberFormat="1" applyFont="1" applyFill="1" applyBorder="1" applyAlignment="1" applyProtection="1">
      <alignment horizontal="center" vertical="center" wrapText="1"/>
    </xf>
    <xf numFmtId="176" fontId="2" fillId="2" borderId="1" xfId="5" applyNumberFormat="1" applyFont="1" applyFill="1" applyBorder="1" applyAlignment="1" applyProtection="1">
      <alignment horizontal="center" vertical="center" wrapText="1"/>
    </xf>
    <xf numFmtId="179" fontId="9" fillId="2" borderId="1" xfId="5" applyNumberFormat="1" applyFont="1" applyFill="1" applyBorder="1" applyAlignment="1" applyProtection="1">
      <alignment horizontal="center" vertical="center" wrapText="1"/>
    </xf>
    <xf numFmtId="180" fontId="7" fillId="2" borderId="1" xfId="5" applyNumberFormat="1" applyFont="1" applyFill="1" applyBorder="1" applyAlignment="1" applyProtection="1">
      <alignment horizontal="center" vertical="center" wrapText="1"/>
    </xf>
    <xf numFmtId="179" fontId="10" fillId="2" borderId="1" xfId="5" applyNumberFormat="1" applyFont="1" applyFill="1" applyBorder="1" applyAlignment="1" applyProtection="1">
      <alignment horizontal="center" vertical="center" wrapText="1"/>
    </xf>
    <xf numFmtId="178" fontId="7" fillId="2" borderId="1" xfId="5" applyNumberFormat="1" applyFont="1" applyFill="1" applyBorder="1" applyAlignment="1" applyProtection="1">
      <alignment horizontal="center" vertical="center" wrapText="1"/>
    </xf>
    <xf numFmtId="0" fontId="7" fillId="2" borderId="1" xfId="5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5" fillId="7" borderId="1" xfId="5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4" borderId="1" xfId="50" applyFont="1" applyFill="1" applyBorder="1" applyAlignment="1">
      <alignment horizontal="center" vertical="center" wrapText="1"/>
    </xf>
    <xf numFmtId="0" fontId="11" fillId="2" borderId="1" xfId="5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50" applyFont="1" applyFill="1" applyBorder="1" applyAlignment="1">
      <alignment horizontal="center" vertical="center"/>
    </xf>
    <xf numFmtId="0" fontId="11" fillId="4" borderId="1" xfId="50" applyFont="1" applyFill="1" applyBorder="1" applyAlignment="1">
      <alignment horizontal="center" vertical="center"/>
    </xf>
    <xf numFmtId="0" fontId="12" fillId="2" borderId="0" xfId="0" applyFont="1" applyFill="1" applyBorder="1">
      <alignment vertical="center"/>
    </xf>
    <xf numFmtId="0" fontId="6" fillId="2" borderId="0" xfId="5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0" applyFont="1" applyFill="1" applyBorder="1">
      <alignment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6" fontId="6" fillId="2" borderId="1" xfId="0" applyNumberFormat="1" applyFont="1" applyFill="1" applyBorder="1">
      <alignment vertical="center"/>
    </xf>
    <xf numFmtId="176" fontId="16" fillId="2" borderId="1" xfId="0" applyNumberFormat="1" applyFont="1" applyFill="1" applyBorder="1">
      <alignment vertical="center"/>
    </xf>
    <xf numFmtId="0" fontId="17" fillId="4" borderId="1" xfId="5" applyFont="1" applyFill="1" applyBorder="1" applyAlignment="1" applyProtection="1">
      <alignment horizontal="center" vertical="center" wrapText="1"/>
    </xf>
    <xf numFmtId="0" fontId="17" fillId="3" borderId="1" xfId="5" applyFont="1" applyFill="1" applyBorder="1" applyAlignment="1" applyProtection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9" fillId="4" borderId="1" xfId="5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19" fillId="3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>
      <alignment vertical="center"/>
    </xf>
    <xf numFmtId="0" fontId="21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2" fillId="0" borderId="0" xfId="0" applyFont="1" applyFill="1" applyAlignment="1">
      <alignment vertical="center"/>
    </xf>
    <xf numFmtId="0" fontId="22" fillId="8" borderId="0" xfId="0" applyFont="1" applyFill="1" applyAlignment="1">
      <alignment vertical="center"/>
    </xf>
    <xf numFmtId="0" fontId="22" fillId="4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23" fillId="0" borderId="0" xfId="0" applyFont="1" applyFill="1" applyBorder="1" applyAlignment="1"/>
    <xf numFmtId="0" fontId="24" fillId="0" borderId="0" xfId="0" applyFont="1" applyFill="1" applyBorder="1" applyAlignment="1"/>
    <xf numFmtId="0" fontId="22" fillId="9" borderId="0" xfId="0" applyFont="1" applyFill="1" applyAlignment="1">
      <alignment vertical="center"/>
    </xf>
    <xf numFmtId="0" fontId="0" fillId="2" borderId="1" xfId="0" applyFill="1" applyBorder="1">
      <alignment vertical="center"/>
    </xf>
    <xf numFmtId="0" fontId="0" fillId="2" borderId="0" xfId="0" applyFill="1">
      <alignment vertical="center"/>
    </xf>
    <xf numFmtId="0" fontId="25" fillId="2" borderId="2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vertical="center" textRotation="255"/>
    </xf>
    <xf numFmtId="0" fontId="28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vertical="center" textRotation="255"/>
    </xf>
    <xf numFmtId="0" fontId="28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30" fillId="10" borderId="1" xfId="0" applyFont="1" applyFill="1" applyBorder="1" applyAlignment="1">
      <alignment horizontal="center" vertical="center"/>
    </xf>
    <xf numFmtId="0" fontId="31" fillId="10" borderId="1" xfId="0" applyFont="1" applyFill="1" applyBorder="1" applyAlignment="1">
      <alignment vertical="center"/>
    </xf>
    <xf numFmtId="0" fontId="32" fillId="2" borderId="11" xfId="0" applyFont="1" applyFill="1" applyBorder="1" applyAlignment="1" applyProtection="1">
      <alignment vertical="center"/>
      <protection locked="0"/>
    </xf>
    <xf numFmtId="0" fontId="31" fillId="10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/>
    </xf>
    <xf numFmtId="0" fontId="32" fillId="2" borderId="11" xfId="0" applyFont="1" applyFill="1" applyBorder="1" applyAlignment="1">
      <alignment vertical="center"/>
    </xf>
    <xf numFmtId="0" fontId="33" fillId="2" borderId="1" xfId="0" applyFont="1" applyFill="1" applyBorder="1" applyAlignment="1">
      <alignment horizontal="left" vertical="center"/>
    </xf>
    <xf numFmtId="0" fontId="34" fillId="2" borderId="1" xfId="0" applyFont="1" applyFill="1" applyBorder="1" applyAlignment="1">
      <alignment horizontal="left" vertical="center"/>
    </xf>
    <xf numFmtId="0" fontId="35" fillId="2" borderId="1" xfId="0" applyFont="1" applyFill="1" applyBorder="1" applyAlignment="1">
      <alignment horizontal="left" vertical="center"/>
    </xf>
    <xf numFmtId="0" fontId="35" fillId="10" borderId="1" xfId="0" applyFont="1" applyFill="1" applyBorder="1" applyAlignment="1">
      <alignment horizontal="left" vertical="center"/>
    </xf>
    <xf numFmtId="0" fontId="34" fillId="10" borderId="1" xfId="0" applyFont="1" applyFill="1" applyBorder="1" applyAlignment="1">
      <alignment horizontal="left" vertical="center"/>
    </xf>
    <xf numFmtId="0" fontId="36" fillId="2" borderId="1" xfId="0" applyFont="1" applyFill="1" applyBorder="1" applyAlignment="1">
      <alignment horizontal="center" vertical="center" wrapText="1"/>
    </xf>
    <xf numFmtId="0" fontId="36" fillId="2" borderId="12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/>
    </xf>
    <xf numFmtId="0" fontId="37" fillId="2" borderId="8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vertical="center" textRotation="255"/>
    </xf>
    <xf numFmtId="0" fontId="28" fillId="2" borderId="4" xfId="0" applyFont="1" applyFill="1" applyBorder="1" applyAlignment="1">
      <alignment vertical="center" textRotation="255"/>
    </xf>
    <xf numFmtId="0" fontId="28" fillId="2" borderId="2" xfId="0" applyFont="1" applyFill="1" applyBorder="1" applyAlignment="1">
      <alignment horizontal="center" vertical="center"/>
    </xf>
    <xf numFmtId="0" fontId="28" fillId="2" borderId="3" xfId="0" applyFont="1" applyFill="1" applyBorder="1" applyAlignment="1">
      <alignment horizontal="center" vertical="center"/>
    </xf>
    <xf numFmtId="0" fontId="28" fillId="2" borderId="4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vertical="center" textRotation="255"/>
    </xf>
    <xf numFmtId="0" fontId="28" fillId="2" borderId="6" xfId="0" applyFont="1" applyFill="1" applyBorder="1" applyAlignment="1">
      <alignment vertical="center" textRotation="255"/>
    </xf>
    <xf numFmtId="0" fontId="28" fillId="2" borderId="13" xfId="0" applyFont="1" applyFill="1" applyBorder="1" applyAlignment="1">
      <alignment horizontal="center" vertical="center"/>
    </xf>
    <xf numFmtId="0" fontId="32" fillId="2" borderId="11" xfId="0" applyFont="1" applyFill="1" applyBorder="1" applyProtection="1">
      <alignment vertical="center"/>
      <protection locked="0"/>
    </xf>
    <xf numFmtId="0" fontId="32" fillId="2" borderId="11" xfId="0" applyFont="1" applyFill="1" applyBorder="1">
      <alignment vertical="center"/>
    </xf>
    <xf numFmtId="0" fontId="0" fillId="2" borderId="0" xfId="0" applyFill="1" applyAlignment="1">
      <alignment vertical="center"/>
    </xf>
    <xf numFmtId="0" fontId="28" fillId="2" borderId="0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38" fillId="2" borderId="9" xfId="0" applyFont="1" applyFill="1" applyBorder="1" applyAlignment="1">
      <alignment horizontal="center" vertical="center"/>
    </xf>
    <xf numFmtId="0" fontId="8" fillId="2" borderId="0" xfId="0" applyFont="1" applyFill="1">
      <alignment vertical="center"/>
    </xf>
    <xf numFmtId="0" fontId="6" fillId="2" borderId="14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32" fillId="2" borderId="11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181" fontId="6" fillId="2" borderId="1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21" fillId="2" borderId="1" xfId="0" applyFont="1" applyFill="1" applyBorder="1" applyAlignment="1">
      <alignment horizontal="center" vertical="center"/>
    </xf>
    <xf numFmtId="181" fontId="16" fillId="2" borderId="0" xfId="0" applyNumberFormat="1" applyFont="1" applyFill="1" applyAlignment="1">
      <alignment horizontal="center" vertical="center"/>
    </xf>
    <xf numFmtId="0" fontId="39" fillId="2" borderId="1" xfId="0" applyFont="1" applyFill="1" applyBorder="1" applyAlignment="1">
      <alignment vertical="center" textRotation="255"/>
    </xf>
    <xf numFmtId="0" fontId="39" fillId="2" borderId="1" xfId="0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181" fontId="16" fillId="2" borderId="9" xfId="0" applyNumberFormat="1" applyFont="1" applyFill="1" applyBorder="1" applyAlignment="1">
      <alignment horizontal="center" vertical="center"/>
    </xf>
    <xf numFmtId="181" fontId="6" fillId="2" borderId="9" xfId="0" applyNumberFormat="1" applyFont="1" applyFill="1" applyBorder="1" applyAlignment="1">
      <alignment horizontal="center" vertical="center"/>
    </xf>
    <xf numFmtId="9" fontId="16" fillId="2" borderId="1" xfId="0" applyNumberFormat="1" applyFont="1" applyFill="1" applyBorder="1" applyAlignment="1">
      <alignment horizontal="center" vertical="center"/>
    </xf>
    <xf numFmtId="181" fontId="16" fillId="2" borderId="1" xfId="0" applyNumberFormat="1" applyFont="1" applyFill="1" applyBorder="1" applyAlignment="1">
      <alignment horizontal="center" vertical="center"/>
    </xf>
    <xf numFmtId="10" fontId="16" fillId="2" borderId="1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41" fillId="2" borderId="0" xfId="0" applyFont="1" applyFill="1">
      <alignment vertical="center"/>
    </xf>
    <xf numFmtId="0" fontId="16" fillId="2" borderId="16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42" fillId="2" borderId="0" xfId="0" applyFont="1" applyFill="1">
      <alignment vertical="center"/>
    </xf>
    <xf numFmtId="181" fontId="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81" fontId="41" fillId="2" borderId="1" xfId="0" applyNumberFormat="1" applyFont="1" applyFill="1" applyBorder="1" applyAlignment="1">
      <alignment horizontal="center" vertical="center"/>
    </xf>
    <xf numFmtId="0" fontId="39" fillId="2" borderId="11" xfId="0" applyFont="1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0" fontId="0" fillId="2" borderId="1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8" fillId="2" borderId="9" xfId="0" applyFont="1" applyFill="1" applyBorder="1" applyAlignment="1">
      <alignment horizontal="center" vertical="center"/>
    </xf>
    <xf numFmtId="9" fontId="16" fillId="2" borderId="9" xfId="0" applyNumberFormat="1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42" fillId="2" borderId="0" xfId="0" applyFont="1" applyFill="1" applyAlignment="1">
      <alignment horizontal="center" vertical="center"/>
    </xf>
    <xf numFmtId="0" fontId="43" fillId="2" borderId="1" xfId="0" applyFont="1" applyFill="1" applyBorder="1" applyAlignment="1">
      <alignment vertical="center" textRotation="255"/>
    </xf>
    <xf numFmtId="0" fontId="43" fillId="2" borderId="1" xfId="0" applyFont="1" applyFill="1" applyBorder="1" applyAlignment="1">
      <alignment horizontal="center" vertical="center"/>
    </xf>
    <xf numFmtId="0" fontId="43" fillId="2" borderId="2" xfId="0" applyFont="1" applyFill="1" applyBorder="1" applyAlignment="1">
      <alignment horizontal="center" vertical="center"/>
    </xf>
    <xf numFmtId="0" fontId="42" fillId="2" borderId="1" xfId="0" applyFont="1" applyFill="1" applyBorder="1" applyAlignment="1">
      <alignment horizontal="center" vertical="center"/>
    </xf>
    <xf numFmtId="0" fontId="43" fillId="2" borderId="10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181" fontId="44" fillId="2" borderId="9" xfId="0" applyNumberFormat="1" applyFont="1" applyFill="1" applyBorder="1" applyAlignment="1">
      <alignment horizontal="center" vertical="center"/>
    </xf>
    <xf numFmtId="9" fontId="6" fillId="2" borderId="1" xfId="0" applyNumberFormat="1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/>
    </xf>
    <xf numFmtId="181" fontId="44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vertical="center"/>
    </xf>
    <xf numFmtId="0" fontId="44" fillId="2" borderId="13" xfId="0" applyFont="1" applyFill="1" applyBorder="1" applyAlignment="1">
      <alignment horizontal="center" vertical="center"/>
    </xf>
    <xf numFmtId="0" fontId="44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6" fillId="2" borderId="13" xfId="0" applyFont="1" applyFill="1" applyBorder="1" applyAlignment="1">
      <alignment horizontal="center" vertical="center" wrapText="1"/>
    </xf>
    <xf numFmtId="0" fontId="42" fillId="0" borderId="0" xfId="0" applyFo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11" borderId="1" xfId="0" applyFont="1" applyFill="1" applyBorder="1" applyAlignment="1">
      <alignment vertical="center"/>
    </xf>
    <xf numFmtId="0" fontId="45" fillId="12" borderId="1" xfId="0" applyFont="1" applyFill="1" applyBorder="1" applyAlignment="1">
      <alignment vertical="center"/>
    </xf>
    <xf numFmtId="0" fontId="1" fillId="13" borderId="1" xfId="0" applyFont="1" applyFill="1" applyBorder="1" applyAlignment="1">
      <alignment vertical="center"/>
    </xf>
    <xf numFmtId="0" fontId="1" fillId="14" borderId="1" xfId="0" applyFont="1" applyFill="1" applyBorder="1" applyAlignment="1">
      <alignment vertical="center"/>
    </xf>
    <xf numFmtId="0" fontId="1" fillId="15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46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 applyProtection="1">
      <alignment horizontal="center" vertical="center"/>
      <protection locked="0"/>
    </xf>
    <xf numFmtId="0" fontId="47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left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/>
    </xf>
    <xf numFmtId="0" fontId="12" fillId="11" borderId="13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vertical="center"/>
    </xf>
    <xf numFmtId="0" fontId="12" fillId="14" borderId="1" xfId="0" applyFont="1" applyFill="1" applyBorder="1" applyAlignment="1">
      <alignment horizontal="center" vertical="center"/>
    </xf>
    <xf numFmtId="177" fontId="4" fillId="11" borderId="1" xfId="0" applyNumberFormat="1" applyFont="1" applyFill="1" applyBorder="1" applyAlignment="1">
      <alignment horizontal="center" vertical="center"/>
    </xf>
    <xf numFmtId="0" fontId="3" fillId="11" borderId="1" xfId="0" applyFont="1" applyFill="1" applyBorder="1" applyAlignment="1" applyProtection="1">
      <alignment vertical="center"/>
      <protection locked="0"/>
    </xf>
    <xf numFmtId="0" fontId="3" fillId="11" borderId="1" xfId="0" applyFont="1" applyFill="1" applyBorder="1" applyAlignment="1">
      <alignment vertical="center"/>
    </xf>
    <xf numFmtId="0" fontId="12" fillId="11" borderId="12" xfId="0" applyFont="1" applyFill="1" applyBorder="1" applyAlignment="1">
      <alignment horizontal="center" vertical="center"/>
    </xf>
    <xf numFmtId="177" fontId="1" fillId="11" borderId="1" xfId="0" applyNumberFormat="1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horizontal="center" vertical="center"/>
    </xf>
    <xf numFmtId="0" fontId="48" fillId="12" borderId="1" xfId="0" applyFont="1" applyFill="1" applyBorder="1" applyAlignment="1">
      <alignment horizontal="center" vertical="center"/>
    </xf>
    <xf numFmtId="0" fontId="48" fillId="12" borderId="13" xfId="0" applyFont="1" applyFill="1" applyBorder="1" applyAlignment="1">
      <alignment horizontal="center" vertical="center"/>
    </xf>
    <xf numFmtId="0" fontId="48" fillId="12" borderId="1" xfId="0" applyFont="1" applyFill="1" applyBorder="1" applyAlignment="1">
      <alignment vertical="center"/>
    </xf>
    <xf numFmtId="177" fontId="49" fillId="12" borderId="1" xfId="0" applyNumberFormat="1" applyFont="1" applyFill="1" applyBorder="1" applyAlignment="1">
      <alignment horizontal="center" vertical="center"/>
    </xf>
    <xf numFmtId="0" fontId="50" fillId="12" borderId="1" xfId="0" applyFont="1" applyFill="1" applyBorder="1" applyAlignment="1" applyProtection="1">
      <alignment vertical="center"/>
      <protection locked="0"/>
    </xf>
    <xf numFmtId="0" fontId="50" fillId="12" borderId="1" xfId="0" applyFont="1" applyFill="1" applyBorder="1" applyAlignment="1">
      <alignment vertical="center"/>
    </xf>
    <xf numFmtId="0" fontId="48" fillId="12" borderId="12" xfId="0" applyFont="1" applyFill="1" applyBorder="1" applyAlignment="1">
      <alignment horizontal="center" vertical="center"/>
    </xf>
    <xf numFmtId="177" fontId="45" fillId="12" borderId="1" xfId="0" applyNumberFormat="1" applyFont="1" applyFill="1" applyBorder="1" applyAlignment="1">
      <alignment horizontal="center" vertical="center"/>
    </xf>
    <xf numFmtId="0" fontId="48" fillId="12" borderId="9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12" fillId="13" borderId="13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vertical="center"/>
    </xf>
    <xf numFmtId="177" fontId="4" fillId="13" borderId="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 applyProtection="1">
      <alignment vertical="center"/>
      <protection locked="0"/>
    </xf>
    <xf numFmtId="0" fontId="3" fillId="13" borderId="1" xfId="0" applyFont="1" applyFill="1" applyBorder="1" applyAlignment="1">
      <alignment vertical="center"/>
    </xf>
    <xf numFmtId="0" fontId="12" fillId="13" borderId="12" xfId="0" applyFont="1" applyFill="1" applyBorder="1" applyAlignment="1">
      <alignment horizontal="center" vertical="center"/>
    </xf>
    <xf numFmtId="177" fontId="1" fillId="13" borderId="1" xfId="0" applyNumberFormat="1" applyFont="1" applyFill="1" applyBorder="1" applyAlignment="1">
      <alignment horizontal="center" vertical="center"/>
    </xf>
    <xf numFmtId="0" fontId="12" fillId="13" borderId="9" xfId="0" applyFont="1" applyFill="1" applyBorder="1" applyAlignment="1">
      <alignment horizontal="center" vertical="center"/>
    </xf>
    <xf numFmtId="0" fontId="12" fillId="14" borderId="9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vertical="center"/>
    </xf>
    <xf numFmtId="177" fontId="1" fillId="14" borderId="1" xfId="0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 applyProtection="1">
      <alignment vertical="center"/>
      <protection locked="0"/>
    </xf>
    <xf numFmtId="0" fontId="3" fillId="14" borderId="1" xfId="0" applyFont="1" applyFill="1" applyBorder="1" applyAlignment="1">
      <alignment vertical="center"/>
    </xf>
    <xf numFmtId="0" fontId="12" fillId="15" borderId="1" xfId="0" applyFont="1" applyFill="1" applyBorder="1" applyAlignment="1">
      <alignment horizontal="center" vertical="center"/>
    </xf>
    <xf numFmtId="0" fontId="12" fillId="16" borderId="13" xfId="0" applyFont="1" applyFill="1" applyBorder="1" applyAlignment="1">
      <alignment horizontal="center" vertical="center"/>
    </xf>
    <xf numFmtId="0" fontId="12" fillId="16" borderId="1" xfId="0" applyFont="1" applyFill="1" applyBorder="1" applyAlignment="1">
      <alignment vertical="center"/>
    </xf>
    <xf numFmtId="0" fontId="12" fillId="16" borderId="1" xfId="0" applyFont="1" applyFill="1" applyBorder="1" applyAlignment="1">
      <alignment horizontal="center" vertical="center"/>
    </xf>
    <xf numFmtId="177" fontId="4" fillId="16" borderId="1" xfId="0" applyNumberFormat="1" applyFont="1" applyFill="1" applyBorder="1" applyAlignment="1">
      <alignment horizontal="center" vertical="center"/>
    </xf>
    <xf numFmtId="0" fontId="3" fillId="16" borderId="1" xfId="0" applyFont="1" applyFill="1" applyBorder="1" applyAlignment="1" applyProtection="1">
      <alignment vertical="center"/>
      <protection locked="0"/>
    </xf>
    <xf numFmtId="0" fontId="3" fillId="16" borderId="1" xfId="0" applyFont="1" applyFill="1" applyBorder="1" applyAlignment="1">
      <alignment vertical="center"/>
    </xf>
    <xf numFmtId="0" fontId="12" fillId="16" borderId="12" xfId="0" applyFont="1" applyFill="1" applyBorder="1" applyAlignment="1">
      <alignment horizontal="center" vertical="center"/>
    </xf>
    <xf numFmtId="177" fontId="1" fillId="16" borderId="1" xfId="0" applyNumberFormat="1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5" borderId="13" xfId="0" applyFont="1" applyFill="1" applyBorder="1" applyAlignment="1">
      <alignment horizontal="center" vertical="center"/>
    </xf>
    <xf numFmtId="0" fontId="12" fillId="15" borderId="1" xfId="0" applyFont="1" applyFill="1" applyBorder="1" applyAlignment="1">
      <alignment vertical="center"/>
    </xf>
    <xf numFmtId="177" fontId="4" fillId="15" borderId="1" xfId="0" applyNumberFormat="1" applyFont="1" applyFill="1" applyBorder="1" applyAlignment="1">
      <alignment horizontal="center" vertical="center"/>
    </xf>
    <xf numFmtId="0" fontId="3" fillId="15" borderId="1" xfId="0" applyFont="1" applyFill="1" applyBorder="1" applyAlignment="1" applyProtection="1">
      <alignment vertical="center"/>
      <protection locked="0"/>
    </xf>
    <xf numFmtId="0" fontId="3" fillId="15" borderId="1" xfId="0" applyFont="1" applyFill="1" applyBorder="1" applyAlignment="1">
      <alignment vertical="center"/>
    </xf>
    <xf numFmtId="0" fontId="12" fillId="15" borderId="12" xfId="0" applyFont="1" applyFill="1" applyBorder="1" applyAlignment="1">
      <alignment horizontal="center" vertical="center"/>
    </xf>
    <xf numFmtId="177" fontId="1" fillId="15" borderId="1" xfId="0" applyNumberFormat="1" applyFont="1" applyFill="1" applyBorder="1" applyAlignment="1">
      <alignment horizontal="center" vertical="center"/>
    </xf>
    <xf numFmtId="0" fontId="12" fillId="15" borderId="9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right" vertical="center" wrapText="1"/>
    </xf>
    <xf numFmtId="0" fontId="3" fillId="17" borderId="1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10" fontId="3" fillId="18" borderId="1" xfId="0" applyNumberFormat="1" applyFont="1" applyFill="1" applyBorder="1" applyAlignment="1">
      <alignment vertical="center"/>
    </xf>
    <xf numFmtId="0" fontId="3" fillId="0" borderId="13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19" borderId="1" xfId="0" applyFont="1" applyFill="1" applyBorder="1" applyAlignment="1">
      <alignment vertical="center"/>
    </xf>
    <xf numFmtId="0" fontId="3" fillId="11" borderId="1" xfId="0" applyFont="1" applyFill="1" applyBorder="1" applyAlignment="1">
      <alignment horizontal="center" vertical="center" wrapText="1"/>
    </xf>
    <xf numFmtId="10" fontId="3" fillId="11" borderId="1" xfId="0" applyNumberFormat="1" applyFont="1" applyFill="1" applyBorder="1" applyAlignment="1">
      <alignment vertical="center"/>
    </xf>
    <xf numFmtId="0" fontId="3" fillId="13" borderId="13" xfId="0" applyFont="1" applyFill="1" applyBorder="1" applyAlignment="1">
      <alignment horizontal="center" vertical="center" wrapText="1"/>
    </xf>
    <xf numFmtId="0" fontId="51" fillId="17" borderId="2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 wrapText="1"/>
    </xf>
    <xf numFmtId="0" fontId="51" fillId="17" borderId="5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 wrapText="1"/>
    </xf>
    <xf numFmtId="0" fontId="51" fillId="17" borderId="10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vertical="center"/>
    </xf>
    <xf numFmtId="0" fontId="50" fillId="12" borderId="1" xfId="0" applyFont="1" applyFill="1" applyBorder="1" applyAlignment="1">
      <alignment horizontal="center" vertical="center" wrapText="1"/>
    </xf>
    <xf numFmtId="10" fontId="50" fillId="12" borderId="1" xfId="0" applyNumberFormat="1" applyFont="1" applyFill="1" applyBorder="1" applyAlignment="1">
      <alignment vertical="center"/>
    </xf>
    <xf numFmtId="0" fontId="3" fillId="18" borderId="1" xfId="0" applyFont="1" applyFill="1" applyBorder="1" applyAlignment="1">
      <alignment horizontal="center" vertical="center" wrapText="1"/>
    </xf>
    <xf numFmtId="10" fontId="3" fillId="18" borderId="1" xfId="0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10" fontId="3" fillId="14" borderId="1" xfId="0" applyNumberFormat="1" applyFont="1" applyFill="1" applyBorder="1" applyAlignment="1">
      <alignment vertical="center"/>
    </xf>
    <xf numFmtId="0" fontId="3" fillId="14" borderId="9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10" fontId="3" fillId="16" borderId="1" xfId="0" applyNumberFormat="1" applyFont="1" applyFill="1" applyBorder="1" applyAlignment="1">
      <alignment vertical="center"/>
    </xf>
    <xf numFmtId="0" fontId="3" fillId="16" borderId="13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/>
    </xf>
    <xf numFmtId="0" fontId="3" fillId="16" borderId="12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/>
    </xf>
    <xf numFmtId="0" fontId="3" fillId="16" borderId="9" xfId="0" applyFont="1" applyFill="1" applyBorder="1" applyAlignment="1">
      <alignment horizontal="center" vertical="center" wrapText="1"/>
    </xf>
    <xf numFmtId="0" fontId="1" fillId="16" borderId="10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 wrapText="1"/>
    </xf>
    <xf numFmtId="10" fontId="3" fillId="15" borderId="1" xfId="0" applyNumberFormat="1" applyFont="1" applyFill="1" applyBorder="1" applyAlignment="1">
      <alignment vertical="center"/>
    </xf>
    <xf numFmtId="0" fontId="3" fillId="15" borderId="13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center" vertical="center" wrapText="1"/>
    </xf>
    <xf numFmtId="0" fontId="1" fillId="15" borderId="5" xfId="0" applyFont="1" applyFill="1" applyBorder="1" applyAlignment="1">
      <alignment horizontal="center" vertical="center"/>
    </xf>
    <xf numFmtId="0" fontId="3" fillId="15" borderId="9" xfId="0" applyFont="1" applyFill="1" applyBorder="1" applyAlignment="1">
      <alignment horizontal="center" vertical="center" wrapText="1"/>
    </xf>
    <xf numFmtId="0" fontId="1" fillId="15" borderId="10" xfId="0" applyFont="1" applyFill="1" applyBorder="1" applyAlignment="1">
      <alignment horizontal="center" vertical="center"/>
    </xf>
    <xf numFmtId="0" fontId="51" fillId="17" borderId="4" xfId="0" applyFont="1" applyFill="1" applyBorder="1" applyAlignment="1">
      <alignment horizontal="center" vertical="center"/>
    </xf>
    <xf numFmtId="0" fontId="1" fillId="11" borderId="11" xfId="0" applyFont="1" applyFill="1" applyBorder="1" applyAlignment="1">
      <alignment vertical="center"/>
    </xf>
    <xf numFmtId="0" fontId="51" fillId="17" borderId="6" xfId="0" applyFont="1" applyFill="1" applyBorder="1" applyAlignment="1">
      <alignment horizontal="center" vertical="center"/>
    </xf>
    <xf numFmtId="0" fontId="51" fillId="17" borderId="15" xfId="0" applyFont="1" applyFill="1" applyBorder="1" applyAlignment="1">
      <alignment horizontal="center" vertical="center"/>
    </xf>
    <xf numFmtId="0" fontId="1" fillId="16" borderId="4" xfId="0" applyFont="1" applyFill="1" applyBorder="1" applyAlignment="1">
      <alignment horizontal="center" vertical="center"/>
    </xf>
    <xf numFmtId="0" fontId="1" fillId="16" borderId="6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left" vertical="center" wrapText="1"/>
    </xf>
    <xf numFmtId="0" fontId="1" fillId="16" borderId="15" xfId="0" applyFont="1" applyFill="1" applyBorder="1" applyAlignment="1">
      <alignment horizontal="center" vertical="center"/>
    </xf>
    <xf numFmtId="0" fontId="1" fillId="15" borderId="4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1" fillId="15" borderId="11" xfId="0" applyFont="1" applyFill="1" applyBorder="1" applyAlignment="1">
      <alignment horizontal="center" vertical="center"/>
    </xf>
    <xf numFmtId="0" fontId="1" fillId="15" borderId="6" xfId="0" applyFont="1" applyFill="1" applyBorder="1" applyAlignment="1">
      <alignment horizontal="center" vertical="center"/>
    </xf>
    <xf numFmtId="0" fontId="1" fillId="15" borderId="15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vertical="center"/>
    </xf>
    <xf numFmtId="177" fontId="4" fillId="7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 applyProtection="1">
      <alignment vertical="center"/>
      <protection locked="0"/>
    </xf>
    <xf numFmtId="0" fontId="3" fillId="7" borderId="1" xfId="0" applyFont="1" applyFill="1" applyBorder="1" applyAlignment="1">
      <alignment vertical="center"/>
    </xf>
    <xf numFmtId="177" fontId="1" fillId="7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0" fontId="3" fillId="7" borderId="1" xfId="0" applyNumberFormat="1" applyFont="1" applyFill="1" applyBorder="1" applyAlignment="1">
      <alignment vertical="center"/>
    </xf>
    <xf numFmtId="0" fontId="3" fillId="7" borderId="13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left" vertical="center" wrapText="1"/>
    </xf>
    <xf numFmtId="0" fontId="1" fillId="7" borderId="1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7" borderId="0" xfId="0" applyFont="1" applyFill="1" applyBorder="1" applyAlignment="1">
      <alignment vertical="center"/>
    </xf>
    <xf numFmtId="0" fontId="0" fillId="20" borderId="0" xfId="0" applyFont="1" applyFill="1" applyBorder="1" applyAlignment="1">
      <alignment vertical="center"/>
    </xf>
    <xf numFmtId="0" fontId="0" fillId="21" borderId="0" xfId="0" applyFont="1" applyFill="1" applyBorder="1" applyAlignment="1">
      <alignment vertical="center"/>
    </xf>
    <xf numFmtId="0" fontId="0" fillId="15" borderId="0" xfId="0" applyFont="1" applyFill="1" applyBorder="1" applyAlignment="1">
      <alignment vertical="center"/>
    </xf>
    <xf numFmtId="0" fontId="0" fillId="22" borderId="0" xfId="0" applyFont="1" applyFill="1" applyBorder="1" applyAlignment="1">
      <alignment vertical="center"/>
    </xf>
    <xf numFmtId="0" fontId="0" fillId="23" borderId="0" xfId="0" applyFont="1" applyFill="1" applyBorder="1" applyAlignment="1">
      <alignment vertical="center"/>
    </xf>
    <xf numFmtId="0" fontId="0" fillId="16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0" fillId="24" borderId="0" xfId="0" applyFont="1" applyFill="1" applyBorder="1" applyAlignment="1">
      <alignment vertical="center"/>
    </xf>
    <xf numFmtId="0" fontId="0" fillId="17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25" borderId="0" xfId="0" applyFont="1" applyFill="1" applyBorder="1" applyAlignment="1">
      <alignment vertical="center"/>
    </xf>
    <xf numFmtId="0" fontId="2" fillId="26" borderId="0" xfId="0" applyFont="1" applyFill="1" applyBorder="1" applyAlignment="1">
      <alignment vertical="center"/>
    </xf>
    <xf numFmtId="0" fontId="2" fillId="27" borderId="0" xfId="0" applyFont="1" applyFill="1" applyBorder="1" applyAlignment="1">
      <alignment vertical="center"/>
    </xf>
    <xf numFmtId="0" fontId="2" fillId="28" borderId="0" xfId="0" applyFont="1" applyFill="1" applyBorder="1" applyAlignment="1">
      <alignment vertical="center"/>
    </xf>
    <xf numFmtId="0" fontId="2" fillId="29" borderId="0" xfId="0" applyFont="1" applyFill="1" applyBorder="1" applyAlignment="1">
      <alignment vertical="center"/>
    </xf>
    <xf numFmtId="0" fontId="2" fillId="30" borderId="0" xfId="0" applyFont="1" applyFill="1" applyBorder="1" applyAlignment="1">
      <alignment vertical="center"/>
    </xf>
    <xf numFmtId="0" fontId="2" fillId="31" borderId="0" xfId="0" applyFont="1" applyFill="1" applyBorder="1" applyAlignment="1">
      <alignment vertical="center"/>
    </xf>
    <xf numFmtId="0" fontId="2" fillId="32" borderId="0" xfId="0" applyFont="1" applyFill="1" applyBorder="1" applyAlignment="1">
      <alignment vertical="center"/>
    </xf>
    <xf numFmtId="0" fontId="2" fillId="33" borderId="0" xfId="0" applyFont="1" applyFill="1" applyBorder="1" applyAlignment="1">
      <alignment vertical="center"/>
    </xf>
    <xf numFmtId="0" fontId="2" fillId="34" borderId="0" xfId="0" applyFont="1" applyFill="1" applyBorder="1" applyAlignment="1">
      <alignment vertical="center"/>
    </xf>
    <xf numFmtId="0" fontId="2" fillId="35" borderId="0" xfId="0" applyFont="1" applyFill="1" applyBorder="1" applyAlignment="1">
      <alignment vertical="center"/>
    </xf>
    <xf numFmtId="0" fontId="2" fillId="36" borderId="0" xfId="0" applyFont="1" applyFill="1" applyBorder="1" applyAlignment="1">
      <alignment vertical="center"/>
    </xf>
    <xf numFmtId="0" fontId="2" fillId="37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25" borderId="0" xfId="0" applyFont="1" applyFill="1" applyBorder="1" applyAlignment="1">
      <alignment horizontal="left" vertical="center"/>
    </xf>
    <xf numFmtId="57" fontId="0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25" borderId="1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left" vertical="center"/>
    </xf>
    <xf numFmtId="0" fontId="0" fillId="25" borderId="1" xfId="0" applyFont="1" applyFill="1" applyBorder="1" applyAlignment="1">
      <alignment horizontal="center" vertical="center"/>
    </xf>
    <xf numFmtId="0" fontId="0" fillId="7" borderId="13" xfId="0" applyFont="1" applyFill="1" applyBorder="1" applyAlignment="1">
      <alignment horizontal="center" vertical="center"/>
    </xf>
    <xf numFmtId="0" fontId="52" fillId="7" borderId="1" xfId="0" applyFont="1" applyFill="1" applyBorder="1" applyAlignment="1">
      <alignment vertical="center"/>
    </xf>
    <xf numFmtId="0" fontId="0" fillId="7" borderId="12" xfId="0" applyFont="1" applyFill="1" applyBorder="1" applyAlignment="1">
      <alignment horizontal="center" vertical="center"/>
    </xf>
    <xf numFmtId="0" fontId="0" fillId="7" borderId="9" xfId="0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/>
    </xf>
    <xf numFmtId="0" fontId="52" fillId="38" borderId="1" xfId="0" applyFont="1" applyFill="1" applyBorder="1" applyAlignment="1">
      <alignment horizontal="center" vertical="center"/>
    </xf>
    <xf numFmtId="0" fontId="52" fillId="39" borderId="1" xfId="0" applyFont="1" applyFill="1" applyBorder="1" applyAlignment="1">
      <alignment vertical="center"/>
    </xf>
    <xf numFmtId="0" fontId="52" fillId="38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53" fillId="38" borderId="1" xfId="0" applyFont="1" applyFill="1" applyBorder="1" applyAlignment="1">
      <alignment horizontal="center" vertical="center"/>
    </xf>
    <xf numFmtId="0" fontId="0" fillId="40" borderId="13" xfId="0" applyFont="1" applyFill="1" applyBorder="1" applyAlignment="1">
      <alignment horizontal="center" vertical="center"/>
    </xf>
    <xf numFmtId="0" fontId="0" fillId="40" borderId="12" xfId="0" applyFont="1" applyFill="1" applyBorder="1" applyAlignment="1">
      <alignment horizontal="center" vertical="center"/>
    </xf>
    <xf numFmtId="0" fontId="0" fillId="20" borderId="13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/>
    </xf>
    <xf numFmtId="0" fontId="52" fillId="20" borderId="1" xfId="0" applyFont="1" applyFill="1" applyBorder="1" applyAlignment="1">
      <alignment vertical="center"/>
    </xf>
    <xf numFmtId="0" fontId="0" fillId="20" borderId="12" xfId="0" applyFont="1" applyFill="1" applyBorder="1" applyAlignment="1">
      <alignment horizontal="center" vertical="center"/>
    </xf>
    <xf numFmtId="0" fontId="0" fillId="20" borderId="9" xfId="0" applyFont="1" applyFill="1" applyBorder="1" applyAlignment="1">
      <alignment horizontal="center" vertical="center"/>
    </xf>
    <xf numFmtId="0" fontId="0" fillId="21" borderId="13" xfId="0" applyFont="1" applyFill="1" applyBorder="1" applyAlignment="1">
      <alignment horizontal="center" vertical="center"/>
    </xf>
    <xf numFmtId="0" fontId="12" fillId="21" borderId="1" xfId="0" applyFont="1" applyFill="1" applyBorder="1" applyAlignment="1">
      <alignment horizontal="center" vertical="center"/>
    </xf>
    <xf numFmtId="0" fontId="52" fillId="21" borderId="1" xfId="0" applyFont="1" applyFill="1" applyBorder="1" applyAlignment="1">
      <alignment vertical="center"/>
    </xf>
    <xf numFmtId="0" fontId="0" fillId="21" borderId="12" xfId="0" applyFont="1" applyFill="1" applyBorder="1" applyAlignment="1">
      <alignment horizontal="center" vertical="center"/>
    </xf>
    <xf numFmtId="0" fontId="0" fillId="21" borderId="9" xfId="0" applyFont="1" applyFill="1" applyBorder="1" applyAlignment="1">
      <alignment horizontal="center" vertical="center"/>
    </xf>
    <xf numFmtId="0" fontId="54" fillId="12" borderId="13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/>
    </xf>
    <xf numFmtId="0" fontId="52" fillId="12" borderId="1" xfId="0" applyFont="1" applyFill="1" applyBorder="1" applyAlignment="1">
      <alignment vertical="center"/>
    </xf>
    <xf numFmtId="0" fontId="54" fillId="12" borderId="12" xfId="0" applyFont="1" applyFill="1" applyBorder="1" applyAlignment="1">
      <alignment horizontal="center" vertical="center"/>
    </xf>
    <xf numFmtId="0" fontId="54" fillId="12" borderId="9" xfId="0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0" fontId="12" fillId="22" borderId="1" xfId="0" applyFont="1" applyFill="1" applyBorder="1" applyAlignment="1">
      <alignment horizontal="center" vertical="center"/>
    </xf>
    <xf numFmtId="0" fontId="52" fillId="22" borderId="1" xfId="0" applyFont="1" applyFill="1" applyBorder="1" applyAlignment="1">
      <alignment vertical="center"/>
    </xf>
    <xf numFmtId="0" fontId="12" fillId="22" borderId="12" xfId="0" applyFont="1" applyFill="1" applyBorder="1" applyAlignment="1">
      <alignment horizontal="center" vertical="center"/>
    </xf>
    <xf numFmtId="0" fontId="0" fillId="26" borderId="0" xfId="0" applyFont="1" applyFill="1" applyBorder="1" applyAlignment="1">
      <alignment horizontal="left" vertical="center"/>
    </xf>
    <xf numFmtId="0" fontId="0" fillId="27" borderId="0" xfId="0" applyFont="1" applyFill="1" applyBorder="1" applyAlignment="1">
      <alignment horizontal="left" vertical="center"/>
    </xf>
    <xf numFmtId="0" fontId="0" fillId="28" borderId="0" xfId="0" applyFont="1" applyFill="1" applyBorder="1" applyAlignment="1">
      <alignment horizontal="left" vertical="center"/>
    </xf>
    <xf numFmtId="0" fontId="0" fillId="26" borderId="1" xfId="0" applyFont="1" applyFill="1" applyBorder="1" applyAlignment="1">
      <alignment horizontal="center" vertical="center"/>
    </xf>
    <xf numFmtId="0" fontId="0" fillId="27" borderId="1" xfId="0" applyFont="1" applyFill="1" applyBorder="1" applyAlignment="1">
      <alignment horizontal="center" vertical="center"/>
    </xf>
    <xf numFmtId="0" fontId="0" fillId="28" borderId="1" xfId="0" applyFont="1" applyFill="1" applyBorder="1" applyAlignment="1">
      <alignment horizontal="center" vertical="center"/>
    </xf>
    <xf numFmtId="0" fontId="0" fillId="29" borderId="0" xfId="0" applyFont="1" applyFill="1" applyBorder="1" applyAlignment="1">
      <alignment horizontal="left" vertical="center"/>
    </xf>
    <xf numFmtId="0" fontId="0" fillId="30" borderId="0" xfId="0" applyFont="1" applyFill="1" applyBorder="1" applyAlignment="1">
      <alignment horizontal="left" vertical="center"/>
    </xf>
    <xf numFmtId="0" fontId="0" fillId="31" borderId="0" xfId="0" applyFont="1" applyFill="1" applyBorder="1" applyAlignment="1">
      <alignment horizontal="left" vertical="center"/>
    </xf>
    <xf numFmtId="0" fontId="0" fillId="32" borderId="0" xfId="0" applyFont="1" applyFill="1" applyBorder="1" applyAlignment="1">
      <alignment horizontal="left" vertical="center"/>
    </xf>
    <xf numFmtId="0" fontId="0" fillId="33" borderId="0" xfId="0" applyFont="1" applyFill="1" applyBorder="1" applyAlignment="1">
      <alignment horizontal="left" vertical="center"/>
    </xf>
    <xf numFmtId="0" fontId="0" fillId="34" borderId="0" xfId="0" applyFont="1" applyFill="1" applyBorder="1" applyAlignment="1">
      <alignment horizontal="left" vertical="center"/>
    </xf>
    <xf numFmtId="0" fontId="0" fillId="35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8" fillId="34" borderId="16" xfId="0" applyFont="1" applyFill="1" applyBorder="1" applyAlignment="1">
      <alignment horizontal="center" vertical="center"/>
    </xf>
    <xf numFmtId="0" fontId="8" fillId="35" borderId="16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0" fillId="29" borderId="1" xfId="0" applyFont="1" applyFill="1" applyBorder="1" applyAlignment="1">
      <alignment horizontal="center" vertical="center"/>
    </xf>
    <xf numFmtId="0" fontId="0" fillId="30" borderId="1" xfId="0" applyFont="1" applyFill="1" applyBorder="1" applyAlignment="1">
      <alignment horizontal="center" vertical="center"/>
    </xf>
    <xf numFmtId="0" fontId="0" fillId="31" borderId="1" xfId="0" applyFont="1" applyFill="1" applyBorder="1" applyAlignment="1">
      <alignment horizontal="center" vertical="center"/>
    </xf>
    <xf numFmtId="0" fontId="0" fillId="32" borderId="1" xfId="0" applyFont="1" applyFill="1" applyBorder="1" applyAlignment="1">
      <alignment horizontal="center" vertical="center"/>
    </xf>
    <xf numFmtId="0" fontId="0" fillId="33" borderId="1" xfId="0" applyFont="1" applyFill="1" applyBorder="1" applyAlignment="1">
      <alignment horizontal="center" vertical="center"/>
    </xf>
    <xf numFmtId="0" fontId="0" fillId="34" borderId="1" xfId="0" applyFont="1" applyFill="1" applyBorder="1" applyAlignment="1">
      <alignment horizontal="center" vertical="center"/>
    </xf>
    <xf numFmtId="0" fontId="0" fillId="35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6" borderId="0" xfId="0" applyFont="1" applyFill="1" applyBorder="1" applyAlignment="1">
      <alignment horizontal="left" vertical="center"/>
    </xf>
    <xf numFmtId="0" fontId="0" fillId="37" borderId="0" xfId="0" applyFont="1" applyFill="1" applyBorder="1" applyAlignment="1">
      <alignment horizontal="left" vertical="center"/>
    </xf>
    <xf numFmtId="0" fontId="8" fillId="36" borderId="16" xfId="0" applyFont="1" applyFill="1" applyBorder="1" applyAlignment="1">
      <alignment horizontal="center" vertical="center"/>
    </xf>
    <xf numFmtId="0" fontId="8" fillId="37" borderId="16" xfId="0" applyFont="1" applyFill="1" applyBorder="1" applyAlignment="1">
      <alignment horizontal="center" vertical="center"/>
    </xf>
    <xf numFmtId="0" fontId="8" fillId="28" borderId="16" xfId="0" applyFont="1" applyFill="1" applyBorder="1" applyAlignment="1">
      <alignment horizontal="center" vertical="center"/>
    </xf>
    <xf numFmtId="0" fontId="0" fillId="36" borderId="1" xfId="0" applyFont="1" applyFill="1" applyBorder="1" applyAlignment="1">
      <alignment horizontal="center" vertical="center"/>
    </xf>
    <xf numFmtId="0" fontId="0" fillId="37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55" fillId="0" borderId="1" xfId="0" applyFont="1" applyFill="1" applyBorder="1" applyAlignment="1">
      <alignment horizontal="center" vertical="center"/>
    </xf>
    <xf numFmtId="0" fontId="52" fillId="0" borderId="13" xfId="0" applyFont="1" applyFill="1" applyBorder="1" applyAlignment="1">
      <alignment horizontal="center" vertical="center"/>
    </xf>
    <xf numFmtId="0" fontId="52" fillId="0" borderId="12" xfId="0" applyFont="1" applyFill="1" applyBorder="1" applyAlignment="1">
      <alignment horizontal="center" vertical="center"/>
    </xf>
    <xf numFmtId="0" fontId="52" fillId="7" borderId="12" xfId="0" applyFont="1" applyFill="1" applyBorder="1" applyAlignment="1">
      <alignment horizontal="center" vertical="center" wrapText="1"/>
    </xf>
    <xf numFmtId="0" fontId="52" fillId="7" borderId="9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2" fillId="0" borderId="12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52" fillId="0" borderId="9" xfId="0" applyFont="1" applyFill="1" applyBorder="1" applyAlignment="1">
      <alignment horizontal="center" vertical="center" wrapText="1"/>
    </xf>
    <xf numFmtId="0" fontId="52" fillId="0" borderId="12" xfId="0" applyFont="1" applyFill="1" applyBorder="1" applyAlignment="1">
      <alignment vertical="center" wrapText="1"/>
    </xf>
    <xf numFmtId="177" fontId="4" fillId="20" borderId="1" xfId="0" applyNumberFormat="1" applyFont="1" applyFill="1" applyBorder="1" applyAlignment="1">
      <alignment horizontal="center" vertical="center"/>
    </xf>
    <xf numFmtId="0" fontId="52" fillId="21" borderId="12" xfId="0" applyFont="1" applyFill="1" applyBorder="1" applyAlignment="1">
      <alignment horizontal="center" vertical="center" wrapText="1"/>
    </xf>
    <xf numFmtId="177" fontId="1" fillId="20" borderId="1" xfId="0" applyNumberFormat="1" applyFont="1" applyFill="1" applyBorder="1" applyAlignment="1">
      <alignment horizontal="center" vertical="center"/>
    </xf>
    <xf numFmtId="177" fontId="4" fillId="21" borderId="1" xfId="0" applyNumberFormat="1" applyFont="1" applyFill="1" applyBorder="1" applyAlignment="1">
      <alignment horizontal="center" vertical="center"/>
    </xf>
    <xf numFmtId="177" fontId="1" fillId="21" borderId="1" xfId="0" applyNumberFormat="1" applyFont="1" applyFill="1" applyBorder="1" applyAlignment="1">
      <alignment horizontal="center" vertical="center"/>
    </xf>
    <xf numFmtId="177" fontId="56" fillId="12" borderId="1" xfId="0" applyNumberFormat="1" applyFont="1" applyFill="1" applyBorder="1" applyAlignment="1">
      <alignment horizontal="center" vertical="center"/>
    </xf>
    <xf numFmtId="0" fontId="52" fillId="12" borderId="12" xfId="0" applyFont="1" applyFill="1" applyBorder="1" applyAlignment="1">
      <alignment horizontal="center" vertical="center" wrapText="1"/>
    </xf>
    <xf numFmtId="177" fontId="57" fillId="12" borderId="1" xfId="0" applyNumberFormat="1" applyFont="1" applyFill="1" applyBorder="1" applyAlignment="1">
      <alignment horizontal="center" vertical="center"/>
    </xf>
    <xf numFmtId="177" fontId="57" fillId="12" borderId="13" xfId="0" applyNumberFormat="1" applyFont="1" applyFill="1" applyBorder="1" applyAlignment="1">
      <alignment horizontal="center" vertical="center"/>
    </xf>
    <xf numFmtId="177" fontId="4" fillId="22" borderId="1" xfId="0" applyNumberFormat="1" applyFont="1" applyFill="1" applyBorder="1" applyAlignment="1">
      <alignment horizontal="center" vertical="center"/>
    </xf>
    <xf numFmtId="0" fontId="52" fillId="22" borderId="12" xfId="0" applyFont="1" applyFill="1" applyBorder="1" applyAlignment="1">
      <alignment horizontal="center" vertical="center" wrapText="1"/>
    </xf>
    <xf numFmtId="177" fontId="1" fillId="22" borderId="1" xfId="0" applyNumberFormat="1" applyFont="1" applyFill="1" applyBorder="1" applyAlignment="1">
      <alignment horizontal="center" vertical="center"/>
    </xf>
    <xf numFmtId="0" fontId="12" fillId="22" borderId="9" xfId="0" applyFont="1" applyFill="1" applyBorder="1" applyAlignment="1">
      <alignment horizontal="center" vertical="center"/>
    </xf>
    <xf numFmtId="0" fontId="12" fillId="23" borderId="13" xfId="0" applyFont="1" applyFill="1" applyBorder="1" applyAlignment="1">
      <alignment horizontal="center" vertical="center"/>
    </xf>
    <xf numFmtId="0" fontId="12" fillId="23" borderId="1" xfId="0" applyFont="1" applyFill="1" applyBorder="1" applyAlignment="1">
      <alignment horizontal="center" vertical="center"/>
    </xf>
    <xf numFmtId="0" fontId="52" fillId="23" borderId="1" xfId="0" applyFont="1" applyFill="1" applyBorder="1" applyAlignment="1">
      <alignment vertical="center"/>
    </xf>
    <xf numFmtId="0" fontId="12" fillId="23" borderId="12" xfId="0" applyFont="1" applyFill="1" applyBorder="1" applyAlignment="1">
      <alignment horizontal="center" vertical="center"/>
    </xf>
    <xf numFmtId="0" fontId="12" fillId="23" borderId="9" xfId="0" applyFont="1" applyFill="1" applyBorder="1" applyAlignment="1">
      <alignment horizontal="center" vertical="center"/>
    </xf>
    <xf numFmtId="0" fontId="52" fillId="16" borderId="1" xfId="0" applyFont="1" applyFill="1" applyBorder="1" applyAlignme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52" fillId="4" borderId="1" xfId="0" applyFont="1" applyFill="1" applyBorder="1" applyAlignment="1">
      <alignment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21" borderId="9" xfId="0" applyFont="1" applyFill="1" applyBorder="1" applyAlignment="1">
      <alignment horizontal="center" vertical="center"/>
    </xf>
    <xf numFmtId="0" fontId="0" fillId="15" borderId="13" xfId="0" applyFont="1" applyFill="1" applyBorder="1" applyAlignment="1">
      <alignment horizontal="center" vertical="center"/>
    </xf>
    <xf numFmtId="0" fontId="0" fillId="15" borderId="12" xfId="0" applyFont="1" applyFill="1" applyBorder="1" applyAlignment="1">
      <alignment horizontal="center" vertical="center"/>
    </xf>
    <xf numFmtId="0" fontId="0" fillId="15" borderId="9" xfId="0" applyFont="1" applyFill="1" applyBorder="1" applyAlignment="1">
      <alignment horizontal="center" vertical="center"/>
    </xf>
    <xf numFmtId="0" fontId="12" fillId="24" borderId="13" xfId="0" applyFont="1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/>
    </xf>
    <xf numFmtId="0" fontId="12" fillId="24" borderId="12" xfId="0" applyFont="1" applyFill="1" applyBorder="1" applyAlignment="1">
      <alignment horizontal="center" vertical="center"/>
    </xf>
    <xf numFmtId="177" fontId="1" fillId="22" borderId="13" xfId="0" applyNumberFormat="1" applyFont="1" applyFill="1" applyBorder="1" applyAlignment="1">
      <alignment horizontal="center" vertical="center"/>
    </xf>
    <xf numFmtId="177" fontId="4" fillId="23" borderId="1" xfId="0" applyNumberFormat="1" applyFont="1" applyFill="1" applyBorder="1" applyAlignment="1">
      <alignment horizontal="center" vertical="center"/>
    </xf>
    <xf numFmtId="0" fontId="52" fillId="23" borderId="12" xfId="0" applyFont="1" applyFill="1" applyBorder="1" applyAlignment="1">
      <alignment horizontal="center" vertical="center" wrapText="1"/>
    </xf>
    <xf numFmtId="177" fontId="1" fillId="23" borderId="1" xfId="0" applyNumberFormat="1" applyFont="1" applyFill="1" applyBorder="1" applyAlignment="1">
      <alignment horizontal="center" vertical="center"/>
    </xf>
    <xf numFmtId="177" fontId="1" fillId="23" borderId="13" xfId="0" applyNumberFormat="1" applyFont="1" applyFill="1" applyBorder="1" applyAlignment="1">
      <alignment horizontal="center" vertical="center"/>
    </xf>
    <xf numFmtId="0" fontId="52" fillId="16" borderId="12" xfId="0" applyFont="1" applyFill="1" applyBorder="1" applyAlignment="1">
      <alignment horizontal="center" vertical="center" wrapText="1"/>
    </xf>
    <xf numFmtId="177" fontId="1" fillId="16" borderId="13" xfId="0" applyNumberFormat="1" applyFont="1" applyFill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/>
    </xf>
    <xf numFmtId="0" fontId="52" fillId="4" borderId="12" xfId="0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/>
    </xf>
    <xf numFmtId="177" fontId="1" fillId="4" borderId="13" xfId="0" applyNumberFormat="1" applyFont="1" applyFill="1" applyBorder="1" applyAlignment="1">
      <alignment horizontal="center" vertical="center"/>
    </xf>
    <xf numFmtId="177" fontId="4" fillId="41" borderId="1" xfId="0" applyNumberFormat="1" applyFont="1" applyFill="1" applyBorder="1" applyAlignment="1">
      <alignment horizontal="center" vertical="center"/>
    </xf>
    <xf numFmtId="177" fontId="1" fillId="15" borderId="13" xfId="0" applyNumberFormat="1" applyFont="1" applyFill="1" applyBorder="1" applyAlignment="1">
      <alignment horizontal="center" vertical="center"/>
    </xf>
    <xf numFmtId="0" fontId="52" fillId="4" borderId="12" xfId="0" applyFont="1" applyFill="1" applyBorder="1" applyAlignment="1">
      <alignment vertical="center" wrapText="1"/>
    </xf>
    <xf numFmtId="0" fontId="52" fillId="24" borderId="1" xfId="0" applyFont="1" applyFill="1" applyBorder="1" applyAlignment="1">
      <alignment vertical="center"/>
    </xf>
    <xf numFmtId="177" fontId="4" fillId="24" borderId="1" xfId="0" applyNumberFormat="1" applyFont="1" applyFill="1" applyBorder="1" applyAlignment="1">
      <alignment horizontal="center" vertical="center"/>
    </xf>
    <xf numFmtId="0" fontId="52" fillId="24" borderId="12" xfId="0" applyFont="1" applyFill="1" applyBorder="1" applyAlignment="1">
      <alignment horizontal="center" vertical="center" wrapText="1"/>
    </xf>
    <xf numFmtId="177" fontId="1" fillId="24" borderId="1" xfId="0" applyNumberFormat="1" applyFont="1" applyFill="1" applyBorder="1" applyAlignment="1">
      <alignment horizontal="center" vertical="center"/>
    </xf>
    <xf numFmtId="0" fontId="12" fillId="24" borderId="9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horizontal="center" vertical="center"/>
    </xf>
    <xf numFmtId="177" fontId="1" fillId="24" borderId="13" xfId="0" applyNumberFormat="1" applyFont="1" applyFill="1" applyBorder="1" applyAlignment="1">
      <alignment horizontal="center" vertical="center"/>
    </xf>
    <xf numFmtId="0" fontId="52" fillId="17" borderId="1" xfId="0" applyFont="1" applyFill="1" applyBorder="1" applyAlignment="1">
      <alignment vertical="center"/>
    </xf>
    <xf numFmtId="177" fontId="4" fillId="17" borderId="1" xfId="0" applyNumberFormat="1" applyFont="1" applyFill="1" applyBorder="1" applyAlignment="1">
      <alignment horizontal="center" vertical="center"/>
    </xf>
    <xf numFmtId="0" fontId="52" fillId="17" borderId="12" xfId="0" applyFont="1" applyFill="1" applyBorder="1" applyAlignment="1">
      <alignment horizontal="center" vertical="center" wrapText="1"/>
    </xf>
    <xf numFmtId="177" fontId="1" fillId="17" borderId="1" xfId="0" applyNumberFormat="1" applyFont="1" applyFill="1" applyBorder="1" applyAlignment="1">
      <alignment horizontal="center" vertical="center"/>
    </xf>
    <xf numFmtId="177" fontId="1" fillId="17" borderId="13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9月份计件工资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DD7EE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1</xdr:col>
      <xdr:colOff>650875</xdr:colOff>
      <xdr:row>1</xdr:row>
      <xdr:rowOff>276860</xdr:rowOff>
    </xdr:to>
    <xdr:pic>
      <xdr:nvPicPr>
        <xdr:cNvPr id="2" name="图片 1" descr="光华荣昌修改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rcRect b="-7011"/>
        <a:stretch>
          <a:fillRect/>
        </a:stretch>
      </xdr:blipFill>
      <xdr:spPr>
        <a:xfrm>
          <a:off x="114300" y="76200"/>
          <a:ext cx="974090" cy="5435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114300</xdr:colOff>
      <xdr:row>0</xdr:row>
      <xdr:rowOff>76200</xdr:rowOff>
    </xdr:from>
    <xdr:to>
      <xdr:col>1</xdr:col>
      <xdr:colOff>650875</xdr:colOff>
      <xdr:row>1</xdr:row>
      <xdr:rowOff>276860</xdr:rowOff>
    </xdr:to>
    <xdr:pic>
      <xdr:nvPicPr>
        <xdr:cNvPr id="2" name="图片 1" descr="光华荣昌修改"/>
        <xdr:cNvPicPr>
          <a:picLocks noChangeAspect="1"/>
        </xdr:cNvPicPr>
      </xdr:nvPicPr>
      <xdr:blipFill>
        <a:blip r:embed="rId1" cstate="print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rcRect b="-7011"/>
        <a:stretch>
          <a:fillRect/>
        </a:stretch>
      </xdr:blipFill>
      <xdr:spPr>
        <a:xfrm>
          <a:off x="114300" y="76200"/>
          <a:ext cx="974090" cy="5435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xwechat_files\wxid_4sojan6b61lj22_745b\msg\file\2025-10\9&#26376;&#20221;&#21457;&#27873;&#29983;&#20135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5.9.12\9.30\25&#24180;9&#26376;\2025&#24180;9&#26376;&#21592;&#24037;&#32771;&#21220;10.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5.9.12\9.30\25&#24180;9&#26376;\2025&#24180;9&#26376;&#24037;&#36164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E1" t="str">
            <v>1号白班</v>
          </cell>
        </row>
        <row r="2">
          <cell r="B2" t="str">
            <v>SBS0010795</v>
          </cell>
          <cell r="C2" t="str">
            <v>UNEA主驾靠背发泡</v>
          </cell>
          <cell r="D2">
            <v>0.4</v>
          </cell>
          <cell r="E2">
            <v>53</v>
          </cell>
        </row>
        <row r="3">
          <cell r="B3" t="str">
            <v>SBS0010797</v>
          </cell>
          <cell r="C3" t="str">
            <v>UNEA副驾靠背发泡</v>
          </cell>
          <cell r="D3">
            <v>0.4</v>
          </cell>
          <cell r="E3">
            <v>52</v>
          </cell>
        </row>
        <row r="4">
          <cell r="B4" t="str">
            <v>SBS0010813</v>
          </cell>
          <cell r="C4" t="str">
            <v>UNEA主驾座垫发泡</v>
          </cell>
          <cell r="D4">
            <v>0.133</v>
          </cell>
          <cell r="E4">
            <v>53</v>
          </cell>
        </row>
        <row r="5">
          <cell r="B5" t="str">
            <v>SBS0010815</v>
          </cell>
          <cell r="C5" t="str">
            <v>UNEA副驾座垫发泡</v>
          </cell>
          <cell r="D5">
            <v>0.133</v>
          </cell>
          <cell r="E5">
            <v>52</v>
          </cell>
        </row>
        <row r="6">
          <cell r="B6" t="str">
            <v>SBS0010796</v>
          </cell>
          <cell r="C6" t="str">
            <v>UNEA主驾靠背发泡-带通风</v>
          </cell>
          <cell r="D6">
            <v>0.4</v>
          </cell>
          <cell r="E6">
            <v>275</v>
          </cell>
        </row>
        <row r="7">
          <cell r="B7" t="str">
            <v>SBS0010798</v>
          </cell>
          <cell r="C7" t="str">
            <v>UNEA副驾靠背发泡-带通风</v>
          </cell>
          <cell r="D7">
            <v>0.4</v>
          </cell>
          <cell r="E7">
            <v>384</v>
          </cell>
        </row>
        <row r="8">
          <cell r="B8" t="str">
            <v>SBS0010814</v>
          </cell>
          <cell r="C8" t="str">
            <v>UNEA主驾座垫发泡-带通风</v>
          </cell>
          <cell r="D8">
            <v>0.133</v>
          </cell>
          <cell r="E8">
            <v>329</v>
          </cell>
        </row>
        <row r="9">
          <cell r="B9" t="str">
            <v>SBS0010816</v>
          </cell>
          <cell r="C9" t="str">
            <v>UNEA副驾座垫发泡-带通风</v>
          </cell>
          <cell r="D9">
            <v>0.133</v>
          </cell>
          <cell r="E9">
            <v>328</v>
          </cell>
        </row>
        <row r="10">
          <cell r="B10" t="str">
            <v>SBS0010846</v>
          </cell>
          <cell r="C10" t="str">
            <v>UNEA右后座椅靠背发泡(四分)</v>
          </cell>
          <cell r="D10">
            <v>0.23</v>
          </cell>
          <cell r="E10">
            <v>337</v>
          </cell>
        </row>
        <row r="11">
          <cell r="B11" t="str">
            <v>SBS0010830</v>
          </cell>
          <cell r="C11" t="str">
            <v>UNEA六分左后座椅靠背发泡</v>
          </cell>
          <cell r="D11">
            <v>0.25</v>
          </cell>
          <cell r="E11">
            <v>290</v>
          </cell>
        </row>
        <row r="12">
          <cell r="B12" t="str">
            <v>SBS0010831</v>
          </cell>
          <cell r="C12" t="str">
            <v>UNEA六分左后座椅靠背发泡-无扶手</v>
          </cell>
          <cell r="D12">
            <v>0.25</v>
          </cell>
          <cell r="E12">
            <v>50</v>
          </cell>
        </row>
        <row r="13">
          <cell r="B13" t="str">
            <v>SBS0010851</v>
          </cell>
          <cell r="C13" t="str">
            <v>UNEA左后座椅座垫泡沫</v>
          </cell>
          <cell r="D13">
            <v>0.67</v>
          </cell>
          <cell r="E13">
            <v>330</v>
          </cell>
        </row>
        <row r="14">
          <cell r="B14" t="str">
            <v>SBS0010982</v>
          </cell>
          <cell r="C14" t="str">
            <v>第三排座椅左靠背泡沫总成</v>
          </cell>
          <cell r="D14">
            <v>0.25</v>
          </cell>
          <cell r="E14">
            <v>55</v>
          </cell>
        </row>
        <row r="15">
          <cell r="B15" t="str">
            <v>SBS0010994</v>
          </cell>
          <cell r="C15" t="str">
            <v>三排左背泡沫总成通风加热</v>
          </cell>
          <cell r="D15">
            <v>0.25</v>
          </cell>
          <cell r="E15">
            <v>0</v>
          </cell>
        </row>
        <row r="16">
          <cell r="B16" t="str">
            <v>SBS0010996</v>
          </cell>
          <cell r="C16" t="str">
            <v>第三排座椅左座垫泡沫总成</v>
          </cell>
          <cell r="D16">
            <v>0.25</v>
          </cell>
          <cell r="E16">
            <v>110</v>
          </cell>
        </row>
        <row r="17">
          <cell r="B17" t="str">
            <v>SBS0011005</v>
          </cell>
          <cell r="C17" t="str">
            <v>三排左座泡沫总成通风加热</v>
          </cell>
          <cell r="D17">
            <v>0.25</v>
          </cell>
          <cell r="E17">
            <v>0</v>
          </cell>
        </row>
        <row r="18">
          <cell r="B18" t="str">
            <v>SBS0011009</v>
          </cell>
          <cell r="C18" t="str">
            <v>第三排座椅右靠背泡沫总成</v>
          </cell>
          <cell r="D18">
            <v>0.23</v>
          </cell>
          <cell r="E18">
            <v>56</v>
          </cell>
        </row>
        <row r="19">
          <cell r="B19" t="str">
            <v>SBS0011013</v>
          </cell>
          <cell r="C19" t="str">
            <v>三排右背泡沫总成通风加热</v>
          </cell>
          <cell r="D19">
            <v>0.23</v>
          </cell>
          <cell r="E19">
            <v>0</v>
          </cell>
        </row>
        <row r="20">
          <cell r="B20" t="str">
            <v>SBS0011016</v>
          </cell>
          <cell r="C20" t="str">
            <v>第三排座椅右座垫泡沫总成</v>
          </cell>
          <cell r="D20">
            <v>0.23</v>
          </cell>
          <cell r="E20">
            <v>110</v>
          </cell>
        </row>
        <row r="21">
          <cell r="B21" t="str">
            <v>SBS0011021</v>
          </cell>
          <cell r="C21" t="str">
            <v>三排右座泡沫总成通风加热</v>
          </cell>
          <cell r="D21">
            <v>0.23</v>
          </cell>
          <cell r="E21">
            <v>0</v>
          </cell>
        </row>
        <row r="22">
          <cell r="B22" t="str">
            <v>SCS0012325</v>
          </cell>
          <cell r="C22" t="str">
            <v>主驾座垫发泡组件-通风</v>
          </cell>
          <cell r="D22">
            <v>0.133</v>
          </cell>
          <cell r="E22">
            <v>67</v>
          </cell>
        </row>
        <row r="23">
          <cell r="B23" t="str">
            <v>SCS0012327</v>
          </cell>
          <cell r="C23" t="str">
            <v>副驾座垫发泡组件-通风</v>
          </cell>
          <cell r="D23">
            <v>0.133</v>
          </cell>
          <cell r="E23">
            <v>66</v>
          </cell>
        </row>
        <row r="24">
          <cell r="B24" t="str">
            <v>SCS0012290</v>
          </cell>
          <cell r="C24" t="str">
            <v>主驾靠背发泡组件-通风按摩</v>
          </cell>
          <cell r="D24">
            <v>0.4</v>
          </cell>
          <cell r="E24">
            <v>54</v>
          </cell>
        </row>
        <row r="25">
          <cell r="B25" t="str">
            <v>SCS0012295</v>
          </cell>
          <cell r="C25" t="str">
            <v>副驾靠背发泡组件-通风按摩</v>
          </cell>
          <cell r="D25">
            <v>0.4</v>
          </cell>
          <cell r="E25">
            <v>57</v>
          </cell>
        </row>
        <row r="26">
          <cell r="B26" t="str">
            <v>SCS0012292</v>
          </cell>
          <cell r="C26" t="str">
            <v>主驾背发泡组件通风按摩  PAD</v>
          </cell>
          <cell r="D26" t="e">
            <v>#N/A</v>
          </cell>
          <cell r="E26">
            <v>0</v>
          </cell>
        </row>
        <row r="27">
          <cell r="B27" t="str">
            <v>SCS0012297</v>
          </cell>
          <cell r="C27" t="str">
            <v>副驾背发泡组件通风按摩  PAD</v>
          </cell>
          <cell r="D27" t="e">
            <v>#N/A</v>
          </cell>
          <cell r="E27">
            <v>0</v>
          </cell>
        </row>
        <row r="28">
          <cell r="B28" t="str">
            <v>SBS0010927</v>
          </cell>
          <cell r="C28" t="str">
            <v>HA6主驾靠背发泡-电动</v>
          </cell>
          <cell r="D28">
            <v>0.133</v>
          </cell>
          <cell r="E28">
            <v>0</v>
          </cell>
        </row>
        <row r="29">
          <cell r="B29" t="str">
            <v>SBS0010929</v>
          </cell>
          <cell r="C29" t="str">
            <v>HA6副驾靠背发泡-电动</v>
          </cell>
          <cell r="D29">
            <v>0.25</v>
          </cell>
          <cell r="E29">
            <v>0</v>
          </cell>
        </row>
        <row r="30">
          <cell r="B30" t="str">
            <v>SBS0010943</v>
          </cell>
          <cell r="C30" t="str">
            <v>HA6主驾座垫发泡-电动</v>
          </cell>
          <cell r="D30">
            <v>0.25</v>
          </cell>
          <cell r="E30">
            <v>0</v>
          </cell>
        </row>
        <row r="31">
          <cell r="B31" t="str">
            <v>SBS0010945</v>
          </cell>
          <cell r="C31" t="str">
            <v>HA6副驾座垫发泡-电动</v>
          </cell>
          <cell r="D31">
            <v>0.23</v>
          </cell>
          <cell r="E31">
            <v>0</v>
          </cell>
        </row>
        <row r="32">
          <cell r="B32" t="str">
            <v>SBS0010928</v>
          </cell>
          <cell r="C32" t="str">
            <v>HA6主驾靠背发泡-手动</v>
          </cell>
          <cell r="D32">
            <v>0.133</v>
          </cell>
          <cell r="E32">
            <v>0</v>
          </cell>
        </row>
        <row r="33">
          <cell r="B33" t="str">
            <v>SBS0010930</v>
          </cell>
          <cell r="C33" t="str">
            <v>HA6副驾靠背发泡-手动</v>
          </cell>
          <cell r="D33">
            <v>0.4</v>
          </cell>
          <cell r="E33">
            <v>0</v>
          </cell>
        </row>
        <row r="34">
          <cell r="B34" t="str">
            <v>SBS0010944</v>
          </cell>
          <cell r="C34" t="str">
            <v>HA6主驾座垫发泡-手动</v>
          </cell>
          <cell r="D34">
            <v>0.4</v>
          </cell>
          <cell r="E34">
            <v>0</v>
          </cell>
        </row>
        <row r="35">
          <cell r="B35" t="str">
            <v>SBS0010946</v>
          </cell>
          <cell r="C35" t="str">
            <v>HA6副驾座垫发泡-手动</v>
          </cell>
          <cell r="D35">
            <v>0.133</v>
          </cell>
          <cell r="E35">
            <v>0</v>
          </cell>
        </row>
        <row r="36">
          <cell r="B36" t="str">
            <v>SBS0010972</v>
          </cell>
          <cell r="C36" t="str">
            <v>HA6四分背</v>
          </cell>
          <cell r="D36">
            <v>0.373</v>
          </cell>
          <cell r="E36">
            <v>0</v>
          </cell>
        </row>
        <row r="37">
          <cell r="B37" t="str">
            <v>SBS0010957</v>
          </cell>
          <cell r="C37" t="str">
            <v>HA6A六分背（不带扶手）</v>
          </cell>
          <cell r="D37">
            <v>0.373</v>
          </cell>
          <cell r="E37">
            <v>0</v>
          </cell>
        </row>
        <row r="38">
          <cell r="B38" t="str">
            <v>SBS0010966</v>
          </cell>
          <cell r="C38" t="str">
            <v>HA6六分背（带扶手）</v>
          </cell>
          <cell r="D38">
            <v>0.373</v>
          </cell>
          <cell r="E38">
            <v>0</v>
          </cell>
        </row>
        <row r="39">
          <cell r="B39" t="str">
            <v>SBS0010974</v>
          </cell>
          <cell r="C39" t="str">
            <v>HA6后座坐垫总成</v>
          </cell>
          <cell r="D39">
            <v>0.373</v>
          </cell>
          <cell r="E39">
            <v>0</v>
          </cell>
        </row>
        <row r="40">
          <cell r="B40" t="str">
            <v>SBS0010862</v>
          </cell>
          <cell r="C40" t="str">
            <v>主驾靠背发泡-手动</v>
          </cell>
          <cell r="D40" t="e">
            <v>#N/A</v>
          </cell>
          <cell r="E40">
            <v>0</v>
          </cell>
        </row>
        <row r="41">
          <cell r="B41" t="str">
            <v>SBS0010864</v>
          </cell>
          <cell r="C41" t="str">
            <v>副驾靠背发泡-手动</v>
          </cell>
          <cell r="D41" t="e">
            <v>#N/A</v>
          </cell>
          <cell r="E41">
            <v>0</v>
          </cell>
        </row>
        <row r="42">
          <cell r="B42" t="str">
            <v>SBS0010866</v>
          </cell>
          <cell r="C42" t="str">
            <v>主驾座垫发泡-手动</v>
          </cell>
          <cell r="D42" t="e">
            <v>#N/A</v>
          </cell>
          <cell r="E42">
            <v>0</v>
          </cell>
        </row>
        <row r="43">
          <cell r="B43" t="str">
            <v>SBS0010868</v>
          </cell>
          <cell r="C43" t="str">
            <v>副驾座垫发泡-手动</v>
          </cell>
          <cell r="D43" t="e">
            <v>#N/A</v>
          </cell>
          <cell r="E43">
            <v>0</v>
          </cell>
        </row>
        <row r="44">
          <cell r="B44" t="str">
            <v>SBS0010863</v>
          </cell>
          <cell r="C44" t="str">
            <v>主驾靠背发泡-电动</v>
          </cell>
          <cell r="D44" t="e">
            <v>#N/A</v>
          </cell>
          <cell r="E44">
            <v>0</v>
          </cell>
        </row>
        <row r="45">
          <cell r="B45" t="str">
            <v>SBS0010865</v>
          </cell>
          <cell r="C45" t="str">
            <v>副驾靠背发泡-电动</v>
          </cell>
          <cell r="D45" t="e">
            <v>#N/A</v>
          </cell>
          <cell r="E45">
            <v>0</v>
          </cell>
        </row>
        <row r="46">
          <cell r="B46" t="str">
            <v>SBS0010867</v>
          </cell>
          <cell r="C46" t="str">
            <v>主驾座垫发泡-电动</v>
          </cell>
          <cell r="D46" t="e">
            <v>#N/A</v>
          </cell>
          <cell r="E46">
            <v>0</v>
          </cell>
        </row>
        <row r="47">
          <cell r="B47" t="str">
            <v>SBS0010869</v>
          </cell>
          <cell r="C47" t="str">
            <v>副驾座垫发泡-电动</v>
          </cell>
          <cell r="D47" t="e">
            <v>#N/A</v>
          </cell>
          <cell r="E47">
            <v>0</v>
          </cell>
        </row>
        <row r="48">
          <cell r="B48" t="str">
            <v>SBS0010896</v>
          </cell>
          <cell r="C48" t="str">
            <v>左后座椅靠背发泡总成--六分</v>
          </cell>
          <cell r="D48" t="e">
            <v>#N/A</v>
          </cell>
          <cell r="E48">
            <v>0</v>
          </cell>
        </row>
        <row r="49">
          <cell r="B49" t="str">
            <v>SBS0010905</v>
          </cell>
          <cell r="C49" t="str">
            <v>左后靠背发泡总成-带扶手--六分</v>
          </cell>
          <cell r="D49" t="e">
            <v>#N/A</v>
          </cell>
          <cell r="E49">
            <v>0</v>
          </cell>
        </row>
        <row r="50">
          <cell r="B50" t="str">
            <v>SBS0010910</v>
          </cell>
          <cell r="C50" t="str">
            <v>右后座椅靠背发泡总成--四分</v>
          </cell>
          <cell r="D50" t="e">
            <v>#N/A</v>
          </cell>
          <cell r="E50">
            <v>0</v>
          </cell>
        </row>
        <row r="51">
          <cell r="B51" t="str">
            <v>SBS0010912</v>
          </cell>
          <cell r="C51" t="str">
            <v>后座坐垫总成-混动</v>
          </cell>
          <cell r="D51" t="e">
            <v>#N/A</v>
          </cell>
          <cell r="E51">
            <v>0</v>
          </cell>
        </row>
        <row r="52">
          <cell r="B52" t="str">
            <v>SBS0010913</v>
          </cell>
          <cell r="C52" t="str">
            <v>后座坐垫总成-纯电</v>
          </cell>
          <cell r="D52" t="e">
            <v>#N/A</v>
          </cell>
          <cell r="E52">
            <v>0</v>
          </cell>
        </row>
        <row r="53">
          <cell r="B53" t="str">
            <v>SCS0012276</v>
          </cell>
          <cell r="C53" t="str">
            <v>右后座椅靠背发泡总成一体式</v>
          </cell>
          <cell r="D53">
            <v>0.67</v>
          </cell>
          <cell r="E53">
            <v>0</v>
          </cell>
        </row>
        <row r="54">
          <cell r="B54" t="str">
            <v>SCS0012282</v>
          </cell>
          <cell r="C54" t="str">
            <v>右后座椅座垫发泡</v>
          </cell>
          <cell r="D54">
            <v>0.67</v>
          </cell>
          <cell r="E54">
            <v>0</v>
          </cell>
        </row>
        <row r="55">
          <cell r="B55" t="str">
            <v>SBS0011157</v>
          </cell>
          <cell r="C55" t="str">
            <v>主驾驶座椅靠背发泡总成</v>
          </cell>
          <cell r="D55" t="e">
            <v>#N/A</v>
          </cell>
          <cell r="E55">
            <v>0</v>
          </cell>
        </row>
        <row r="56">
          <cell r="B56" t="str">
            <v>SBS0011158</v>
          </cell>
          <cell r="C56" t="str">
            <v>主驾驶座椅靠背发泡总成-通风</v>
          </cell>
          <cell r="D56" t="e">
            <v>#N/A</v>
          </cell>
          <cell r="E56">
            <v>0</v>
          </cell>
        </row>
        <row r="57">
          <cell r="B57" t="str">
            <v>SBS0011161</v>
          </cell>
          <cell r="C57" t="str">
            <v>二排座椅座垫发泡总成</v>
          </cell>
          <cell r="D57" t="e">
            <v>#N/A</v>
          </cell>
          <cell r="E57">
            <v>0</v>
          </cell>
        </row>
        <row r="58">
          <cell r="B58" t="str">
            <v>SCS0012292</v>
          </cell>
          <cell r="C58" t="str">
            <v>主驾背发泡组件通风按摩——PAD</v>
          </cell>
          <cell r="D58">
            <v>0.4</v>
          </cell>
          <cell r="E58">
            <v>0</v>
          </cell>
        </row>
        <row r="59">
          <cell r="B59" t="str">
            <v>SCS0012297</v>
          </cell>
          <cell r="C59" t="str">
            <v>副驾背发泡组件通风按摩——PAD</v>
          </cell>
          <cell r="D59">
            <v>0.4</v>
          </cell>
          <cell r="E59">
            <v>0</v>
          </cell>
        </row>
        <row r="60">
          <cell r="B60" t="str">
            <v>SCS0012288</v>
          </cell>
          <cell r="C60" t="str">
            <v>MR青春版  主驾靠背发泡</v>
          </cell>
          <cell r="D60">
            <v>0.4</v>
          </cell>
          <cell r="E60">
            <v>18</v>
          </cell>
        </row>
        <row r="61">
          <cell r="B61" t="str">
            <v>SCS0012293</v>
          </cell>
          <cell r="C61" t="str">
            <v>MR青春版  副驾靠背发泡</v>
          </cell>
          <cell r="D61">
            <v>0.4</v>
          </cell>
          <cell r="E61">
            <v>9</v>
          </cell>
        </row>
        <row r="62">
          <cell r="B62" t="str">
            <v>SCS0012324</v>
          </cell>
          <cell r="C62" t="str">
            <v>MR青春版  主驾座垫发泡</v>
          </cell>
          <cell r="D62">
            <v>0.133</v>
          </cell>
          <cell r="E62">
            <v>0</v>
          </cell>
        </row>
        <row r="63">
          <cell r="B63" t="str">
            <v>SCS0012326</v>
          </cell>
          <cell r="C63" t="str">
            <v>MR青春版  副驾座垫发泡</v>
          </cell>
          <cell r="D63">
            <v>0.133</v>
          </cell>
          <cell r="E63">
            <v>0</v>
          </cell>
        </row>
        <row r="64">
          <cell r="B64" t="str">
            <v>SCS0012473</v>
          </cell>
          <cell r="C64" t="str">
            <v>MR青春版  主驾靠背发泡——PAD</v>
          </cell>
          <cell r="D64">
            <v>0.4</v>
          </cell>
          <cell r="E64">
            <v>0</v>
          </cell>
        </row>
        <row r="65">
          <cell r="B65" t="str">
            <v>SCS0012475</v>
          </cell>
          <cell r="C65" t="str">
            <v>MR青春版  副驾靠背发泡——PAD</v>
          </cell>
          <cell r="D65">
            <v>0.4</v>
          </cell>
          <cell r="E65">
            <v>0</v>
          </cell>
        </row>
        <row r="66">
          <cell r="B66" t="str">
            <v>SBS0011158</v>
          </cell>
          <cell r="C66" t="str">
            <v>主驾驶座椅靠背发泡总成-通风</v>
          </cell>
          <cell r="D66">
            <v>0.133</v>
          </cell>
          <cell r="E66">
            <v>0</v>
          </cell>
        </row>
        <row r="67">
          <cell r="B67" t="str">
            <v>SBS0011161</v>
          </cell>
          <cell r="C67" t="str">
            <v>二排座椅座垫发泡总成</v>
          </cell>
          <cell r="D67">
            <v>0.133</v>
          </cell>
          <cell r="E67">
            <v>0</v>
          </cell>
        </row>
        <row r="68">
          <cell r="B68" t="str">
            <v>SCS0007455</v>
          </cell>
          <cell r="C68" t="str">
            <v>后排座垫泡沫总成（混动） HA2整体座</v>
          </cell>
          <cell r="D68">
            <v>0.373</v>
          </cell>
          <cell r="E68">
            <v>0</v>
          </cell>
        </row>
        <row r="69">
          <cell r="B69" t="str">
            <v>SCS0003839</v>
          </cell>
          <cell r="C69" t="str">
            <v>后排坐垫发泡总成（Z02）C40D大座</v>
          </cell>
          <cell r="D69" t="e">
            <v>#N/A</v>
          </cell>
          <cell r="E6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9（定版）10.12"/>
      <sheetName val="25.8月定稿"/>
      <sheetName val="10.4曹蜜"/>
      <sheetName val="Sheet1"/>
    </sheetNames>
    <sheetDataSet>
      <sheetData sheetId="0">
        <row r="3">
          <cell r="B3" t="str">
            <v>姓  名</v>
          </cell>
          <cell r="C3" t="str">
            <v>科室</v>
          </cell>
          <cell r="D3" t="str">
            <v>入职日期</v>
          </cell>
          <cell r="E3" t="str">
            <v>应出勤时间（天）</v>
          </cell>
          <cell r="F3" t="str">
            <v>实出勤时间（天）</v>
          </cell>
          <cell r="G3" t="str">
            <v>年度调休</v>
          </cell>
          <cell r="H3" t="str">
            <v>调休（天）</v>
          </cell>
          <cell r="I3" t="str">
            <v>出差（天）</v>
          </cell>
          <cell r="J3" t="str">
            <v>婚/产/丧/工伤</v>
          </cell>
          <cell r="K3" t="str">
            <v>事假（天）</v>
          </cell>
          <cell r="L3" t="str">
            <v>病假（天）</v>
          </cell>
          <cell r="M3" t="str">
            <v>迟到（10分钟以内）</v>
          </cell>
          <cell r="N3" t="str">
            <v>迟到（11分-30分）</v>
          </cell>
          <cell r="O3" t="str">
            <v>旷工（天）</v>
          </cell>
          <cell r="P3" t="str">
            <v>补卡次数</v>
          </cell>
          <cell r="Q3" t="str">
            <v>补假/补单次数</v>
          </cell>
          <cell r="R3" t="str">
            <v>平时加班
</v>
          </cell>
          <cell r="S3" t="str">
            <v>周末加班</v>
          </cell>
          <cell r="T3" t="str">
            <v>9月份餐补天数</v>
          </cell>
          <cell r="U3" t="str">
            <v>9月加班餐补天数</v>
          </cell>
          <cell r="V3" t="str">
            <v>餐费</v>
          </cell>
          <cell r="W3" t="str">
            <v>备注</v>
          </cell>
          <cell r="X3" t="str">
            <v>9月绩效得分</v>
          </cell>
          <cell r="Y3" t="str">
            <v>绩效金额</v>
          </cell>
        </row>
        <row r="3">
          <cell r="AC3" t="str">
            <v>工资表人员</v>
          </cell>
          <cell r="AD3" t="str">
            <v>9月月报</v>
          </cell>
          <cell r="AE3" t="str">
            <v>社保明细</v>
          </cell>
          <cell r="AF3" t="str">
            <v>发泡工资表</v>
          </cell>
          <cell r="AG3" t="str">
            <v>离职</v>
          </cell>
          <cell r="AH3" t="str">
            <v>离职日期</v>
          </cell>
        </row>
        <row r="4">
          <cell r="B4" t="str">
            <v>卢中华</v>
          </cell>
          <cell r="C4" t="str">
            <v>总经办</v>
          </cell>
          <cell r="D4">
            <v>42499</v>
          </cell>
          <cell r="E4">
            <v>23</v>
          </cell>
          <cell r="F4">
            <v>23</v>
          </cell>
        </row>
        <row r="4">
          <cell r="H4">
            <v>2</v>
          </cell>
          <cell r="I4">
            <v>2</v>
          </cell>
        </row>
        <row r="4">
          <cell r="P4">
            <v>1</v>
          </cell>
        </row>
        <row r="4">
          <cell r="T4">
            <v>19</v>
          </cell>
          <cell r="U4">
            <v>0</v>
          </cell>
          <cell r="V4">
            <v>228</v>
          </cell>
        </row>
        <row r="4">
          <cell r="Z4" t="str">
            <v>光华荣昌</v>
          </cell>
          <cell r="AA4">
            <v>0</v>
          </cell>
          <cell r="AB4" t="str">
            <v>卢中华</v>
          </cell>
          <cell r="AC4" t="str">
            <v>卢中华</v>
          </cell>
          <cell r="AD4" t="str">
            <v>卢中华</v>
          </cell>
          <cell r="AE4" t="str">
            <v>卢中华</v>
          </cell>
          <cell r="AF4" t="e">
            <v>#N/A</v>
          </cell>
          <cell r="AG4" t="e">
            <v>#N/A</v>
          </cell>
          <cell r="AH4" t="str">
            <v>在职</v>
          </cell>
          <cell r="AI4" t="str">
            <v>湖南荣昌</v>
          </cell>
          <cell r="AJ4">
            <v>19</v>
          </cell>
        </row>
        <row r="5">
          <cell r="B5" t="str">
            <v>曾琼</v>
          </cell>
          <cell r="C5" t="str">
            <v>综合管理部</v>
          </cell>
          <cell r="D5">
            <v>41940</v>
          </cell>
          <cell r="E5">
            <v>23</v>
          </cell>
          <cell r="F5">
            <v>23</v>
          </cell>
        </row>
        <row r="5">
          <cell r="H5">
            <v>9</v>
          </cell>
        </row>
        <row r="5">
          <cell r="R5">
            <v>1</v>
          </cell>
        </row>
        <row r="5">
          <cell r="T5">
            <v>15</v>
          </cell>
          <cell r="U5">
            <v>5</v>
          </cell>
          <cell r="V5">
            <v>220</v>
          </cell>
        </row>
        <row r="5">
          <cell r="Z5" t="str">
            <v>光华荣昌</v>
          </cell>
          <cell r="AA5">
            <v>0</v>
          </cell>
          <cell r="AB5" t="str">
            <v>曾琼</v>
          </cell>
          <cell r="AC5" t="str">
            <v>曾琼</v>
          </cell>
          <cell r="AD5" t="str">
            <v>曾琼</v>
          </cell>
          <cell r="AE5" t="str">
            <v>曾琼</v>
          </cell>
          <cell r="AF5" t="e">
            <v>#N/A</v>
          </cell>
          <cell r="AG5" t="e">
            <v>#N/A</v>
          </cell>
          <cell r="AH5" t="str">
            <v>在职</v>
          </cell>
          <cell r="AI5" t="str">
            <v>湖南荣昌</v>
          </cell>
          <cell r="AJ5">
            <v>15</v>
          </cell>
        </row>
        <row r="6">
          <cell r="B6" t="str">
            <v>黄清梅</v>
          </cell>
          <cell r="C6" t="str">
            <v>综合管理部</v>
          </cell>
          <cell r="D6">
            <v>41197</v>
          </cell>
          <cell r="E6">
            <v>26</v>
          </cell>
          <cell r="F6">
            <v>29</v>
          </cell>
        </row>
        <row r="6">
          <cell r="P6">
            <v>2</v>
          </cell>
        </row>
        <row r="6">
          <cell r="T6">
            <v>28.5</v>
          </cell>
          <cell r="U6">
            <v>0</v>
          </cell>
          <cell r="V6">
            <v>342</v>
          </cell>
        </row>
        <row r="6">
          <cell r="Z6" t="str">
            <v>光华荣昌</v>
          </cell>
          <cell r="AA6" t="str">
            <v>9.14下班卡，9.16下班卡，9.28中</v>
          </cell>
          <cell r="AB6" t="str">
            <v>黄清梅</v>
          </cell>
          <cell r="AC6" t="str">
            <v>黄清梅</v>
          </cell>
          <cell r="AD6" t="str">
            <v>黄清梅</v>
          </cell>
          <cell r="AE6" t="str">
            <v>黄清梅</v>
          </cell>
          <cell r="AF6" t="e">
            <v>#N/A</v>
          </cell>
          <cell r="AG6" t="e">
            <v>#N/A</v>
          </cell>
          <cell r="AH6" t="str">
            <v>在职</v>
          </cell>
          <cell r="AI6" t="str">
            <v>鑫起</v>
          </cell>
          <cell r="AJ6">
            <v>29</v>
          </cell>
        </row>
        <row r="7">
          <cell r="B7" t="str">
            <v>李开阳</v>
          </cell>
          <cell r="C7" t="str">
            <v>财务管理部</v>
          </cell>
          <cell r="D7">
            <v>41131</v>
          </cell>
          <cell r="E7">
            <v>23</v>
          </cell>
          <cell r="F7">
            <v>23</v>
          </cell>
        </row>
        <row r="7">
          <cell r="T7">
            <v>23</v>
          </cell>
          <cell r="U7">
            <v>0</v>
          </cell>
          <cell r="V7">
            <v>276</v>
          </cell>
        </row>
        <row r="7">
          <cell r="Z7" t="str">
            <v>光华荣昌</v>
          </cell>
          <cell r="AA7">
            <v>0</v>
          </cell>
          <cell r="AB7" t="str">
            <v>李开阳</v>
          </cell>
          <cell r="AC7" t="str">
            <v>李开阳</v>
          </cell>
          <cell r="AD7" t="str">
            <v>李开阳</v>
          </cell>
          <cell r="AE7" t="str">
            <v>李开阳</v>
          </cell>
          <cell r="AF7" t="e">
            <v>#N/A</v>
          </cell>
          <cell r="AG7" t="e">
            <v>#N/A</v>
          </cell>
          <cell r="AH7" t="str">
            <v>在职</v>
          </cell>
          <cell r="AI7" t="str">
            <v>湖南荣昌</v>
          </cell>
          <cell r="AJ7">
            <v>23</v>
          </cell>
        </row>
        <row r="8">
          <cell r="B8" t="str">
            <v>刘心</v>
          </cell>
          <cell r="C8" t="str">
            <v>财务管理部</v>
          </cell>
          <cell r="D8">
            <v>41730</v>
          </cell>
          <cell r="E8">
            <v>23</v>
          </cell>
          <cell r="F8">
            <v>23</v>
          </cell>
        </row>
        <row r="8">
          <cell r="T8">
            <v>23</v>
          </cell>
          <cell r="U8">
            <v>0</v>
          </cell>
          <cell r="V8">
            <v>276</v>
          </cell>
        </row>
        <row r="8">
          <cell r="Z8" t="str">
            <v>光华荣昌</v>
          </cell>
          <cell r="AA8">
            <v>0</v>
          </cell>
          <cell r="AB8" t="str">
            <v>刘心</v>
          </cell>
          <cell r="AC8" t="str">
            <v>刘心</v>
          </cell>
          <cell r="AD8" t="str">
            <v>刘心</v>
          </cell>
          <cell r="AE8" t="str">
            <v>刘心</v>
          </cell>
          <cell r="AF8" t="e">
            <v>#N/A</v>
          </cell>
          <cell r="AG8" t="e">
            <v>#N/A</v>
          </cell>
          <cell r="AH8" t="str">
            <v>在职</v>
          </cell>
          <cell r="AI8" t="str">
            <v>湖南荣昌</v>
          </cell>
          <cell r="AJ8">
            <v>23</v>
          </cell>
        </row>
        <row r="9">
          <cell r="B9" t="str">
            <v>易兰</v>
          </cell>
          <cell r="C9" t="str">
            <v>财务管理部</v>
          </cell>
          <cell r="D9">
            <v>42900</v>
          </cell>
          <cell r="E9">
            <v>23</v>
          </cell>
          <cell r="F9">
            <v>23</v>
          </cell>
        </row>
        <row r="9">
          <cell r="M9">
            <v>1</v>
          </cell>
          <cell r="N9">
            <v>1</v>
          </cell>
        </row>
        <row r="9">
          <cell r="T9">
            <v>23</v>
          </cell>
          <cell r="U9">
            <v>0</v>
          </cell>
          <cell r="V9">
            <v>276</v>
          </cell>
        </row>
        <row r="9">
          <cell r="Z9" t="str">
            <v>光华荣昌</v>
          </cell>
          <cell r="AA9">
            <v>0</v>
          </cell>
          <cell r="AB9" t="str">
            <v>易兰</v>
          </cell>
          <cell r="AC9" t="str">
            <v>易兰</v>
          </cell>
          <cell r="AD9" t="str">
            <v>易兰</v>
          </cell>
          <cell r="AE9" t="str">
            <v>易兰</v>
          </cell>
          <cell r="AF9" t="e">
            <v>#N/A</v>
          </cell>
          <cell r="AG9" t="e">
            <v>#N/A</v>
          </cell>
          <cell r="AH9" t="str">
            <v>在职</v>
          </cell>
          <cell r="AI9" t="str">
            <v>湖南荣昌</v>
          </cell>
          <cell r="AJ9">
            <v>23</v>
          </cell>
        </row>
        <row r="10">
          <cell r="B10" t="str">
            <v>肖玲</v>
          </cell>
          <cell r="C10" t="str">
            <v>财务管理部</v>
          </cell>
          <cell r="D10">
            <v>43698</v>
          </cell>
          <cell r="E10">
            <v>23</v>
          </cell>
          <cell r="F10">
            <v>23</v>
          </cell>
        </row>
        <row r="10">
          <cell r="T10">
            <v>23</v>
          </cell>
          <cell r="U10">
            <v>0</v>
          </cell>
          <cell r="V10">
            <v>276</v>
          </cell>
        </row>
        <row r="10">
          <cell r="Z10" t="str">
            <v>光华荣昌</v>
          </cell>
          <cell r="AA10">
            <v>0</v>
          </cell>
          <cell r="AB10" t="str">
            <v>肖玲</v>
          </cell>
          <cell r="AC10" t="str">
            <v>肖玲</v>
          </cell>
          <cell r="AD10" t="str">
            <v>肖玲</v>
          </cell>
          <cell r="AE10" t="str">
            <v>肖玲</v>
          </cell>
          <cell r="AF10" t="e">
            <v>#N/A</v>
          </cell>
          <cell r="AG10" t="e">
            <v>#N/A</v>
          </cell>
          <cell r="AH10" t="str">
            <v>在职</v>
          </cell>
          <cell r="AI10" t="str">
            <v>湖南荣昌</v>
          </cell>
          <cell r="AJ10">
            <v>23</v>
          </cell>
        </row>
        <row r="11">
          <cell r="B11" t="str">
            <v>伍赤诚</v>
          </cell>
          <cell r="C11" t="str">
            <v>质量管理</v>
          </cell>
          <cell r="D11">
            <v>43789</v>
          </cell>
          <cell r="E11">
            <v>23</v>
          </cell>
          <cell r="F11">
            <v>23</v>
          </cell>
        </row>
        <row r="11">
          <cell r="M11">
            <v>1</v>
          </cell>
          <cell r="N11">
            <v>1</v>
          </cell>
        </row>
        <row r="11">
          <cell r="P11">
            <v>2</v>
          </cell>
        </row>
        <row r="11">
          <cell r="T11">
            <v>23</v>
          </cell>
          <cell r="U11">
            <v>0</v>
          </cell>
          <cell r="V11">
            <v>276</v>
          </cell>
        </row>
        <row r="11">
          <cell r="Z11" t="str">
            <v>光华荣昌</v>
          </cell>
          <cell r="AA11">
            <v>0</v>
          </cell>
          <cell r="AB11" t="str">
            <v>伍赤诚</v>
          </cell>
          <cell r="AC11" t="str">
            <v>伍赤诚</v>
          </cell>
          <cell r="AD11" t="str">
            <v>伍赤诚</v>
          </cell>
          <cell r="AE11" t="str">
            <v>伍赤诚</v>
          </cell>
          <cell r="AF11" t="e">
            <v>#N/A</v>
          </cell>
          <cell r="AG11" t="e">
            <v>#N/A</v>
          </cell>
          <cell r="AH11" t="str">
            <v>在职</v>
          </cell>
          <cell r="AI11" t="str">
            <v>湖南荣昌</v>
          </cell>
          <cell r="AJ11">
            <v>21</v>
          </cell>
        </row>
        <row r="12">
          <cell r="B12" t="str">
            <v>贺王瑜</v>
          </cell>
          <cell r="C12" t="str">
            <v>质量管理</v>
          </cell>
          <cell r="D12">
            <v>41573</v>
          </cell>
          <cell r="E12">
            <v>16.5</v>
          </cell>
          <cell r="F12">
            <v>16.5</v>
          </cell>
        </row>
        <row r="12">
          <cell r="K12">
            <v>0</v>
          </cell>
        </row>
        <row r="12">
          <cell r="O12">
            <v>0</v>
          </cell>
          <cell r="P12">
            <v>0</v>
          </cell>
          <cell r="Q12">
            <v>0</v>
          </cell>
        </row>
        <row r="12">
          <cell r="T12">
            <v>11</v>
          </cell>
          <cell r="U12">
            <v>0</v>
          </cell>
          <cell r="V12">
            <v>132</v>
          </cell>
        </row>
        <row r="12">
          <cell r="X12">
            <v>81</v>
          </cell>
          <cell r="Y12">
            <v>243</v>
          </cell>
          <cell r="Z12" t="str">
            <v>光华荣昌</v>
          </cell>
          <cell r="AA12">
            <v>0</v>
          </cell>
          <cell r="AB12" t="str">
            <v>贺王瑜</v>
          </cell>
          <cell r="AC12" t="str">
            <v>贺王瑜</v>
          </cell>
          <cell r="AD12" t="str">
            <v>贺王瑜</v>
          </cell>
          <cell r="AE12" t="str">
            <v>贺王瑜</v>
          </cell>
          <cell r="AF12" t="e">
            <v>#N/A</v>
          </cell>
          <cell r="AG12" t="e">
            <v>#N/A</v>
          </cell>
          <cell r="AH12" t="str">
            <v>在职</v>
          </cell>
          <cell r="AI12" t="str">
            <v>湖南荣昌</v>
          </cell>
          <cell r="AJ12">
            <v>22</v>
          </cell>
        </row>
        <row r="13">
          <cell r="B13" t="str">
            <v>彭健</v>
          </cell>
          <cell r="C13" t="str">
            <v>发泡质量管理</v>
          </cell>
          <cell r="D13">
            <v>41701</v>
          </cell>
          <cell r="E13">
            <v>26</v>
          </cell>
          <cell r="F13">
            <v>29</v>
          </cell>
        </row>
        <row r="13">
          <cell r="K13">
            <v>0</v>
          </cell>
        </row>
        <row r="13">
          <cell r="O13">
            <v>0</v>
          </cell>
          <cell r="P13">
            <v>0</v>
          </cell>
          <cell r="Q13">
            <v>0</v>
          </cell>
        </row>
        <row r="13">
          <cell r="T13">
            <v>29</v>
          </cell>
          <cell r="U13">
            <v>29</v>
          </cell>
          <cell r="V13">
            <v>580</v>
          </cell>
        </row>
        <row r="13">
          <cell r="X13">
            <v>83</v>
          </cell>
          <cell r="Y13">
            <v>249</v>
          </cell>
          <cell r="Z13" t="str">
            <v>光华荣昌</v>
          </cell>
          <cell r="AA13">
            <v>0</v>
          </cell>
          <cell r="AB13" t="str">
            <v>彭健</v>
          </cell>
          <cell r="AC13" t="str">
            <v>彭健</v>
          </cell>
          <cell r="AD13" t="str">
            <v>彭健</v>
          </cell>
          <cell r="AE13" t="str">
            <v>彭健</v>
          </cell>
          <cell r="AF13" t="str">
            <v>彭健</v>
          </cell>
          <cell r="AG13" t="e">
            <v>#N/A</v>
          </cell>
          <cell r="AH13" t="str">
            <v>在职</v>
          </cell>
          <cell r="AI13" t="str">
            <v>湖南荣昌</v>
          </cell>
          <cell r="AJ13">
            <v>28</v>
          </cell>
        </row>
        <row r="14">
          <cell r="B14" t="str">
            <v>李需</v>
          </cell>
          <cell r="C14" t="str">
            <v>发泡质量管理</v>
          </cell>
          <cell r="D14">
            <v>45591</v>
          </cell>
          <cell r="E14">
            <v>26</v>
          </cell>
          <cell r="F14">
            <v>29</v>
          </cell>
        </row>
        <row r="14">
          <cell r="K14">
            <v>0</v>
          </cell>
        </row>
        <row r="14">
          <cell r="O14">
            <v>0</v>
          </cell>
          <cell r="P14">
            <v>1</v>
          </cell>
          <cell r="Q14">
            <v>0</v>
          </cell>
        </row>
        <row r="14">
          <cell r="T14">
            <v>29</v>
          </cell>
          <cell r="U14">
            <v>29</v>
          </cell>
          <cell r="V14">
            <v>580</v>
          </cell>
        </row>
        <row r="14">
          <cell r="Y14">
            <v>0</v>
          </cell>
          <cell r="Z14" t="str">
            <v>湖南诚展</v>
          </cell>
          <cell r="AA14" t="str">
            <v>9.3下班卡</v>
          </cell>
          <cell r="AB14" t="str">
            <v>李需</v>
          </cell>
          <cell r="AC14" t="str">
            <v>李需</v>
          </cell>
          <cell r="AD14" t="str">
            <v>李需</v>
          </cell>
          <cell r="AE14" t="str">
            <v>李需</v>
          </cell>
          <cell r="AF14" t="e">
            <v>#N/A</v>
          </cell>
          <cell r="AG14" t="e">
            <v>#N/A</v>
          </cell>
          <cell r="AH14" t="str">
            <v>在职</v>
          </cell>
          <cell r="AI14" t="str">
            <v>湖南诚展</v>
          </cell>
          <cell r="AJ14">
            <v>27</v>
          </cell>
        </row>
        <row r="15">
          <cell r="B15" t="str">
            <v>卫伟伟</v>
          </cell>
          <cell r="C15" t="str">
            <v>发泡质量管理</v>
          </cell>
          <cell r="D15">
            <v>45771</v>
          </cell>
          <cell r="E15">
            <v>26</v>
          </cell>
          <cell r="F15">
            <v>28</v>
          </cell>
        </row>
        <row r="15">
          <cell r="K15">
            <v>0</v>
          </cell>
        </row>
        <row r="15">
          <cell r="O15">
            <v>0</v>
          </cell>
          <cell r="P15">
            <v>1</v>
          </cell>
          <cell r="Q15">
            <v>0</v>
          </cell>
        </row>
        <row r="15">
          <cell r="T15">
            <v>28</v>
          </cell>
          <cell r="U15">
            <v>28</v>
          </cell>
          <cell r="V15">
            <v>560</v>
          </cell>
          <cell r="W15" t="str">
            <v>2025/9/30离职</v>
          </cell>
          <cell r="X15">
            <v>85</v>
          </cell>
          <cell r="Y15">
            <v>255</v>
          </cell>
          <cell r="Z15" t="str">
            <v>湘潭思泉</v>
          </cell>
          <cell r="AA15" t="str">
            <v>9下班卡</v>
          </cell>
          <cell r="AB15" t="e">
            <v>#N/A</v>
          </cell>
          <cell r="AC15" t="str">
            <v>卫伟伟</v>
          </cell>
          <cell r="AD15" t="e">
            <v>#N/A</v>
          </cell>
          <cell r="AE15" t="str">
            <v>卫伟伟</v>
          </cell>
          <cell r="AF15" t="str">
            <v>卫伟伟</v>
          </cell>
          <cell r="AG15" t="str">
            <v>卫伟伟</v>
          </cell>
          <cell r="AH15">
            <v>45930</v>
          </cell>
          <cell r="AI15" t="str">
            <v>湘潭思泉</v>
          </cell>
          <cell r="AJ15">
            <v>27</v>
          </cell>
        </row>
        <row r="16">
          <cell r="B16" t="str">
            <v>彭智勇</v>
          </cell>
          <cell r="C16" t="str">
            <v>发泡质量管理</v>
          </cell>
          <cell r="D16">
            <v>45727</v>
          </cell>
          <cell r="E16">
            <v>26</v>
          </cell>
          <cell r="F16">
            <v>29</v>
          </cell>
        </row>
        <row r="16">
          <cell r="K16">
            <v>0</v>
          </cell>
        </row>
        <row r="16">
          <cell r="O16">
            <v>0</v>
          </cell>
          <cell r="P16">
            <v>2</v>
          </cell>
          <cell r="Q16">
            <v>0</v>
          </cell>
        </row>
        <row r="16">
          <cell r="T16">
            <v>29</v>
          </cell>
          <cell r="U16">
            <v>29</v>
          </cell>
          <cell r="V16">
            <v>580</v>
          </cell>
        </row>
        <row r="16">
          <cell r="X16">
            <v>80</v>
          </cell>
          <cell r="Y16">
            <v>240</v>
          </cell>
          <cell r="Z16" t="str">
            <v>湘潭思泉</v>
          </cell>
          <cell r="AA16" t="str">
            <v>20/27下班卡</v>
          </cell>
          <cell r="AB16" t="str">
            <v>彭智勇</v>
          </cell>
          <cell r="AC16" t="str">
            <v>彭智勇</v>
          </cell>
          <cell r="AD16" t="str">
            <v>彭智勇</v>
          </cell>
          <cell r="AE16" t="str">
            <v>彭智勇</v>
          </cell>
          <cell r="AF16" t="str">
            <v>彭智勇</v>
          </cell>
          <cell r="AG16" t="e">
            <v>#N/A</v>
          </cell>
          <cell r="AH16" t="str">
            <v>在职</v>
          </cell>
          <cell r="AI16" t="str">
            <v>湘潭思泉</v>
          </cell>
          <cell r="AJ16">
            <v>29</v>
          </cell>
        </row>
        <row r="17">
          <cell r="B17" t="str">
            <v>赵五祥</v>
          </cell>
          <cell r="C17" t="str">
            <v>服务科</v>
          </cell>
          <cell r="D17">
            <v>43290</v>
          </cell>
          <cell r="E17">
            <v>23</v>
          </cell>
          <cell r="F17">
            <v>23</v>
          </cell>
        </row>
        <row r="17">
          <cell r="H17">
            <v>1</v>
          </cell>
        </row>
        <row r="17">
          <cell r="K17">
            <v>0</v>
          </cell>
        </row>
        <row r="17">
          <cell r="O17">
            <v>0</v>
          </cell>
          <cell r="P17">
            <v>0</v>
          </cell>
          <cell r="Q17">
            <v>0</v>
          </cell>
        </row>
        <row r="17">
          <cell r="T17">
            <v>22</v>
          </cell>
          <cell r="U17">
            <v>0</v>
          </cell>
          <cell r="V17">
            <v>264</v>
          </cell>
        </row>
        <row r="17">
          <cell r="Z17" t="str">
            <v>光华荣昌</v>
          </cell>
          <cell r="AA17" t="str">
            <v>2下班卡,4下班卡,15下班卡,23上班卡,28下班卡</v>
          </cell>
          <cell r="AB17" t="str">
            <v>赵五祥</v>
          </cell>
          <cell r="AC17" t="str">
            <v>赵五祥</v>
          </cell>
          <cell r="AD17" t="str">
            <v>赵五祥</v>
          </cell>
          <cell r="AE17" t="str">
            <v>赵五祥</v>
          </cell>
          <cell r="AF17" t="e">
            <v>#N/A</v>
          </cell>
          <cell r="AG17" t="e">
            <v>#N/A</v>
          </cell>
          <cell r="AH17" t="str">
            <v>在职</v>
          </cell>
          <cell r="AI17" t="str">
            <v>湖南荣昌</v>
          </cell>
          <cell r="AJ17">
            <v>23</v>
          </cell>
        </row>
        <row r="18">
          <cell r="B18" t="str">
            <v>文洪亮</v>
          </cell>
          <cell r="C18" t="str">
            <v>服务科</v>
          </cell>
          <cell r="D18">
            <v>41286</v>
          </cell>
          <cell r="E18">
            <v>22</v>
          </cell>
          <cell r="F18">
            <v>22</v>
          </cell>
        </row>
        <row r="18">
          <cell r="K18">
            <v>0</v>
          </cell>
        </row>
        <row r="18">
          <cell r="O18">
            <v>0</v>
          </cell>
          <cell r="P18">
            <v>0</v>
          </cell>
          <cell r="Q18">
            <v>0</v>
          </cell>
        </row>
        <row r="18">
          <cell r="T18">
            <v>22</v>
          </cell>
          <cell r="U18">
            <v>0</v>
          </cell>
          <cell r="V18">
            <v>264</v>
          </cell>
        </row>
        <row r="18">
          <cell r="X18">
            <v>0</v>
          </cell>
          <cell r="Y18">
            <v>0</v>
          </cell>
          <cell r="Z18" t="str">
            <v>光华荣昌</v>
          </cell>
          <cell r="AA18">
            <v>0</v>
          </cell>
          <cell r="AB18" t="str">
            <v>文洪亮</v>
          </cell>
          <cell r="AC18" t="str">
            <v>文洪亮</v>
          </cell>
          <cell r="AD18" t="str">
            <v>文洪亮</v>
          </cell>
          <cell r="AE18" t="str">
            <v>文洪亮</v>
          </cell>
          <cell r="AF18" t="e">
            <v>#N/A</v>
          </cell>
          <cell r="AG18" t="e">
            <v>#N/A</v>
          </cell>
          <cell r="AH18" t="str">
            <v>在职</v>
          </cell>
          <cell r="AI18" t="str">
            <v>湖南荣昌</v>
          </cell>
          <cell r="AJ18">
            <v>23</v>
          </cell>
        </row>
        <row r="19">
          <cell r="B19" t="str">
            <v>李松辉</v>
          </cell>
          <cell r="C19" t="str">
            <v>服务科</v>
          </cell>
          <cell r="D19">
            <v>44994</v>
          </cell>
          <cell r="E19">
            <v>26</v>
          </cell>
          <cell r="F19">
            <v>30</v>
          </cell>
        </row>
        <row r="19">
          <cell r="K19">
            <v>0</v>
          </cell>
        </row>
        <row r="19">
          <cell r="O19">
            <v>0</v>
          </cell>
          <cell r="P19">
            <v>0</v>
          </cell>
          <cell r="Q19">
            <v>0</v>
          </cell>
        </row>
        <row r="19">
          <cell r="T19">
            <v>30</v>
          </cell>
          <cell r="U19">
            <v>30</v>
          </cell>
          <cell r="V19">
            <v>600</v>
          </cell>
        </row>
        <row r="19">
          <cell r="X19">
            <v>0</v>
          </cell>
          <cell r="Y19">
            <v>0</v>
          </cell>
          <cell r="Z19" t="str">
            <v>光华荣昌</v>
          </cell>
          <cell r="AA19">
            <v>0</v>
          </cell>
          <cell r="AB19" t="str">
            <v>李松辉</v>
          </cell>
          <cell r="AC19" t="str">
            <v>李松辉</v>
          </cell>
          <cell r="AD19" t="str">
            <v>李松辉</v>
          </cell>
          <cell r="AE19" t="str">
            <v>李松辉</v>
          </cell>
          <cell r="AF19" t="e">
            <v>#N/A</v>
          </cell>
          <cell r="AG19" t="e">
            <v>#N/A</v>
          </cell>
          <cell r="AH19" t="str">
            <v>在职</v>
          </cell>
          <cell r="AI19" t="str">
            <v>鑫起</v>
          </cell>
          <cell r="AJ19">
            <v>0</v>
          </cell>
        </row>
        <row r="20">
          <cell r="B20" t="str">
            <v>黄龙</v>
          </cell>
          <cell r="C20" t="str">
            <v>服务科</v>
          </cell>
          <cell r="D20">
            <v>45718</v>
          </cell>
          <cell r="E20">
            <v>26</v>
          </cell>
          <cell r="F20">
            <v>30</v>
          </cell>
        </row>
        <row r="20">
          <cell r="K20">
            <v>0</v>
          </cell>
        </row>
        <row r="20">
          <cell r="O20">
            <v>0</v>
          </cell>
          <cell r="P20">
            <v>0</v>
          </cell>
          <cell r="Q20">
            <v>0</v>
          </cell>
        </row>
        <row r="20">
          <cell r="T20">
            <v>30</v>
          </cell>
          <cell r="U20">
            <v>30</v>
          </cell>
          <cell r="V20">
            <v>600</v>
          </cell>
        </row>
        <row r="20">
          <cell r="X20">
            <v>0</v>
          </cell>
          <cell r="Y20">
            <v>0</v>
          </cell>
          <cell r="Z20" t="str">
            <v>光华荣昌</v>
          </cell>
          <cell r="AA20">
            <v>0</v>
          </cell>
          <cell r="AB20" t="str">
            <v>黄龙</v>
          </cell>
          <cell r="AC20" t="str">
            <v>黄龙</v>
          </cell>
          <cell r="AD20" t="str">
            <v>黄龙</v>
          </cell>
          <cell r="AE20" t="str">
            <v>黄龙</v>
          </cell>
          <cell r="AF20" t="e">
            <v>#N/A</v>
          </cell>
          <cell r="AG20" t="e">
            <v>#N/A</v>
          </cell>
          <cell r="AH20" t="str">
            <v>在职</v>
          </cell>
          <cell r="AI20" t="str">
            <v>湖南诚展</v>
          </cell>
          <cell r="AJ20">
            <v>0</v>
          </cell>
        </row>
        <row r="21">
          <cell r="B21" t="str">
            <v>盛鹏威</v>
          </cell>
          <cell r="C21" t="str">
            <v>服务科</v>
          </cell>
          <cell r="D21">
            <v>45845</v>
          </cell>
          <cell r="E21">
            <v>26</v>
          </cell>
          <cell r="F21">
            <v>30</v>
          </cell>
        </row>
        <row r="21">
          <cell r="K21">
            <v>0</v>
          </cell>
        </row>
        <row r="21">
          <cell r="O21">
            <v>0</v>
          </cell>
          <cell r="P21">
            <v>0</v>
          </cell>
          <cell r="Q21">
            <v>0</v>
          </cell>
        </row>
        <row r="21">
          <cell r="T21">
            <v>30</v>
          </cell>
          <cell r="U21">
            <v>30</v>
          </cell>
          <cell r="V21">
            <v>600</v>
          </cell>
        </row>
        <row r="21">
          <cell r="X21">
            <v>0</v>
          </cell>
        </row>
        <row r="21">
          <cell r="Z21" t="str">
            <v>光华荣昌</v>
          </cell>
          <cell r="AA21">
            <v>0</v>
          </cell>
          <cell r="AB21" t="str">
            <v>盛鹏威</v>
          </cell>
          <cell r="AC21" t="str">
            <v>盛鹏威</v>
          </cell>
          <cell r="AD21" t="str">
            <v>盛鹏威</v>
          </cell>
          <cell r="AE21" t="e">
            <v>#N/A</v>
          </cell>
          <cell r="AF21" t="e">
            <v>#N/A</v>
          </cell>
          <cell r="AG21" t="e">
            <v>#N/A</v>
          </cell>
          <cell r="AH21" t="str">
            <v>在职</v>
          </cell>
          <cell r="AI21">
            <v>0</v>
          </cell>
          <cell r="AJ21" t="e">
            <v>#N/A</v>
          </cell>
        </row>
        <row r="22">
          <cell r="B22" t="str">
            <v>谭建文</v>
          </cell>
          <cell r="C22" t="str">
            <v>服务科</v>
          </cell>
          <cell r="D22">
            <v>45231</v>
          </cell>
          <cell r="E22">
            <v>26</v>
          </cell>
          <cell r="F22">
            <v>26</v>
          </cell>
        </row>
        <row r="22">
          <cell r="K22">
            <v>0</v>
          </cell>
        </row>
        <row r="22">
          <cell r="O22">
            <v>0</v>
          </cell>
          <cell r="P22">
            <v>0</v>
          </cell>
          <cell r="Q22">
            <v>0</v>
          </cell>
        </row>
        <row r="22">
          <cell r="T22">
            <v>26</v>
          </cell>
          <cell r="U22">
            <v>0</v>
          </cell>
          <cell r="V22">
            <v>312</v>
          </cell>
          <cell r="W22" t="str">
            <v>长沙现服</v>
          </cell>
          <cell r="X22">
            <v>0</v>
          </cell>
          <cell r="Y22">
            <v>0</v>
          </cell>
          <cell r="Z22" t="str">
            <v>光华荣昌</v>
          </cell>
          <cell r="AA22">
            <v>0</v>
          </cell>
          <cell r="AB22" t="str">
            <v>谭建文</v>
          </cell>
          <cell r="AC22" t="str">
            <v>谭建文</v>
          </cell>
          <cell r="AD22" t="str">
            <v>谭建文</v>
          </cell>
          <cell r="AE22" t="str">
            <v>谭建文</v>
          </cell>
          <cell r="AF22" t="e">
            <v>#N/A</v>
          </cell>
          <cell r="AG22" t="e">
            <v>#N/A</v>
          </cell>
          <cell r="AH22" t="str">
            <v>在职</v>
          </cell>
          <cell r="AI22" t="str">
            <v>湖南诚展</v>
          </cell>
          <cell r="AJ22">
            <v>0</v>
          </cell>
        </row>
        <row r="23">
          <cell r="B23" t="str">
            <v>李晶</v>
          </cell>
          <cell r="C23" t="str">
            <v>采购执行</v>
          </cell>
          <cell r="D23">
            <v>44845</v>
          </cell>
          <cell r="E23">
            <v>23</v>
          </cell>
          <cell r="F23">
            <v>23</v>
          </cell>
        </row>
        <row r="23">
          <cell r="K23">
            <v>0</v>
          </cell>
        </row>
        <row r="23">
          <cell r="O23">
            <v>0</v>
          </cell>
          <cell r="P23">
            <v>0</v>
          </cell>
          <cell r="Q23">
            <v>0</v>
          </cell>
        </row>
        <row r="23">
          <cell r="T23">
            <v>23</v>
          </cell>
          <cell r="U23">
            <v>0</v>
          </cell>
          <cell r="V23">
            <v>276</v>
          </cell>
        </row>
        <row r="23">
          <cell r="X23">
            <v>0</v>
          </cell>
          <cell r="Y23">
            <v>0</v>
          </cell>
          <cell r="Z23" t="str">
            <v>光华荣昌</v>
          </cell>
          <cell r="AA23">
            <v>0</v>
          </cell>
          <cell r="AB23" t="str">
            <v>李晶</v>
          </cell>
          <cell r="AC23" t="str">
            <v>李晶</v>
          </cell>
          <cell r="AD23" t="str">
            <v>李晶</v>
          </cell>
          <cell r="AE23" t="str">
            <v>李晶</v>
          </cell>
          <cell r="AF23" t="e">
            <v>#N/A</v>
          </cell>
          <cell r="AG23" t="e">
            <v>#N/A</v>
          </cell>
          <cell r="AH23" t="str">
            <v>在职</v>
          </cell>
          <cell r="AI23" t="str">
            <v>湖南荣昌</v>
          </cell>
          <cell r="AJ23">
            <v>23</v>
          </cell>
        </row>
        <row r="24">
          <cell r="B24" t="str">
            <v>谭丽平</v>
          </cell>
          <cell r="C24" t="str">
            <v>QAD</v>
          </cell>
          <cell r="D24">
            <v>45714</v>
          </cell>
          <cell r="E24">
            <v>23</v>
          </cell>
          <cell r="F24">
            <v>23</v>
          </cell>
        </row>
        <row r="24">
          <cell r="K24">
            <v>0</v>
          </cell>
        </row>
        <row r="24">
          <cell r="O24">
            <v>0</v>
          </cell>
          <cell r="P24">
            <v>0</v>
          </cell>
          <cell r="Q24">
            <v>0</v>
          </cell>
        </row>
        <row r="24">
          <cell r="T24">
            <v>23</v>
          </cell>
          <cell r="U24">
            <v>0</v>
          </cell>
          <cell r="V24">
            <v>276</v>
          </cell>
        </row>
        <row r="24">
          <cell r="X24">
            <v>0</v>
          </cell>
          <cell r="Y24">
            <v>0</v>
          </cell>
          <cell r="Z24" t="str">
            <v>光华荣昌</v>
          </cell>
          <cell r="AA24">
            <v>0</v>
          </cell>
          <cell r="AB24" t="str">
            <v>谭丽平</v>
          </cell>
          <cell r="AC24" t="str">
            <v>谭丽平</v>
          </cell>
          <cell r="AD24" t="str">
            <v>谭丽平</v>
          </cell>
          <cell r="AE24" t="str">
            <v>谭丽平</v>
          </cell>
          <cell r="AF24" t="e">
            <v>#N/A</v>
          </cell>
          <cell r="AG24" t="e">
            <v>#N/A</v>
          </cell>
          <cell r="AH24" t="str">
            <v>在职</v>
          </cell>
          <cell r="AI24" t="str">
            <v>湖南荣昌</v>
          </cell>
          <cell r="AJ24">
            <v>23</v>
          </cell>
        </row>
        <row r="25">
          <cell r="B25" t="str">
            <v>齐承平</v>
          </cell>
          <cell r="C25" t="str">
            <v>生产制造</v>
          </cell>
          <cell r="D25">
            <v>42017</v>
          </cell>
          <cell r="E25">
            <v>23</v>
          </cell>
          <cell r="F25">
            <v>23</v>
          </cell>
        </row>
        <row r="25">
          <cell r="K25">
            <v>0</v>
          </cell>
        </row>
        <row r="25">
          <cell r="O25">
            <v>0</v>
          </cell>
          <cell r="P25">
            <v>0</v>
          </cell>
          <cell r="Q25">
            <v>0</v>
          </cell>
        </row>
        <row r="25">
          <cell r="T25">
            <v>23</v>
          </cell>
          <cell r="U25">
            <v>0</v>
          </cell>
          <cell r="V25">
            <v>276</v>
          </cell>
        </row>
        <row r="25">
          <cell r="X25">
            <v>0</v>
          </cell>
          <cell r="Y25">
            <v>0</v>
          </cell>
          <cell r="Z25" t="str">
            <v>光华荣昌</v>
          </cell>
          <cell r="AA25">
            <v>0</v>
          </cell>
          <cell r="AB25" t="str">
            <v>齐承平</v>
          </cell>
          <cell r="AC25" t="str">
            <v>齐承平</v>
          </cell>
          <cell r="AD25" t="str">
            <v>齐承平</v>
          </cell>
          <cell r="AE25" t="str">
            <v>齐承平</v>
          </cell>
          <cell r="AF25" t="e">
            <v>#N/A</v>
          </cell>
          <cell r="AG25" t="e">
            <v>#N/A</v>
          </cell>
          <cell r="AH25" t="str">
            <v>在职</v>
          </cell>
          <cell r="AI25" t="str">
            <v>湖南荣昌</v>
          </cell>
          <cell r="AJ25">
            <v>23</v>
          </cell>
        </row>
        <row r="26">
          <cell r="B26" t="str">
            <v>刘文向</v>
          </cell>
          <cell r="C26" t="str">
            <v>生产制造</v>
          </cell>
          <cell r="D26">
            <v>44765</v>
          </cell>
          <cell r="E26">
            <v>23</v>
          </cell>
          <cell r="F26">
            <v>23</v>
          </cell>
        </row>
        <row r="26">
          <cell r="K26">
            <v>0</v>
          </cell>
        </row>
        <row r="26">
          <cell r="O26">
            <v>0</v>
          </cell>
          <cell r="P26">
            <v>1</v>
          </cell>
          <cell r="Q26">
            <v>0</v>
          </cell>
        </row>
        <row r="26">
          <cell r="T26">
            <v>23</v>
          </cell>
          <cell r="U26">
            <v>0</v>
          </cell>
          <cell r="V26">
            <v>276</v>
          </cell>
        </row>
        <row r="26">
          <cell r="X26">
            <v>0</v>
          </cell>
          <cell r="Y26">
            <v>0</v>
          </cell>
          <cell r="Z26" t="str">
            <v>光华荣昌</v>
          </cell>
          <cell r="AA26" t="str">
            <v>4下班卡</v>
          </cell>
          <cell r="AB26" t="str">
            <v>刘文向</v>
          </cell>
          <cell r="AC26" t="str">
            <v>刘文向</v>
          </cell>
          <cell r="AD26" t="str">
            <v>刘文向</v>
          </cell>
          <cell r="AE26" t="str">
            <v>刘文向</v>
          </cell>
          <cell r="AF26" t="e">
            <v>#N/A</v>
          </cell>
          <cell r="AG26" t="e">
            <v>#N/A</v>
          </cell>
          <cell r="AH26" t="str">
            <v>在职</v>
          </cell>
          <cell r="AI26" t="str">
            <v>湖南荣昌</v>
          </cell>
          <cell r="AJ26">
            <v>23</v>
          </cell>
        </row>
        <row r="27">
          <cell r="B27" t="str">
            <v>殷胜</v>
          </cell>
          <cell r="C27" t="str">
            <v>物料管理</v>
          </cell>
          <cell r="D27">
            <v>41492</v>
          </cell>
          <cell r="E27">
            <v>24</v>
          </cell>
          <cell r="F27">
            <v>28</v>
          </cell>
        </row>
        <row r="27">
          <cell r="K27">
            <v>0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</v>
          </cell>
          <cell r="T27">
            <v>28</v>
          </cell>
          <cell r="U27">
            <v>0</v>
          </cell>
          <cell r="V27">
            <v>336</v>
          </cell>
        </row>
        <row r="27">
          <cell r="X27">
            <v>0</v>
          </cell>
          <cell r="Y27">
            <v>0</v>
          </cell>
          <cell r="Z27" t="str">
            <v>湖南红海</v>
          </cell>
          <cell r="AA27">
            <v>0</v>
          </cell>
          <cell r="AB27" t="str">
            <v>殷胜</v>
          </cell>
          <cell r="AC27" t="str">
            <v>殷胜</v>
          </cell>
          <cell r="AD27" t="str">
            <v>殷胜</v>
          </cell>
          <cell r="AE27" t="str">
            <v>殷胜</v>
          </cell>
          <cell r="AF27" t="e">
            <v>#N/A</v>
          </cell>
          <cell r="AG27" t="e">
            <v>#N/A</v>
          </cell>
          <cell r="AH27" t="str">
            <v>在职</v>
          </cell>
          <cell r="AI27" t="str">
            <v>湖南荣昌</v>
          </cell>
          <cell r="AJ27">
            <v>28</v>
          </cell>
        </row>
        <row r="28">
          <cell r="B28" t="str">
            <v>邹彬彬</v>
          </cell>
          <cell r="C28" t="str">
            <v>物料管理</v>
          </cell>
          <cell r="D28">
            <v>45708</v>
          </cell>
          <cell r="E28">
            <v>24</v>
          </cell>
          <cell r="F28">
            <v>24</v>
          </cell>
        </row>
        <row r="28">
          <cell r="K28">
            <v>5</v>
          </cell>
        </row>
        <row r="28">
          <cell r="O28">
            <v>0</v>
          </cell>
          <cell r="P28">
            <v>0</v>
          </cell>
          <cell r="Q28">
            <v>0</v>
          </cell>
          <cell r="R28">
            <v>12</v>
          </cell>
          <cell r="S28">
            <v>0</v>
          </cell>
          <cell r="T28">
            <v>24</v>
          </cell>
          <cell r="U28">
            <v>24</v>
          </cell>
          <cell r="V28">
            <v>480</v>
          </cell>
        </row>
        <row r="28">
          <cell r="X28">
            <v>0</v>
          </cell>
          <cell r="Y28">
            <v>0</v>
          </cell>
          <cell r="Z28" t="str">
            <v>光华荣昌</v>
          </cell>
          <cell r="AA28" t="str">
            <v>9.22-9.26家中老人过世事假5天</v>
          </cell>
          <cell r="AB28" t="str">
            <v>邹彬彬</v>
          </cell>
          <cell r="AC28" t="str">
            <v>邹彬彬</v>
          </cell>
          <cell r="AD28" t="str">
            <v>邹彬彬</v>
          </cell>
          <cell r="AE28" t="str">
            <v>邹彬彬</v>
          </cell>
          <cell r="AF28" t="e">
            <v>#N/A</v>
          </cell>
          <cell r="AG28" t="e">
            <v>#N/A</v>
          </cell>
          <cell r="AH28" t="str">
            <v>在职</v>
          </cell>
          <cell r="AI28" t="str">
            <v>湖南荣昌</v>
          </cell>
          <cell r="AJ28">
            <v>24</v>
          </cell>
        </row>
        <row r="29">
          <cell r="B29" t="str">
            <v>贺楚平</v>
          </cell>
          <cell r="C29" t="str">
            <v>成品管理</v>
          </cell>
          <cell r="D29">
            <v>44760</v>
          </cell>
          <cell r="E29">
            <v>24</v>
          </cell>
          <cell r="F29">
            <v>30</v>
          </cell>
        </row>
        <row r="29">
          <cell r="K29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11.5</v>
          </cell>
          <cell r="S29">
            <v>63</v>
          </cell>
          <cell r="T29">
            <v>30</v>
          </cell>
          <cell r="U29">
            <v>29</v>
          </cell>
          <cell r="V29">
            <v>592</v>
          </cell>
        </row>
        <row r="29">
          <cell r="X29">
            <v>0</v>
          </cell>
          <cell r="Y29">
            <v>0</v>
          </cell>
          <cell r="Z29" t="str">
            <v>光华荣昌</v>
          </cell>
          <cell r="AA29" t="str">
            <v>14上班卡、下班卡，29上班卡</v>
          </cell>
          <cell r="AB29" t="str">
            <v>贺楚平</v>
          </cell>
          <cell r="AC29" t="str">
            <v>贺楚平</v>
          </cell>
          <cell r="AD29" t="str">
            <v>贺楚平</v>
          </cell>
          <cell r="AE29" t="str">
            <v>贺楚平</v>
          </cell>
          <cell r="AF29" t="e">
            <v>#N/A</v>
          </cell>
          <cell r="AG29" t="e">
            <v>#N/A</v>
          </cell>
          <cell r="AH29" t="str">
            <v>在职</v>
          </cell>
          <cell r="AI29" t="str">
            <v>鑫起</v>
          </cell>
          <cell r="AJ29">
            <v>30</v>
          </cell>
        </row>
        <row r="30">
          <cell r="B30" t="str">
            <v>赵亮</v>
          </cell>
          <cell r="C30" t="str">
            <v>成品管理</v>
          </cell>
          <cell r="D30">
            <v>45814</v>
          </cell>
          <cell r="E30">
            <v>24</v>
          </cell>
          <cell r="F30">
            <v>28</v>
          </cell>
        </row>
        <row r="30">
          <cell r="K30">
            <v>0</v>
          </cell>
        </row>
        <row r="30">
          <cell r="O30">
            <v>0</v>
          </cell>
          <cell r="P30">
            <v>0</v>
          </cell>
          <cell r="Q30">
            <v>0</v>
          </cell>
          <cell r="R30">
            <v>9.5</v>
          </cell>
          <cell r="S30">
            <v>42</v>
          </cell>
          <cell r="T30">
            <v>28</v>
          </cell>
          <cell r="U30">
            <v>23</v>
          </cell>
          <cell r="V30">
            <v>520</v>
          </cell>
        </row>
        <row r="30">
          <cell r="X30">
            <v>0</v>
          </cell>
          <cell r="Y30">
            <v>0</v>
          </cell>
          <cell r="Z30" t="str">
            <v>湘潭宏顺</v>
          </cell>
          <cell r="AA30">
            <v>0</v>
          </cell>
          <cell r="AB30" t="str">
            <v>赵亮</v>
          </cell>
          <cell r="AC30" t="str">
            <v>赵亮</v>
          </cell>
          <cell r="AD30" t="str">
            <v>赵亮</v>
          </cell>
          <cell r="AE30" t="str">
            <v>赵亮</v>
          </cell>
          <cell r="AF30" t="e">
            <v>#N/A</v>
          </cell>
          <cell r="AG30" t="e">
            <v>#N/A</v>
          </cell>
          <cell r="AH30" t="str">
            <v>在职</v>
          </cell>
          <cell r="AI30" t="str">
            <v>湘潭宏顺</v>
          </cell>
          <cell r="AJ30">
            <v>28</v>
          </cell>
        </row>
        <row r="31">
          <cell r="B31" t="str">
            <v>王启明</v>
          </cell>
          <cell r="C31" t="str">
            <v>成品管理</v>
          </cell>
          <cell r="D31" t="str">
            <v>2025-06-01</v>
          </cell>
          <cell r="E31">
            <v>24</v>
          </cell>
          <cell r="F31">
            <v>30</v>
          </cell>
        </row>
        <row r="31">
          <cell r="K31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11.5</v>
          </cell>
          <cell r="S31">
            <v>63</v>
          </cell>
          <cell r="T31">
            <v>30</v>
          </cell>
          <cell r="U31">
            <v>29</v>
          </cell>
          <cell r="V31">
            <v>592</v>
          </cell>
        </row>
        <row r="31">
          <cell r="X31">
            <v>0</v>
          </cell>
          <cell r="Y31">
            <v>0</v>
          </cell>
          <cell r="Z31" t="str">
            <v>湘潭宏顺</v>
          </cell>
          <cell r="AA31">
            <v>0</v>
          </cell>
          <cell r="AB31" t="str">
            <v>王启明</v>
          </cell>
          <cell r="AC31" t="str">
            <v>王启明</v>
          </cell>
          <cell r="AD31" t="str">
            <v>王启明</v>
          </cell>
          <cell r="AE31" t="str">
            <v>王启明</v>
          </cell>
          <cell r="AF31" t="e">
            <v>#N/A</v>
          </cell>
          <cell r="AG31" t="e">
            <v>#N/A</v>
          </cell>
          <cell r="AH31" t="str">
            <v>在职</v>
          </cell>
          <cell r="AI31" t="str">
            <v>湘潭宏顺</v>
          </cell>
          <cell r="AJ31">
            <v>30</v>
          </cell>
        </row>
        <row r="32">
          <cell r="B32" t="str">
            <v>曹蜜</v>
          </cell>
          <cell r="C32" t="str">
            <v>生产制造部</v>
          </cell>
          <cell r="D32">
            <v>41477</v>
          </cell>
          <cell r="E32">
            <v>23</v>
          </cell>
          <cell r="F32">
            <v>28</v>
          </cell>
        </row>
        <row r="32">
          <cell r="K32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35</v>
          </cell>
          <cell r="S32">
            <v>48</v>
          </cell>
          <cell r="T32">
            <v>28</v>
          </cell>
          <cell r="U32">
            <v>19</v>
          </cell>
          <cell r="V32">
            <v>488</v>
          </cell>
        </row>
        <row r="32">
          <cell r="X32">
            <v>0</v>
          </cell>
          <cell r="Y32">
            <v>0</v>
          </cell>
          <cell r="Z32" t="str">
            <v>光华荣昌</v>
          </cell>
          <cell r="AA32">
            <v>0</v>
          </cell>
          <cell r="AB32" t="str">
            <v>曹蜜</v>
          </cell>
          <cell r="AC32" t="str">
            <v>曹蜜</v>
          </cell>
          <cell r="AD32" t="str">
            <v>曹蜜</v>
          </cell>
          <cell r="AE32" t="str">
            <v>曹蜜</v>
          </cell>
          <cell r="AF32" t="e">
            <v>#N/A</v>
          </cell>
          <cell r="AG32" t="e">
            <v>#N/A</v>
          </cell>
          <cell r="AH32" t="str">
            <v>在职</v>
          </cell>
          <cell r="AI32" t="str">
            <v>湖南荣昌</v>
          </cell>
          <cell r="AJ32">
            <v>28</v>
          </cell>
        </row>
        <row r="33">
          <cell r="B33" t="str">
            <v>何胜春</v>
          </cell>
          <cell r="C33" t="str">
            <v>生产制造</v>
          </cell>
          <cell r="D33">
            <v>42343</v>
          </cell>
          <cell r="E33">
            <v>23</v>
          </cell>
          <cell r="F33">
            <v>23</v>
          </cell>
        </row>
        <row r="33">
          <cell r="K33">
            <v>0</v>
          </cell>
        </row>
        <row r="33">
          <cell r="O33">
            <v>0</v>
          </cell>
          <cell r="P33">
            <v>0</v>
          </cell>
          <cell r="Q33">
            <v>0</v>
          </cell>
        </row>
        <row r="33">
          <cell r="T33">
            <v>23</v>
          </cell>
          <cell r="U33">
            <v>0</v>
          </cell>
          <cell r="V33">
            <v>276</v>
          </cell>
        </row>
        <row r="33">
          <cell r="X33">
            <v>0</v>
          </cell>
          <cell r="Y33">
            <v>0</v>
          </cell>
          <cell r="Z33" t="str">
            <v>湖南鑫起</v>
          </cell>
          <cell r="AA33">
            <v>0</v>
          </cell>
          <cell r="AB33" t="str">
            <v>何胜春</v>
          </cell>
          <cell r="AC33" t="str">
            <v>何胜春</v>
          </cell>
          <cell r="AD33" t="str">
            <v>何胜春</v>
          </cell>
          <cell r="AE33" t="str">
            <v>何胜春</v>
          </cell>
          <cell r="AF33" t="e">
            <v>#N/A</v>
          </cell>
          <cell r="AG33" t="e">
            <v>#N/A</v>
          </cell>
          <cell r="AH33" t="str">
            <v>在职</v>
          </cell>
          <cell r="AI33" t="str">
            <v>湖南荣昌</v>
          </cell>
          <cell r="AJ33">
            <v>23</v>
          </cell>
        </row>
        <row r="34">
          <cell r="B34" t="str">
            <v>张海波</v>
          </cell>
          <cell r="C34" t="str">
            <v>生产制造</v>
          </cell>
          <cell r="D34">
            <v>42066</v>
          </cell>
          <cell r="E34">
            <v>23</v>
          </cell>
          <cell r="F34">
            <v>23</v>
          </cell>
        </row>
        <row r="34">
          <cell r="K34">
            <v>0</v>
          </cell>
        </row>
        <row r="34">
          <cell r="O34">
            <v>0</v>
          </cell>
          <cell r="P34">
            <v>0</v>
          </cell>
          <cell r="Q34">
            <v>0</v>
          </cell>
        </row>
        <row r="34">
          <cell r="T34">
            <v>23</v>
          </cell>
          <cell r="U34">
            <v>0</v>
          </cell>
          <cell r="V34">
            <v>276</v>
          </cell>
        </row>
        <row r="34">
          <cell r="X34">
            <v>0</v>
          </cell>
          <cell r="Y34">
            <v>0</v>
          </cell>
          <cell r="Z34" t="str">
            <v>光华荣昌</v>
          </cell>
          <cell r="AA34">
            <v>0</v>
          </cell>
          <cell r="AB34" t="str">
            <v>张海波</v>
          </cell>
          <cell r="AC34" t="str">
            <v>张海波</v>
          </cell>
          <cell r="AD34" t="str">
            <v>张海波</v>
          </cell>
          <cell r="AE34" t="str">
            <v>张海波</v>
          </cell>
          <cell r="AF34" t="e">
            <v>#N/A</v>
          </cell>
          <cell r="AG34" t="e">
            <v>#N/A</v>
          </cell>
          <cell r="AH34" t="str">
            <v>在职</v>
          </cell>
          <cell r="AI34" t="str">
            <v>湖南荣昌</v>
          </cell>
          <cell r="AJ34">
            <v>23</v>
          </cell>
        </row>
        <row r="35">
          <cell r="B35" t="str">
            <v>马英</v>
          </cell>
          <cell r="C35" t="str">
            <v>设备安技科</v>
          </cell>
          <cell r="D35">
            <v>41977</v>
          </cell>
          <cell r="E35">
            <v>23</v>
          </cell>
          <cell r="F35">
            <v>23</v>
          </cell>
        </row>
        <row r="35">
          <cell r="H35">
            <v>5</v>
          </cell>
        </row>
        <row r="35">
          <cell r="K35">
            <v>0</v>
          </cell>
        </row>
        <row r="35">
          <cell r="O35">
            <v>0</v>
          </cell>
          <cell r="P35">
            <v>0</v>
          </cell>
          <cell r="Q35">
            <v>0</v>
          </cell>
        </row>
        <row r="35">
          <cell r="T35">
            <v>18</v>
          </cell>
          <cell r="U35">
            <v>3</v>
          </cell>
          <cell r="V35">
            <v>240</v>
          </cell>
        </row>
        <row r="35">
          <cell r="X35">
            <v>0</v>
          </cell>
          <cell r="Y35">
            <v>0</v>
          </cell>
          <cell r="Z35" t="str">
            <v>光华荣昌</v>
          </cell>
          <cell r="AA35">
            <v>0</v>
          </cell>
          <cell r="AB35" t="str">
            <v>马英</v>
          </cell>
          <cell r="AC35" t="str">
            <v>马英</v>
          </cell>
          <cell r="AD35" t="str">
            <v>马英</v>
          </cell>
          <cell r="AE35" t="str">
            <v>马英</v>
          </cell>
          <cell r="AF35" t="e">
            <v>#N/A</v>
          </cell>
          <cell r="AG35" t="e">
            <v>#N/A</v>
          </cell>
          <cell r="AH35" t="str">
            <v>在职</v>
          </cell>
          <cell r="AI35" t="str">
            <v>湖南荣昌</v>
          </cell>
          <cell r="AJ35">
            <v>23</v>
          </cell>
        </row>
        <row r="36">
          <cell r="B36" t="str">
            <v>何柒林</v>
          </cell>
          <cell r="C36" t="str">
            <v>发泡设备安技科</v>
          </cell>
          <cell r="D36">
            <v>45658</v>
          </cell>
          <cell r="E36">
            <v>24</v>
          </cell>
          <cell r="F36">
            <v>28</v>
          </cell>
        </row>
        <row r="36">
          <cell r="K36">
            <v>0</v>
          </cell>
        </row>
        <row r="36">
          <cell r="O36">
            <v>0</v>
          </cell>
          <cell r="P36">
            <v>0</v>
          </cell>
          <cell r="Q36">
            <v>0</v>
          </cell>
        </row>
        <row r="36">
          <cell r="T36">
            <v>28</v>
          </cell>
          <cell r="U36">
            <v>28</v>
          </cell>
          <cell r="V36">
            <v>560</v>
          </cell>
        </row>
        <row r="36">
          <cell r="Y36">
            <v>0</v>
          </cell>
          <cell r="Z36" t="str">
            <v>光华荣昌</v>
          </cell>
          <cell r="AA36">
            <v>0</v>
          </cell>
          <cell r="AB36" t="str">
            <v>何柒林</v>
          </cell>
          <cell r="AC36" t="str">
            <v>何柒林</v>
          </cell>
          <cell r="AD36" t="str">
            <v>何柒林</v>
          </cell>
          <cell r="AE36" t="str">
            <v>何柒林</v>
          </cell>
          <cell r="AF36" t="e">
            <v>#N/A</v>
          </cell>
          <cell r="AG36" t="e">
            <v>#N/A</v>
          </cell>
          <cell r="AH36" t="str">
            <v>在职</v>
          </cell>
          <cell r="AI36" t="str">
            <v>湖南荣昌</v>
          </cell>
          <cell r="AJ36">
            <v>28</v>
          </cell>
        </row>
        <row r="37">
          <cell r="B37" t="str">
            <v>周建华</v>
          </cell>
          <cell r="C37" t="str">
            <v>发泡设备安技科</v>
          </cell>
          <cell r="D37">
            <v>45802</v>
          </cell>
          <cell r="E37">
            <v>24</v>
          </cell>
          <cell r="F37">
            <v>13</v>
          </cell>
        </row>
        <row r="37">
          <cell r="K37">
            <v>13</v>
          </cell>
        </row>
        <row r="37">
          <cell r="O37">
            <v>0</v>
          </cell>
          <cell r="P37">
            <v>0</v>
          </cell>
          <cell r="Q37">
            <v>0</v>
          </cell>
        </row>
        <row r="37">
          <cell r="T37">
            <v>13</v>
          </cell>
          <cell r="U37">
            <v>13</v>
          </cell>
          <cell r="V37">
            <v>260</v>
          </cell>
        </row>
        <row r="37">
          <cell r="Y37">
            <v>0</v>
          </cell>
          <cell r="Z37" t="str">
            <v>湘潭宏顺</v>
          </cell>
          <cell r="AA37">
            <v>0</v>
          </cell>
          <cell r="AB37" t="str">
            <v>周建华</v>
          </cell>
          <cell r="AC37" t="str">
            <v>周建华</v>
          </cell>
          <cell r="AD37" t="str">
            <v>周建华</v>
          </cell>
          <cell r="AE37" t="str">
            <v>周建华</v>
          </cell>
          <cell r="AF37" t="e">
            <v>#N/A</v>
          </cell>
          <cell r="AG37" t="e">
            <v>#N/A</v>
          </cell>
          <cell r="AH37" t="str">
            <v>在职</v>
          </cell>
          <cell r="AI37" t="str">
            <v>湘潭宏顺</v>
          </cell>
          <cell r="AJ37">
            <v>13</v>
          </cell>
        </row>
        <row r="38">
          <cell r="B38" t="str">
            <v>赖金龙</v>
          </cell>
          <cell r="C38" t="str">
            <v>发泡-A班</v>
          </cell>
          <cell r="D38">
            <v>45810</v>
          </cell>
          <cell r="E38">
            <v>24</v>
          </cell>
          <cell r="F38">
            <v>26</v>
          </cell>
        </row>
        <row r="38">
          <cell r="K38">
            <v>2</v>
          </cell>
        </row>
        <row r="38">
          <cell r="O38">
            <v>0</v>
          </cell>
          <cell r="P38">
            <v>0</v>
          </cell>
          <cell r="Q38">
            <v>0</v>
          </cell>
        </row>
        <row r="38">
          <cell r="T38">
            <v>26</v>
          </cell>
          <cell r="U38">
            <v>26</v>
          </cell>
          <cell r="V38">
            <v>520</v>
          </cell>
        </row>
        <row r="38">
          <cell r="Y38">
            <v>0</v>
          </cell>
          <cell r="Z38" t="str">
            <v>湘潭宏顺</v>
          </cell>
          <cell r="AA38" t="str">
            <v>9.1事假1天，9.22事假1天</v>
          </cell>
          <cell r="AB38" t="str">
            <v>赖金龙</v>
          </cell>
          <cell r="AC38" t="str">
            <v>赖金龙</v>
          </cell>
          <cell r="AD38" t="str">
            <v>赖金龙</v>
          </cell>
          <cell r="AE38" t="str">
            <v>赖金龙</v>
          </cell>
          <cell r="AF38" t="str">
            <v>赖金龙</v>
          </cell>
          <cell r="AG38" t="e">
            <v>#N/A</v>
          </cell>
          <cell r="AH38" t="str">
            <v>在职</v>
          </cell>
          <cell r="AI38" t="str">
            <v>湘潭宏顺</v>
          </cell>
          <cell r="AJ38">
            <v>26</v>
          </cell>
        </row>
        <row r="39">
          <cell r="B39" t="str">
            <v>赵新辉</v>
          </cell>
          <cell r="C39" t="str">
            <v>发泡设备</v>
          </cell>
          <cell r="D39">
            <v>41689</v>
          </cell>
          <cell r="E39">
            <v>26</v>
          </cell>
          <cell r="F39">
            <v>29.4</v>
          </cell>
        </row>
        <row r="39">
          <cell r="K39">
            <v>0</v>
          </cell>
        </row>
        <row r="39">
          <cell r="O39">
            <v>0</v>
          </cell>
          <cell r="P39">
            <v>0</v>
          </cell>
          <cell r="Q39">
            <v>0</v>
          </cell>
        </row>
        <row r="39">
          <cell r="T39">
            <v>29</v>
          </cell>
          <cell r="U39">
            <v>29</v>
          </cell>
          <cell r="V39">
            <v>580</v>
          </cell>
        </row>
        <row r="39">
          <cell r="Y39">
            <v>0</v>
          </cell>
          <cell r="Z39" t="str">
            <v>湖南鑫起</v>
          </cell>
          <cell r="AA39">
            <v>0</v>
          </cell>
          <cell r="AB39" t="str">
            <v>赵新辉</v>
          </cell>
          <cell r="AC39" t="str">
            <v>赵新辉</v>
          </cell>
          <cell r="AD39" t="str">
            <v>赵新辉</v>
          </cell>
          <cell r="AE39" t="str">
            <v>赵新辉</v>
          </cell>
          <cell r="AF39" t="str">
            <v>赵新辉</v>
          </cell>
          <cell r="AG39" t="e">
            <v>#N/A</v>
          </cell>
          <cell r="AH39" t="str">
            <v>在职</v>
          </cell>
          <cell r="AI39" t="str">
            <v>湖南荣昌</v>
          </cell>
          <cell r="AJ39">
            <v>29.4</v>
          </cell>
        </row>
        <row r="40">
          <cell r="B40" t="str">
            <v>麻志超</v>
          </cell>
          <cell r="C40" t="str">
            <v>发泡设备</v>
          </cell>
          <cell r="D40">
            <v>44741</v>
          </cell>
          <cell r="E40">
            <v>24</v>
          </cell>
          <cell r="F40">
            <v>29</v>
          </cell>
        </row>
        <row r="40">
          <cell r="K40">
            <v>0</v>
          </cell>
        </row>
        <row r="40">
          <cell r="O40">
            <v>0</v>
          </cell>
          <cell r="P40">
            <v>0</v>
          </cell>
          <cell r="Q40">
            <v>0</v>
          </cell>
        </row>
        <row r="40">
          <cell r="T40">
            <v>29</v>
          </cell>
          <cell r="U40">
            <v>29</v>
          </cell>
          <cell r="V40">
            <v>580</v>
          </cell>
        </row>
        <row r="40">
          <cell r="Y40">
            <v>0</v>
          </cell>
          <cell r="Z40" t="str">
            <v>光华荣昌</v>
          </cell>
          <cell r="AA40">
            <v>0</v>
          </cell>
          <cell r="AB40" t="str">
            <v>麻志超</v>
          </cell>
          <cell r="AC40" t="str">
            <v>麻志超</v>
          </cell>
          <cell r="AD40" t="str">
            <v>麻志超</v>
          </cell>
          <cell r="AE40" t="str">
            <v>麻志超</v>
          </cell>
          <cell r="AF40" t="e">
            <v>#N/A</v>
          </cell>
          <cell r="AG40" t="e">
            <v>#N/A</v>
          </cell>
          <cell r="AH40" t="str">
            <v>在职</v>
          </cell>
          <cell r="AI40" t="str">
            <v>鑫起</v>
          </cell>
          <cell r="AJ40">
            <v>29</v>
          </cell>
        </row>
        <row r="41">
          <cell r="B41" t="str">
            <v>左昌福</v>
          </cell>
          <cell r="C41" t="str">
            <v>发泡设备</v>
          </cell>
          <cell r="D41">
            <v>43554</v>
          </cell>
          <cell r="E41">
            <v>26</v>
          </cell>
          <cell r="F41">
            <v>29</v>
          </cell>
        </row>
        <row r="41">
          <cell r="K41">
            <v>0</v>
          </cell>
        </row>
        <row r="41">
          <cell r="O41">
            <v>0</v>
          </cell>
          <cell r="P41">
            <v>0</v>
          </cell>
          <cell r="Q41">
            <v>0</v>
          </cell>
        </row>
        <row r="41">
          <cell r="T41">
            <v>29</v>
          </cell>
          <cell r="U41">
            <v>29</v>
          </cell>
          <cell r="V41">
            <v>580</v>
          </cell>
        </row>
        <row r="41">
          <cell r="Y41">
            <v>0</v>
          </cell>
          <cell r="Z41" t="str">
            <v>光华荣昌</v>
          </cell>
          <cell r="AA41">
            <v>0</v>
          </cell>
          <cell r="AB41" t="str">
            <v>左昌福</v>
          </cell>
          <cell r="AC41" t="str">
            <v>左昌福</v>
          </cell>
          <cell r="AD41" t="str">
            <v>左昌福</v>
          </cell>
          <cell r="AE41" t="str">
            <v>左昌福</v>
          </cell>
          <cell r="AF41" t="str">
            <v>左昌福</v>
          </cell>
          <cell r="AG41" t="e">
            <v>#N/A</v>
          </cell>
          <cell r="AH41" t="str">
            <v>在职</v>
          </cell>
          <cell r="AI41" t="str">
            <v>湖南荣昌</v>
          </cell>
          <cell r="AJ41">
            <v>29</v>
          </cell>
        </row>
        <row r="42">
          <cell r="B42" t="str">
            <v>肖燕丹</v>
          </cell>
          <cell r="C42" t="str">
            <v>发泡</v>
          </cell>
          <cell r="D42">
            <v>44801</v>
          </cell>
          <cell r="E42">
            <v>26</v>
          </cell>
          <cell r="F42">
            <v>24.875</v>
          </cell>
        </row>
        <row r="42">
          <cell r="K42">
            <v>1.125</v>
          </cell>
        </row>
        <row r="42">
          <cell r="O42">
            <v>0</v>
          </cell>
          <cell r="P42">
            <v>0</v>
          </cell>
          <cell r="Q42">
            <v>0</v>
          </cell>
        </row>
        <row r="42">
          <cell r="T42">
            <v>24</v>
          </cell>
          <cell r="U42">
            <v>0</v>
          </cell>
          <cell r="V42">
            <v>288</v>
          </cell>
        </row>
        <row r="42">
          <cell r="Y42">
            <v>0</v>
          </cell>
          <cell r="Z42" t="str">
            <v>光华荣昌</v>
          </cell>
          <cell r="AA42" t="str">
            <v>9月24日8:30-11点，14:20-15点事假4小时；9月25日8点-10点36事假2.5h；9.29 14点-16点25事假2.5h</v>
          </cell>
          <cell r="AB42" t="str">
            <v>肖燕丹</v>
          </cell>
          <cell r="AC42" t="str">
            <v>肖燕丹</v>
          </cell>
          <cell r="AD42" t="str">
            <v>肖燕丹</v>
          </cell>
          <cell r="AE42" t="str">
            <v>肖燕丹</v>
          </cell>
          <cell r="AF42" t="str">
            <v>肖燕丹</v>
          </cell>
          <cell r="AG42" t="e">
            <v>#N/A</v>
          </cell>
          <cell r="AH42" t="str">
            <v>在职</v>
          </cell>
          <cell r="AI42" t="str">
            <v>湖南荣昌</v>
          </cell>
          <cell r="AJ42">
            <v>26</v>
          </cell>
        </row>
        <row r="43">
          <cell r="B43" t="str">
            <v>王虎彪</v>
          </cell>
          <cell r="C43" t="str">
            <v>发泡-A班</v>
          </cell>
          <cell r="D43">
            <v>44743</v>
          </cell>
          <cell r="E43">
            <v>24</v>
          </cell>
          <cell r="F43">
            <v>28</v>
          </cell>
        </row>
        <row r="43">
          <cell r="K43">
            <v>0</v>
          </cell>
        </row>
        <row r="43">
          <cell r="O43">
            <v>0</v>
          </cell>
          <cell r="P43">
            <v>0</v>
          </cell>
          <cell r="Q43">
            <v>0</v>
          </cell>
        </row>
        <row r="43">
          <cell r="T43">
            <v>28</v>
          </cell>
          <cell r="U43">
            <v>28</v>
          </cell>
          <cell r="V43">
            <v>560</v>
          </cell>
        </row>
        <row r="43">
          <cell r="Y43">
            <v>0</v>
          </cell>
          <cell r="Z43" t="str">
            <v>光华荣昌</v>
          </cell>
          <cell r="AA43">
            <v>0</v>
          </cell>
          <cell r="AB43" t="str">
            <v>王虎彪</v>
          </cell>
          <cell r="AC43" t="str">
            <v>王虎彪</v>
          </cell>
          <cell r="AD43" t="str">
            <v>王虎彪</v>
          </cell>
          <cell r="AE43" t="str">
            <v>王虎彪</v>
          </cell>
          <cell r="AF43" t="str">
            <v>王虎彪</v>
          </cell>
          <cell r="AG43" t="e">
            <v>#N/A</v>
          </cell>
          <cell r="AH43" t="str">
            <v>在职</v>
          </cell>
          <cell r="AI43" t="str">
            <v>鑫起</v>
          </cell>
          <cell r="AJ43">
            <v>28</v>
          </cell>
        </row>
        <row r="44">
          <cell r="B44" t="str">
            <v>张忠宝</v>
          </cell>
          <cell r="C44" t="str">
            <v>发泡</v>
          </cell>
          <cell r="D44">
            <v>45587</v>
          </cell>
          <cell r="E44">
            <v>26</v>
          </cell>
          <cell r="F44">
            <v>26</v>
          </cell>
        </row>
        <row r="44">
          <cell r="K44">
            <v>0</v>
          </cell>
        </row>
        <row r="44">
          <cell r="O44">
            <v>0</v>
          </cell>
          <cell r="P44">
            <v>0</v>
          </cell>
          <cell r="Q44">
            <v>0</v>
          </cell>
        </row>
        <row r="44">
          <cell r="T44">
            <v>26</v>
          </cell>
          <cell r="U44">
            <v>26</v>
          </cell>
          <cell r="V44">
            <v>520</v>
          </cell>
        </row>
        <row r="44">
          <cell r="Y44">
            <v>0</v>
          </cell>
          <cell r="Z44" t="str">
            <v>湖南诚展</v>
          </cell>
          <cell r="AA44">
            <v>0</v>
          </cell>
          <cell r="AB44" t="str">
            <v>张忠宝</v>
          </cell>
          <cell r="AC44" t="str">
            <v>张忠宝</v>
          </cell>
          <cell r="AD44" t="str">
            <v>张忠宝</v>
          </cell>
          <cell r="AE44" t="str">
            <v>张忠宝</v>
          </cell>
          <cell r="AF44" t="str">
            <v>张忠宝</v>
          </cell>
          <cell r="AG44" t="e">
            <v>#N/A</v>
          </cell>
          <cell r="AH44" t="str">
            <v>在职</v>
          </cell>
          <cell r="AI44" t="str">
            <v>湖南诚展</v>
          </cell>
          <cell r="AJ44">
            <v>26</v>
          </cell>
        </row>
        <row r="45">
          <cell r="B45" t="str">
            <v>谭金祥</v>
          </cell>
          <cell r="C45" t="str">
            <v>发泡</v>
          </cell>
          <cell r="D45">
            <v>45703</v>
          </cell>
          <cell r="E45">
            <v>26</v>
          </cell>
          <cell r="F45">
            <v>28</v>
          </cell>
        </row>
        <row r="45">
          <cell r="K45">
            <v>0</v>
          </cell>
        </row>
        <row r="45">
          <cell r="O45">
            <v>0</v>
          </cell>
          <cell r="P45">
            <v>0</v>
          </cell>
          <cell r="Q45">
            <v>0</v>
          </cell>
        </row>
        <row r="45">
          <cell r="T45">
            <v>28</v>
          </cell>
          <cell r="U45">
            <v>28</v>
          </cell>
          <cell r="V45">
            <v>560</v>
          </cell>
        </row>
        <row r="45">
          <cell r="Y45">
            <v>0</v>
          </cell>
          <cell r="Z45" t="str">
            <v>湖南诚展</v>
          </cell>
          <cell r="AA45">
            <v>0</v>
          </cell>
          <cell r="AB45" t="str">
            <v>谭金祥</v>
          </cell>
          <cell r="AC45" t="str">
            <v>谭金祥</v>
          </cell>
          <cell r="AD45" t="str">
            <v>谭金祥</v>
          </cell>
          <cell r="AE45" t="str">
            <v>谭金祥</v>
          </cell>
          <cell r="AF45" t="str">
            <v>谭金祥</v>
          </cell>
          <cell r="AG45" t="e">
            <v>#N/A</v>
          </cell>
          <cell r="AH45" t="str">
            <v>在职</v>
          </cell>
          <cell r="AI45" t="str">
            <v>湖南诚展</v>
          </cell>
          <cell r="AJ45">
            <v>28</v>
          </cell>
        </row>
        <row r="46">
          <cell r="B46" t="str">
            <v>龙意倩</v>
          </cell>
          <cell r="C46" t="str">
            <v>发泡</v>
          </cell>
          <cell r="D46">
            <v>45790</v>
          </cell>
          <cell r="E46">
            <v>26</v>
          </cell>
          <cell r="F46">
            <v>29</v>
          </cell>
        </row>
        <row r="46">
          <cell r="K46">
            <v>0</v>
          </cell>
        </row>
        <row r="46">
          <cell r="O46">
            <v>0</v>
          </cell>
          <cell r="P46">
            <v>0</v>
          </cell>
          <cell r="Q46">
            <v>0</v>
          </cell>
        </row>
        <row r="46">
          <cell r="T46">
            <v>29</v>
          </cell>
          <cell r="U46">
            <v>29</v>
          </cell>
          <cell r="V46">
            <v>580</v>
          </cell>
        </row>
        <row r="46">
          <cell r="Y46">
            <v>0</v>
          </cell>
          <cell r="Z46" t="str">
            <v>湖南诚展</v>
          </cell>
          <cell r="AA46">
            <v>0</v>
          </cell>
          <cell r="AB46" t="str">
            <v>龙意倩</v>
          </cell>
          <cell r="AC46" t="str">
            <v>龙意倩</v>
          </cell>
          <cell r="AD46" t="str">
            <v>龙意倩</v>
          </cell>
          <cell r="AE46" t="str">
            <v>龙意倩</v>
          </cell>
          <cell r="AF46" t="str">
            <v>龙意倩</v>
          </cell>
          <cell r="AG46" t="e">
            <v>#N/A</v>
          </cell>
          <cell r="AH46" t="str">
            <v>在职</v>
          </cell>
          <cell r="AI46" t="str">
            <v>湖南诚展</v>
          </cell>
          <cell r="AJ46">
            <v>29</v>
          </cell>
        </row>
        <row r="47">
          <cell r="B47" t="str">
            <v>刘季香</v>
          </cell>
          <cell r="C47" t="str">
            <v>发泡-A班</v>
          </cell>
          <cell r="D47">
            <v>45809</v>
          </cell>
          <cell r="E47">
            <v>26</v>
          </cell>
          <cell r="F47">
            <v>29</v>
          </cell>
        </row>
        <row r="47">
          <cell r="K47">
            <v>0</v>
          </cell>
        </row>
        <row r="47">
          <cell r="O47">
            <v>0</v>
          </cell>
          <cell r="P47">
            <v>0</v>
          </cell>
          <cell r="Q47">
            <v>0</v>
          </cell>
        </row>
        <row r="47">
          <cell r="T47">
            <v>29</v>
          </cell>
          <cell r="U47">
            <v>29</v>
          </cell>
          <cell r="V47">
            <v>580</v>
          </cell>
        </row>
        <row r="47">
          <cell r="Y47">
            <v>0</v>
          </cell>
          <cell r="Z47" t="str">
            <v>湘潭宏顺</v>
          </cell>
          <cell r="AA47">
            <v>0</v>
          </cell>
          <cell r="AB47" t="str">
            <v>刘季香</v>
          </cell>
          <cell r="AC47" t="str">
            <v>刘季香</v>
          </cell>
          <cell r="AD47" t="str">
            <v>刘季香</v>
          </cell>
          <cell r="AE47" t="str">
            <v>刘季香</v>
          </cell>
          <cell r="AF47" t="e">
            <v>#N/A</v>
          </cell>
          <cell r="AG47" t="e">
            <v>#N/A</v>
          </cell>
          <cell r="AH47" t="str">
            <v>在职</v>
          </cell>
          <cell r="AI47" t="str">
            <v>湘潭宏顺</v>
          </cell>
          <cell r="AJ47">
            <v>29</v>
          </cell>
        </row>
        <row r="48">
          <cell r="B48" t="str">
            <v>林虎</v>
          </cell>
          <cell r="C48" t="str">
            <v>发泡</v>
          </cell>
          <cell r="D48">
            <v>41904</v>
          </cell>
          <cell r="E48">
            <v>26</v>
          </cell>
          <cell r="F48">
            <v>28</v>
          </cell>
        </row>
        <row r="48">
          <cell r="K48">
            <v>0</v>
          </cell>
        </row>
        <row r="48">
          <cell r="O48">
            <v>0</v>
          </cell>
          <cell r="P48">
            <v>1</v>
          </cell>
          <cell r="Q48">
            <v>0</v>
          </cell>
        </row>
        <row r="48">
          <cell r="T48">
            <v>28</v>
          </cell>
          <cell r="U48">
            <v>28</v>
          </cell>
          <cell r="V48">
            <v>560</v>
          </cell>
        </row>
        <row r="48">
          <cell r="Y48">
            <v>0</v>
          </cell>
          <cell r="Z48" t="str">
            <v>光华荣昌</v>
          </cell>
          <cell r="AA48" t="str">
            <v>11下班卡</v>
          </cell>
          <cell r="AB48" t="str">
            <v>林虎</v>
          </cell>
          <cell r="AC48" t="str">
            <v>林虎</v>
          </cell>
          <cell r="AD48" t="str">
            <v>林虎</v>
          </cell>
          <cell r="AE48" t="str">
            <v>林虎</v>
          </cell>
          <cell r="AF48" t="str">
            <v>林虎</v>
          </cell>
          <cell r="AG48" t="e">
            <v>#N/A</v>
          </cell>
          <cell r="AH48" t="str">
            <v>在职</v>
          </cell>
          <cell r="AI48" t="str">
            <v>湖南荣昌</v>
          </cell>
          <cell r="AJ48">
            <v>27</v>
          </cell>
        </row>
        <row r="49">
          <cell r="B49" t="str">
            <v>肖军奇</v>
          </cell>
          <cell r="C49" t="str">
            <v>发泡</v>
          </cell>
          <cell r="D49">
            <v>45801</v>
          </cell>
          <cell r="E49">
            <v>26</v>
          </cell>
          <cell r="F49">
            <v>29</v>
          </cell>
        </row>
        <row r="49">
          <cell r="K49">
            <v>0</v>
          </cell>
        </row>
        <row r="49">
          <cell r="O49">
            <v>0</v>
          </cell>
          <cell r="P49">
            <v>1</v>
          </cell>
          <cell r="Q49">
            <v>0</v>
          </cell>
        </row>
        <row r="49">
          <cell r="T49">
            <v>29</v>
          </cell>
          <cell r="U49">
            <v>29</v>
          </cell>
          <cell r="V49">
            <v>580</v>
          </cell>
        </row>
        <row r="49">
          <cell r="Y49">
            <v>0</v>
          </cell>
          <cell r="Z49" t="str">
            <v>湘潭思泉</v>
          </cell>
          <cell r="AA49" t="str">
            <v>29下班卡</v>
          </cell>
          <cell r="AB49" t="str">
            <v>肖军奇</v>
          </cell>
          <cell r="AC49" t="str">
            <v>肖军奇</v>
          </cell>
          <cell r="AD49" t="str">
            <v>肖军奇</v>
          </cell>
          <cell r="AE49" t="str">
            <v>肖军奇</v>
          </cell>
          <cell r="AF49" t="str">
            <v>肖军奇</v>
          </cell>
          <cell r="AG49" t="e">
            <v>#N/A</v>
          </cell>
          <cell r="AH49" t="str">
            <v>在职</v>
          </cell>
          <cell r="AI49" t="str">
            <v>湘潭思泉</v>
          </cell>
          <cell r="AJ49">
            <v>28</v>
          </cell>
        </row>
        <row r="50">
          <cell r="B50" t="str">
            <v>袁珊珊</v>
          </cell>
          <cell r="C50" t="str">
            <v>发泡</v>
          </cell>
          <cell r="D50">
            <v>45739</v>
          </cell>
          <cell r="E50">
            <v>26</v>
          </cell>
          <cell r="F50">
            <v>28.8</v>
          </cell>
        </row>
        <row r="50">
          <cell r="K50">
            <v>0</v>
          </cell>
        </row>
        <row r="50">
          <cell r="O50">
            <v>0</v>
          </cell>
          <cell r="P50">
            <v>0</v>
          </cell>
          <cell r="Q50">
            <v>0</v>
          </cell>
        </row>
        <row r="50">
          <cell r="T50">
            <v>29</v>
          </cell>
          <cell r="U50">
            <v>28</v>
          </cell>
          <cell r="V50">
            <v>572</v>
          </cell>
        </row>
        <row r="50">
          <cell r="Y50">
            <v>0</v>
          </cell>
          <cell r="Z50" t="str">
            <v>德顺</v>
          </cell>
          <cell r="AA50">
            <v>0</v>
          </cell>
          <cell r="AB50" t="str">
            <v>袁珊珊</v>
          </cell>
          <cell r="AC50" t="str">
            <v>袁珊珊</v>
          </cell>
          <cell r="AD50" t="str">
            <v>袁珊珊</v>
          </cell>
          <cell r="AE50" t="str">
            <v>袁珊珊</v>
          </cell>
          <cell r="AF50" t="str">
            <v>袁珊珊</v>
          </cell>
          <cell r="AG50" t="e">
            <v>#N/A</v>
          </cell>
          <cell r="AH50" t="str">
            <v>在职</v>
          </cell>
          <cell r="AI50" t="str">
            <v>德顺</v>
          </cell>
          <cell r="AJ50">
            <v>28.8</v>
          </cell>
        </row>
        <row r="51">
          <cell r="B51" t="str">
            <v>张迪辉</v>
          </cell>
          <cell r="C51" t="str">
            <v>发泡</v>
          </cell>
          <cell r="D51">
            <v>43669</v>
          </cell>
          <cell r="E51">
            <v>26</v>
          </cell>
          <cell r="F51">
            <v>29</v>
          </cell>
        </row>
        <row r="51">
          <cell r="K51">
            <v>0</v>
          </cell>
        </row>
        <row r="51">
          <cell r="O51">
            <v>0</v>
          </cell>
          <cell r="P51">
            <v>2</v>
          </cell>
          <cell r="Q51">
            <v>0</v>
          </cell>
        </row>
        <row r="51">
          <cell r="T51">
            <v>29</v>
          </cell>
          <cell r="U51">
            <v>29</v>
          </cell>
          <cell r="V51">
            <v>580</v>
          </cell>
        </row>
        <row r="51">
          <cell r="Y51">
            <v>0</v>
          </cell>
          <cell r="Z51" t="str">
            <v>光华荣昌</v>
          </cell>
          <cell r="AA51" t="str">
            <v>18上班卡，22上班卡</v>
          </cell>
          <cell r="AB51" t="str">
            <v>张迪辉</v>
          </cell>
          <cell r="AC51" t="str">
            <v>张迪辉</v>
          </cell>
          <cell r="AD51" t="str">
            <v>张迪辉</v>
          </cell>
          <cell r="AE51" t="str">
            <v>张迪辉</v>
          </cell>
          <cell r="AF51" t="str">
            <v>张迪辉</v>
          </cell>
          <cell r="AG51" t="e">
            <v>#N/A</v>
          </cell>
          <cell r="AH51" t="str">
            <v>在职</v>
          </cell>
          <cell r="AI51" t="str">
            <v>鑫起</v>
          </cell>
          <cell r="AJ51">
            <v>27</v>
          </cell>
        </row>
        <row r="52">
          <cell r="B52" t="str">
            <v>瞿芬</v>
          </cell>
          <cell r="C52" t="str">
            <v>发泡</v>
          </cell>
          <cell r="D52">
            <v>45727</v>
          </cell>
          <cell r="E52">
            <v>26</v>
          </cell>
          <cell r="F52">
            <v>28.25</v>
          </cell>
        </row>
        <row r="52">
          <cell r="K52">
            <v>0.5</v>
          </cell>
        </row>
        <row r="52">
          <cell r="O52">
            <v>0</v>
          </cell>
          <cell r="P52">
            <v>0</v>
          </cell>
          <cell r="Q52">
            <v>0</v>
          </cell>
        </row>
        <row r="52">
          <cell r="T52">
            <v>28</v>
          </cell>
          <cell r="U52">
            <v>27</v>
          </cell>
          <cell r="V52">
            <v>552</v>
          </cell>
        </row>
        <row r="52">
          <cell r="Y52">
            <v>0</v>
          </cell>
          <cell r="Z52" t="str">
            <v>湘潭思泉</v>
          </cell>
          <cell r="AA52" t="str">
            <v>9.5下午13点-20点事假5.5h；20号下午五点半-8点半；</v>
          </cell>
          <cell r="AB52" t="str">
            <v>瞿芬</v>
          </cell>
          <cell r="AC52" t="str">
            <v>瞿芬</v>
          </cell>
          <cell r="AD52" t="str">
            <v>瞿芬</v>
          </cell>
          <cell r="AE52" t="str">
            <v>瞿芬</v>
          </cell>
          <cell r="AF52" t="str">
            <v>瞿芬</v>
          </cell>
          <cell r="AG52" t="e">
            <v>#N/A</v>
          </cell>
          <cell r="AH52" t="str">
            <v>在职</v>
          </cell>
          <cell r="AI52" t="str">
            <v>湘潭思泉</v>
          </cell>
          <cell r="AJ52">
            <v>28</v>
          </cell>
        </row>
        <row r="53">
          <cell r="B53" t="str">
            <v>瞿欢</v>
          </cell>
          <cell r="C53" t="str">
            <v>发泡</v>
          </cell>
          <cell r="D53">
            <v>45727</v>
          </cell>
          <cell r="E53">
            <v>26</v>
          </cell>
          <cell r="F53">
            <v>28.25</v>
          </cell>
        </row>
        <row r="53">
          <cell r="K53">
            <v>0.5</v>
          </cell>
        </row>
        <row r="53">
          <cell r="O53">
            <v>0</v>
          </cell>
          <cell r="P53">
            <v>2</v>
          </cell>
          <cell r="Q53">
            <v>0</v>
          </cell>
        </row>
        <row r="53">
          <cell r="T53">
            <v>28</v>
          </cell>
          <cell r="U53">
            <v>27</v>
          </cell>
          <cell r="V53">
            <v>552</v>
          </cell>
        </row>
        <row r="53">
          <cell r="Y53">
            <v>0</v>
          </cell>
          <cell r="Z53" t="str">
            <v>湘潭思泉</v>
          </cell>
          <cell r="AA53" t="str">
            <v>9.8下午13点-20点事假5.5h；20号下午五点半-8点半；8下班卡,28下班卡，</v>
          </cell>
          <cell r="AB53" t="str">
            <v>瞿欢</v>
          </cell>
          <cell r="AC53" t="str">
            <v>瞿欢</v>
          </cell>
          <cell r="AD53" t="str">
            <v>瞿欢</v>
          </cell>
          <cell r="AE53" t="str">
            <v>瞿欢</v>
          </cell>
          <cell r="AF53" t="str">
            <v>瞿欢</v>
          </cell>
          <cell r="AG53" t="e">
            <v>#N/A</v>
          </cell>
          <cell r="AH53" t="str">
            <v>在职</v>
          </cell>
          <cell r="AI53" t="str">
            <v>湘潭思泉</v>
          </cell>
          <cell r="AJ53">
            <v>27.2</v>
          </cell>
        </row>
        <row r="54">
          <cell r="B54" t="str">
            <v>毛伟</v>
          </cell>
          <cell r="C54" t="str">
            <v>发泡-A班</v>
          </cell>
          <cell r="D54">
            <v>41234</v>
          </cell>
          <cell r="E54">
            <v>26</v>
          </cell>
          <cell r="F54">
            <v>30</v>
          </cell>
        </row>
        <row r="54">
          <cell r="K54">
            <v>0</v>
          </cell>
        </row>
        <row r="54">
          <cell r="O54">
            <v>0</v>
          </cell>
          <cell r="P54">
            <v>0</v>
          </cell>
          <cell r="Q54">
            <v>0</v>
          </cell>
        </row>
        <row r="54">
          <cell r="T54">
            <v>30</v>
          </cell>
          <cell r="U54">
            <v>30</v>
          </cell>
          <cell r="V54">
            <v>600</v>
          </cell>
        </row>
        <row r="54">
          <cell r="Y54">
            <v>0</v>
          </cell>
          <cell r="Z54" t="str">
            <v>湖南红海</v>
          </cell>
          <cell r="AA54">
            <v>0</v>
          </cell>
          <cell r="AB54" t="str">
            <v>毛伟</v>
          </cell>
          <cell r="AC54" t="str">
            <v>毛伟</v>
          </cell>
          <cell r="AD54" t="str">
            <v>毛伟</v>
          </cell>
          <cell r="AE54" t="str">
            <v>毛伟</v>
          </cell>
          <cell r="AF54" t="str">
            <v>毛伟</v>
          </cell>
          <cell r="AG54" t="e">
            <v>#N/A</v>
          </cell>
          <cell r="AH54" t="str">
            <v>在职</v>
          </cell>
          <cell r="AI54" t="str">
            <v>鑫起</v>
          </cell>
          <cell r="AJ54">
            <v>30</v>
          </cell>
        </row>
        <row r="55">
          <cell r="B55" t="str">
            <v>陶勇军</v>
          </cell>
          <cell r="C55" t="str">
            <v>发泡</v>
          </cell>
          <cell r="D55">
            <v>45810</v>
          </cell>
          <cell r="E55">
            <v>26</v>
          </cell>
          <cell r="F55">
            <v>28</v>
          </cell>
        </row>
        <row r="55">
          <cell r="K55">
            <v>1</v>
          </cell>
        </row>
        <row r="55">
          <cell r="O55">
            <v>0</v>
          </cell>
          <cell r="P55">
            <v>0</v>
          </cell>
          <cell r="Q55">
            <v>0</v>
          </cell>
        </row>
        <row r="55">
          <cell r="T55">
            <v>28</v>
          </cell>
          <cell r="U55">
            <v>28</v>
          </cell>
          <cell r="V55">
            <v>560</v>
          </cell>
        </row>
        <row r="55">
          <cell r="Y55">
            <v>0</v>
          </cell>
          <cell r="Z55" t="str">
            <v>湖南诚展</v>
          </cell>
          <cell r="AA55" t="str">
            <v>9.1事假1天</v>
          </cell>
          <cell r="AB55" t="str">
            <v>陶勇军</v>
          </cell>
          <cell r="AC55" t="str">
            <v>陶勇军</v>
          </cell>
          <cell r="AD55" t="str">
            <v>陶勇军</v>
          </cell>
          <cell r="AE55" t="str">
            <v>陶勇军</v>
          </cell>
          <cell r="AF55" t="str">
            <v>陶勇军</v>
          </cell>
          <cell r="AG55" t="e">
            <v>#N/A</v>
          </cell>
          <cell r="AH55" t="str">
            <v>在职</v>
          </cell>
          <cell r="AI55" t="str">
            <v>湖南诚展</v>
          </cell>
          <cell r="AJ55">
            <v>28</v>
          </cell>
        </row>
        <row r="56">
          <cell r="B56" t="str">
            <v>易任红</v>
          </cell>
          <cell r="C56" t="str">
            <v>发泡</v>
          </cell>
          <cell r="D56">
            <v>41332</v>
          </cell>
          <cell r="E56">
            <v>26</v>
          </cell>
          <cell r="F56">
            <v>29</v>
          </cell>
        </row>
        <row r="56">
          <cell r="K56">
            <v>0</v>
          </cell>
        </row>
        <row r="56">
          <cell r="O56">
            <v>0</v>
          </cell>
          <cell r="P56">
            <v>0</v>
          </cell>
          <cell r="Q56">
            <v>0</v>
          </cell>
        </row>
        <row r="56">
          <cell r="T56">
            <v>29</v>
          </cell>
          <cell r="U56">
            <v>29</v>
          </cell>
          <cell r="V56">
            <v>580</v>
          </cell>
        </row>
        <row r="56">
          <cell r="Y56">
            <v>0</v>
          </cell>
          <cell r="Z56" t="str">
            <v>湖南红海</v>
          </cell>
          <cell r="AA56">
            <v>0</v>
          </cell>
          <cell r="AB56" t="str">
            <v>易任红</v>
          </cell>
          <cell r="AC56" t="str">
            <v>易任红</v>
          </cell>
          <cell r="AD56" t="str">
            <v>易任红</v>
          </cell>
          <cell r="AE56" t="e">
            <v>#N/A</v>
          </cell>
          <cell r="AF56" t="e">
            <v>#N/A</v>
          </cell>
          <cell r="AG56" t="e">
            <v>#N/A</v>
          </cell>
          <cell r="AH56" t="str">
            <v>在职</v>
          </cell>
          <cell r="AI56">
            <v>0</v>
          </cell>
          <cell r="AJ56" t="e">
            <v>#N/A</v>
          </cell>
        </row>
        <row r="57">
          <cell r="B57" t="str">
            <v>刘俊杰</v>
          </cell>
          <cell r="C57" t="str">
            <v>发泡</v>
          </cell>
          <cell r="D57">
            <v>45727</v>
          </cell>
          <cell r="E57">
            <v>26</v>
          </cell>
          <cell r="F57">
            <v>14</v>
          </cell>
        </row>
        <row r="57">
          <cell r="K57">
            <v>0</v>
          </cell>
        </row>
        <row r="57">
          <cell r="O57">
            <v>0</v>
          </cell>
          <cell r="P57">
            <v>0</v>
          </cell>
          <cell r="Q57">
            <v>0</v>
          </cell>
        </row>
        <row r="57">
          <cell r="T57">
            <v>14</v>
          </cell>
          <cell r="U57">
            <v>14</v>
          </cell>
          <cell r="V57">
            <v>280</v>
          </cell>
          <cell r="W57" t="str">
            <v>2025/9/16离职</v>
          </cell>
        </row>
        <row r="57">
          <cell r="Y57">
            <v>0</v>
          </cell>
          <cell r="Z57" t="str">
            <v>湘潭思泉</v>
          </cell>
          <cell r="AA57">
            <v>0</v>
          </cell>
          <cell r="AB57" t="e">
            <v>#N/A</v>
          </cell>
          <cell r="AC57" t="str">
            <v>刘俊杰</v>
          </cell>
          <cell r="AD57" t="e">
            <v>#N/A</v>
          </cell>
          <cell r="AE57" t="str">
            <v>刘俊杰</v>
          </cell>
          <cell r="AF57" t="str">
            <v>刘俊杰</v>
          </cell>
          <cell r="AG57" t="str">
            <v>刘俊杰</v>
          </cell>
          <cell r="AH57">
            <v>45916</v>
          </cell>
          <cell r="AI57" t="str">
            <v>湘潭思泉</v>
          </cell>
          <cell r="AJ57">
            <v>14</v>
          </cell>
        </row>
        <row r="58">
          <cell r="B58" t="str">
            <v>张永桂</v>
          </cell>
          <cell r="C58" t="str">
            <v>发泡</v>
          </cell>
          <cell r="D58">
            <v>45802</v>
          </cell>
          <cell r="E58">
            <v>26</v>
          </cell>
          <cell r="F58">
            <v>27</v>
          </cell>
        </row>
        <row r="58">
          <cell r="K58">
            <v>0</v>
          </cell>
        </row>
        <row r="58">
          <cell r="O58">
            <v>0</v>
          </cell>
          <cell r="P58">
            <v>0</v>
          </cell>
          <cell r="Q58">
            <v>0</v>
          </cell>
        </row>
        <row r="58">
          <cell r="T58">
            <v>27</v>
          </cell>
          <cell r="U58">
            <v>27</v>
          </cell>
          <cell r="V58">
            <v>540</v>
          </cell>
        </row>
        <row r="58">
          <cell r="Y58">
            <v>0</v>
          </cell>
          <cell r="Z58" t="str">
            <v>湘潭宏顺</v>
          </cell>
          <cell r="AA58">
            <v>0</v>
          </cell>
          <cell r="AB58" t="str">
            <v>张永桂</v>
          </cell>
          <cell r="AC58" t="str">
            <v>张永桂</v>
          </cell>
          <cell r="AD58" t="str">
            <v>张永桂</v>
          </cell>
          <cell r="AE58" t="str">
            <v>张永桂</v>
          </cell>
          <cell r="AF58" t="str">
            <v>张永桂</v>
          </cell>
          <cell r="AG58" t="e">
            <v>#N/A</v>
          </cell>
          <cell r="AH58" t="str">
            <v>在职</v>
          </cell>
          <cell r="AI58" t="str">
            <v>湘潭宏顺</v>
          </cell>
          <cell r="AJ58">
            <v>27</v>
          </cell>
        </row>
        <row r="59">
          <cell r="B59" t="str">
            <v>刘爱国</v>
          </cell>
          <cell r="C59" t="str">
            <v>发泡</v>
          </cell>
          <cell r="D59">
            <v>45805</v>
          </cell>
          <cell r="E59">
            <v>26</v>
          </cell>
          <cell r="F59">
            <v>28</v>
          </cell>
        </row>
        <row r="59">
          <cell r="K59">
            <v>0</v>
          </cell>
        </row>
        <row r="59">
          <cell r="O59">
            <v>0</v>
          </cell>
          <cell r="P59">
            <v>0</v>
          </cell>
          <cell r="Q59">
            <v>0</v>
          </cell>
        </row>
        <row r="59">
          <cell r="T59">
            <v>28</v>
          </cell>
          <cell r="U59">
            <v>28</v>
          </cell>
          <cell r="V59">
            <v>560</v>
          </cell>
        </row>
        <row r="59">
          <cell r="Y59">
            <v>0</v>
          </cell>
          <cell r="Z59" t="str">
            <v>湘潭思泉</v>
          </cell>
          <cell r="AA59" t="str">
            <v>1号无打卡记录手工考勤上班？</v>
          </cell>
          <cell r="AB59" t="str">
            <v>刘爱国</v>
          </cell>
          <cell r="AC59" t="str">
            <v>刘爱国</v>
          </cell>
          <cell r="AD59" t="str">
            <v>刘爱国</v>
          </cell>
          <cell r="AE59" t="str">
            <v>刘爱国</v>
          </cell>
          <cell r="AF59" t="str">
            <v>刘爱国</v>
          </cell>
          <cell r="AG59" t="e">
            <v>#N/A</v>
          </cell>
          <cell r="AH59" t="str">
            <v>在职</v>
          </cell>
          <cell r="AI59" t="str">
            <v>湘潭思泉</v>
          </cell>
          <cell r="AJ59">
            <v>28</v>
          </cell>
        </row>
        <row r="60">
          <cell r="B60" t="str">
            <v>贺翌昂</v>
          </cell>
          <cell r="C60" t="str">
            <v>发泡</v>
          </cell>
          <cell r="D60">
            <v>45739</v>
          </cell>
          <cell r="E60">
            <v>26</v>
          </cell>
          <cell r="F60">
            <v>27</v>
          </cell>
        </row>
        <row r="60">
          <cell r="K60">
            <v>0</v>
          </cell>
        </row>
        <row r="60">
          <cell r="O60">
            <v>0</v>
          </cell>
          <cell r="P60">
            <v>1</v>
          </cell>
          <cell r="Q60">
            <v>0</v>
          </cell>
        </row>
        <row r="60">
          <cell r="T60">
            <v>27</v>
          </cell>
          <cell r="U60">
            <v>27</v>
          </cell>
          <cell r="V60">
            <v>540</v>
          </cell>
        </row>
        <row r="60">
          <cell r="Y60">
            <v>0</v>
          </cell>
          <cell r="Z60" t="str">
            <v>德顺</v>
          </cell>
          <cell r="AA60" t="str">
            <v>16下班卡</v>
          </cell>
          <cell r="AB60" t="str">
            <v>贺翌昂</v>
          </cell>
          <cell r="AC60" t="str">
            <v>贺翌昂</v>
          </cell>
          <cell r="AD60" t="str">
            <v>贺翌昂</v>
          </cell>
          <cell r="AE60" t="str">
            <v>贺翌昂</v>
          </cell>
          <cell r="AF60" t="str">
            <v>贺翌昂</v>
          </cell>
          <cell r="AG60" t="e">
            <v>#N/A</v>
          </cell>
          <cell r="AH60" t="str">
            <v>在职</v>
          </cell>
          <cell r="AI60" t="str">
            <v>德顺</v>
          </cell>
          <cell r="AJ60">
            <v>26</v>
          </cell>
        </row>
        <row r="61">
          <cell r="B61" t="str">
            <v>佘军</v>
          </cell>
          <cell r="C61" t="str">
            <v>发泡</v>
          </cell>
          <cell r="D61">
            <v>45804</v>
          </cell>
          <cell r="E61">
            <v>26</v>
          </cell>
          <cell r="F61">
            <v>26</v>
          </cell>
        </row>
        <row r="61">
          <cell r="K61">
            <v>1</v>
          </cell>
        </row>
        <row r="61">
          <cell r="O61">
            <v>0</v>
          </cell>
          <cell r="P61">
            <v>2</v>
          </cell>
          <cell r="Q61">
            <v>0</v>
          </cell>
        </row>
        <row r="61">
          <cell r="T61">
            <v>25</v>
          </cell>
          <cell r="U61">
            <v>25</v>
          </cell>
          <cell r="V61">
            <v>500</v>
          </cell>
        </row>
        <row r="61">
          <cell r="Y61">
            <v>0</v>
          </cell>
          <cell r="Z61" t="str">
            <v>湖南诚展</v>
          </cell>
          <cell r="AA61" t="str">
            <v>9.22 8点-12点事假半天；9.5 13点-20点事假5.5h；3号上班卡；5下班卡</v>
          </cell>
          <cell r="AB61" t="str">
            <v>佘军</v>
          </cell>
          <cell r="AC61" t="str">
            <v>佘军</v>
          </cell>
          <cell r="AD61" t="str">
            <v>佘军</v>
          </cell>
          <cell r="AE61" t="str">
            <v>佘军</v>
          </cell>
          <cell r="AF61" t="str">
            <v>佘军</v>
          </cell>
          <cell r="AG61" t="e">
            <v>#N/A</v>
          </cell>
          <cell r="AH61" t="str">
            <v>在职</v>
          </cell>
          <cell r="AI61" t="str">
            <v>湖南诚展</v>
          </cell>
          <cell r="AJ61">
            <v>26</v>
          </cell>
        </row>
        <row r="62">
          <cell r="B62" t="str">
            <v>陈爱军</v>
          </cell>
          <cell r="C62" t="str">
            <v>发泡-A班</v>
          </cell>
          <cell r="D62">
            <v>44803</v>
          </cell>
          <cell r="E62">
            <v>26</v>
          </cell>
          <cell r="F62">
            <v>28.75</v>
          </cell>
        </row>
        <row r="62">
          <cell r="K62">
            <v>0.25</v>
          </cell>
        </row>
        <row r="62">
          <cell r="O62">
            <v>0</v>
          </cell>
          <cell r="P62">
            <v>0</v>
          </cell>
          <cell r="Q62">
            <v>0</v>
          </cell>
        </row>
        <row r="62">
          <cell r="T62">
            <v>29</v>
          </cell>
          <cell r="U62">
            <v>28</v>
          </cell>
          <cell r="V62">
            <v>572</v>
          </cell>
        </row>
        <row r="62">
          <cell r="Y62">
            <v>0</v>
          </cell>
          <cell r="Z62" t="str">
            <v>光华荣昌</v>
          </cell>
          <cell r="AA62" t="str">
            <v>9.1日17点-20点事假2.5h</v>
          </cell>
          <cell r="AB62" t="str">
            <v>陈爱军</v>
          </cell>
          <cell r="AC62" t="str">
            <v>陈爱军</v>
          </cell>
          <cell r="AD62" t="str">
            <v>陈爱军</v>
          </cell>
          <cell r="AE62" t="str">
            <v>陈爱军</v>
          </cell>
          <cell r="AF62" t="str">
            <v>陈爱军</v>
          </cell>
          <cell r="AG62" t="e">
            <v>#N/A</v>
          </cell>
          <cell r="AH62" t="str">
            <v>在职</v>
          </cell>
          <cell r="AI62" t="str">
            <v>鑫起</v>
          </cell>
          <cell r="AJ62">
            <v>29</v>
          </cell>
        </row>
        <row r="63">
          <cell r="B63" t="str">
            <v>肖春菊</v>
          </cell>
          <cell r="C63" t="str">
            <v>发泡-A班</v>
          </cell>
          <cell r="D63">
            <v>44805</v>
          </cell>
          <cell r="E63">
            <v>26</v>
          </cell>
          <cell r="F63">
            <v>29.75</v>
          </cell>
        </row>
        <row r="63">
          <cell r="K63">
            <v>0.25</v>
          </cell>
        </row>
        <row r="63">
          <cell r="O63">
            <v>0</v>
          </cell>
          <cell r="P63">
            <v>1</v>
          </cell>
          <cell r="Q63">
            <v>0</v>
          </cell>
        </row>
        <row r="63">
          <cell r="T63">
            <v>30</v>
          </cell>
          <cell r="U63">
            <v>29</v>
          </cell>
          <cell r="V63">
            <v>592</v>
          </cell>
        </row>
        <row r="63">
          <cell r="Y63">
            <v>0</v>
          </cell>
          <cell r="Z63" t="str">
            <v>湖南鑫起</v>
          </cell>
          <cell r="AA63" t="str">
            <v>9.1日17点-20点事假2.5h；29下班卡</v>
          </cell>
          <cell r="AB63" t="str">
            <v>肖春菊</v>
          </cell>
          <cell r="AC63" t="str">
            <v>肖春菊</v>
          </cell>
          <cell r="AD63" t="str">
            <v>肖春菊</v>
          </cell>
          <cell r="AE63" t="str">
            <v>肖春菊</v>
          </cell>
          <cell r="AF63" t="str">
            <v>肖春菊</v>
          </cell>
          <cell r="AG63" t="e">
            <v>#N/A</v>
          </cell>
          <cell r="AH63" t="str">
            <v>在职</v>
          </cell>
          <cell r="AI63" t="str">
            <v>鑫起</v>
          </cell>
          <cell r="AJ63">
            <v>29</v>
          </cell>
        </row>
        <row r="64">
          <cell r="B64" t="str">
            <v>王西明</v>
          </cell>
          <cell r="C64" t="str">
            <v>发泡-A班</v>
          </cell>
          <cell r="D64">
            <v>44754</v>
          </cell>
          <cell r="E64">
            <v>26</v>
          </cell>
          <cell r="F64">
            <v>29</v>
          </cell>
        </row>
        <row r="64">
          <cell r="K64">
            <v>0</v>
          </cell>
        </row>
        <row r="64">
          <cell r="O64">
            <v>0</v>
          </cell>
          <cell r="P64">
            <v>2</v>
          </cell>
          <cell r="Q64">
            <v>0</v>
          </cell>
        </row>
        <row r="64">
          <cell r="T64">
            <v>29</v>
          </cell>
          <cell r="U64">
            <v>29</v>
          </cell>
          <cell r="V64">
            <v>580</v>
          </cell>
        </row>
        <row r="64">
          <cell r="Y64">
            <v>0</v>
          </cell>
          <cell r="Z64" t="str">
            <v>光华荣昌</v>
          </cell>
          <cell r="AA64" t="str">
            <v>25下班卡，29上班卡</v>
          </cell>
          <cell r="AB64" t="str">
            <v>王西明</v>
          </cell>
          <cell r="AC64" t="str">
            <v>王西明</v>
          </cell>
          <cell r="AD64" t="str">
            <v>王西明</v>
          </cell>
          <cell r="AE64" t="str">
            <v>王西明</v>
          </cell>
          <cell r="AF64" t="str">
            <v>王西明</v>
          </cell>
          <cell r="AG64" t="e">
            <v>#N/A</v>
          </cell>
          <cell r="AH64" t="str">
            <v>在职</v>
          </cell>
          <cell r="AI64" t="str">
            <v>鑫起</v>
          </cell>
          <cell r="AJ64">
            <v>27</v>
          </cell>
        </row>
        <row r="65">
          <cell r="B65" t="str">
            <v>吴国秋</v>
          </cell>
          <cell r="C65" t="str">
            <v>发泡-A班</v>
          </cell>
          <cell r="D65">
            <v>41956</v>
          </cell>
          <cell r="E65">
            <v>26</v>
          </cell>
          <cell r="F65">
            <v>27</v>
          </cell>
        </row>
        <row r="65">
          <cell r="K65">
            <v>0</v>
          </cell>
        </row>
        <row r="65">
          <cell r="O65">
            <v>0</v>
          </cell>
          <cell r="P65">
            <v>0</v>
          </cell>
          <cell r="Q65">
            <v>0</v>
          </cell>
        </row>
        <row r="65">
          <cell r="T65">
            <v>27</v>
          </cell>
          <cell r="U65">
            <v>27</v>
          </cell>
          <cell r="V65">
            <v>540</v>
          </cell>
        </row>
        <row r="65">
          <cell r="Y65">
            <v>0</v>
          </cell>
          <cell r="Z65" t="str">
            <v>湖南鑫起</v>
          </cell>
          <cell r="AA65">
            <v>0</v>
          </cell>
          <cell r="AB65" t="str">
            <v>吴国秋</v>
          </cell>
          <cell r="AC65" t="str">
            <v>吴国秋</v>
          </cell>
          <cell r="AD65" t="str">
            <v>吴国秋</v>
          </cell>
          <cell r="AE65" t="str">
            <v>吴国秋</v>
          </cell>
          <cell r="AF65" t="str">
            <v>吴国秋</v>
          </cell>
          <cell r="AG65" t="e">
            <v>#N/A</v>
          </cell>
          <cell r="AH65" t="str">
            <v>在职</v>
          </cell>
          <cell r="AI65" t="str">
            <v>湖南荣昌</v>
          </cell>
          <cell r="AJ65">
            <v>27</v>
          </cell>
        </row>
        <row r="66">
          <cell r="B66" t="str">
            <v>史双宇</v>
          </cell>
          <cell r="C66" t="str">
            <v>发泡-A班</v>
          </cell>
          <cell r="D66">
            <v>45573</v>
          </cell>
          <cell r="E66">
            <v>26</v>
          </cell>
          <cell r="F66">
            <v>25</v>
          </cell>
        </row>
        <row r="66">
          <cell r="K66">
            <v>0</v>
          </cell>
        </row>
        <row r="66">
          <cell r="O66">
            <v>0</v>
          </cell>
          <cell r="P66">
            <v>2</v>
          </cell>
          <cell r="Q66">
            <v>0</v>
          </cell>
        </row>
        <row r="66">
          <cell r="T66">
            <v>25</v>
          </cell>
          <cell r="U66">
            <v>25</v>
          </cell>
          <cell r="V66">
            <v>500</v>
          </cell>
        </row>
        <row r="66">
          <cell r="Y66">
            <v>0</v>
          </cell>
          <cell r="Z66" t="str">
            <v>湖南诚展</v>
          </cell>
          <cell r="AA66" t="str">
            <v>1上班卡，9下班卡，13下班卡，15上班卡,22下班卡,26下班卡</v>
          </cell>
          <cell r="AB66" t="str">
            <v>史双宇</v>
          </cell>
          <cell r="AC66" t="str">
            <v>史双宇</v>
          </cell>
          <cell r="AD66" t="str">
            <v>史双宇</v>
          </cell>
          <cell r="AE66" t="str">
            <v>史双宇</v>
          </cell>
          <cell r="AF66" t="str">
            <v>史双宇</v>
          </cell>
          <cell r="AG66" t="e">
            <v>#N/A</v>
          </cell>
          <cell r="AH66" t="str">
            <v>在职</v>
          </cell>
          <cell r="AI66" t="str">
            <v>湖南诚展</v>
          </cell>
          <cell r="AJ66">
            <v>23</v>
          </cell>
        </row>
        <row r="67">
          <cell r="B67" t="str">
            <v>谢桂华</v>
          </cell>
          <cell r="C67" t="str">
            <v>发泡-A班</v>
          </cell>
          <cell r="D67">
            <v>45579</v>
          </cell>
          <cell r="E67">
            <v>26</v>
          </cell>
          <cell r="F67">
            <v>29</v>
          </cell>
        </row>
        <row r="67">
          <cell r="K67">
            <v>0</v>
          </cell>
        </row>
        <row r="67">
          <cell r="O67">
            <v>0</v>
          </cell>
          <cell r="P67">
            <v>2</v>
          </cell>
          <cell r="Q67">
            <v>0</v>
          </cell>
        </row>
        <row r="67">
          <cell r="T67">
            <v>29</v>
          </cell>
          <cell r="U67">
            <v>29</v>
          </cell>
          <cell r="V67">
            <v>580</v>
          </cell>
        </row>
        <row r="67">
          <cell r="Y67">
            <v>0</v>
          </cell>
          <cell r="Z67" t="str">
            <v>湖南诚展</v>
          </cell>
          <cell r="AA67" t="str">
            <v>22上班卡，23下班卡，29上班卡，</v>
          </cell>
          <cell r="AB67" t="str">
            <v>谢桂华</v>
          </cell>
          <cell r="AC67" t="str">
            <v>谢桂华</v>
          </cell>
          <cell r="AD67" t="str">
            <v>谢桂华</v>
          </cell>
          <cell r="AE67" t="str">
            <v>谢桂华</v>
          </cell>
          <cell r="AF67" t="str">
            <v>谢桂华</v>
          </cell>
          <cell r="AG67" t="e">
            <v>#N/A</v>
          </cell>
          <cell r="AH67" t="str">
            <v>在职</v>
          </cell>
          <cell r="AI67" t="str">
            <v>湖南诚展</v>
          </cell>
          <cell r="AJ67">
            <v>27</v>
          </cell>
        </row>
        <row r="68">
          <cell r="B68" t="str">
            <v>刘顺新</v>
          </cell>
          <cell r="C68" t="str">
            <v>发泡</v>
          </cell>
          <cell r="D68">
            <v>45777</v>
          </cell>
          <cell r="E68">
            <v>26</v>
          </cell>
          <cell r="F68">
            <v>26</v>
          </cell>
        </row>
        <row r="68">
          <cell r="K68">
            <v>0</v>
          </cell>
        </row>
        <row r="68">
          <cell r="O68">
            <v>0</v>
          </cell>
          <cell r="P68">
            <v>2</v>
          </cell>
          <cell r="Q68">
            <v>0</v>
          </cell>
        </row>
        <row r="68">
          <cell r="T68">
            <v>26</v>
          </cell>
          <cell r="U68">
            <v>26</v>
          </cell>
          <cell r="V68">
            <v>520</v>
          </cell>
        </row>
        <row r="68">
          <cell r="Y68">
            <v>0</v>
          </cell>
          <cell r="Z68" t="str">
            <v>湖南诚展</v>
          </cell>
          <cell r="AA68" t="str">
            <v>16上班卡，18上班卡,26上班卡，24事假单</v>
          </cell>
          <cell r="AB68" t="str">
            <v>刘顺新</v>
          </cell>
          <cell r="AC68" t="str">
            <v>刘顺新</v>
          </cell>
          <cell r="AD68" t="str">
            <v>刘顺新</v>
          </cell>
          <cell r="AE68" t="str">
            <v>刘顺新</v>
          </cell>
          <cell r="AF68" t="str">
            <v>刘顺新</v>
          </cell>
          <cell r="AG68" t="e">
            <v>#N/A</v>
          </cell>
          <cell r="AH68" t="str">
            <v>在职</v>
          </cell>
          <cell r="AI68" t="str">
            <v>湖南诚展</v>
          </cell>
          <cell r="AJ68">
            <v>23</v>
          </cell>
        </row>
        <row r="69">
          <cell r="B69" t="str">
            <v>李力争</v>
          </cell>
          <cell r="C69" t="str">
            <v>发泡-A班</v>
          </cell>
          <cell r="D69">
            <v>45643</v>
          </cell>
          <cell r="E69">
            <v>26</v>
          </cell>
          <cell r="F69">
            <v>15</v>
          </cell>
        </row>
        <row r="69">
          <cell r="K69">
            <v>0</v>
          </cell>
        </row>
        <row r="69">
          <cell r="O69">
            <v>0</v>
          </cell>
          <cell r="P69">
            <v>0</v>
          </cell>
          <cell r="Q69">
            <v>0</v>
          </cell>
        </row>
        <row r="69">
          <cell r="T69">
            <v>15</v>
          </cell>
          <cell r="U69">
            <v>15</v>
          </cell>
          <cell r="V69">
            <v>300</v>
          </cell>
          <cell r="W69" t="str">
            <v>2025/9/15离职</v>
          </cell>
        </row>
        <row r="69">
          <cell r="Y69">
            <v>0</v>
          </cell>
          <cell r="Z69" t="str">
            <v>湖南诚展</v>
          </cell>
          <cell r="AA69">
            <v>0</v>
          </cell>
          <cell r="AB69" t="e">
            <v>#N/A</v>
          </cell>
          <cell r="AC69" t="str">
            <v>李力争</v>
          </cell>
          <cell r="AD69" t="e">
            <v>#N/A</v>
          </cell>
          <cell r="AE69" t="str">
            <v>李力争</v>
          </cell>
          <cell r="AF69" t="str">
            <v>李力争</v>
          </cell>
          <cell r="AG69" t="str">
            <v>李力争</v>
          </cell>
          <cell r="AH69">
            <v>45915</v>
          </cell>
          <cell r="AI69" t="str">
            <v>湖南诚展</v>
          </cell>
          <cell r="AJ69">
            <v>15</v>
          </cell>
        </row>
        <row r="70">
          <cell r="B70" t="str">
            <v>唐亮</v>
          </cell>
          <cell r="C70" t="str">
            <v>发泡-A班</v>
          </cell>
          <cell r="D70">
            <v>45587</v>
          </cell>
          <cell r="E70">
            <v>26</v>
          </cell>
          <cell r="F70">
            <v>30</v>
          </cell>
        </row>
        <row r="70">
          <cell r="K70">
            <v>0</v>
          </cell>
        </row>
        <row r="70">
          <cell r="O70">
            <v>0</v>
          </cell>
          <cell r="P70">
            <v>0</v>
          </cell>
          <cell r="Q70">
            <v>0</v>
          </cell>
        </row>
        <row r="70">
          <cell r="T70">
            <v>30</v>
          </cell>
          <cell r="U70">
            <v>30</v>
          </cell>
          <cell r="V70">
            <v>600</v>
          </cell>
        </row>
        <row r="70">
          <cell r="Y70">
            <v>0</v>
          </cell>
          <cell r="Z70" t="str">
            <v>湖南诚展</v>
          </cell>
          <cell r="AA70">
            <v>0</v>
          </cell>
          <cell r="AB70" t="str">
            <v>唐亮</v>
          </cell>
          <cell r="AC70" t="str">
            <v>唐亮</v>
          </cell>
          <cell r="AD70" t="str">
            <v>唐亮</v>
          </cell>
          <cell r="AE70" t="str">
            <v>唐亮</v>
          </cell>
          <cell r="AF70" t="str">
            <v>唐亮</v>
          </cell>
          <cell r="AG70" t="e">
            <v>#N/A</v>
          </cell>
          <cell r="AH70" t="str">
            <v>在职</v>
          </cell>
          <cell r="AI70" t="str">
            <v>湖南诚展</v>
          </cell>
          <cell r="AJ70">
            <v>30</v>
          </cell>
        </row>
        <row r="71">
          <cell r="B71" t="str">
            <v>李水平</v>
          </cell>
          <cell r="C71" t="str">
            <v>发泡-A班</v>
          </cell>
          <cell r="D71">
            <v>45734</v>
          </cell>
          <cell r="E71">
            <v>26</v>
          </cell>
          <cell r="F71">
            <v>28</v>
          </cell>
        </row>
        <row r="71">
          <cell r="K71">
            <v>0</v>
          </cell>
        </row>
        <row r="71">
          <cell r="O71">
            <v>0</v>
          </cell>
          <cell r="P71">
            <v>0</v>
          </cell>
          <cell r="Q71">
            <v>0</v>
          </cell>
        </row>
        <row r="71">
          <cell r="T71">
            <v>28</v>
          </cell>
          <cell r="U71">
            <v>28</v>
          </cell>
          <cell r="V71">
            <v>560</v>
          </cell>
        </row>
        <row r="71">
          <cell r="Y71">
            <v>0</v>
          </cell>
          <cell r="Z71" t="str">
            <v>湖南诚展</v>
          </cell>
          <cell r="AA71">
            <v>0</v>
          </cell>
          <cell r="AB71" t="str">
            <v>李水平</v>
          </cell>
          <cell r="AC71" t="str">
            <v>李水平</v>
          </cell>
          <cell r="AD71" t="str">
            <v>李水平</v>
          </cell>
          <cell r="AE71" t="str">
            <v>李水平</v>
          </cell>
          <cell r="AF71" t="str">
            <v>李水平</v>
          </cell>
          <cell r="AG71" t="e">
            <v>#N/A</v>
          </cell>
          <cell r="AH71" t="str">
            <v>在职</v>
          </cell>
          <cell r="AI71" t="str">
            <v>湖南诚展</v>
          </cell>
          <cell r="AJ71">
            <v>28</v>
          </cell>
        </row>
        <row r="72">
          <cell r="B72" t="str">
            <v>吴明贵</v>
          </cell>
          <cell r="C72" t="str">
            <v>发泡-A班</v>
          </cell>
          <cell r="D72">
            <v>45736</v>
          </cell>
          <cell r="E72">
            <v>26</v>
          </cell>
          <cell r="F72">
            <v>27</v>
          </cell>
        </row>
        <row r="72">
          <cell r="K72">
            <v>1</v>
          </cell>
        </row>
        <row r="72">
          <cell r="O72">
            <v>0</v>
          </cell>
          <cell r="P72">
            <v>1</v>
          </cell>
          <cell r="Q72">
            <v>0</v>
          </cell>
        </row>
        <row r="72">
          <cell r="T72">
            <v>27</v>
          </cell>
          <cell r="U72">
            <v>27</v>
          </cell>
          <cell r="V72">
            <v>540</v>
          </cell>
        </row>
        <row r="72">
          <cell r="Y72">
            <v>0</v>
          </cell>
          <cell r="Z72" t="str">
            <v>湖南诚展</v>
          </cell>
          <cell r="AA72" t="str">
            <v>9.4事假1天；14上班卡</v>
          </cell>
          <cell r="AB72" t="str">
            <v>吴明贵</v>
          </cell>
          <cell r="AC72" t="str">
            <v>吴明贵</v>
          </cell>
          <cell r="AD72" t="str">
            <v>吴明贵</v>
          </cell>
          <cell r="AE72" t="str">
            <v>吴明贵</v>
          </cell>
          <cell r="AF72" t="str">
            <v>吴明贵</v>
          </cell>
          <cell r="AG72" t="e">
            <v>#N/A</v>
          </cell>
          <cell r="AH72" t="str">
            <v>在职</v>
          </cell>
          <cell r="AI72" t="str">
            <v>湖南诚展</v>
          </cell>
          <cell r="AJ72">
            <v>26</v>
          </cell>
        </row>
        <row r="73">
          <cell r="B73" t="str">
            <v>周孝勇</v>
          </cell>
          <cell r="C73" t="str">
            <v>发泡-A班</v>
          </cell>
          <cell r="D73">
            <v>45729</v>
          </cell>
          <cell r="E73">
            <v>26</v>
          </cell>
          <cell r="F73">
            <v>30</v>
          </cell>
        </row>
        <row r="73">
          <cell r="K73">
            <v>0</v>
          </cell>
        </row>
        <row r="73">
          <cell r="O73">
            <v>0</v>
          </cell>
          <cell r="P73">
            <v>0</v>
          </cell>
          <cell r="Q73">
            <v>0</v>
          </cell>
        </row>
        <row r="73">
          <cell r="T73">
            <v>30</v>
          </cell>
          <cell r="U73">
            <v>30</v>
          </cell>
          <cell r="V73">
            <v>600</v>
          </cell>
        </row>
        <row r="73">
          <cell r="Y73">
            <v>0</v>
          </cell>
          <cell r="Z73" t="str">
            <v>东方人才</v>
          </cell>
          <cell r="AA73">
            <v>0</v>
          </cell>
          <cell r="AB73" t="str">
            <v>周孝勇</v>
          </cell>
          <cell r="AC73" t="str">
            <v>周孝勇</v>
          </cell>
          <cell r="AD73" t="str">
            <v>周孝勇</v>
          </cell>
          <cell r="AE73" t="str">
            <v>周孝勇</v>
          </cell>
          <cell r="AF73" t="str">
            <v>周孝勇</v>
          </cell>
          <cell r="AG73" t="e">
            <v>#N/A</v>
          </cell>
          <cell r="AH73" t="str">
            <v>在职</v>
          </cell>
          <cell r="AI73" t="str">
            <v>东方人才</v>
          </cell>
          <cell r="AJ73">
            <v>30</v>
          </cell>
        </row>
        <row r="74">
          <cell r="B74" t="str">
            <v>高玉霞</v>
          </cell>
          <cell r="C74" t="str">
            <v>发泡-A班</v>
          </cell>
          <cell r="D74">
            <v>45806</v>
          </cell>
          <cell r="E74">
            <v>26</v>
          </cell>
          <cell r="F74">
            <v>30</v>
          </cell>
        </row>
        <row r="74">
          <cell r="K74">
            <v>0</v>
          </cell>
        </row>
        <row r="74">
          <cell r="O74">
            <v>0</v>
          </cell>
          <cell r="P74">
            <v>1</v>
          </cell>
          <cell r="Q74">
            <v>0</v>
          </cell>
        </row>
        <row r="74">
          <cell r="T74">
            <v>30</v>
          </cell>
          <cell r="U74">
            <v>30</v>
          </cell>
          <cell r="V74">
            <v>600</v>
          </cell>
        </row>
        <row r="74">
          <cell r="Y74">
            <v>0</v>
          </cell>
          <cell r="Z74" t="str">
            <v>湘潭宏顺</v>
          </cell>
          <cell r="AA74" t="str">
            <v>8上班卡</v>
          </cell>
          <cell r="AB74" t="str">
            <v>高玉霞</v>
          </cell>
          <cell r="AC74" t="str">
            <v>高玉霞</v>
          </cell>
          <cell r="AD74" t="str">
            <v>高玉霞</v>
          </cell>
          <cell r="AE74" t="str">
            <v>高玉霞</v>
          </cell>
          <cell r="AF74" t="str">
            <v>高玉霞</v>
          </cell>
          <cell r="AG74" t="e">
            <v>#N/A</v>
          </cell>
          <cell r="AH74" t="str">
            <v>在职</v>
          </cell>
          <cell r="AI74" t="str">
            <v>湘潭宏顺</v>
          </cell>
          <cell r="AJ74">
            <v>29</v>
          </cell>
        </row>
        <row r="75">
          <cell r="B75" t="str">
            <v>蒋鹏</v>
          </cell>
          <cell r="C75" t="str">
            <v>发泡</v>
          </cell>
          <cell r="D75">
            <v>45800</v>
          </cell>
          <cell r="E75">
            <v>26</v>
          </cell>
          <cell r="F75">
            <v>28</v>
          </cell>
        </row>
        <row r="75">
          <cell r="K75">
            <v>0</v>
          </cell>
        </row>
        <row r="75">
          <cell r="O75">
            <v>0</v>
          </cell>
          <cell r="P75">
            <v>0</v>
          </cell>
          <cell r="Q75">
            <v>0</v>
          </cell>
        </row>
        <row r="75">
          <cell r="T75">
            <v>28</v>
          </cell>
          <cell r="U75">
            <v>28</v>
          </cell>
          <cell r="V75">
            <v>560</v>
          </cell>
        </row>
        <row r="75">
          <cell r="Y75">
            <v>0</v>
          </cell>
          <cell r="Z75" t="str">
            <v>德顺</v>
          </cell>
          <cell r="AA75">
            <v>0</v>
          </cell>
          <cell r="AB75" t="str">
            <v>蒋鹏</v>
          </cell>
          <cell r="AC75" t="str">
            <v>蒋鹏</v>
          </cell>
          <cell r="AD75" t="str">
            <v>蒋鹏</v>
          </cell>
          <cell r="AE75" t="str">
            <v>蒋鹏</v>
          </cell>
          <cell r="AF75" t="str">
            <v>蒋鹏</v>
          </cell>
          <cell r="AG75" t="e">
            <v>#N/A</v>
          </cell>
          <cell r="AH75" t="str">
            <v>在职</v>
          </cell>
          <cell r="AI75" t="str">
            <v>德顺</v>
          </cell>
          <cell r="AJ75">
            <v>28</v>
          </cell>
        </row>
        <row r="76">
          <cell r="B76" t="str">
            <v>卢喜春</v>
          </cell>
          <cell r="C76" t="str">
            <v>发泡</v>
          </cell>
          <cell r="D76">
            <v>45802</v>
          </cell>
          <cell r="E76">
            <v>26</v>
          </cell>
          <cell r="F76">
            <v>22.3</v>
          </cell>
        </row>
        <row r="76">
          <cell r="K76">
            <v>3</v>
          </cell>
        </row>
        <row r="76">
          <cell r="O76">
            <v>0</v>
          </cell>
          <cell r="P76">
            <v>0</v>
          </cell>
          <cell r="Q76">
            <v>0</v>
          </cell>
        </row>
        <row r="76">
          <cell r="T76">
            <v>22</v>
          </cell>
          <cell r="U76">
            <v>22</v>
          </cell>
          <cell r="V76">
            <v>440</v>
          </cell>
        </row>
        <row r="76">
          <cell r="Y76">
            <v>0</v>
          </cell>
          <cell r="Z76" t="str">
            <v>湘潭宏顺</v>
          </cell>
          <cell r="AA76" t="str">
            <v>9.28摔伤了事假1天，9.22-23上班摔了事假2天</v>
          </cell>
          <cell r="AB76" t="str">
            <v>卢喜春</v>
          </cell>
          <cell r="AC76" t="str">
            <v>卢喜春</v>
          </cell>
          <cell r="AD76" t="str">
            <v>卢喜春</v>
          </cell>
          <cell r="AE76" t="str">
            <v>卢喜春</v>
          </cell>
          <cell r="AF76" t="str">
            <v>卢喜春</v>
          </cell>
          <cell r="AG76" t="e">
            <v>#N/A</v>
          </cell>
          <cell r="AH76" t="str">
            <v>在职</v>
          </cell>
          <cell r="AI76" t="str">
            <v>湘潭宏顺</v>
          </cell>
          <cell r="AJ76">
            <v>22.3</v>
          </cell>
        </row>
        <row r="77">
          <cell r="B77" t="str">
            <v>马凤</v>
          </cell>
          <cell r="C77" t="str">
            <v>发泡-A班</v>
          </cell>
          <cell r="D77">
            <v>45705</v>
          </cell>
          <cell r="E77">
            <v>26</v>
          </cell>
          <cell r="F77">
            <v>27</v>
          </cell>
        </row>
        <row r="77">
          <cell r="K77">
            <v>0</v>
          </cell>
        </row>
        <row r="77">
          <cell r="O77">
            <v>0</v>
          </cell>
          <cell r="P77">
            <v>2</v>
          </cell>
          <cell r="Q77">
            <v>0</v>
          </cell>
        </row>
        <row r="77">
          <cell r="T77">
            <v>27</v>
          </cell>
          <cell r="U77">
            <v>27</v>
          </cell>
          <cell r="V77">
            <v>540</v>
          </cell>
        </row>
        <row r="77">
          <cell r="Y77">
            <v>0</v>
          </cell>
          <cell r="Z77" t="str">
            <v>湘潭思泉</v>
          </cell>
          <cell r="AA77" t="str">
            <v>22下班卡，30下班卡</v>
          </cell>
          <cell r="AB77" t="str">
            <v>马凤</v>
          </cell>
          <cell r="AC77" t="str">
            <v>马凤</v>
          </cell>
          <cell r="AD77" t="str">
            <v>马凤</v>
          </cell>
          <cell r="AE77" t="str">
            <v>马凤</v>
          </cell>
          <cell r="AF77" t="str">
            <v>马凤</v>
          </cell>
          <cell r="AG77" t="e">
            <v>#N/A</v>
          </cell>
          <cell r="AH77" t="str">
            <v>在职</v>
          </cell>
          <cell r="AI77" t="str">
            <v>湘潭思泉</v>
          </cell>
          <cell r="AJ77">
            <v>27</v>
          </cell>
        </row>
        <row r="78">
          <cell r="B78" t="str">
            <v>蔡建兵</v>
          </cell>
          <cell r="C78" t="str">
            <v>发泡</v>
          </cell>
          <cell r="D78">
            <v>45814</v>
          </cell>
          <cell r="E78">
            <v>26</v>
          </cell>
          <cell r="F78">
            <v>28</v>
          </cell>
        </row>
        <row r="78">
          <cell r="K78">
            <v>0</v>
          </cell>
        </row>
        <row r="78">
          <cell r="O78">
            <v>0</v>
          </cell>
          <cell r="P78">
            <v>0</v>
          </cell>
          <cell r="Q78">
            <v>0</v>
          </cell>
        </row>
        <row r="78">
          <cell r="T78">
            <v>28</v>
          </cell>
          <cell r="U78">
            <v>28</v>
          </cell>
          <cell r="V78">
            <v>560</v>
          </cell>
        </row>
        <row r="78">
          <cell r="Y78">
            <v>0</v>
          </cell>
          <cell r="Z78" t="str">
            <v>湘潭思泉</v>
          </cell>
          <cell r="AA78">
            <v>0</v>
          </cell>
          <cell r="AB78" t="str">
            <v>蔡建兵</v>
          </cell>
          <cell r="AC78" t="str">
            <v>蔡建兵</v>
          </cell>
          <cell r="AD78" t="str">
            <v>蔡建兵</v>
          </cell>
          <cell r="AE78" t="str">
            <v>蔡建兵</v>
          </cell>
          <cell r="AF78" t="str">
            <v>蔡建兵</v>
          </cell>
          <cell r="AG78" t="e">
            <v>#N/A</v>
          </cell>
          <cell r="AH78" t="str">
            <v>在职</v>
          </cell>
          <cell r="AI78" t="str">
            <v>湘潭思泉</v>
          </cell>
          <cell r="AJ78">
            <v>28</v>
          </cell>
        </row>
        <row r="79">
          <cell r="B79" t="str">
            <v>李先文</v>
          </cell>
          <cell r="C79" t="str">
            <v>发泡</v>
          </cell>
          <cell r="D79">
            <v>45817</v>
          </cell>
          <cell r="E79">
            <v>26</v>
          </cell>
          <cell r="F79">
            <v>28</v>
          </cell>
        </row>
        <row r="79">
          <cell r="K79">
            <v>0</v>
          </cell>
        </row>
        <row r="79">
          <cell r="O79">
            <v>0</v>
          </cell>
          <cell r="P79">
            <v>1</v>
          </cell>
          <cell r="Q79">
            <v>0</v>
          </cell>
        </row>
        <row r="79">
          <cell r="T79">
            <v>28</v>
          </cell>
          <cell r="U79">
            <v>28</v>
          </cell>
          <cell r="V79">
            <v>560</v>
          </cell>
        </row>
        <row r="79">
          <cell r="Y79">
            <v>0</v>
          </cell>
          <cell r="Z79" t="str">
            <v>湘潭思泉</v>
          </cell>
          <cell r="AA79" t="str">
            <v>1下班卡,9下班卡转晚班</v>
          </cell>
          <cell r="AB79" t="str">
            <v>李先文</v>
          </cell>
          <cell r="AC79" t="str">
            <v>李先文</v>
          </cell>
          <cell r="AD79" t="str">
            <v>李先文</v>
          </cell>
          <cell r="AE79" t="str">
            <v>李先文</v>
          </cell>
          <cell r="AF79" t="str">
            <v>李先文</v>
          </cell>
          <cell r="AG79" t="e">
            <v>#N/A</v>
          </cell>
          <cell r="AH79" t="str">
            <v>在职</v>
          </cell>
          <cell r="AI79" t="str">
            <v>湘潭思泉</v>
          </cell>
          <cell r="AJ79">
            <v>27</v>
          </cell>
        </row>
        <row r="80">
          <cell r="B80" t="str">
            <v>王攀</v>
          </cell>
          <cell r="C80" t="str">
            <v>发泡-A班</v>
          </cell>
          <cell r="D80">
            <v>45826</v>
          </cell>
          <cell r="E80">
            <v>26</v>
          </cell>
          <cell r="F80">
            <v>29</v>
          </cell>
        </row>
        <row r="80">
          <cell r="K80">
            <v>0</v>
          </cell>
        </row>
        <row r="80">
          <cell r="O80">
            <v>0</v>
          </cell>
          <cell r="P80">
            <v>0</v>
          </cell>
          <cell r="Q80">
            <v>0</v>
          </cell>
        </row>
        <row r="80">
          <cell r="T80">
            <v>29</v>
          </cell>
          <cell r="U80">
            <v>29</v>
          </cell>
          <cell r="V80">
            <v>580</v>
          </cell>
        </row>
        <row r="80">
          <cell r="Y80">
            <v>0</v>
          </cell>
          <cell r="Z80" t="str">
            <v>湘潭思泉</v>
          </cell>
          <cell r="AA80">
            <v>0</v>
          </cell>
          <cell r="AB80" t="str">
            <v>王攀</v>
          </cell>
          <cell r="AC80" t="str">
            <v>王攀</v>
          </cell>
          <cell r="AD80" t="str">
            <v>王攀</v>
          </cell>
          <cell r="AE80" t="str">
            <v>王攀</v>
          </cell>
          <cell r="AF80" t="str">
            <v>王攀</v>
          </cell>
          <cell r="AG80" t="e">
            <v>#N/A</v>
          </cell>
          <cell r="AH80" t="str">
            <v>在职</v>
          </cell>
          <cell r="AI80" t="str">
            <v>湘潭思泉</v>
          </cell>
          <cell r="AJ80">
            <v>29</v>
          </cell>
        </row>
        <row r="81">
          <cell r="B81" t="str">
            <v>张波滔</v>
          </cell>
          <cell r="C81" t="str">
            <v>发泡-A班</v>
          </cell>
          <cell r="D81">
            <v>45825</v>
          </cell>
          <cell r="E81">
            <v>26</v>
          </cell>
          <cell r="F81">
            <v>30</v>
          </cell>
        </row>
        <row r="81">
          <cell r="K81">
            <v>0</v>
          </cell>
        </row>
        <row r="81">
          <cell r="O81">
            <v>0</v>
          </cell>
          <cell r="P81">
            <v>1</v>
          </cell>
          <cell r="Q81">
            <v>0</v>
          </cell>
        </row>
        <row r="81">
          <cell r="T81">
            <v>30</v>
          </cell>
          <cell r="U81">
            <v>30</v>
          </cell>
          <cell r="V81">
            <v>600</v>
          </cell>
        </row>
        <row r="81">
          <cell r="Y81">
            <v>0</v>
          </cell>
          <cell r="Z81" t="str">
            <v>湘潭思泉</v>
          </cell>
          <cell r="AA81" t="str">
            <v>6上班卡</v>
          </cell>
          <cell r="AB81" t="str">
            <v>张波滔</v>
          </cell>
          <cell r="AC81" t="str">
            <v>张波滔</v>
          </cell>
          <cell r="AD81" t="str">
            <v>张波滔</v>
          </cell>
          <cell r="AE81" t="str">
            <v>张波滔</v>
          </cell>
          <cell r="AF81" t="str">
            <v>张波滔</v>
          </cell>
          <cell r="AG81" t="e">
            <v>#N/A</v>
          </cell>
          <cell r="AH81" t="str">
            <v>在职</v>
          </cell>
          <cell r="AI81" t="str">
            <v>湘潭思泉</v>
          </cell>
          <cell r="AJ81">
            <v>29</v>
          </cell>
        </row>
        <row r="82">
          <cell r="B82" t="str">
            <v>谭哲</v>
          </cell>
          <cell r="C82" t="str">
            <v>发泡-A班</v>
          </cell>
          <cell r="D82">
            <v>45825</v>
          </cell>
          <cell r="E82">
            <v>26</v>
          </cell>
          <cell r="F82">
            <v>2.5</v>
          </cell>
        </row>
        <row r="82">
          <cell r="K82">
            <v>0</v>
          </cell>
        </row>
        <row r="82">
          <cell r="O82">
            <v>0</v>
          </cell>
          <cell r="P82">
            <v>0</v>
          </cell>
          <cell r="Q82">
            <v>0</v>
          </cell>
        </row>
        <row r="82">
          <cell r="T82">
            <v>2</v>
          </cell>
          <cell r="U82">
            <v>2</v>
          </cell>
          <cell r="V82">
            <v>40</v>
          </cell>
          <cell r="W82" t="str">
            <v>2025/9/3退回</v>
          </cell>
        </row>
        <row r="82">
          <cell r="Y82">
            <v>0</v>
          </cell>
          <cell r="Z82" t="str">
            <v>湘潭思泉</v>
          </cell>
          <cell r="AA82" t="str">
            <v>3下班卡，2025/9/3退回</v>
          </cell>
          <cell r="AB82" t="e">
            <v>#N/A</v>
          </cell>
          <cell r="AC82" t="str">
            <v>谭哲</v>
          </cell>
          <cell r="AD82" t="e">
            <v>#N/A</v>
          </cell>
          <cell r="AE82" t="str">
            <v>谭哲</v>
          </cell>
          <cell r="AF82" t="str">
            <v>谭哲</v>
          </cell>
          <cell r="AG82" t="str">
            <v>谭哲</v>
          </cell>
          <cell r="AH82">
            <v>45903</v>
          </cell>
          <cell r="AI82" t="str">
            <v>湘潭思泉</v>
          </cell>
          <cell r="AJ82">
            <v>2</v>
          </cell>
        </row>
        <row r="83">
          <cell r="B83" t="str">
            <v>黄翠兰</v>
          </cell>
          <cell r="C83" t="str">
            <v>发泡-A班</v>
          </cell>
          <cell r="D83">
            <v>45811</v>
          </cell>
          <cell r="E83">
            <v>26</v>
          </cell>
          <cell r="F83">
            <v>29</v>
          </cell>
        </row>
        <row r="83">
          <cell r="K83">
            <v>0</v>
          </cell>
        </row>
        <row r="83">
          <cell r="O83">
            <v>0</v>
          </cell>
          <cell r="P83">
            <v>1</v>
          </cell>
          <cell r="Q83">
            <v>0</v>
          </cell>
        </row>
        <row r="83">
          <cell r="T83">
            <v>29</v>
          </cell>
          <cell r="U83">
            <v>29</v>
          </cell>
          <cell r="V83">
            <v>580</v>
          </cell>
        </row>
        <row r="83">
          <cell r="Y83">
            <v>0</v>
          </cell>
          <cell r="Z83" t="str">
            <v>湘潭宏顺</v>
          </cell>
          <cell r="AA83" t="str">
            <v>24上班卡</v>
          </cell>
          <cell r="AB83" t="str">
            <v>黄翠兰</v>
          </cell>
          <cell r="AC83" t="str">
            <v>黄翠兰</v>
          </cell>
          <cell r="AD83" t="str">
            <v>黄翠兰</v>
          </cell>
          <cell r="AE83" t="str">
            <v>黄翠兰</v>
          </cell>
          <cell r="AF83" t="str">
            <v>黄翠兰</v>
          </cell>
          <cell r="AG83" t="e">
            <v>#N/A</v>
          </cell>
          <cell r="AH83" t="str">
            <v>在职</v>
          </cell>
          <cell r="AI83" t="str">
            <v>湘潭宏顺</v>
          </cell>
          <cell r="AJ83">
            <v>28</v>
          </cell>
        </row>
        <row r="84">
          <cell r="B84" t="str">
            <v>王明</v>
          </cell>
          <cell r="C84" t="str">
            <v>发泡-A班</v>
          </cell>
          <cell r="D84">
            <v>45677</v>
          </cell>
          <cell r="E84">
            <v>26</v>
          </cell>
          <cell r="F84">
            <v>1.5</v>
          </cell>
        </row>
        <row r="84">
          <cell r="K84">
            <v>0</v>
          </cell>
        </row>
        <row r="84">
          <cell r="O84">
            <v>0</v>
          </cell>
          <cell r="P84">
            <v>1</v>
          </cell>
          <cell r="Q84">
            <v>0</v>
          </cell>
        </row>
        <row r="84">
          <cell r="T84">
            <v>1</v>
          </cell>
          <cell r="U84">
            <v>1</v>
          </cell>
          <cell r="V84">
            <v>20</v>
          </cell>
          <cell r="W84" t="str">
            <v>2025/9/3退回</v>
          </cell>
        </row>
        <row r="84">
          <cell r="Y84">
            <v>0</v>
          </cell>
          <cell r="Z84" t="str">
            <v>湖南诚展</v>
          </cell>
          <cell r="AA84" t="str">
            <v>3下班卡，2025/9/3退回</v>
          </cell>
          <cell r="AB84" t="e">
            <v>#N/A</v>
          </cell>
          <cell r="AC84" t="str">
            <v>王明</v>
          </cell>
          <cell r="AD84" t="e">
            <v>#N/A</v>
          </cell>
          <cell r="AE84" t="str">
            <v>王明</v>
          </cell>
          <cell r="AF84" t="e">
            <v>#N/A</v>
          </cell>
          <cell r="AG84" t="str">
            <v>王明</v>
          </cell>
          <cell r="AH84">
            <v>45903</v>
          </cell>
          <cell r="AI84" t="str">
            <v>湖南诚展</v>
          </cell>
          <cell r="AJ84">
            <v>1</v>
          </cell>
        </row>
        <row r="85">
          <cell r="B85" t="str">
            <v>杨兰方</v>
          </cell>
          <cell r="C85" t="str">
            <v>发泡</v>
          </cell>
          <cell r="D85">
            <v>45897</v>
          </cell>
          <cell r="E85">
            <v>26</v>
          </cell>
          <cell r="F85">
            <v>29</v>
          </cell>
        </row>
        <row r="85">
          <cell r="K85">
            <v>0</v>
          </cell>
        </row>
        <row r="85">
          <cell r="O85">
            <v>0</v>
          </cell>
          <cell r="P85">
            <v>0</v>
          </cell>
          <cell r="Q85">
            <v>0</v>
          </cell>
        </row>
        <row r="85">
          <cell r="T85">
            <v>29</v>
          </cell>
          <cell r="U85">
            <v>29</v>
          </cell>
          <cell r="V85">
            <v>580</v>
          </cell>
        </row>
        <row r="85">
          <cell r="Z85" t="str">
            <v>湘潭思泉</v>
          </cell>
          <cell r="AA85">
            <v>0</v>
          </cell>
          <cell r="AB85" t="str">
            <v>杨兰方</v>
          </cell>
          <cell r="AC85" t="str">
            <v>杨兰方</v>
          </cell>
          <cell r="AD85" t="str">
            <v>杨兰方</v>
          </cell>
          <cell r="AE85" t="e">
            <v>#N/A</v>
          </cell>
          <cell r="AF85" t="e">
            <v>#N/A</v>
          </cell>
          <cell r="AG85" t="e">
            <v>#N/A</v>
          </cell>
          <cell r="AH85" t="str">
            <v>在职</v>
          </cell>
          <cell r="AI85">
            <v>0</v>
          </cell>
          <cell r="AJ85" t="e">
            <v>#N/A</v>
          </cell>
        </row>
        <row r="86">
          <cell r="B86" t="str">
            <v>刘湘宇</v>
          </cell>
          <cell r="C86" t="str">
            <v>发泡</v>
          </cell>
          <cell r="D86">
            <v>45900</v>
          </cell>
          <cell r="E86">
            <v>26</v>
          </cell>
          <cell r="F86">
            <v>28.8</v>
          </cell>
        </row>
        <row r="86">
          <cell r="K86">
            <v>0.2</v>
          </cell>
        </row>
        <row r="86">
          <cell r="O86">
            <v>0</v>
          </cell>
          <cell r="P86">
            <v>0</v>
          </cell>
          <cell r="Q86">
            <v>0</v>
          </cell>
        </row>
        <row r="86">
          <cell r="T86">
            <v>29</v>
          </cell>
          <cell r="U86">
            <v>28</v>
          </cell>
          <cell r="V86">
            <v>572</v>
          </cell>
        </row>
        <row r="86">
          <cell r="Z86" t="str">
            <v>湘潭思泉</v>
          </cell>
          <cell r="AA86" t="str">
            <v>9.8日18点-20点事假2h</v>
          </cell>
          <cell r="AB86" t="str">
            <v>刘湘宇</v>
          </cell>
          <cell r="AC86" t="str">
            <v>刘湘宇</v>
          </cell>
          <cell r="AD86" t="str">
            <v>刘湘宇</v>
          </cell>
          <cell r="AE86" t="e">
            <v>#N/A</v>
          </cell>
          <cell r="AF86" t="str">
            <v>刘湘宇</v>
          </cell>
          <cell r="AG86" t="e">
            <v>#N/A</v>
          </cell>
          <cell r="AH86">
            <v>45875</v>
          </cell>
        </row>
        <row r="86">
          <cell r="AJ86" t="e">
            <v>#N/A</v>
          </cell>
        </row>
        <row r="87">
          <cell r="B87" t="str">
            <v>袁卫星</v>
          </cell>
          <cell r="C87" t="str">
            <v>发泡</v>
          </cell>
          <cell r="D87">
            <v>45901</v>
          </cell>
          <cell r="E87">
            <v>26</v>
          </cell>
          <cell r="F87">
            <v>28</v>
          </cell>
        </row>
        <row r="87">
          <cell r="K87">
            <v>0</v>
          </cell>
        </row>
        <row r="87">
          <cell r="O87">
            <v>0</v>
          </cell>
          <cell r="P87">
            <v>0</v>
          </cell>
          <cell r="Q87">
            <v>0</v>
          </cell>
        </row>
        <row r="87">
          <cell r="T87">
            <v>28</v>
          </cell>
          <cell r="U87">
            <v>28</v>
          </cell>
          <cell r="V87">
            <v>560</v>
          </cell>
        </row>
        <row r="87">
          <cell r="Z87" t="str">
            <v>湘潭思泉</v>
          </cell>
          <cell r="AA87">
            <v>0</v>
          </cell>
          <cell r="AB87" t="str">
            <v>袁卫星</v>
          </cell>
          <cell r="AC87" t="str">
            <v>袁卫星</v>
          </cell>
          <cell r="AD87" t="str">
            <v>袁卫星</v>
          </cell>
          <cell r="AE87" t="e">
            <v>#N/A</v>
          </cell>
          <cell r="AF87" t="e">
            <v>#N/A</v>
          </cell>
          <cell r="AG87" t="e">
            <v>#N/A</v>
          </cell>
          <cell r="AH87" t="str">
            <v>在职</v>
          </cell>
        </row>
        <row r="87">
          <cell r="AJ87" t="e">
            <v>#N/A</v>
          </cell>
        </row>
        <row r="88">
          <cell r="B88" t="str">
            <v>彭新泉</v>
          </cell>
          <cell r="C88" t="str">
            <v>发泡</v>
          </cell>
          <cell r="D88">
            <v>45903</v>
          </cell>
          <cell r="E88">
            <v>26</v>
          </cell>
          <cell r="F88">
            <v>24.5</v>
          </cell>
        </row>
        <row r="88">
          <cell r="K88">
            <v>2.45</v>
          </cell>
        </row>
        <row r="88">
          <cell r="O88">
            <v>0</v>
          </cell>
          <cell r="P88">
            <v>1</v>
          </cell>
          <cell r="Q88">
            <v>0</v>
          </cell>
        </row>
        <row r="88">
          <cell r="T88">
            <v>24.5</v>
          </cell>
          <cell r="U88">
            <v>24.5</v>
          </cell>
          <cell r="V88">
            <v>490</v>
          </cell>
        </row>
        <row r="88">
          <cell r="Z88" t="str">
            <v>湘潭思泉</v>
          </cell>
          <cell r="AA88" t="str">
            <v>9.12 15点-9.13 20点1天4.5h;9.21晚班事假1天；12下班卡</v>
          </cell>
          <cell r="AB88" t="str">
            <v>彭新泉</v>
          </cell>
          <cell r="AC88" t="str">
            <v>彭新泉</v>
          </cell>
          <cell r="AD88" t="str">
            <v>彭新泉</v>
          </cell>
          <cell r="AE88" t="e">
            <v>#N/A</v>
          </cell>
          <cell r="AF88" t="e">
            <v>#N/A</v>
          </cell>
          <cell r="AG88" t="e">
            <v>#N/A</v>
          </cell>
          <cell r="AH88" t="str">
            <v>在职</v>
          </cell>
        </row>
        <row r="88">
          <cell r="AJ88" t="e">
            <v>#N/A</v>
          </cell>
        </row>
        <row r="89">
          <cell r="B89" t="str">
            <v>黄亚英</v>
          </cell>
          <cell r="C89" t="str">
            <v>发泡</v>
          </cell>
          <cell r="D89">
            <v>45904</v>
          </cell>
          <cell r="E89">
            <v>26</v>
          </cell>
          <cell r="F89">
            <v>26</v>
          </cell>
        </row>
        <row r="89">
          <cell r="K89">
            <v>1</v>
          </cell>
        </row>
        <row r="89">
          <cell r="O89">
            <v>0</v>
          </cell>
          <cell r="P89">
            <v>0</v>
          </cell>
          <cell r="Q89">
            <v>0</v>
          </cell>
        </row>
        <row r="89">
          <cell r="T89">
            <v>26</v>
          </cell>
          <cell r="U89">
            <v>26</v>
          </cell>
          <cell r="V89">
            <v>520</v>
          </cell>
        </row>
        <row r="89">
          <cell r="Z89" t="str">
            <v>湘潭思泉</v>
          </cell>
          <cell r="AA89" t="str">
            <v>9.11事假1天</v>
          </cell>
          <cell r="AB89" t="str">
            <v>黄亚英</v>
          </cell>
          <cell r="AC89" t="str">
            <v>黄亚英</v>
          </cell>
          <cell r="AD89" t="str">
            <v>黄亚英</v>
          </cell>
          <cell r="AE89" t="e">
            <v>#N/A</v>
          </cell>
          <cell r="AF89" t="e">
            <v>#N/A</v>
          </cell>
          <cell r="AG89" t="e">
            <v>#N/A</v>
          </cell>
          <cell r="AH89" t="str">
            <v>在职</v>
          </cell>
        </row>
        <row r="89">
          <cell r="AJ89" t="e">
            <v>#N/A</v>
          </cell>
        </row>
        <row r="90">
          <cell r="B90" t="str">
            <v>陈夏君</v>
          </cell>
          <cell r="C90" t="str">
            <v>发泡</v>
          </cell>
          <cell r="D90">
            <v>45905</v>
          </cell>
          <cell r="E90">
            <v>26</v>
          </cell>
          <cell r="F90">
            <v>22</v>
          </cell>
        </row>
        <row r="90">
          <cell r="K90">
            <v>0</v>
          </cell>
        </row>
        <row r="90">
          <cell r="O90">
            <v>0</v>
          </cell>
          <cell r="P90">
            <v>0</v>
          </cell>
          <cell r="Q90">
            <v>0</v>
          </cell>
        </row>
        <row r="90">
          <cell r="T90">
            <v>22</v>
          </cell>
          <cell r="U90">
            <v>22</v>
          </cell>
          <cell r="V90">
            <v>440</v>
          </cell>
        </row>
        <row r="90">
          <cell r="Z90" t="str">
            <v>德顺</v>
          </cell>
          <cell r="AA90">
            <v>0</v>
          </cell>
          <cell r="AB90" t="e">
            <v>#N/A</v>
          </cell>
          <cell r="AC90" t="str">
            <v>陈夏君</v>
          </cell>
          <cell r="AD90" t="e">
            <v>#N/A</v>
          </cell>
          <cell r="AE90" t="e">
            <v>#N/A</v>
          </cell>
          <cell r="AF90" t="e">
            <v>#N/A</v>
          </cell>
          <cell r="AG90" t="e">
            <v>#N/A</v>
          </cell>
          <cell r="AH90" t="str">
            <v>在职</v>
          </cell>
        </row>
        <row r="90">
          <cell r="AJ90" t="e">
            <v>#N/A</v>
          </cell>
        </row>
        <row r="91">
          <cell r="B91" t="str">
            <v>陈迪</v>
          </cell>
          <cell r="C91" t="str">
            <v>发泡</v>
          </cell>
          <cell r="D91">
            <v>45912</v>
          </cell>
          <cell r="E91">
            <v>26</v>
          </cell>
          <cell r="F91">
            <v>16</v>
          </cell>
        </row>
        <row r="91">
          <cell r="K91">
            <v>0</v>
          </cell>
        </row>
        <row r="91">
          <cell r="O91">
            <v>0</v>
          </cell>
          <cell r="P91">
            <v>1</v>
          </cell>
          <cell r="Q91">
            <v>0</v>
          </cell>
        </row>
        <row r="91">
          <cell r="T91">
            <v>16</v>
          </cell>
          <cell r="U91">
            <v>16</v>
          </cell>
          <cell r="V91">
            <v>320</v>
          </cell>
        </row>
        <row r="91">
          <cell r="Z91" t="str">
            <v>湘潭思泉</v>
          </cell>
          <cell r="AA91" t="str">
            <v>21上班卡，</v>
          </cell>
          <cell r="AB91" t="str">
            <v>陈迪</v>
          </cell>
          <cell r="AC91" t="str">
            <v>陈迪</v>
          </cell>
          <cell r="AD91" t="str">
            <v>陈迪</v>
          </cell>
          <cell r="AE91" t="e">
            <v>#N/A</v>
          </cell>
          <cell r="AF91" t="e">
            <v>#N/A</v>
          </cell>
          <cell r="AG91" t="e">
            <v>#N/A</v>
          </cell>
          <cell r="AH91" t="str">
            <v>在职</v>
          </cell>
        </row>
        <row r="91">
          <cell r="AJ91" t="e">
            <v>#N/A</v>
          </cell>
        </row>
        <row r="92">
          <cell r="B92" t="str">
            <v>胡平根</v>
          </cell>
          <cell r="C92" t="str">
            <v>发泡</v>
          </cell>
          <cell r="D92">
            <v>45908</v>
          </cell>
          <cell r="E92">
            <v>26</v>
          </cell>
          <cell r="F92">
            <v>21</v>
          </cell>
        </row>
        <row r="92">
          <cell r="K92">
            <v>0</v>
          </cell>
        </row>
        <row r="92">
          <cell r="O92">
            <v>0</v>
          </cell>
          <cell r="P92">
            <v>0</v>
          </cell>
          <cell r="Q92">
            <v>0</v>
          </cell>
        </row>
        <row r="92">
          <cell r="T92">
            <v>21</v>
          </cell>
          <cell r="U92">
            <v>21</v>
          </cell>
          <cell r="V92">
            <v>420</v>
          </cell>
        </row>
        <row r="92">
          <cell r="Z92" t="str">
            <v>湘潭思泉</v>
          </cell>
          <cell r="AA92">
            <v>0</v>
          </cell>
          <cell r="AB92" t="str">
            <v>胡平根</v>
          </cell>
          <cell r="AC92" t="str">
            <v>胡平根</v>
          </cell>
          <cell r="AD92" t="str">
            <v>胡平根</v>
          </cell>
          <cell r="AE92" t="e">
            <v>#N/A</v>
          </cell>
          <cell r="AF92" t="e">
            <v>#N/A</v>
          </cell>
          <cell r="AG92" t="e">
            <v>#N/A</v>
          </cell>
          <cell r="AH92" t="str">
            <v>在职</v>
          </cell>
        </row>
        <row r="92">
          <cell r="AJ92" t="e">
            <v>#N/A</v>
          </cell>
        </row>
        <row r="93">
          <cell r="B93" t="str">
            <v>石素平</v>
          </cell>
          <cell r="C93" t="str">
            <v>发泡</v>
          </cell>
          <cell r="D93">
            <v>45909</v>
          </cell>
          <cell r="E93">
            <v>26</v>
          </cell>
          <cell r="F93">
            <v>21</v>
          </cell>
        </row>
        <row r="93">
          <cell r="K93">
            <v>1</v>
          </cell>
        </row>
        <row r="93">
          <cell r="O93">
            <v>0</v>
          </cell>
          <cell r="P93">
            <v>0</v>
          </cell>
          <cell r="Q93">
            <v>0</v>
          </cell>
        </row>
        <row r="93">
          <cell r="T93">
            <v>21</v>
          </cell>
          <cell r="U93">
            <v>21</v>
          </cell>
          <cell r="V93">
            <v>420</v>
          </cell>
        </row>
        <row r="93">
          <cell r="Z93" t="str">
            <v>德顺</v>
          </cell>
          <cell r="AA93" t="str">
            <v>9.24事假1天</v>
          </cell>
          <cell r="AB93" t="str">
            <v>石素平</v>
          </cell>
          <cell r="AC93" t="str">
            <v>石素平</v>
          </cell>
          <cell r="AD93" t="str">
            <v>石素平</v>
          </cell>
          <cell r="AE93" t="e">
            <v>#N/A</v>
          </cell>
          <cell r="AF93" t="e">
            <v>#N/A</v>
          </cell>
          <cell r="AG93" t="e">
            <v>#N/A</v>
          </cell>
          <cell r="AH93" t="str">
            <v>在职</v>
          </cell>
        </row>
        <row r="93">
          <cell r="AJ93" t="e">
            <v>#N/A</v>
          </cell>
        </row>
        <row r="94">
          <cell r="B94" t="str">
            <v>李立群</v>
          </cell>
          <cell r="C94" t="str">
            <v>发泡</v>
          </cell>
          <cell r="D94">
            <v>45912</v>
          </cell>
          <cell r="E94">
            <v>26</v>
          </cell>
          <cell r="F94">
            <v>18</v>
          </cell>
        </row>
        <row r="94">
          <cell r="K94">
            <v>0</v>
          </cell>
        </row>
        <row r="94">
          <cell r="O94">
            <v>0</v>
          </cell>
          <cell r="P94">
            <v>1</v>
          </cell>
          <cell r="Q94">
            <v>0</v>
          </cell>
        </row>
        <row r="94">
          <cell r="T94">
            <v>18</v>
          </cell>
          <cell r="U94">
            <v>18</v>
          </cell>
          <cell r="V94">
            <v>360</v>
          </cell>
        </row>
        <row r="94">
          <cell r="Z94" t="str">
            <v>湘潭思泉</v>
          </cell>
          <cell r="AA94" t="str">
            <v>30晚班下班卡</v>
          </cell>
          <cell r="AB94" t="str">
            <v>李立群</v>
          </cell>
          <cell r="AC94" t="str">
            <v>李立群</v>
          </cell>
          <cell r="AD94" t="str">
            <v>李立群</v>
          </cell>
          <cell r="AE94" t="e">
            <v>#N/A</v>
          </cell>
          <cell r="AF94" t="e">
            <v>#N/A</v>
          </cell>
          <cell r="AG94" t="e">
            <v>#N/A</v>
          </cell>
          <cell r="AH94" t="str">
            <v>在职</v>
          </cell>
        </row>
        <row r="94">
          <cell r="AJ94" t="e">
            <v>#N/A</v>
          </cell>
        </row>
        <row r="95">
          <cell r="B95" t="str">
            <v>周兵湘</v>
          </cell>
          <cell r="C95" t="str">
            <v>发泡</v>
          </cell>
          <cell r="D95">
            <v>45914</v>
          </cell>
          <cell r="E95">
            <v>26</v>
          </cell>
          <cell r="F95">
            <v>15</v>
          </cell>
        </row>
        <row r="95">
          <cell r="K95">
            <v>0</v>
          </cell>
        </row>
        <row r="95">
          <cell r="O95">
            <v>0</v>
          </cell>
          <cell r="P95">
            <v>0</v>
          </cell>
          <cell r="Q95">
            <v>0</v>
          </cell>
        </row>
        <row r="95">
          <cell r="T95">
            <v>15</v>
          </cell>
          <cell r="U95">
            <v>15</v>
          </cell>
          <cell r="V95">
            <v>300</v>
          </cell>
        </row>
        <row r="95">
          <cell r="Z95" t="str">
            <v>湘潭思泉</v>
          </cell>
          <cell r="AA95">
            <v>0</v>
          </cell>
          <cell r="AB95" t="str">
            <v>周兵湘</v>
          </cell>
          <cell r="AC95" t="str">
            <v>周兵湘</v>
          </cell>
          <cell r="AD95" t="str">
            <v>周兵湘</v>
          </cell>
          <cell r="AE95" t="e">
            <v>#N/A</v>
          </cell>
          <cell r="AF95" t="e">
            <v>#N/A</v>
          </cell>
          <cell r="AG95" t="e">
            <v>#N/A</v>
          </cell>
          <cell r="AH95" t="str">
            <v>在职</v>
          </cell>
        </row>
        <row r="95">
          <cell r="AJ95" t="e">
            <v>#N/A</v>
          </cell>
        </row>
        <row r="96">
          <cell r="B96" t="str">
            <v>陈连湘</v>
          </cell>
          <cell r="C96" t="str">
            <v>发泡</v>
          </cell>
          <cell r="D96">
            <v>45914</v>
          </cell>
          <cell r="E96">
            <v>26</v>
          </cell>
          <cell r="F96">
            <v>15</v>
          </cell>
        </row>
        <row r="96">
          <cell r="K96">
            <v>0</v>
          </cell>
        </row>
        <row r="96">
          <cell r="O96">
            <v>0</v>
          </cell>
          <cell r="P96">
            <v>1</v>
          </cell>
          <cell r="Q96">
            <v>0</v>
          </cell>
        </row>
        <row r="96">
          <cell r="T96">
            <v>15</v>
          </cell>
          <cell r="U96">
            <v>15</v>
          </cell>
          <cell r="V96">
            <v>300</v>
          </cell>
        </row>
        <row r="96">
          <cell r="Z96" t="str">
            <v>湘潭思泉</v>
          </cell>
          <cell r="AA96" t="str">
            <v>27下班卡</v>
          </cell>
          <cell r="AB96" t="str">
            <v>陈连湘</v>
          </cell>
          <cell r="AC96" t="str">
            <v>陈连湘</v>
          </cell>
          <cell r="AD96" t="str">
            <v>陈连湘</v>
          </cell>
          <cell r="AE96" t="e">
            <v>#N/A</v>
          </cell>
          <cell r="AF96" t="e">
            <v>#N/A</v>
          </cell>
          <cell r="AG96" t="e">
            <v>#N/A</v>
          </cell>
          <cell r="AH96" t="str">
            <v>在职</v>
          </cell>
        </row>
        <row r="96">
          <cell r="AJ96" t="e">
            <v>#N/A</v>
          </cell>
        </row>
        <row r="97">
          <cell r="B97" t="str">
            <v>吴旺宇</v>
          </cell>
          <cell r="C97" t="str">
            <v>发泡</v>
          </cell>
          <cell r="D97">
            <v>45917</v>
          </cell>
          <cell r="E97">
            <v>26</v>
          </cell>
          <cell r="F97">
            <v>14</v>
          </cell>
        </row>
        <row r="97">
          <cell r="K97">
            <v>0</v>
          </cell>
        </row>
        <row r="97">
          <cell r="O97">
            <v>0</v>
          </cell>
          <cell r="P97">
            <v>1</v>
          </cell>
          <cell r="Q97">
            <v>0</v>
          </cell>
        </row>
        <row r="97">
          <cell r="T97">
            <v>14</v>
          </cell>
          <cell r="U97">
            <v>14</v>
          </cell>
          <cell r="V97">
            <v>280</v>
          </cell>
        </row>
        <row r="97">
          <cell r="Z97" t="str">
            <v>湘潭思泉</v>
          </cell>
          <cell r="AA97" t="str">
            <v>30上班卡</v>
          </cell>
          <cell r="AB97" t="str">
            <v>吴旺宇</v>
          </cell>
          <cell r="AC97" t="str">
            <v>吴旺宇</v>
          </cell>
          <cell r="AD97" t="str">
            <v>吴旺宇</v>
          </cell>
          <cell r="AE97" t="e">
            <v>#N/A</v>
          </cell>
          <cell r="AF97" t="e">
            <v>#N/A</v>
          </cell>
          <cell r="AG97" t="e">
            <v>#N/A</v>
          </cell>
          <cell r="AH97" t="str">
            <v>在职</v>
          </cell>
        </row>
        <row r="97">
          <cell r="AJ97" t="e">
            <v>#N/A</v>
          </cell>
        </row>
        <row r="98">
          <cell r="B98" t="str">
            <v>孙鸿岩</v>
          </cell>
          <cell r="C98" t="str">
            <v>发泡</v>
          </cell>
          <cell r="D98">
            <v>45919</v>
          </cell>
          <cell r="E98">
            <v>26</v>
          </cell>
          <cell r="F98">
            <v>11</v>
          </cell>
        </row>
        <row r="98">
          <cell r="K98">
            <v>0</v>
          </cell>
        </row>
        <row r="98">
          <cell r="O98">
            <v>0</v>
          </cell>
          <cell r="P98">
            <v>1</v>
          </cell>
          <cell r="Q98">
            <v>0</v>
          </cell>
        </row>
        <row r="98">
          <cell r="T98">
            <v>11</v>
          </cell>
          <cell r="U98">
            <v>11</v>
          </cell>
          <cell r="V98">
            <v>220</v>
          </cell>
        </row>
        <row r="98">
          <cell r="Z98" t="str">
            <v>湘潭思泉</v>
          </cell>
          <cell r="AA98" t="str">
            <v>21下班卡</v>
          </cell>
          <cell r="AB98" t="str">
            <v>孙鸿岩</v>
          </cell>
          <cell r="AC98" t="str">
            <v>孙鸿岩</v>
          </cell>
          <cell r="AD98" t="str">
            <v>孙鸿岩</v>
          </cell>
          <cell r="AE98" t="e">
            <v>#N/A</v>
          </cell>
          <cell r="AF98" t="e">
            <v>#N/A</v>
          </cell>
          <cell r="AG98" t="e">
            <v>#N/A</v>
          </cell>
          <cell r="AH98" t="str">
            <v>在职</v>
          </cell>
        </row>
        <row r="98">
          <cell r="AJ98" t="e">
            <v>#N/A</v>
          </cell>
        </row>
        <row r="99">
          <cell r="B99" t="str">
            <v>罗晚花</v>
          </cell>
          <cell r="C99" t="str">
            <v>发泡</v>
          </cell>
          <cell r="D99">
            <v>45921</v>
          </cell>
          <cell r="E99">
            <v>26</v>
          </cell>
          <cell r="F99">
            <v>10</v>
          </cell>
        </row>
        <row r="99">
          <cell r="K99">
            <v>0</v>
          </cell>
        </row>
        <row r="99">
          <cell r="O99">
            <v>0</v>
          </cell>
          <cell r="P99">
            <v>0</v>
          </cell>
          <cell r="Q99">
            <v>0</v>
          </cell>
        </row>
        <row r="99">
          <cell r="T99">
            <v>10</v>
          </cell>
          <cell r="U99">
            <v>10</v>
          </cell>
          <cell r="V99">
            <v>200</v>
          </cell>
        </row>
        <row r="99">
          <cell r="Z99" t="str">
            <v>湘潭思泉</v>
          </cell>
          <cell r="AA99">
            <v>0</v>
          </cell>
          <cell r="AB99" t="str">
            <v>罗晚花</v>
          </cell>
          <cell r="AC99" t="str">
            <v>罗晚花</v>
          </cell>
          <cell r="AD99" t="str">
            <v>罗晚花</v>
          </cell>
          <cell r="AE99" t="e">
            <v>#N/A</v>
          </cell>
          <cell r="AF99" t="e">
            <v>#N/A</v>
          </cell>
          <cell r="AG99" t="e">
            <v>#N/A</v>
          </cell>
          <cell r="AH99" t="str">
            <v>在职</v>
          </cell>
        </row>
        <row r="99">
          <cell r="AJ99" t="e">
            <v>#N/A</v>
          </cell>
        </row>
        <row r="100">
          <cell r="B100" t="str">
            <v>任勇</v>
          </cell>
          <cell r="C100" t="str">
            <v>发泡</v>
          </cell>
          <cell r="D100">
            <v>45923</v>
          </cell>
          <cell r="E100">
            <v>26</v>
          </cell>
          <cell r="F100">
            <v>8</v>
          </cell>
        </row>
        <row r="100">
          <cell r="K100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</row>
        <row r="100">
          <cell r="T100">
            <v>8</v>
          </cell>
          <cell r="U100">
            <v>8</v>
          </cell>
          <cell r="V100">
            <v>160</v>
          </cell>
        </row>
        <row r="100">
          <cell r="Z100" t="str">
            <v>湘潭思泉</v>
          </cell>
          <cell r="AA100">
            <v>0</v>
          </cell>
          <cell r="AB100" t="str">
            <v>任勇</v>
          </cell>
          <cell r="AC100" t="str">
            <v>任勇</v>
          </cell>
          <cell r="AD100" t="str">
            <v>任勇</v>
          </cell>
          <cell r="AE100" t="e">
            <v>#N/A</v>
          </cell>
          <cell r="AF100" t="e">
            <v>#N/A</v>
          </cell>
          <cell r="AG100" t="e">
            <v>#N/A</v>
          </cell>
          <cell r="AH100" t="str">
            <v>在职</v>
          </cell>
        </row>
        <row r="100">
          <cell r="AJ100" t="e">
            <v>#N/A</v>
          </cell>
        </row>
        <row r="101">
          <cell r="B101" t="str">
            <v>康嵩</v>
          </cell>
          <cell r="C101" t="str">
            <v>发泡</v>
          </cell>
          <cell r="D101">
            <v>45925</v>
          </cell>
          <cell r="E101">
            <v>26</v>
          </cell>
          <cell r="F101">
            <v>6</v>
          </cell>
        </row>
        <row r="101">
          <cell r="K101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</row>
        <row r="101">
          <cell r="T101">
            <v>6</v>
          </cell>
          <cell r="U101">
            <v>6</v>
          </cell>
          <cell r="V101">
            <v>120</v>
          </cell>
        </row>
        <row r="101">
          <cell r="Z101" t="str">
            <v>湘潭思泉</v>
          </cell>
          <cell r="AA101">
            <v>0</v>
          </cell>
          <cell r="AB101" t="str">
            <v>康嵩</v>
          </cell>
          <cell r="AC101" t="str">
            <v>康嵩</v>
          </cell>
          <cell r="AD101" t="str">
            <v>康嵩</v>
          </cell>
          <cell r="AE101" t="e">
            <v>#N/A</v>
          </cell>
          <cell r="AF101" t="e">
            <v>#N/A</v>
          </cell>
          <cell r="AG101" t="e">
            <v>#N/A</v>
          </cell>
          <cell r="AH101" t="str">
            <v>在职</v>
          </cell>
        </row>
        <row r="101">
          <cell r="AJ101" t="e">
            <v>#N/A</v>
          </cell>
        </row>
        <row r="102">
          <cell r="B102" t="str">
            <v>张定华</v>
          </cell>
          <cell r="C102" t="str">
            <v>发泡</v>
          </cell>
          <cell r="D102">
            <v>45927</v>
          </cell>
          <cell r="E102">
            <v>26</v>
          </cell>
          <cell r="F102">
            <v>4</v>
          </cell>
        </row>
        <row r="102">
          <cell r="K102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</row>
        <row r="102">
          <cell r="T102">
            <v>4</v>
          </cell>
          <cell r="U102">
            <v>4</v>
          </cell>
          <cell r="V102">
            <v>80</v>
          </cell>
        </row>
        <row r="102">
          <cell r="Z102" t="str">
            <v>湘潭思泉</v>
          </cell>
          <cell r="AA102">
            <v>0</v>
          </cell>
          <cell r="AB102" t="str">
            <v>张定华</v>
          </cell>
          <cell r="AC102" t="str">
            <v>张定华</v>
          </cell>
          <cell r="AD102" t="str">
            <v>张定华</v>
          </cell>
          <cell r="AE102" t="e">
            <v>#N/A</v>
          </cell>
          <cell r="AF102" t="e">
            <v>#N/A</v>
          </cell>
          <cell r="AG102" t="e">
            <v>#N/A</v>
          </cell>
          <cell r="AH102" t="str">
            <v>在职</v>
          </cell>
        </row>
        <row r="102">
          <cell r="AJ102" t="e">
            <v>#N/A</v>
          </cell>
        </row>
        <row r="103">
          <cell r="B103" t="str">
            <v>章志华</v>
          </cell>
          <cell r="C103" t="str">
            <v>发泡</v>
          </cell>
          <cell r="D103">
            <v>45929</v>
          </cell>
          <cell r="E103">
            <v>26</v>
          </cell>
          <cell r="F103">
            <v>2</v>
          </cell>
        </row>
        <row r="103">
          <cell r="K103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</row>
        <row r="103">
          <cell r="T103">
            <v>2</v>
          </cell>
          <cell r="U103">
            <v>2</v>
          </cell>
          <cell r="V103">
            <v>40</v>
          </cell>
          <cell r="W103" t="str">
            <v>2025/10/6退回</v>
          </cell>
        </row>
        <row r="103">
          <cell r="Z103" t="str">
            <v>湘潭思泉</v>
          </cell>
          <cell r="AA103">
            <v>0</v>
          </cell>
          <cell r="AB103" t="str">
            <v>章志华</v>
          </cell>
          <cell r="AC103" t="str">
            <v>章志华</v>
          </cell>
          <cell r="AD103" t="str">
            <v>章志华</v>
          </cell>
          <cell r="AE103" t="e">
            <v>#N/A</v>
          </cell>
          <cell r="AF103" t="e">
            <v>#N/A</v>
          </cell>
          <cell r="AG103" t="e">
            <v>#N/A</v>
          </cell>
          <cell r="AH103" t="str">
            <v>在职</v>
          </cell>
        </row>
        <row r="103">
          <cell r="AJ103" t="e">
            <v>#N/A</v>
          </cell>
        </row>
        <row r="104">
          <cell r="B104" t="str">
            <v>吴鑫</v>
          </cell>
          <cell r="C104" t="str">
            <v>发泡</v>
          </cell>
          <cell r="D104">
            <v>45929</v>
          </cell>
          <cell r="E104">
            <v>26</v>
          </cell>
          <cell r="F104">
            <v>2</v>
          </cell>
        </row>
        <row r="104">
          <cell r="K104">
            <v>0</v>
          </cell>
        </row>
        <row r="104">
          <cell r="O104">
            <v>0</v>
          </cell>
          <cell r="P104">
            <v>1</v>
          </cell>
          <cell r="Q104">
            <v>0</v>
          </cell>
        </row>
        <row r="104">
          <cell r="T104">
            <v>2</v>
          </cell>
          <cell r="U104">
            <v>2</v>
          </cell>
          <cell r="V104">
            <v>40</v>
          </cell>
          <cell r="W104" t="str">
            <v>2025/10/5退回</v>
          </cell>
        </row>
        <row r="104">
          <cell r="Z104" t="str">
            <v>湘潭思泉</v>
          </cell>
          <cell r="AA104" t="str">
            <v>30上班卡</v>
          </cell>
          <cell r="AB104" t="str">
            <v>吴鑫</v>
          </cell>
          <cell r="AC104" t="str">
            <v>吴鑫</v>
          </cell>
          <cell r="AD104" t="str">
            <v>吴鑫</v>
          </cell>
          <cell r="AE104" t="e">
            <v>#N/A</v>
          </cell>
          <cell r="AF104" t="e">
            <v>#N/A</v>
          </cell>
          <cell r="AG104" t="e">
            <v>#N/A</v>
          </cell>
          <cell r="AH104" t="str">
            <v>在职</v>
          </cell>
        </row>
        <row r="104">
          <cell r="AJ104" t="e">
            <v>#N/A</v>
          </cell>
        </row>
        <row r="105">
          <cell r="B105" t="str">
            <v>阳为风</v>
          </cell>
          <cell r="C105" t="str">
            <v>发泡</v>
          </cell>
          <cell r="D105">
            <v>45904</v>
          </cell>
          <cell r="E105">
            <v>26</v>
          </cell>
          <cell r="F105">
            <v>6</v>
          </cell>
        </row>
        <row r="105">
          <cell r="K105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</row>
        <row r="105">
          <cell r="T105">
            <v>6</v>
          </cell>
          <cell r="U105">
            <v>6</v>
          </cell>
          <cell r="V105">
            <v>120</v>
          </cell>
          <cell r="W105" t="str">
            <v>2025/9/9退回</v>
          </cell>
        </row>
        <row r="105">
          <cell r="Z105" t="str">
            <v>湘潭思泉</v>
          </cell>
          <cell r="AA105">
            <v>0</v>
          </cell>
          <cell r="AB105" t="e">
            <v>#N/A</v>
          </cell>
          <cell r="AC105" t="str">
            <v>阳为风</v>
          </cell>
          <cell r="AD105" t="e">
            <v>#N/A</v>
          </cell>
          <cell r="AE105" t="e">
            <v>#N/A</v>
          </cell>
          <cell r="AF105" t="e">
            <v>#N/A</v>
          </cell>
          <cell r="AG105" t="str">
            <v>阳为风</v>
          </cell>
          <cell r="AH105">
            <v>45909</v>
          </cell>
        </row>
        <row r="105">
          <cell r="AJ105" t="e">
            <v>#N/A</v>
          </cell>
        </row>
        <row r="106">
          <cell r="B106" t="str">
            <v>熊建成</v>
          </cell>
          <cell r="C106" t="str">
            <v>发泡</v>
          </cell>
          <cell r="D106">
            <v>45908</v>
          </cell>
          <cell r="E106">
            <v>26</v>
          </cell>
          <cell r="F106">
            <v>5</v>
          </cell>
        </row>
        <row r="106">
          <cell r="K106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</row>
        <row r="106">
          <cell r="T106">
            <v>5</v>
          </cell>
          <cell r="U106">
            <v>5</v>
          </cell>
          <cell r="V106">
            <v>100</v>
          </cell>
          <cell r="W106" t="str">
            <v>2025/9/12退回</v>
          </cell>
        </row>
        <row r="106">
          <cell r="Z106" t="str">
            <v>德顺</v>
          </cell>
          <cell r="AA106">
            <v>0</v>
          </cell>
          <cell r="AB106" t="e">
            <v>#N/A</v>
          </cell>
          <cell r="AC106" t="str">
            <v>熊建成</v>
          </cell>
          <cell r="AD106" t="e">
            <v>#N/A</v>
          </cell>
          <cell r="AE106" t="e">
            <v>#N/A</v>
          </cell>
          <cell r="AF106" t="e">
            <v>#N/A</v>
          </cell>
          <cell r="AG106" t="str">
            <v>熊建成</v>
          </cell>
          <cell r="AH106">
            <v>45912</v>
          </cell>
        </row>
        <row r="106">
          <cell r="AJ106" t="e">
            <v>#N/A</v>
          </cell>
        </row>
        <row r="107">
          <cell r="B107" t="str">
            <v>赵卫国</v>
          </cell>
          <cell r="C107" t="str">
            <v>发泡</v>
          </cell>
          <cell r="D107">
            <v>45905</v>
          </cell>
          <cell r="E107">
            <v>26</v>
          </cell>
          <cell r="F107">
            <v>11</v>
          </cell>
        </row>
        <row r="107">
          <cell r="K107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</row>
        <row r="107">
          <cell r="T107">
            <v>11</v>
          </cell>
          <cell r="U107">
            <v>11</v>
          </cell>
          <cell r="V107">
            <v>220</v>
          </cell>
          <cell r="W107" t="str">
            <v>2025/9/16离职</v>
          </cell>
        </row>
        <row r="107">
          <cell r="Z107" t="str">
            <v>德顺</v>
          </cell>
          <cell r="AA107" t="str">
            <v>11下班卡转晚班</v>
          </cell>
          <cell r="AB107" t="e">
            <v>#N/A</v>
          </cell>
          <cell r="AC107" t="str">
            <v>赵卫国</v>
          </cell>
          <cell r="AD107" t="e">
            <v>#N/A</v>
          </cell>
          <cell r="AE107" t="e">
            <v>#N/A</v>
          </cell>
          <cell r="AF107" t="e">
            <v>#N/A</v>
          </cell>
          <cell r="AG107" t="str">
            <v>赵卫国</v>
          </cell>
          <cell r="AH107">
            <v>45916</v>
          </cell>
        </row>
        <row r="107">
          <cell r="AJ107" t="e">
            <v>#N/A</v>
          </cell>
        </row>
        <row r="108">
          <cell r="B108" t="str">
            <v>肖秋明</v>
          </cell>
          <cell r="C108" t="str">
            <v>发泡</v>
          </cell>
          <cell r="D108">
            <v>45902</v>
          </cell>
          <cell r="E108">
            <v>26</v>
          </cell>
          <cell r="F108">
            <v>12</v>
          </cell>
        </row>
        <row r="108">
          <cell r="K108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</row>
        <row r="108">
          <cell r="T108">
            <v>12</v>
          </cell>
          <cell r="U108">
            <v>12</v>
          </cell>
          <cell r="V108">
            <v>240</v>
          </cell>
          <cell r="W108" t="str">
            <v>2025/9/14退回</v>
          </cell>
        </row>
        <row r="108">
          <cell r="Z108" t="str">
            <v>湘潭思泉</v>
          </cell>
          <cell r="AA108">
            <v>0</v>
          </cell>
          <cell r="AB108" t="e">
            <v>#N/A</v>
          </cell>
          <cell r="AC108" t="str">
            <v>肖秋明</v>
          </cell>
          <cell r="AD108" t="e">
            <v>#N/A</v>
          </cell>
          <cell r="AE108" t="e">
            <v>#N/A</v>
          </cell>
          <cell r="AF108" t="e">
            <v>#N/A</v>
          </cell>
          <cell r="AG108" t="str">
            <v>肖秋明</v>
          </cell>
          <cell r="AH108">
            <v>45914</v>
          </cell>
        </row>
        <row r="108">
          <cell r="AJ108" t="e">
            <v>#N/A</v>
          </cell>
        </row>
        <row r="109">
          <cell r="B109" t="str">
            <v>彭雀桥</v>
          </cell>
          <cell r="C109" t="str">
            <v>发泡</v>
          </cell>
          <cell r="D109">
            <v>45909</v>
          </cell>
          <cell r="E109">
            <v>26</v>
          </cell>
          <cell r="F109">
            <v>6</v>
          </cell>
        </row>
        <row r="109">
          <cell r="K109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</row>
        <row r="109">
          <cell r="T109">
            <v>6</v>
          </cell>
          <cell r="U109">
            <v>6</v>
          </cell>
          <cell r="V109">
            <v>120</v>
          </cell>
          <cell r="W109" t="str">
            <v>2025/9/15退回</v>
          </cell>
        </row>
        <row r="109">
          <cell r="Z109" t="str">
            <v>湘潭思泉</v>
          </cell>
          <cell r="AA109">
            <v>0</v>
          </cell>
          <cell r="AB109" t="e">
            <v>#N/A</v>
          </cell>
          <cell r="AC109" t="str">
            <v>彭雀桥</v>
          </cell>
          <cell r="AD109" t="e">
            <v>#N/A</v>
          </cell>
          <cell r="AE109" t="e">
            <v>#N/A</v>
          </cell>
          <cell r="AF109" t="e">
            <v>#N/A</v>
          </cell>
          <cell r="AG109" t="str">
            <v>彭雀桥</v>
          </cell>
          <cell r="AH109">
            <v>45915</v>
          </cell>
        </row>
        <row r="109">
          <cell r="AJ109" t="e">
            <v>#N/A</v>
          </cell>
        </row>
        <row r="110">
          <cell r="B110" t="str">
            <v>刘光林</v>
          </cell>
          <cell r="C110" t="str">
            <v>发泡</v>
          </cell>
          <cell r="D110">
            <v>45916</v>
          </cell>
          <cell r="E110">
            <v>26</v>
          </cell>
          <cell r="F110">
            <v>2.5</v>
          </cell>
        </row>
        <row r="110">
          <cell r="K110">
            <v>0.5</v>
          </cell>
        </row>
        <row r="110">
          <cell r="O110">
            <v>0</v>
          </cell>
          <cell r="P110">
            <v>0</v>
          </cell>
          <cell r="Q110">
            <v>0</v>
          </cell>
        </row>
        <row r="110">
          <cell r="T110">
            <v>2.5</v>
          </cell>
          <cell r="U110">
            <v>2.5</v>
          </cell>
          <cell r="V110">
            <v>50</v>
          </cell>
          <cell r="W110" t="str">
            <v>2025/9/19退回</v>
          </cell>
        </row>
        <row r="110">
          <cell r="Z110" t="str">
            <v>德顺</v>
          </cell>
          <cell r="AA110" t="str">
            <v>9月18日13:00-20点事假半天</v>
          </cell>
          <cell r="AB110" t="e">
            <v>#N/A</v>
          </cell>
          <cell r="AC110" t="str">
            <v>刘光林</v>
          </cell>
          <cell r="AD110" t="e">
            <v>#N/A</v>
          </cell>
          <cell r="AE110" t="e">
            <v>#N/A</v>
          </cell>
          <cell r="AF110" t="e">
            <v>#N/A</v>
          </cell>
          <cell r="AG110" t="str">
            <v>刘光林</v>
          </cell>
          <cell r="AH110">
            <v>45919</v>
          </cell>
        </row>
        <row r="110">
          <cell r="AJ110" t="e">
            <v>#N/A</v>
          </cell>
        </row>
        <row r="111">
          <cell r="B111" t="str">
            <v>易江峰</v>
          </cell>
          <cell r="C111" t="str">
            <v>发泡</v>
          </cell>
          <cell r="D111">
            <v>45903</v>
          </cell>
          <cell r="E111">
            <v>26</v>
          </cell>
          <cell r="F111">
            <v>19</v>
          </cell>
        </row>
        <row r="111">
          <cell r="K111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</row>
        <row r="111">
          <cell r="T111">
            <v>19</v>
          </cell>
          <cell r="U111">
            <v>19</v>
          </cell>
          <cell r="V111">
            <v>380</v>
          </cell>
          <cell r="W111" t="str">
            <v>2025/9/22离职</v>
          </cell>
        </row>
        <row r="111">
          <cell r="Z111" t="str">
            <v>湘潭思泉</v>
          </cell>
          <cell r="AA111">
            <v>0</v>
          </cell>
          <cell r="AB111" t="e">
            <v>#N/A</v>
          </cell>
          <cell r="AC111" t="str">
            <v>易江峰</v>
          </cell>
          <cell r="AD111" t="e">
            <v>#N/A</v>
          </cell>
          <cell r="AE111" t="e">
            <v>#N/A</v>
          </cell>
          <cell r="AF111" t="e">
            <v>#N/A</v>
          </cell>
          <cell r="AG111" t="str">
            <v>易江峰</v>
          </cell>
          <cell r="AH111">
            <v>45922</v>
          </cell>
        </row>
        <row r="111">
          <cell r="AJ111" t="e">
            <v>#N/A</v>
          </cell>
        </row>
        <row r="112">
          <cell r="B112" t="str">
            <v>冉景斌</v>
          </cell>
          <cell r="C112" t="str">
            <v>发泡</v>
          </cell>
          <cell r="D112">
            <v>41396</v>
          </cell>
          <cell r="E112">
            <v>26</v>
          </cell>
          <cell r="F112">
            <v>28</v>
          </cell>
        </row>
        <row r="112">
          <cell r="K112">
            <v>0</v>
          </cell>
        </row>
        <row r="112">
          <cell r="O112">
            <v>0</v>
          </cell>
          <cell r="P112">
            <v>1</v>
          </cell>
          <cell r="Q112">
            <v>0</v>
          </cell>
        </row>
        <row r="112">
          <cell r="T112">
            <v>28</v>
          </cell>
          <cell r="U112">
            <v>28</v>
          </cell>
          <cell r="V112">
            <v>560</v>
          </cell>
        </row>
        <row r="112">
          <cell r="Y112">
            <v>0</v>
          </cell>
          <cell r="Z112" t="str">
            <v>湖南红海</v>
          </cell>
          <cell r="AA112" t="str">
            <v>1上班卡</v>
          </cell>
          <cell r="AB112" t="str">
            <v>冉景斌</v>
          </cell>
          <cell r="AC112" t="str">
            <v>冉景斌</v>
          </cell>
          <cell r="AD112" t="str">
            <v>冉景斌</v>
          </cell>
          <cell r="AE112" t="str">
            <v>冉景斌</v>
          </cell>
          <cell r="AF112" t="str">
            <v>冉景斌</v>
          </cell>
          <cell r="AG112" t="e">
            <v>#N/A</v>
          </cell>
          <cell r="AH112" t="str">
            <v>在职</v>
          </cell>
          <cell r="AI112" t="str">
            <v>湖南荣昌</v>
          </cell>
          <cell r="AJ112">
            <v>27</v>
          </cell>
        </row>
        <row r="113">
          <cell r="B113" t="str">
            <v>郭正军</v>
          </cell>
          <cell r="C113" t="str">
            <v>发泡A班</v>
          </cell>
          <cell r="D113">
            <v>44712</v>
          </cell>
          <cell r="E113">
            <v>26</v>
          </cell>
          <cell r="F113">
            <v>28</v>
          </cell>
        </row>
        <row r="113">
          <cell r="K113">
            <v>0</v>
          </cell>
        </row>
        <row r="113">
          <cell r="O113">
            <v>0</v>
          </cell>
          <cell r="P113">
            <v>2</v>
          </cell>
          <cell r="Q113">
            <v>0</v>
          </cell>
        </row>
        <row r="113">
          <cell r="T113">
            <v>28</v>
          </cell>
          <cell r="U113">
            <v>28</v>
          </cell>
          <cell r="V113">
            <v>560</v>
          </cell>
        </row>
        <row r="113">
          <cell r="Y113">
            <v>0</v>
          </cell>
          <cell r="Z113" t="str">
            <v>光华荣昌</v>
          </cell>
          <cell r="AA113" t="str">
            <v>22下班卡，26下班卡</v>
          </cell>
          <cell r="AB113" t="str">
            <v>郭正军</v>
          </cell>
          <cell r="AC113" t="str">
            <v>郭正军</v>
          </cell>
          <cell r="AD113" t="str">
            <v>郭正军</v>
          </cell>
          <cell r="AE113" t="str">
            <v>郭正军</v>
          </cell>
          <cell r="AF113" t="str">
            <v>郭正军</v>
          </cell>
          <cell r="AG113" t="e">
            <v>#N/A</v>
          </cell>
          <cell r="AH113" t="str">
            <v>在职</v>
          </cell>
          <cell r="AI113" t="str">
            <v>鑫起</v>
          </cell>
          <cell r="AJ113">
            <v>26</v>
          </cell>
        </row>
        <row r="114">
          <cell r="B114" t="str">
            <v>刘志平</v>
          </cell>
          <cell r="C114" t="str">
            <v>发泡A班</v>
          </cell>
          <cell r="D114">
            <v>41253</v>
          </cell>
          <cell r="E114">
            <v>26</v>
          </cell>
          <cell r="F114">
            <v>27</v>
          </cell>
        </row>
        <row r="114">
          <cell r="K114">
            <v>1</v>
          </cell>
        </row>
        <row r="114">
          <cell r="O114">
            <v>0</v>
          </cell>
          <cell r="P114">
            <v>0</v>
          </cell>
          <cell r="Q114">
            <v>0</v>
          </cell>
        </row>
        <row r="114">
          <cell r="T114">
            <v>27</v>
          </cell>
          <cell r="U114">
            <v>27</v>
          </cell>
          <cell r="V114">
            <v>540</v>
          </cell>
        </row>
        <row r="114">
          <cell r="Y114">
            <v>0</v>
          </cell>
          <cell r="Z114" t="str">
            <v>湖南红海</v>
          </cell>
          <cell r="AA114" t="str">
            <v>9.29晚班事假1天-结石痛</v>
          </cell>
          <cell r="AB114" t="str">
            <v>刘志平</v>
          </cell>
          <cell r="AC114" t="str">
            <v>刘志平</v>
          </cell>
          <cell r="AD114" t="str">
            <v>刘志平</v>
          </cell>
          <cell r="AE114" t="str">
            <v>刘志平</v>
          </cell>
          <cell r="AF114" t="str">
            <v>刘志平</v>
          </cell>
          <cell r="AG114" t="e">
            <v>#N/A</v>
          </cell>
          <cell r="AH114" t="str">
            <v>在职</v>
          </cell>
          <cell r="AI114" t="str">
            <v>湖南荣昌</v>
          </cell>
          <cell r="AJ114">
            <v>27</v>
          </cell>
        </row>
        <row r="115">
          <cell r="B115" t="str">
            <v>伍志强</v>
          </cell>
          <cell r="C115" t="str">
            <v>焊接-发泡车间</v>
          </cell>
          <cell r="D115">
            <v>43242</v>
          </cell>
          <cell r="E115">
            <v>26</v>
          </cell>
          <cell r="F115">
            <v>30</v>
          </cell>
        </row>
        <row r="115">
          <cell r="K115">
            <v>0</v>
          </cell>
        </row>
        <row r="115">
          <cell r="O115">
            <v>0</v>
          </cell>
          <cell r="P115">
            <v>1</v>
          </cell>
          <cell r="Q115">
            <v>0</v>
          </cell>
        </row>
        <row r="115">
          <cell r="T115">
            <v>30</v>
          </cell>
          <cell r="U115">
            <v>30</v>
          </cell>
          <cell r="V115">
            <v>600</v>
          </cell>
        </row>
        <row r="115">
          <cell r="Y115">
            <v>0</v>
          </cell>
          <cell r="Z115" t="str">
            <v>光华荣昌</v>
          </cell>
          <cell r="AA115" t="str">
            <v>6下班卡</v>
          </cell>
          <cell r="AB115" t="str">
            <v>伍志强</v>
          </cell>
          <cell r="AC115" t="str">
            <v>伍志强</v>
          </cell>
          <cell r="AD115" t="str">
            <v>伍志强</v>
          </cell>
          <cell r="AE115" t="str">
            <v>伍志强</v>
          </cell>
          <cell r="AF115" t="e">
            <v>#N/A</v>
          </cell>
          <cell r="AG115" t="e">
            <v>#N/A</v>
          </cell>
          <cell r="AH115" t="str">
            <v>在职</v>
          </cell>
          <cell r="AI115" t="str">
            <v>湖南诚展</v>
          </cell>
          <cell r="AJ115">
            <v>30</v>
          </cell>
        </row>
        <row r="116">
          <cell r="B116" t="str">
            <v>邹明旺</v>
          </cell>
          <cell r="C116" t="str">
            <v>焊接-发泡车间</v>
          </cell>
          <cell r="D116">
            <v>43551</v>
          </cell>
          <cell r="E116">
            <v>21</v>
          </cell>
          <cell r="F116">
            <v>21</v>
          </cell>
        </row>
        <row r="116">
          <cell r="K116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</row>
        <row r="116">
          <cell r="T116">
            <v>21</v>
          </cell>
          <cell r="U116">
            <v>0</v>
          </cell>
          <cell r="V116">
            <v>252</v>
          </cell>
        </row>
        <row r="116">
          <cell r="Y116">
            <v>0</v>
          </cell>
          <cell r="Z116" t="str">
            <v>光华荣昌</v>
          </cell>
          <cell r="AA116">
            <v>0</v>
          </cell>
          <cell r="AB116" t="str">
            <v>邹明旺</v>
          </cell>
          <cell r="AC116" t="str">
            <v>邹明旺</v>
          </cell>
          <cell r="AD116" t="str">
            <v>邹明旺</v>
          </cell>
          <cell r="AE116" t="str">
            <v>邹明旺</v>
          </cell>
          <cell r="AF116" t="e">
            <v>#N/A</v>
          </cell>
          <cell r="AG116" t="e">
            <v>#N/A</v>
          </cell>
          <cell r="AH116" t="str">
            <v>在职</v>
          </cell>
          <cell r="AI116" t="str">
            <v>湖南荣昌</v>
          </cell>
          <cell r="AJ116">
            <v>21</v>
          </cell>
        </row>
        <row r="117">
          <cell r="B117" t="str">
            <v>彭孜刚</v>
          </cell>
          <cell r="C117" t="str">
            <v>焊接-发泡车间</v>
          </cell>
          <cell r="D117">
            <v>43675</v>
          </cell>
          <cell r="E117">
            <v>26</v>
          </cell>
          <cell r="F117">
            <v>28</v>
          </cell>
        </row>
        <row r="117">
          <cell r="K117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</row>
        <row r="117">
          <cell r="T117">
            <v>28</v>
          </cell>
          <cell r="U117">
            <v>28</v>
          </cell>
          <cell r="V117">
            <v>560</v>
          </cell>
        </row>
        <row r="117">
          <cell r="Y117">
            <v>0</v>
          </cell>
          <cell r="Z117" t="str">
            <v>光华荣昌</v>
          </cell>
          <cell r="AA117">
            <v>0</v>
          </cell>
          <cell r="AB117" t="str">
            <v>彭孜刚</v>
          </cell>
          <cell r="AC117" t="str">
            <v>彭孜刚</v>
          </cell>
          <cell r="AD117" t="str">
            <v>彭孜刚</v>
          </cell>
          <cell r="AE117" t="str">
            <v>彭孜刚</v>
          </cell>
          <cell r="AF117" t="e">
            <v>#N/A</v>
          </cell>
          <cell r="AG117" t="e">
            <v>#N/A</v>
          </cell>
          <cell r="AH117" t="str">
            <v>在职</v>
          </cell>
          <cell r="AI117" t="str">
            <v>鑫起</v>
          </cell>
          <cell r="AJ117">
            <v>28</v>
          </cell>
        </row>
        <row r="118">
          <cell r="B118" t="str">
            <v>刘辉兵</v>
          </cell>
          <cell r="C118" t="str">
            <v>焊接-发泡车间</v>
          </cell>
          <cell r="D118">
            <v>41856</v>
          </cell>
          <cell r="E118">
            <v>26</v>
          </cell>
          <cell r="F118">
            <v>22</v>
          </cell>
        </row>
        <row r="118">
          <cell r="K118">
            <v>0</v>
          </cell>
          <cell r="L118">
            <v>5</v>
          </cell>
        </row>
        <row r="118">
          <cell r="O118">
            <v>0</v>
          </cell>
          <cell r="P118">
            <v>0</v>
          </cell>
          <cell r="Q118">
            <v>0</v>
          </cell>
        </row>
        <row r="118">
          <cell r="T118">
            <v>22</v>
          </cell>
          <cell r="U118">
            <v>22</v>
          </cell>
          <cell r="V118">
            <v>440</v>
          </cell>
        </row>
        <row r="118">
          <cell r="Y118">
            <v>0</v>
          </cell>
          <cell r="Z118" t="str">
            <v>光华荣昌</v>
          </cell>
          <cell r="AA118" t="str">
            <v>9.25-9.30腰椎盘突出病假5天</v>
          </cell>
          <cell r="AB118" t="str">
            <v>刘辉兵</v>
          </cell>
          <cell r="AC118" t="str">
            <v>刘辉兵</v>
          </cell>
          <cell r="AD118" t="str">
            <v>刘辉兵</v>
          </cell>
          <cell r="AE118" t="str">
            <v>刘辉兵</v>
          </cell>
          <cell r="AF118" t="str">
            <v>刘辉兵</v>
          </cell>
          <cell r="AG118" t="e">
            <v>#N/A</v>
          </cell>
          <cell r="AH118" t="str">
            <v>在职</v>
          </cell>
          <cell r="AI118" t="str">
            <v>湖南荣昌</v>
          </cell>
          <cell r="AJ118">
            <v>22</v>
          </cell>
        </row>
        <row r="119">
          <cell r="B119" t="str">
            <v>范文榜</v>
          </cell>
          <cell r="C119" t="str">
            <v>焊接-发泡车间</v>
          </cell>
          <cell r="D119">
            <v>42070</v>
          </cell>
          <cell r="E119">
            <v>26</v>
          </cell>
          <cell r="F119">
            <v>29</v>
          </cell>
        </row>
        <row r="119">
          <cell r="K119">
            <v>0</v>
          </cell>
        </row>
        <row r="119">
          <cell r="O119">
            <v>0</v>
          </cell>
          <cell r="P119">
            <v>1</v>
          </cell>
          <cell r="Q119">
            <v>0</v>
          </cell>
        </row>
        <row r="119">
          <cell r="T119">
            <v>29</v>
          </cell>
          <cell r="U119">
            <v>29</v>
          </cell>
          <cell r="V119">
            <v>580</v>
          </cell>
        </row>
        <row r="119">
          <cell r="Y119">
            <v>0</v>
          </cell>
          <cell r="Z119" t="str">
            <v>湖南鑫起</v>
          </cell>
          <cell r="AA119" t="str">
            <v>14下班卡</v>
          </cell>
          <cell r="AB119" t="str">
            <v>范文榜</v>
          </cell>
          <cell r="AC119" t="str">
            <v>范文榜</v>
          </cell>
          <cell r="AD119" t="str">
            <v>范文榜</v>
          </cell>
          <cell r="AE119" t="str">
            <v>范文榜</v>
          </cell>
          <cell r="AF119" t="str">
            <v>范文榜</v>
          </cell>
          <cell r="AG119" t="e">
            <v>#N/A</v>
          </cell>
          <cell r="AH119" t="str">
            <v>在职</v>
          </cell>
          <cell r="AI119" t="str">
            <v>湖南荣昌</v>
          </cell>
          <cell r="AJ119">
            <v>29</v>
          </cell>
        </row>
        <row r="120">
          <cell r="B120" t="str">
            <v>雍期望</v>
          </cell>
          <cell r="C120" t="str">
            <v>焊接车间</v>
          </cell>
          <cell r="D120">
            <v>42602</v>
          </cell>
          <cell r="E120">
            <v>22.5</v>
          </cell>
          <cell r="F120">
            <v>22.5</v>
          </cell>
        </row>
        <row r="120">
          <cell r="K120">
            <v>0</v>
          </cell>
        </row>
        <row r="120">
          <cell r="O120">
            <v>0</v>
          </cell>
          <cell r="P120">
            <v>2</v>
          </cell>
          <cell r="Q120">
            <v>0</v>
          </cell>
        </row>
        <row r="120">
          <cell r="T120">
            <v>22</v>
          </cell>
          <cell r="U120">
            <v>2</v>
          </cell>
          <cell r="V120">
            <v>280</v>
          </cell>
        </row>
        <row r="120">
          <cell r="X120">
            <v>91</v>
          </cell>
          <cell r="Y120">
            <v>273</v>
          </cell>
          <cell r="Z120" t="str">
            <v>光华荣昌</v>
          </cell>
          <cell r="AA120" t="str">
            <v>18上班卡，1上班卡</v>
          </cell>
          <cell r="AB120" t="str">
            <v>雍期望</v>
          </cell>
          <cell r="AC120" t="str">
            <v>雍期望</v>
          </cell>
          <cell r="AD120" t="str">
            <v>雍期望</v>
          </cell>
          <cell r="AE120" t="str">
            <v>雍期望</v>
          </cell>
          <cell r="AF120" t="e">
            <v>#N/A</v>
          </cell>
          <cell r="AG120" t="e">
            <v>#N/A</v>
          </cell>
          <cell r="AH120" t="str">
            <v>在职</v>
          </cell>
          <cell r="AI120" t="str">
            <v>湖南荣昌</v>
          </cell>
          <cell r="AJ120">
            <v>20.5</v>
          </cell>
        </row>
        <row r="121">
          <cell r="B121" t="str">
            <v>邹文祥</v>
          </cell>
          <cell r="C121" t="str">
            <v>焊接车间</v>
          </cell>
          <cell r="D121">
            <v>42262</v>
          </cell>
          <cell r="E121">
            <v>25</v>
          </cell>
          <cell r="F121">
            <v>25</v>
          </cell>
        </row>
        <row r="121">
          <cell r="K121">
            <v>0</v>
          </cell>
        </row>
        <row r="121">
          <cell r="O121">
            <v>0</v>
          </cell>
          <cell r="P121">
            <v>1</v>
          </cell>
          <cell r="Q121">
            <v>0</v>
          </cell>
        </row>
        <row r="121">
          <cell r="T121">
            <v>25</v>
          </cell>
          <cell r="U121">
            <v>4</v>
          </cell>
          <cell r="V121">
            <v>332</v>
          </cell>
        </row>
        <row r="121">
          <cell r="X121">
            <v>91</v>
          </cell>
          <cell r="Y121">
            <v>273</v>
          </cell>
          <cell r="Z121" t="str">
            <v>湖南鑫起</v>
          </cell>
          <cell r="AA121" t="str">
            <v>12下班卡</v>
          </cell>
          <cell r="AB121" t="str">
            <v>邹文祥</v>
          </cell>
          <cell r="AC121" t="str">
            <v>邹文祥</v>
          </cell>
          <cell r="AD121" t="str">
            <v>邹文祥</v>
          </cell>
          <cell r="AE121" t="str">
            <v>邹文祥</v>
          </cell>
          <cell r="AF121" t="e">
            <v>#N/A</v>
          </cell>
          <cell r="AG121" t="e">
            <v>#N/A</v>
          </cell>
          <cell r="AH121" t="str">
            <v>在职</v>
          </cell>
          <cell r="AI121" t="str">
            <v>湖南荣昌</v>
          </cell>
          <cell r="AJ121">
            <v>24.8</v>
          </cell>
        </row>
        <row r="122">
          <cell r="B122" t="str">
            <v>张周</v>
          </cell>
          <cell r="C122" t="str">
            <v>焊接车间</v>
          </cell>
          <cell r="D122">
            <v>42665</v>
          </cell>
          <cell r="E122">
            <v>21</v>
          </cell>
          <cell r="F122">
            <v>21</v>
          </cell>
        </row>
        <row r="122">
          <cell r="K122">
            <v>0</v>
          </cell>
        </row>
        <row r="122">
          <cell r="O122">
            <v>0</v>
          </cell>
          <cell r="P122">
            <v>1</v>
          </cell>
          <cell r="Q122">
            <v>0</v>
          </cell>
        </row>
        <row r="122">
          <cell r="T122">
            <v>21</v>
          </cell>
          <cell r="U122">
            <v>4</v>
          </cell>
          <cell r="V122">
            <v>284</v>
          </cell>
        </row>
        <row r="122">
          <cell r="X122">
            <v>91</v>
          </cell>
          <cell r="Y122">
            <v>273</v>
          </cell>
          <cell r="Z122" t="str">
            <v>湖南鑫起</v>
          </cell>
          <cell r="AA122" t="str">
            <v>13下班卡</v>
          </cell>
          <cell r="AB122" t="str">
            <v>张周</v>
          </cell>
          <cell r="AC122" t="str">
            <v>张周</v>
          </cell>
          <cell r="AD122" t="str">
            <v>张周</v>
          </cell>
          <cell r="AE122" t="str">
            <v>张周</v>
          </cell>
          <cell r="AF122" t="e">
            <v>#N/A</v>
          </cell>
          <cell r="AG122" t="e">
            <v>#N/A</v>
          </cell>
          <cell r="AH122" t="str">
            <v>在职</v>
          </cell>
          <cell r="AI122" t="str">
            <v>湖南荣昌</v>
          </cell>
          <cell r="AJ122">
            <v>21</v>
          </cell>
        </row>
        <row r="123">
          <cell r="B123" t="str">
            <v>霍海涛</v>
          </cell>
          <cell r="C123" t="str">
            <v>焊接车间</v>
          </cell>
          <cell r="D123">
            <v>41463</v>
          </cell>
          <cell r="E123">
            <v>26</v>
          </cell>
          <cell r="F123">
            <v>26</v>
          </cell>
        </row>
        <row r="123">
          <cell r="K123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</row>
        <row r="123">
          <cell r="T123">
            <v>26</v>
          </cell>
          <cell r="U123">
            <v>5</v>
          </cell>
          <cell r="V123">
            <v>352</v>
          </cell>
        </row>
        <row r="123">
          <cell r="X123">
            <v>89</v>
          </cell>
          <cell r="Y123">
            <v>267</v>
          </cell>
          <cell r="Z123" t="str">
            <v>湖南红海</v>
          </cell>
          <cell r="AA123">
            <v>0</v>
          </cell>
          <cell r="AB123" t="str">
            <v>霍海涛</v>
          </cell>
          <cell r="AC123" t="str">
            <v>霍海涛</v>
          </cell>
          <cell r="AD123" t="str">
            <v>霍海涛</v>
          </cell>
          <cell r="AE123" t="str">
            <v>霍海涛</v>
          </cell>
          <cell r="AF123" t="e">
            <v>#N/A</v>
          </cell>
          <cell r="AG123" t="e">
            <v>#N/A</v>
          </cell>
          <cell r="AH123" t="str">
            <v>在职</v>
          </cell>
          <cell r="AI123" t="str">
            <v>湖南荣昌</v>
          </cell>
          <cell r="AJ123">
            <v>25.8</v>
          </cell>
        </row>
        <row r="124">
          <cell r="B124" t="str">
            <v>谭刚</v>
          </cell>
          <cell r="C124" t="str">
            <v>焊接车间</v>
          </cell>
          <cell r="D124">
            <v>43292</v>
          </cell>
          <cell r="E124">
            <v>22</v>
          </cell>
          <cell r="F124">
            <v>22</v>
          </cell>
        </row>
        <row r="124">
          <cell r="K124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</row>
        <row r="124">
          <cell r="T124">
            <v>22</v>
          </cell>
          <cell r="U124">
            <v>4</v>
          </cell>
          <cell r="V124">
            <v>296</v>
          </cell>
        </row>
        <row r="124">
          <cell r="X124">
            <v>91</v>
          </cell>
          <cell r="Y124">
            <v>273</v>
          </cell>
          <cell r="Z124" t="str">
            <v>光华荣昌</v>
          </cell>
          <cell r="AA124">
            <v>0</v>
          </cell>
          <cell r="AB124" t="str">
            <v>谭刚</v>
          </cell>
          <cell r="AC124" t="str">
            <v>谭刚</v>
          </cell>
          <cell r="AD124" t="str">
            <v>谭刚</v>
          </cell>
          <cell r="AE124" t="str">
            <v>谭刚</v>
          </cell>
          <cell r="AF124" t="e">
            <v>#N/A</v>
          </cell>
          <cell r="AG124" t="e">
            <v>#N/A</v>
          </cell>
          <cell r="AH124" t="str">
            <v>在职</v>
          </cell>
          <cell r="AI124" t="str">
            <v>湖南荣昌</v>
          </cell>
          <cell r="AJ124">
            <v>22</v>
          </cell>
        </row>
        <row r="125">
          <cell r="B125" t="str">
            <v>吴朗</v>
          </cell>
          <cell r="C125" t="str">
            <v>焊接车间</v>
          </cell>
          <cell r="D125">
            <v>44730</v>
          </cell>
          <cell r="E125">
            <v>25</v>
          </cell>
          <cell r="F125">
            <v>24.5</v>
          </cell>
        </row>
        <row r="125">
          <cell r="K125">
            <v>0</v>
          </cell>
        </row>
        <row r="125">
          <cell r="O125">
            <v>0.5</v>
          </cell>
          <cell r="P125">
            <v>0</v>
          </cell>
          <cell r="Q125">
            <v>0</v>
          </cell>
        </row>
        <row r="125">
          <cell r="T125">
            <v>24</v>
          </cell>
          <cell r="U125">
            <v>8</v>
          </cell>
          <cell r="V125">
            <v>352</v>
          </cell>
        </row>
        <row r="125">
          <cell r="X125">
            <v>89</v>
          </cell>
          <cell r="Y125">
            <v>267</v>
          </cell>
          <cell r="Z125" t="str">
            <v>诚展</v>
          </cell>
          <cell r="AA125">
            <v>0</v>
          </cell>
          <cell r="AB125" t="str">
            <v>吴朗</v>
          </cell>
          <cell r="AC125" t="str">
            <v>吴朗</v>
          </cell>
          <cell r="AD125" t="str">
            <v>吴朗</v>
          </cell>
          <cell r="AE125" t="str">
            <v>吴朗</v>
          </cell>
          <cell r="AF125" t="e">
            <v>#N/A</v>
          </cell>
          <cell r="AG125" t="e">
            <v>#N/A</v>
          </cell>
          <cell r="AH125" t="str">
            <v>在职</v>
          </cell>
          <cell r="AI125" t="str">
            <v>湖南诚展</v>
          </cell>
          <cell r="AJ125">
            <v>23</v>
          </cell>
        </row>
        <row r="126">
          <cell r="B126" t="str">
            <v>罗亚南</v>
          </cell>
          <cell r="C126" t="str">
            <v>总装车间</v>
          </cell>
          <cell r="D126">
            <v>41612</v>
          </cell>
          <cell r="E126">
            <v>23</v>
          </cell>
          <cell r="F126">
            <v>23</v>
          </cell>
          <cell r="G126">
            <v>4</v>
          </cell>
        </row>
        <row r="126">
          <cell r="K126">
            <v>0</v>
          </cell>
        </row>
        <row r="126">
          <cell r="O126">
            <v>0</v>
          </cell>
          <cell r="P126">
            <v>1</v>
          </cell>
          <cell r="Q126">
            <v>0</v>
          </cell>
        </row>
        <row r="126">
          <cell r="T126">
            <v>18</v>
          </cell>
          <cell r="U126">
            <v>4</v>
          </cell>
          <cell r="V126">
            <v>248</v>
          </cell>
        </row>
        <row r="126">
          <cell r="X126">
            <v>96</v>
          </cell>
          <cell r="Y126">
            <v>288</v>
          </cell>
          <cell r="Z126" t="str">
            <v>湖南鑫起</v>
          </cell>
          <cell r="AA126" t="str">
            <v>29下班卡</v>
          </cell>
          <cell r="AB126" t="str">
            <v>罗亚南</v>
          </cell>
          <cell r="AC126" t="str">
            <v>罗亚南</v>
          </cell>
          <cell r="AD126" t="str">
            <v>罗亚南</v>
          </cell>
          <cell r="AE126" t="str">
            <v>罗亚南</v>
          </cell>
          <cell r="AF126" t="e">
            <v>#N/A</v>
          </cell>
          <cell r="AG126" t="e">
            <v>#N/A</v>
          </cell>
          <cell r="AH126" t="str">
            <v>在职</v>
          </cell>
          <cell r="AI126" t="str">
            <v>湖南荣昌</v>
          </cell>
          <cell r="AJ126">
            <v>24</v>
          </cell>
        </row>
        <row r="127">
          <cell r="B127" t="str">
            <v>欧响亮</v>
          </cell>
          <cell r="C127" t="str">
            <v>总装前排</v>
          </cell>
          <cell r="D127">
            <v>43595</v>
          </cell>
          <cell r="E127">
            <v>17</v>
          </cell>
          <cell r="F127">
            <v>17</v>
          </cell>
        </row>
        <row r="127">
          <cell r="K127">
            <v>0</v>
          </cell>
        </row>
        <row r="127">
          <cell r="O127">
            <v>0</v>
          </cell>
          <cell r="P127">
            <v>2</v>
          </cell>
          <cell r="Q127">
            <v>0</v>
          </cell>
        </row>
        <row r="127">
          <cell r="T127">
            <v>11</v>
          </cell>
          <cell r="U127">
            <v>1</v>
          </cell>
          <cell r="V127">
            <v>140</v>
          </cell>
        </row>
        <row r="127">
          <cell r="X127">
            <v>97</v>
          </cell>
          <cell r="Y127">
            <v>291</v>
          </cell>
          <cell r="Z127" t="str">
            <v>光华荣昌</v>
          </cell>
          <cell r="AA127" t="str">
            <v>9/20号下班卡</v>
          </cell>
          <cell r="AB127" t="str">
            <v>欧响亮</v>
          </cell>
          <cell r="AC127" t="str">
            <v>欧响亮</v>
          </cell>
          <cell r="AD127" t="str">
            <v>欧响亮</v>
          </cell>
          <cell r="AE127" t="str">
            <v>欧响亮</v>
          </cell>
          <cell r="AF127" t="e">
            <v>#N/A</v>
          </cell>
          <cell r="AG127" t="e">
            <v>#N/A</v>
          </cell>
          <cell r="AH127" t="str">
            <v>在职</v>
          </cell>
          <cell r="AI127" t="str">
            <v>湖南荣昌</v>
          </cell>
          <cell r="AJ127">
            <v>18</v>
          </cell>
        </row>
        <row r="128">
          <cell r="B128" t="str">
            <v>刘明</v>
          </cell>
          <cell r="C128" t="str">
            <v>总装前排</v>
          </cell>
          <cell r="D128">
            <v>44306</v>
          </cell>
          <cell r="E128">
            <v>22.5</v>
          </cell>
          <cell r="F128">
            <v>22.5</v>
          </cell>
          <cell r="G128">
            <v>4</v>
          </cell>
        </row>
        <row r="128">
          <cell r="K128">
            <v>0</v>
          </cell>
        </row>
        <row r="128">
          <cell r="O128">
            <v>0</v>
          </cell>
          <cell r="P128">
            <v>1</v>
          </cell>
          <cell r="Q128">
            <v>0</v>
          </cell>
        </row>
        <row r="128">
          <cell r="T128">
            <v>18</v>
          </cell>
          <cell r="U128">
            <v>4</v>
          </cell>
          <cell r="V128">
            <v>248</v>
          </cell>
        </row>
        <row r="128">
          <cell r="X128">
            <v>94</v>
          </cell>
          <cell r="Y128">
            <v>282</v>
          </cell>
          <cell r="Z128" t="str">
            <v>光华荣昌</v>
          </cell>
          <cell r="AA128" t="str">
            <v>18上班卡</v>
          </cell>
          <cell r="AB128" t="str">
            <v>刘明</v>
          </cell>
          <cell r="AC128" t="str">
            <v>刘明</v>
          </cell>
          <cell r="AD128" t="str">
            <v>刘明</v>
          </cell>
          <cell r="AE128" t="str">
            <v>刘明</v>
          </cell>
          <cell r="AF128" t="e">
            <v>#N/A</v>
          </cell>
          <cell r="AG128" t="e">
            <v>#N/A</v>
          </cell>
          <cell r="AH128" t="str">
            <v>在职</v>
          </cell>
          <cell r="AI128" t="str">
            <v>鑫起</v>
          </cell>
          <cell r="AJ128">
            <v>0</v>
          </cell>
        </row>
        <row r="129">
          <cell r="B129" t="str">
            <v>苏超</v>
          </cell>
          <cell r="C129" t="str">
            <v>总装前排</v>
          </cell>
          <cell r="D129">
            <v>41884</v>
          </cell>
          <cell r="E129">
            <v>22.5</v>
          </cell>
          <cell r="F129">
            <v>22.5</v>
          </cell>
          <cell r="G129">
            <v>15</v>
          </cell>
        </row>
        <row r="129">
          <cell r="K129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</row>
        <row r="129">
          <cell r="T129">
            <v>20</v>
          </cell>
          <cell r="U129">
            <v>15</v>
          </cell>
          <cell r="V129">
            <v>360</v>
          </cell>
        </row>
        <row r="129">
          <cell r="X129">
            <v>95</v>
          </cell>
          <cell r="Y129">
            <v>285</v>
          </cell>
          <cell r="Z129" t="str">
            <v>湖南鑫起</v>
          </cell>
          <cell r="AA129">
            <v>0</v>
          </cell>
          <cell r="AB129" t="str">
            <v>苏超</v>
          </cell>
          <cell r="AC129" t="str">
            <v>苏超</v>
          </cell>
          <cell r="AD129" t="str">
            <v>苏超</v>
          </cell>
          <cell r="AE129" t="str">
            <v>苏超</v>
          </cell>
          <cell r="AF129" t="e">
            <v>#N/A</v>
          </cell>
          <cell r="AG129" t="e">
            <v>#N/A</v>
          </cell>
          <cell r="AH129" t="str">
            <v>在职</v>
          </cell>
          <cell r="AI129" t="str">
            <v>湖南荣昌</v>
          </cell>
          <cell r="AJ129">
            <v>0</v>
          </cell>
        </row>
        <row r="130">
          <cell r="B130" t="str">
            <v>吴陈</v>
          </cell>
          <cell r="C130" t="str">
            <v>总装前排</v>
          </cell>
          <cell r="D130">
            <v>42107</v>
          </cell>
          <cell r="E130">
            <v>16</v>
          </cell>
          <cell r="F130">
            <v>16</v>
          </cell>
        </row>
        <row r="130">
          <cell r="K130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</row>
        <row r="130">
          <cell r="T130">
            <v>10</v>
          </cell>
          <cell r="U130">
            <v>0</v>
          </cell>
          <cell r="V130">
            <v>120</v>
          </cell>
        </row>
        <row r="130">
          <cell r="X130">
            <v>93</v>
          </cell>
          <cell r="Y130">
            <v>279</v>
          </cell>
          <cell r="Z130" t="str">
            <v>光华荣昌</v>
          </cell>
          <cell r="AA130">
            <v>0</v>
          </cell>
          <cell r="AB130" t="str">
            <v>吴陈</v>
          </cell>
          <cell r="AC130" t="str">
            <v>吴陈</v>
          </cell>
          <cell r="AD130" t="str">
            <v>吴陈</v>
          </cell>
          <cell r="AE130" t="str">
            <v>吴陈</v>
          </cell>
          <cell r="AF130" t="e">
            <v>#N/A</v>
          </cell>
          <cell r="AG130" t="e">
            <v>#N/A</v>
          </cell>
          <cell r="AH130" t="str">
            <v>在职</v>
          </cell>
          <cell r="AI130" t="str">
            <v>湖南荣昌</v>
          </cell>
          <cell r="AJ130">
            <v>16.5</v>
          </cell>
        </row>
        <row r="131">
          <cell r="B131" t="str">
            <v>李亦斌</v>
          </cell>
          <cell r="C131" t="str">
            <v>总装前排</v>
          </cell>
          <cell r="D131">
            <v>41718</v>
          </cell>
          <cell r="E131">
            <v>16</v>
          </cell>
          <cell r="F131">
            <v>16</v>
          </cell>
        </row>
        <row r="131">
          <cell r="K131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</row>
        <row r="131">
          <cell r="T131">
            <v>10</v>
          </cell>
          <cell r="U131">
            <v>0</v>
          </cell>
          <cell r="V131">
            <v>120</v>
          </cell>
        </row>
        <row r="131">
          <cell r="X131">
            <v>88</v>
          </cell>
          <cell r="Y131">
            <v>264</v>
          </cell>
          <cell r="Z131" t="str">
            <v>湖南红海</v>
          </cell>
          <cell r="AA131">
            <v>0</v>
          </cell>
          <cell r="AB131" t="str">
            <v>李亦斌</v>
          </cell>
          <cell r="AC131" t="str">
            <v>李亦斌</v>
          </cell>
          <cell r="AD131" t="str">
            <v>李亦斌</v>
          </cell>
          <cell r="AE131" t="str">
            <v>李亦斌</v>
          </cell>
          <cell r="AF131" t="e">
            <v>#N/A</v>
          </cell>
          <cell r="AG131" t="e">
            <v>#N/A</v>
          </cell>
          <cell r="AH131" t="str">
            <v>在职</v>
          </cell>
          <cell r="AI131" t="str">
            <v>湖南荣昌</v>
          </cell>
          <cell r="AJ131">
            <v>16</v>
          </cell>
        </row>
        <row r="132">
          <cell r="B132" t="str">
            <v>刘文强</v>
          </cell>
          <cell r="C132" t="str">
            <v>总装前排</v>
          </cell>
          <cell r="D132">
            <v>42554</v>
          </cell>
          <cell r="E132">
            <v>17</v>
          </cell>
          <cell r="F132">
            <v>17</v>
          </cell>
        </row>
        <row r="132">
          <cell r="K132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</row>
        <row r="132">
          <cell r="T132">
            <v>11</v>
          </cell>
          <cell r="U132">
            <v>0</v>
          </cell>
          <cell r="V132">
            <v>132</v>
          </cell>
        </row>
        <row r="132">
          <cell r="X132">
            <v>87</v>
          </cell>
          <cell r="Y132">
            <v>261</v>
          </cell>
          <cell r="Z132" t="str">
            <v>光华荣昌</v>
          </cell>
          <cell r="AA132">
            <v>0</v>
          </cell>
          <cell r="AB132" t="str">
            <v>刘文强</v>
          </cell>
          <cell r="AC132" t="str">
            <v>刘文强</v>
          </cell>
          <cell r="AD132" t="str">
            <v>刘文强</v>
          </cell>
          <cell r="AE132" t="str">
            <v>刘文强</v>
          </cell>
          <cell r="AF132" t="e">
            <v>#N/A</v>
          </cell>
          <cell r="AG132" t="e">
            <v>#N/A</v>
          </cell>
          <cell r="AH132" t="str">
            <v>在职</v>
          </cell>
          <cell r="AI132" t="str">
            <v>湖南荣昌</v>
          </cell>
          <cell r="AJ132">
            <v>0</v>
          </cell>
        </row>
        <row r="133">
          <cell r="B133" t="str">
            <v>罗鹏</v>
          </cell>
          <cell r="C133" t="str">
            <v>总装前排</v>
          </cell>
          <cell r="D133">
            <v>41213</v>
          </cell>
          <cell r="E133">
            <v>16</v>
          </cell>
          <cell r="F133">
            <v>15</v>
          </cell>
        </row>
        <row r="133">
          <cell r="K133">
            <v>2</v>
          </cell>
        </row>
        <row r="133">
          <cell r="O133">
            <v>0</v>
          </cell>
          <cell r="P133">
            <v>0</v>
          </cell>
          <cell r="Q133">
            <v>0</v>
          </cell>
        </row>
        <row r="133">
          <cell r="T133">
            <v>9</v>
          </cell>
          <cell r="U133">
            <v>0</v>
          </cell>
          <cell r="V133">
            <v>108</v>
          </cell>
        </row>
        <row r="133">
          <cell r="X133">
            <v>93</v>
          </cell>
          <cell r="Y133">
            <v>279</v>
          </cell>
          <cell r="Z133" t="str">
            <v>光华荣昌</v>
          </cell>
          <cell r="AA133" t="str">
            <v>9.11-12请假2天-陪女儿去怀化办理入学手续</v>
          </cell>
          <cell r="AB133" t="str">
            <v>罗鹏</v>
          </cell>
          <cell r="AC133" t="str">
            <v>罗鹏</v>
          </cell>
          <cell r="AD133" t="str">
            <v>罗鹏</v>
          </cell>
          <cell r="AE133" t="str">
            <v>罗鹏</v>
          </cell>
          <cell r="AF133" t="e">
            <v>#N/A</v>
          </cell>
          <cell r="AG133" t="e">
            <v>#N/A</v>
          </cell>
          <cell r="AH133" t="str">
            <v>在职</v>
          </cell>
          <cell r="AI133" t="str">
            <v>湖南荣昌</v>
          </cell>
          <cell r="AJ133">
            <v>0</v>
          </cell>
        </row>
        <row r="134">
          <cell r="B134" t="str">
            <v>邓日顺</v>
          </cell>
          <cell r="C134" t="str">
            <v>总装前排</v>
          </cell>
          <cell r="D134">
            <v>41881</v>
          </cell>
          <cell r="E134">
            <v>17</v>
          </cell>
          <cell r="F134">
            <v>17</v>
          </cell>
        </row>
        <row r="134">
          <cell r="K134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</row>
        <row r="134">
          <cell r="T134">
            <v>11</v>
          </cell>
          <cell r="U134">
            <v>1</v>
          </cell>
          <cell r="V134">
            <v>140</v>
          </cell>
        </row>
        <row r="134">
          <cell r="X134">
            <v>91</v>
          </cell>
          <cell r="Y134">
            <v>273</v>
          </cell>
          <cell r="Z134" t="str">
            <v>湖南红海</v>
          </cell>
          <cell r="AA134">
            <v>0</v>
          </cell>
          <cell r="AB134" t="str">
            <v>邓日顺</v>
          </cell>
          <cell r="AC134" t="str">
            <v>邓日顺</v>
          </cell>
          <cell r="AD134" t="str">
            <v>邓日顺</v>
          </cell>
          <cell r="AE134" t="str">
            <v>邓日顺</v>
          </cell>
          <cell r="AF134" t="e">
            <v>#N/A</v>
          </cell>
          <cell r="AG134" t="e">
            <v>#N/A</v>
          </cell>
          <cell r="AH134" t="str">
            <v>在职</v>
          </cell>
          <cell r="AI134" t="str">
            <v>湖南荣昌</v>
          </cell>
          <cell r="AJ134">
            <v>0</v>
          </cell>
        </row>
        <row r="135">
          <cell r="B135" t="str">
            <v>胡荣华</v>
          </cell>
          <cell r="C135" t="str">
            <v>总装前排</v>
          </cell>
          <cell r="D135">
            <v>41518</v>
          </cell>
          <cell r="E135">
            <v>16</v>
          </cell>
          <cell r="F135">
            <v>16</v>
          </cell>
        </row>
        <row r="135">
          <cell r="K135">
            <v>0</v>
          </cell>
        </row>
        <row r="135">
          <cell r="O135">
            <v>0</v>
          </cell>
          <cell r="P135">
            <v>1</v>
          </cell>
          <cell r="Q135">
            <v>0</v>
          </cell>
        </row>
        <row r="135">
          <cell r="T135">
            <v>10</v>
          </cell>
          <cell r="U135">
            <v>0</v>
          </cell>
          <cell r="V135">
            <v>120</v>
          </cell>
        </row>
        <row r="135">
          <cell r="X135">
            <v>90</v>
          </cell>
          <cell r="Y135">
            <v>270</v>
          </cell>
          <cell r="Z135" t="str">
            <v>湖南鑫起</v>
          </cell>
          <cell r="AA135" t="str">
            <v>23上班卡</v>
          </cell>
          <cell r="AB135" t="str">
            <v>胡荣华</v>
          </cell>
          <cell r="AC135" t="str">
            <v>胡荣华</v>
          </cell>
          <cell r="AD135" t="str">
            <v>胡荣华</v>
          </cell>
          <cell r="AE135" t="str">
            <v>胡荣华</v>
          </cell>
          <cell r="AF135" t="e">
            <v>#N/A</v>
          </cell>
          <cell r="AG135" t="e">
            <v>#N/A</v>
          </cell>
          <cell r="AH135" t="str">
            <v>在职</v>
          </cell>
          <cell r="AI135" t="str">
            <v>湖南荣昌</v>
          </cell>
          <cell r="AJ135">
            <v>0</v>
          </cell>
        </row>
        <row r="136">
          <cell r="B136" t="str">
            <v>杨亮亮</v>
          </cell>
          <cell r="C136" t="str">
            <v>总装前排</v>
          </cell>
          <cell r="D136">
            <v>43685</v>
          </cell>
          <cell r="E136">
            <v>17.5</v>
          </cell>
          <cell r="F136">
            <v>17.5</v>
          </cell>
        </row>
        <row r="136">
          <cell r="K136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</row>
        <row r="136">
          <cell r="T136">
            <v>12</v>
          </cell>
          <cell r="U136">
            <v>1</v>
          </cell>
          <cell r="V136">
            <v>152</v>
          </cell>
        </row>
        <row r="136">
          <cell r="X136">
            <v>90</v>
          </cell>
          <cell r="Y136">
            <v>270</v>
          </cell>
          <cell r="Z136" t="str">
            <v>湖南鑫起</v>
          </cell>
          <cell r="AA136">
            <v>0</v>
          </cell>
          <cell r="AB136" t="str">
            <v>杨亮亮</v>
          </cell>
          <cell r="AC136" t="str">
            <v>杨亮亮</v>
          </cell>
          <cell r="AD136" t="str">
            <v>杨亮亮</v>
          </cell>
          <cell r="AE136" t="str">
            <v>杨亮亮</v>
          </cell>
          <cell r="AF136" t="e">
            <v>#N/A</v>
          </cell>
          <cell r="AG136" t="e">
            <v>#N/A</v>
          </cell>
          <cell r="AH136" t="str">
            <v>在职</v>
          </cell>
          <cell r="AI136" t="str">
            <v>鑫起</v>
          </cell>
          <cell r="AJ136">
            <v>0</v>
          </cell>
        </row>
        <row r="137">
          <cell r="B137" t="str">
            <v>刘谦</v>
          </cell>
          <cell r="C137" t="str">
            <v>总装前排</v>
          </cell>
          <cell r="D137">
            <v>42783</v>
          </cell>
          <cell r="E137">
            <v>16</v>
          </cell>
          <cell r="F137">
            <v>16</v>
          </cell>
        </row>
        <row r="137">
          <cell r="K137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</row>
        <row r="137">
          <cell r="T137">
            <v>10</v>
          </cell>
          <cell r="U137">
            <v>0</v>
          </cell>
          <cell r="V137">
            <v>120</v>
          </cell>
        </row>
        <row r="137">
          <cell r="X137">
            <v>90</v>
          </cell>
          <cell r="Y137">
            <v>270</v>
          </cell>
          <cell r="Z137" t="str">
            <v>光华荣昌</v>
          </cell>
          <cell r="AA137">
            <v>0</v>
          </cell>
          <cell r="AB137" t="str">
            <v>刘谦</v>
          </cell>
          <cell r="AC137" t="str">
            <v>刘谦</v>
          </cell>
          <cell r="AD137" t="str">
            <v>刘谦</v>
          </cell>
          <cell r="AE137" t="str">
            <v>刘谦</v>
          </cell>
          <cell r="AF137" t="e">
            <v>#N/A</v>
          </cell>
          <cell r="AG137" t="e">
            <v>#N/A</v>
          </cell>
          <cell r="AH137" t="str">
            <v>在职</v>
          </cell>
          <cell r="AI137" t="str">
            <v>湖南荣昌</v>
          </cell>
          <cell r="AJ137">
            <v>0</v>
          </cell>
        </row>
        <row r="138">
          <cell r="B138" t="str">
            <v>王锋卡</v>
          </cell>
          <cell r="C138" t="str">
            <v>总装前排</v>
          </cell>
          <cell r="D138">
            <v>45102</v>
          </cell>
          <cell r="E138">
            <v>17</v>
          </cell>
          <cell r="F138">
            <v>17</v>
          </cell>
        </row>
        <row r="138">
          <cell r="K138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</row>
        <row r="138">
          <cell r="T138">
            <v>11</v>
          </cell>
          <cell r="U138">
            <v>1</v>
          </cell>
          <cell r="V138">
            <v>140</v>
          </cell>
        </row>
        <row r="138">
          <cell r="X138">
            <v>93</v>
          </cell>
          <cell r="Y138">
            <v>279</v>
          </cell>
          <cell r="Z138" t="str">
            <v>诚展</v>
          </cell>
          <cell r="AA138">
            <v>0</v>
          </cell>
          <cell r="AB138" t="str">
            <v>王锋卡</v>
          </cell>
          <cell r="AC138" t="str">
            <v>王锋卡</v>
          </cell>
          <cell r="AD138" t="str">
            <v>王锋卡</v>
          </cell>
          <cell r="AE138" t="str">
            <v>王锋卡</v>
          </cell>
          <cell r="AF138" t="e">
            <v>#N/A</v>
          </cell>
          <cell r="AG138" t="e">
            <v>#N/A</v>
          </cell>
          <cell r="AH138" t="str">
            <v>在职</v>
          </cell>
          <cell r="AI138" t="str">
            <v>湖南诚展</v>
          </cell>
          <cell r="AJ138">
            <v>0</v>
          </cell>
        </row>
        <row r="139">
          <cell r="B139" t="str">
            <v>蒋正林</v>
          </cell>
          <cell r="C139" t="str">
            <v>发泡</v>
          </cell>
          <cell r="D139">
            <v>41520</v>
          </cell>
          <cell r="E139">
            <v>21.75</v>
          </cell>
          <cell r="F139">
            <v>0</v>
          </cell>
        </row>
        <row r="139">
          <cell r="K139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</row>
        <row r="139">
          <cell r="T139">
            <v>0</v>
          </cell>
        </row>
        <row r="139">
          <cell r="V139">
            <v>0</v>
          </cell>
          <cell r="W139" t="str">
            <v>2025/9/18退休</v>
          </cell>
        </row>
        <row r="139">
          <cell r="Y139">
            <v>0</v>
          </cell>
          <cell r="Z139" t="str">
            <v>鑫起</v>
          </cell>
          <cell r="AA139">
            <v>0</v>
          </cell>
          <cell r="AB139" t="e">
            <v>#N/A</v>
          </cell>
          <cell r="AC139" t="str">
            <v>蒋正林</v>
          </cell>
          <cell r="AD139" t="e">
            <v>#N/A</v>
          </cell>
          <cell r="AE139" t="str">
            <v>蒋正林</v>
          </cell>
          <cell r="AF139" t="str">
            <v>蒋正林</v>
          </cell>
          <cell r="AG139" t="str">
            <v>蒋正林</v>
          </cell>
          <cell r="AH139">
            <v>45918</v>
          </cell>
          <cell r="AI139" t="str">
            <v>鑫起</v>
          </cell>
          <cell r="AJ139">
            <v>0</v>
          </cell>
        </row>
        <row r="140">
          <cell r="B140" t="str">
            <v>高万</v>
          </cell>
        </row>
        <row r="140">
          <cell r="D140">
            <v>45309</v>
          </cell>
          <cell r="E140">
            <v>23</v>
          </cell>
          <cell r="F140">
            <v>23</v>
          </cell>
        </row>
        <row r="140">
          <cell r="K140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</row>
        <row r="140">
          <cell r="T140">
            <v>0</v>
          </cell>
        </row>
        <row r="140">
          <cell r="V140">
            <v>0</v>
          </cell>
          <cell r="W140" t="str">
            <v>残疾人安置</v>
          </cell>
        </row>
        <row r="140">
          <cell r="Z140" t="str">
            <v>光华荣昌</v>
          </cell>
          <cell r="AA140">
            <v>0</v>
          </cell>
          <cell r="AB140" t="str">
            <v>高万</v>
          </cell>
          <cell r="AC140" t="str">
            <v>高万</v>
          </cell>
          <cell r="AD140" t="str">
            <v>高万</v>
          </cell>
          <cell r="AE140" t="str">
            <v>高万</v>
          </cell>
          <cell r="AF140" t="e">
            <v>#N/A</v>
          </cell>
          <cell r="AG140" t="e">
            <v>#N/A</v>
          </cell>
          <cell r="AH140" t="str">
            <v>在职</v>
          </cell>
          <cell r="AI140" t="str">
            <v>湖南荣昌</v>
          </cell>
          <cell r="AJ140">
            <v>23</v>
          </cell>
        </row>
        <row r="141">
          <cell r="H141">
            <v>0</v>
          </cell>
          <cell r="I141">
            <v>0</v>
          </cell>
        </row>
        <row r="142">
          <cell r="B142" t="str">
            <v>考勤人数</v>
          </cell>
          <cell r="C142">
            <v>137</v>
          </cell>
          <cell r="D142" t="str">
            <v>含离职11人</v>
          </cell>
        </row>
        <row r="142">
          <cell r="H142" t="str">
            <v>A线</v>
          </cell>
          <cell r="I142" t="str">
            <v>打杂其他</v>
          </cell>
        </row>
        <row r="143">
          <cell r="B143" t="str">
            <v>工资表人数</v>
          </cell>
          <cell r="C143">
            <v>138</v>
          </cell>
          <cell r="D143" t="str">
            <v>赵平无考勤</v>
          </cell>
        </row>
        <row r="144">
          <cell r="B144" t="str">
            <v>长沙现服</v>
          </cell>
          <cell r="C144">
            <v>1</v>
          </cell>
          <cell r="D144" t="str">
            <v>11月转公司</v>
          </cell>
        </row>
        <row r="145">
          <cell r="B145" t="str">
            <v>在职花名册</v>
          </cell>
          <cell r="C145">
            <v>124</v>
          </cell>
          <cell r="D145" t="str">
            <v>不含13人离职</v>
          </cell>
        </row>
        <row r="145">
          <cell r="G145">
            <v>23</v>
          </cell>
          <cell r="H145">
            <v>17</v>
          </cell>
          <cell r="I145">
            <v>2</v>
          </cell>
          <cell r="J145">
            <v>0</v>
          </cell>
          <cell r="K145">
            <v>36.775</v>
          </cell>
          <cell r="L145">
            <v>5</v>
          </cell>
          <cell r="M145">
            <v>2</v>
          </cell>
          <cell r="N145">
            <v>2</v>
          </cell>
          <cell r="O145">
            <v>0.5</v>
          </cell>
          <cell r="P145">
            <v>57</v>
          </cell>
          <cell r="Q145">
            <v>0</v>
          </cell>
          <cell r="R145">
            <v>80.5</v>
          </cell>
          <cell r="S145">
            <v>248</v>
          </cell>
          <cell r="T145">
            <v>2960.5</v>
          </cell>
          <cell r="U145">
            <v>2212</v>
          </cell>
          <cell r="V145">
            <v>53222</v>
          </cell>
        </row>
        <row r="146">
          <cell r="B146" t="str">
            <v>不含</v>
          </cell>
          <cell r="C146">
            <v>13</v>
          </cell>
          <cell r="D146" t="str">
            <v>离职</v>
          </cell>
        </row>
        <row r="147">
          <cell r="M147">
            <v>0</v>
          </cell>
          <cell r="N147">
            <v>0</v>
          </cell>
          <cell r="O147" t="str">
            <v>一线</v>
          </cell>
          <cell r="P147">
            <v>65</v>
          </cell>
          <cell r="Q147">
            <v>21</v>
          </cell>
        </row>
        <row r="148">
          <cell r="B148" t="str">
            <v>社保人数</v>
          </cell>
          <cell r="C148">
            <v>132</v>
          </cell>
          <cell r="D148" t="str">
            <v>李开阳重复</v>
          </cell>
        </row>
        <row r="148">
          <cell r="O148" t="str">
            <v>销售</v>
          </cell>
          <cell r="P148">
            <v>0</v>
          </cell>
        </row>
        <row r="149">
          <cell r="D149" t="str">
            <v>李开阳退休返聘诚展交商业工伤</v>
          </cell>
        </row>
        <row r="149">
          <cell r="O149" t="str">
            <v>研发</v>
          </cell>
          <cell r="P149">
            <v>0</v>
          </cell>
        </row>
        <row r="150">
          <cell r="B150" t="str">
            <v>不含</v>
          </cell>
          <cell r="C150">
            <v>1</v>
          </cell>
          <cell r="D150" t="str">
            <v>刘俊杰</v>
          </cell>
        </row>
        <row r="150">
          <cell r="M150">
            <v>5</v>
          </cell>
          <cell r="N150">
            <v>1</v>
          </cell>
          <cell r="O150" t="str">
            <v>科室</v>
          </cell>
          <cell r="P150">
            <v>7</v>
          </cell>
        </row>
        <row r="151">
          <cell r="C151">
            <v>2</v>
          </cell>
          <cell r="D151" t="str">
            <v>谭哲</v>
          </cell>
        </row>
        <row r="151">
          <cell r="M151">
            <v>-3</v>
          </cell>
          <cell r="N151">
            <v>1</v>
          </cell>
        </row>
        <row r="151">
          <cell r="P151">
            <v>-15</v>
          </cell>
          <cell r="Q151">
            <v>-21</v>
          </cell>
        </row>
        <row r="152">
          <cell r="C152">
            <v>3</v>
          </cell>
          <cell r="D152" t="str">
            <v>章志华</v>
          </cell>
        </row>
        <row r="152">
          <cell r="O152" t="str">
            <v>25.9.8</v>
          </cell>
        </row>
        <row r="153">
          <cell r="C153">
            <v>4</v>
          </cell>
          <cell r="D153" t="str">
            <v>吴鑫</v>
          </cell>
        </row>
        <row r="154">
          <cell r="C154">
            <v>5</v>
          </cell>
          <cell r="D154" t="str">
            <v>刘光林</v>
          </cell>
        </row>
        <row r="155">
          <cell r="C155">
            <v>6</v>
          </cell>
          <cell r="D155" t="str">
            <v>王明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单个工资"/>
    </sheetNames>
    <sheetDataSet>
      <sheetData sheetId="0"/>
      <sheetData sheetId="1">
        <row r="15">
          <cell r="C15" t="str">
            <v>赵新辉</v>
          </cell>
        </row>
        <row r="16">
          <cell r="C16" t="str">
            <v>肖燕丹</v>
          </cell>
        </row>
        <row r="17">
          <cell r="C17" t="str">
            <v>左昌福</v>
          </cell>
        </row>
        <row r="18">
          <cell r="C18" t="str">
            <v>吴国秋</v>
          </cell>
        </row>
        <row r="19">
          <cell r="C19" t="str">
            <v>张迪辉</v>
          </cell>
        </row>
        <row r="20">
          <cell r="C20" t="str">
            <v>毛伟</v>
          </cell>
        </row>
        <row r="21">
          <cell r="C21" t="str">
            <v>王西明</v>
          </cell>
        </row>
        <row r="22">
          <cell r="C22" t="str">
            <v>陈爱军</v>
          </cell>
        </row>
        <row r="23">
          <cell r="C23" t="str">
            <v>肖春菊</v>
          </cell>
        </row>
        <row r="24">
          <cell r="C24" t="str">
            <v>史双宇</v>
          </cell>
        </row>
        <row r="25">
          <cell r="C25" t="str">
            <v>谢桂华</v>
          </cell>
        </row>
        <row r="26">
          <cell r="C26" t="str">
            <v>张忠宝</v>
          </cell>
        </row>
        <row r="27">
          <cell r="C27" t="str">
            <v>李力争</v>
          </cell>
        </row>
        <row r="28">
          <cell r="C28" t="str">
            <v>唐亮</v>
          </cell>
        </row>
        <row r="29">
          <cell r="C29" t="str">
            <v>谭金祥</v>
          </cell>
        </row>
        <row r="30">
          <cell r="C30" t="str">
            <v>李水平</v>
          </cell>
        </row>
        <row r="31">
          <cell r="C31" t="str">
            <v>吴明贵</v>
          </cell>
        </row>
        <row r="32">
          <cell r="C32" t="str">
            <v>刘俊杰</v>
          </cell>
        </row>
        <row r="33">
          <cell r="C33" t="str">
            <v>瞿芬</v>
          </cell>
        </row>
        <row r="34">
          <cell r="C34" t="str">
            <v>瞿欢</v>
          </cell>
        </row>
        <row r="35">
          <cell r="C35" t="str">
            <v>周孝勇</v>
          </cell>
        </row>
        <row r="36">
          <cell r="C36" t="str">
            <v>刘顺新</v>
          </cell>
        </row>
        <row r="37">
          <cell r="C37" t="str">
            <v>贺翌昂</v>
          </cell>
        </row>
        <row r="38">
          <cell r="C38" t="str">
            <v>袁珊珊</v>
          </cell>
        </row>
        <row r="39">
          <cell r="C39" t="str">
            <v>龙意倩</v>
          </cell>
        </row>
        <row r="40">
          <cell r="C40" t="str">
            <v>蒋鹏</v>
          </cell>
        </row>
        <row r="41">
          <cell r="C41" t="str">
            <v>肖军奇</v>
          </cell>
        </row>
        <row r="42">
          <cell r="C42" t="str">
            <v>高玉霞</v>
          </cell>
        </row>
        <row r="43">
          <cell r="C43" t="str">
            <v>张永桂</v>
          </cell>
        </row>
        <row r="44">
          <cell r="C44" t="str">
            <v>卢喜春</v>
          </cell>
        </row>
        <row r="45">
          <cell r="C45" t="str">
            <v>佘军</v>
          </cell>
        </row>
        <row r="46">
          <cell r="C46" t="str">
            <v>刘爱国</v>
          </cell>
        </row>
        <row r="47">
          <cell r="C47" t="str">
            <v>陶勇军</v>
          </cell>
        </row>
        <row r="48">
          <cell r="C48" t="str">
            <v>蔡建兵</v>
          </cell>
        </row>
        <row r="49">
          <cell r="C49" t="str">
            <v>李先文</v>
          </cell>
        </row>
        <row r="50">
          <cell r="C50" t="str">
            <v>王攀</v>
          </cell>
        </row>
        <row r="51">
          <cell r="C51" t="str">
            <v>刘季香</v>
          </cell>
        </row>
        <row r="52">
          <cell r="C52" t="str">
            <v>张波滔</v>
          </cell>
        </row>
        <row r="53">
          <cell r="C53" t="str">
            <v>谭哲</v>
          </cell>
        </row>
        <row r="54">
          <cell r="C54" t="str">
            <v>黄翠兰</v>
          </cell>
        </row>
        <row r="55">
          <cell r="C55" t="str">
            <v>杨兰方</v>
          </cell>
        </row>
        <row r="56">
          <cell r="C56" t="str">
            <v>刘湘宇</v>
          </cell>
        </row>
        <row r="57">
          <cell r="C57" t="str">
            <v>袁卫星</v>
          </cell>
        </row>
        <row r="58">
          <cell r="C58" t="str">
            <v>彭新泉</v>
          </cell>
        </row>
        <row r="59">
          <cell r="C59" t="str">
            <v>黄亚英</v>
          </cell>
        </row>
        <row r="60">
          <cell r="C60" t="str">
            <v>陈夏君</v>
          </cell>
        </row>
        <row r="61">
          <cell r="C61" t="str">
            <v>陈迪</v>
          </cell>
        </row>
        <row r="62">
          <cell r="C62" t="str">
            <v>胡平根</v>
          </cell>
        </row>
        <row r="63">
          <cell r="C63" t="str">
            <v>石素平</v>
          </cell>
        </row>
        <row r="64">
          <cell r="C64" t="str">
            <v>李立群</v>
          </cell>
        </row>
        <row r="65">
          <cell r="C65" t="str">
            <v>周兵湘</v>
          </cell>
        </row>
        <row r="66">
          <cell r="C66" t="str">
            <v>陈连湘</v>
          </cell>
        </row>
        <row r="67">
          <cell r="C67" t="str">
            <v>吴旺宇</v>
          </cell>
        </row>
        <row r="68">
          <cell r="C68" t="str">
            <v>孙鸿岩</v>
          </cell>
        </row>
        <row r="69">
          <cell r="C69" t="str">
            <v>罗晚花</v>
          </cell>
        </row>
        <row r="70">
          <cell r="C70" t="str">
            <v>任勇</v>
          </cell>
        </row>
        <row r="71">
          <cell r="C71" t="str">
            <v>康嵩</v>
          </cell>
        </row>
        <row r="72">
          <cell r="C72" t="str">
            <v>张定华</v>
          </cell>
        </row>
        <row r="73">
          <cell r="C73" t="str">
            <v>章志华</v>
          </cell>
        </row>
        <row r="74">
          <cell r="C74" t="str">
            <v>吴鑫</v>
          </cell>
        </row>
        <row r="75">
          <cell r="C75" t="str">
            <v>阳为风</v>
          </cell>
        </row>
        <row r="76">
          <cell r="C76" t="str">
            <v>熊建成</v>
          </cell>
        </row>
        <row r="77">
          <cell r="C77" t="str">
            <v>赵卫国</v>
          </cell>
        </row>
        <row r="78">
          <cell r="C78" t="str">
            <v>肖秋明</v>
          </cell>
        </row>
        <row r="79">
          <cell r="C79" t="str">
            <v>彭雀桥</v>
          </cell>
        </row>
        <row r="80">
          <cell r="C80" t="str">
            <v>刘光林</v>
          </cell>
        </row>
        <row r="81">
          <cell r="C81" t="str">
            <v>易江峰</v>
          </cell>
        </row>
        <row r="82">
          <cell r="C82" t="str">
            <v>王明</v>
          </cell>
        </row>
        <row r="83">
          <cell r="C83" t="str">
            <v>林虎</v>
          </cell>
        </row>
        <row r="84">
          <cell r="C84" t="str">
            <v>郭正军</v>
          </cell>
        </row>
        <row r="85">
          <cell r="C85" t="str">
            <v>刘志平</v>
          </cell>
        </row>
        <row r="86">
          <cell r="C86" t="str">
            <v>冉景斌</v>
          </cell>
        </row>
        <row r="87">
          <cell r="C87" t="str">
            <v>马凤</v>
          </cell>
        </row>
        <row r="88">
          <cell r="C88" t="str">
            <v>彭健</v>
          </cell>
        </row>
        <row r="89">
          <cell r="C89" t="str">
            <v>李需</v>
          </cell>
        </row>
        <row r="90">
          <cell r="C90" t="str">
            <v>卫伟伟</v>
          </cell>
        </row>
        <row r="91">
          <cell r="C91" t="str">
            <v>彭智勇</v>
          </cell>
        </row>
        <row r="92">
          <cell r="C92" t="str">
            <v>易任红</v>
          </cell>
        </row>
        <row r="93">
          <cell r="C93" t="str">
            <v>蒋正林</v>
          </cell>
        </row>
        <row r="94">
          <cell r="C94" t="str">
            <v>伍志强</v>
          </cell>
        </row>
        <row r="95">
          <cell r="C95" t="str">
            <v>彭孜刚</v>
          </cell>
        </row>
        <row r="96">
          <cell r="C96" t="str">
            <v>范文榜</v>
          </cell>
        </row>
        <row r="97">
          <cell r="C97" t="str">
            <v>刘辉兵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L140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C3" sqref="C3:AG3"/>
    </sheetView>
  </sheetViews>
  <sheetFormatPr defaultColWidth="9" defaultRowHeight="15.6"/>
  <cols>
    <col min="1" max="1" width="10.6296296296296" style="366" customWidth="1"/>
    <col min="2" max="2" width="18.75" style="366" customWidth="1"/>
    <col min="3" max="3" width="6.5" style="366" customWidth="1"/>
    <col min="4" max="4" width="4.37962962962963" style="367" customWidth="1"/>
    <col min="5" max="5" width="5.25" style="366" customWidth="1"/>
    <col min="6" max="9" width="4.37962962962963" style="366" customWidth="1"/>
    <col min="10" max="10" width="4.37962962962963" style="368" customWidth="1"/>
    <col min="11" max="11" width="6.12962962962963" style="366" customWidth="1"/>
    <col min="12" max="12" width="4.75" style="366" customWidth="1"/>
    <col min="13" max="13" width="4.37962962962963" style="366" customWidth="1"/>
    <col min="14" max="14" width="4.37962962962963" style="369" customWidth="1"/>
    <col min="15" max="15" width="4.37962962962963" style="366" customWidth="1"/>
    <col min="16" max="16" width="4.37962962962963" style="370" customWidth="1"/>
    <col min="17" max="17" width="4.37962962962963" style="371" customWidth="1"/>
    <col min="18" max="18" width="4.37962962962963" style="372" customWidth="1"/>
    <col min="19" max="19" width="4.37962962962963" style="373" customWidth="1"/>
    <col min="20" max="20" width="4.37962962962963" style="374" customWidth="1"/>
    <col min="21" max="21" width="4.37962962962963" style="375" customWidth="1"/>
    <col min="22" max="22" width="4.37962962962963" style="376" customWidth="1"/>
    <col min="23" max="23" width="4.37962962962963" style="377" customWidth="1"/>
    <col min="24" max="24" width="4.37962962962963" style="2" customWidth="1"/>
    <col min="25" max="25" width="4.37962962962963" style="378" customWidth="1"/>
    <col min="26" max="26" width="4.37962962962963" style="377" customWidth="1"/>
    <col min="27" max="27" width="4.37962962962963" style="379" customWidth="1"/>
    <col min="28" max="28" width="4.37962962962963" style="370" customWidth="1"/>
    <col min="29" max="29" width="4.37962962962963" style="378" customWidth="1"/>
    <col min="30" max="30" width="4.37962962962963" style="367" customWidth="1"/>
    <col min="31" max="31" width="4.37962962962963" style="378" customWidth="1"/>
    <col min="32" max="33" width="4.37962962962963" style="379" customWidth="1"/>
    <col min="34" max="35" width="9" style="366"/>
    <col min="36" max="36" width="12.5" style="366" customWidth="1"/>
    <col min="37" max="37" width="9.25" style="366"/>
    <col min="38" max="16384" width="9" style="366"/>
  </cols>
  <sheetData>
    <row r="1" s="355" customFormat="1" ht="19.5" customHeight="1" spans="1:35">
      <c r="A1" s="380" t="s">
        <v>0</v>
      </c>
      <c r="B1" s="380"/>
      <c r="C1" s="380"/>
      <c r="D1" s="381"/>
      <c r="E1" s="380"/>
      <c r="F1" s="380"/>
      <c r="G1" s="380"/>
      <c r="H1" s="380"/>
      <c r="I1" s="380"/>
      <c r="J1" s="423"/>
      <c r="K1" s="380"/>
      <c r="L1" s="380"/>
      <c r="M1" s="380"/>
      <c r="N1" s="424"/>
      <c r="O1" s="380"/>
      <c r="P1" s="425"/>
      <c r="Q1" s="429"/>
      <c r="R1" s="430"/>
      <c r="S1" s="431"/>
      <c r="T1" s="432"/>
      <c r="U1" s="433"/>
      <c r="V1" s="434"/>
      <c r="W1" s="435"/>
      <c r="X1" s="436"/>
      <c r="Y1" s="448"/>
      <c r="Z1" s="435"/>
      <c r="AA1" s="449"/>
      <c r="AB1" s="425"/>
      <c r="AC1" s="448"/>
      <c r="AD1" s="381"/>
      <c r="AE1" s="448"/>
      <c r="AF1" s="449"/>
      <c r="AG1" s="449"/>
      <c r="AH1" s="380"/>
      <c r="AI1" s="380"/>
    </row>
    <row r="2" s="355" customFormat="1" ht="21" customHeight="1" spans="1:35">
      <c r="A2" s="382"/>
      <c r="B2" s="383"/>
      <c r="C2" s="384" t="s">
        <v>1</v>
      </c>
      <c r="D2" s="385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384"/>
      <c r="U2" s="384"/>
      <c r="V2" s="437"/>
      <c r="W2" s="438"/>
      <c r="X2" s="439"/>
      <c r="Y2" s="450"/>
      <c r="Z2" s="438"/>
      <c r="AA2" s="451"/>
      <c r="AB2" s="452"/>
      <c r="AC2" s="450"/>
      <c r="AD2" s="385"/>
      <c r="AE2" s="450"/>
      <c r="AF2" s="451"/>
      <c r="AG2" s="451"/>
      <c r="AH2" s="384"/>
      <c r="AI2" s="455"/>
    </row>
    <row r="3" s="355" customFormat="1" ht="13.5" customHeight="1" spans="1:36">
      <c r="A3" s="386" t="s">
        <v>2</v>
      </c>
      <c r="B3" s="387" t="s">
        <v>3</v>
      </c>
      <c r="C3" s="388" t="s">
        <v>4</v>
      </c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Z3" s="389"/>
      <c r="AA3" s="389"/>
      <c r="AB3" s="389"/>
      <c r="AC3" s="389"/>
      <c r="AD3" s="389"/>
      <c r="AE3" s="389"/>
      <c r="AF3" s="389"/>
      <c r="AG3" s="456"/>
      <c r="AH3" s="386" t="s">
        <v>5</v>
      </c>
      <c r="AI3" s="457" t="s">
        <v>6</v>
      </c>
      <c r="AJ3" s="458" t="s">
        <v>5</v>
      </c>
    </row>
    <row r="4" s="355" customFormat="1" ht="14.4" spans="1:36">
      <c r="A4" s="386"/>
      <c r="B4" s="390"/>
      <c r="C4" s="386">
        <v>1</v>
      </c>
      <c r="D4" s="391">
        <v>2</v>
      </c>
      <c r="E4" s="386">
        <v>3</v>
      </c>
      <c r="F4" s="386">
        <v>4</v>
      </c>
      <c r="G4" s="386">
        <v>5</v>
      </c>
      <c r="H4" s="386">
        <v>6</v>
      </c>
      <c r="I4" s="386">
        <v>7</v>
      </c>
      <c r="J4" s="426">
        <v>8</v>
      </c>
      <c r="K4" s="386">
        <v>9</v>
      </c>
      <c r="L4" s="386">
        <v>10</v>
      </c>
      <c r="M4" s="386">
        <v>11</v>
      </c>
      <c r="N4" s="427">
        <v>12</v>
      </c>
      <c r="O4" s="386">
        <v>13</v>
      </c>
      <c r="P4" s="428">
        <v>14</v>
      </c>
      <c r="Q4" s="440">
        <v>15</v>
      </c>
      <c r="R4" s="441">
        <v>16</v>
      </c>
      <c r="S4" s="442">
        <v>17</v>
      </c>
      <c r="T4" s="443">
        <v>18</v>
      </c>
      <c r="U4" s="444">
        <v>19</v>
      </c>
      <c r="V4" s="445">
        <v>20</v>
      </c>
      <c r="W4" s="446">
        <v>21</v>
      </c>
      <c r="X4" s="447">
        <v>22</v>
      </c>
      <c r="Y4" s="453">
        <v>23</v>
      </c>
      <c r="Z4" s="446">
        <v>24</v>
      </c>
      <c r="AA4" s="454">
        <v>25</v>
      </c>
      <c r="AB4" s="428">
        <v>26</v>
      </c>
      <c r="AC4" s="453">
        <v>27</v>
      </c>
      <c r="AD4" s="391">
        <v>28</v>
      </c>
      <c r="AE4" s="453">
        <v>29</v>
      </c>
      <c r="AF4" s="454">
        <v>30</v>
      </c>
      <c r="AG4" s="454">
        <v>31</v>
      </c>
      <c r="AH4" s="386"/>
      <c r="AI4" s="457"/>
      <c r="AJ4" s="459"/>
    </row>
    <row r="5" s="356" customFormat="1" ht="15" customHeight="1" spans="1:38">
      <c r="A5" s="392" t="s">
        <v>7</v>
      </c>
      <c r="B5" s="337" t="s">
        <v>8</v>
      </c>
      <c r="C5" s="393">
        <f>修补数量统计!H6</f>
        <v>0</v>
      </c>
      <c r="D5" s="393">
        <f>修补数量统计!M6</f>
        <v>0</v>
      </c>
      <c r="E5" s="393">
        <f>修补数量统计!R6</f>
        <v>89</v>
      </c>
      <c r="F5" s="393">
        <f>修补数量统计!W6</f>
        <v>0</v>
      </c>
      <c r="G5" s="393">
        <f>修补数量统计!AB6</f>
        <v>0</v>
      </c>
      <c r="H5" s="393">
        <f>修补数量统计!AG6</f>
        <v>0</v>
      </c>
      <c r="I5" s="393">
        <f>修补数量统计!AL6</f>
        <v>0</v>
      </c>
      <c r="J5" s="393">
        <f>修补数量统计!AQ6</f>
        <v>0</v>
      </c>
      <c r="K5" s="393">
        <f>修补数量统计!AV6</f>
        <v>0</v>
      </c>
      <c r="L5" s="393">
        <f>修补数量统计!BA6</f>
        <v>0</v>
      </c>
      <c r="M5" s="393">
        <f>修补数量统计!BF6</f>
        <v>0</v>
      </c>
      <c r="N5" s="393">
        <f>修补数量统计!BK6</f>
        <v>0</v>
      </c>
      <c r="O5" s="393">
        <f>修补数量统计!BP6</f>
        <v>0</v>
      </c>
      <c r="P5" s="393">
        <f>修补数量统计!BU6</f>
        <v>0</v>
      </c>
      <c r="Q5" s="393">
        <f>修补数量统计!BZ6</f>
        <v>0</v>
      </c>
      <c r="R5" s="393">
        <f>修补数量统计!CE6</f>
        <v>0</v>
      </c>
      <c r="S5" s="393">
        <f>修补数量统计!CJ6</f>
        <v>301</v>
      </c>
      <c r="T5" s="393">
        <f>修补数量统计!CO6</f>
        <v>328</v>
      </c>
      <c r="U5" s="393">
        <f>修补数量统计!CT6</f>
        <v>167</v>
      </c>
      <c r="V5" s="393">
        <f>修补数量统计!CY6</f>
        <v>0</v>
      </c>
      <c r="W5" s="393">
        <f>修补数量统计!DD6</f>
        <v>295</v>
      </c>
      <c r="X5" s="393">
        <f>修补数量统计!DI6</f>
        <v>0</v>
      </c>
      <c r="Y5" s="393">
        <f>修补数量统计!DN6</f>
        <v>0</v>
      </c>
      <c r="Z5" s="393">
        <f>修补数量统计!DS6</f>
        <v>0</v>
      </c>
      <c r="AA5" s="393">
        <f>修补数量统计!DX6</f>
        <v>0</v>
      </c>
      <c r="AB5" s="393">
        <f>修补数量统计!EC6</f>
        <v>0</v>
      </c>
      <c r="AC5" s="393">
        <f>修补数量统计!EH6</f>
        <v>0</v>
      </c>
      <c r="AD5" s="393">
        <f>修补数量统计!EM6</f>
        <v>0</v>
      </c>
      <c r="AE5" s="393">
        <f>修补数量统计!ER6</f>
        <v>0</v>
      </c>
      <c r="AF5" s="393">
        <f>修补数量统计!EW6</f>
        <v>0</v>
      </c>
      <c r="AG5" s="393">
        <f>修补数量统计!FB6</f>
        <v>0</v>
      </c>
      <c r="AH5" s="393">
        <f>C5+D5+E5+F5+G5+H5+I5+J5+K5+L5+M5+N5+O5+P5+Q5+R5+S5+T5+U5+V5+W5+X5+Y5+Z5+AA5+AB5+AC5+AD5+AE5+AF5+AG5</f>
        <v>1180</v>
      </c>
      <c r="AI5" s="339">
        <v>0.4</v>
      </c>
      <c r="AJ5" s="460">
        <f>AH5*AI5+AH6*AI6+AH7*AI7+AH8*AI8+AH9*AI9+AH10*AI10+AH11*AI11+AH12*AI12+AH13*AI13+AH14*AI14</f>
        <v>3101.53</v>
      </c>
      <c r="AK5" s="339">
        <f>AI5*AH5</f>
        <v>472</v>
      </c>
      <c r="AL5" s="355"/>
    </row>
    <row r="6" s="356" customFormat="1" ht="15" customHeight="1" spans="1:38">
      <c r="A6" s="394"/>
      <c r="B6" s="337" t="s">
        <v>9</v>
      </c>
      <c r="C6" s="393">
        <f>修补数量统计!H7</f>
        <v>0</v>
      </c>
      <c r="D6" s="393">
        <f>修补数量统计!M7</f>
        <v>0</v>
      </c>
      <c r="E6" s="393">
        <f>修补数量统计!R7</f>
        <v>0</v>
      </c>
      <c r="F6" s="393">
        <f>修补数量统计!W7</f>
        <v>0</v>
      </c>
      <c r="G6" s="393">
        <f>修补数量统计!AB7</f>
        <v>0</v>
      </c>
      <c r="H6" s="393">
        <f>修补数量统计!AG7</f>
        <v>0</v>
      </c>
      <c r="I6" s="393">
        <f>修补数量统计!AL7</f>
        <v>0</v>
      </c>
      <c r="J6" s="393">
        <f>修补数量统计!AQ7</f>
        <v>0</v>
      </c>
      <c r="K6" s="393">
        <f>修补数量统计!AV7</f>
        <v>0</v>
      </c>
      <c r="L6" s="393">
        <f>修补数量统计!BA7</f>
        <v>0</v>
      </c>
      <c r="M6" s="393">
        <f>修补数量统计!BF7</f>
        <v>0</v>
      </c>
      <c r="N6" s="393">
        <f>修补数量统计!BK7</f>
        <v>0</v>
      </c>
      <c r="O6" s="393">
        <f>修补数量统计!BP7</f>
        <v>0</v>
      </c>
      <c r="P6" s="393">
        <f>修补数量统计!BU7</f>
        <v>0</v>
      </c>
      <c r="Q6" s="393">
        <f>修补数量统计!BZ7</f>
        <v>0</v>
      </c>
      <c r="R6" s="393">
        <f>修补数量统计!CE7</f>
        <v>0</v>
      </c>
      <c r="S6" s="393">
        <f>修补数量统计!CJ7</f>
        <v>0</v>
      </c>
      <c r="T6" s="393">
        <f>修补数量统计!CO7</f>
        <v>0</v>
      </c>
      <c r="U6" s="393">
        <f>修补数量统计!CT7</f>
        <v>0</v>
      </c>
      <c r="V6" s="393">
        <f>修补数量统计!CY7</f>
        <v>0</v>
      </c>
      <c r="W6" s="393">
        <f>修补数量统计!DD7</f>
        <v>0</v>
      </c>
      <c r="X6" s="393">
        <f>修补数量统计!DI7</f>
        <v>0</v>
      </c>
      <c r="Y6" s="393">
        <f>修补数量统计!DN7</f>
        <v>0</v>
      </c>
      <c r="Z6" s="393">
        <f>修补数量统计!DS7</f>
        <v>0</v>
      </c>
      <c r="AA6" s="393">
        <f>修补数量统计!DX7</f>
        <v>0</v>
      </c>
      <c r="AB6" s="393">
        <f>修补数量统计!EC7</f>
        <v>0</v>
      </c>
      <c r="AC6" s="393">
        <f>修补数量统计!EH7</f>
        <v>0</v>
      </c>
      <c r="AD6" s="393">
        <f>修补数量统计!EM7</f>
        <v>0</v>
      </c>
      <c r="AE6" s="393">
        <f>修补数量统计!ER7</f>
        <v>0</v>
      </c>
      <c r="AF6" s="393">
        <f>修补数量统计!EW7</f>
        <v>0</v>
      </c>
      <c r="AG6" s="393">
        <f>修补数量统计!FB7</f>
        <v>0</v>
      </c>
      <c r="AH6" s="393">
        <f t="shared" ref="AH6:AH14" si="0">C6+D6+E6+F6+G6+H6+I6+J6+K6+L6+M6+N6+O6+P6+Q6+R6+S6+T6+U6+V6+W6+X6+Y6+Z6+AA6+AB6+AC6+AD6+AE6+AF6+AG6</f>
        <v>0</v>
      </c>
      <c r="AI6" s="342">
        <v>0.133</v>
      </c>
      <c r="AJ6" s="460"/>
      <c r="AK6" s="339">
        <f t="shared" ref="AK6:AK14" si="1">AI6*AH6</f>
        <v>0</v>
      </c>
      <c r="AL6" s="355"/>
    </row>
    <row r="7" s="356" customFormat="1" ht="15" customHeight="1" spans="1:38">
      <c r="A7" s="394"/>
      <c r="B7" s="337" t="s">
        <v>10</v>
      </c>
      <c r="C7" s="393">
        <f>修补数量统计!H8</f>
        <v>0</v>
      </c>
      <c r="D7" s="393">
        <f>修补数量统计!M8</f>
        <v>0</v>
      </c>
      <c r="E7" s="393">
        <f>修补数量统计!R8</f>
        <v>0</v>
      </c>
      <c r="F7" s="393">
        <f>修补数量统计!W8</f>
        <v>0</v>
      </c>
      <c r="G7" s="393">
        <f>修补数量统计!AB8</f>
        <v>0</v>
      </c>
      <c r="H7" s="393">
        <f>修补数量统计!AG8</f>
        <v>0</v>
      </c>
      <c r="I7" s="393">
        <f>修补数量统计!AL8</f>
        <v>0</v>
      </c>
      <c r="J7" s="393">
        <f>修补数量统计!AQ8</f>
        <v>0</v>
      </c>
      <c r="K7" s="393">
        <f>修补数量统计!AV8</f>
        <v>0</v>
      </c>
      <c r="L7" s="393">
        <f>修补数量统计!BA8</f>
        <v>0</v>
      </c>
      <c r="M7" s="393">
        <f>修补数量统计!BF8</f>
        <v>0</v>
      </c>
      <c r="N7" s="393">
        <f>修补数量统计!BK8</f>
        <v>0</v>
      </c>
      <c r="O7" s="393">
        <f>修补数量统计!BP8</f>
        <v>0</v>
      </c>
      <c r="P7" s="393">
        <f>修补数量统计!BU8</f>
        <v>0</v>
      </c>
      <c r="Q7" s="393">
        <f>修补数量统计!BZ8</f>
        <v>0</v>
      </c>
      <c r="R7" s="393">
        <f>修补数量统计!CE8</f>
        <v>0</v>
      </c>
      <c r="S7" s="393">
        <f>修补数量统计!CJ8</f>
        <v>0</v>
      </c>
      <c r="T7" s="393">
        <f>修补数量统计!CO8</f>
        <v>0</v>
      </c>
      <c r="U7" s="393">
        <f>修补数量统计!CT8</f>
        <v>0</v>
      </c>
      <c r="V7" s="393">
        <f>修补数量统计!CY8</f>
        <v>0</v>
      </c>
      <c r="W7" s="393">
        <f>修补数量统计!DD8</f>
        <v>0</v>
      </c>
      <c r="X7" s="393">
        <f>修补数量统计!DI8</f>
        <v>0</v>
      </c>
      <c r="Y7" s="393">
        <f>修补数量统计!DN8</f>
        <v>0</v>
      </c>
      <c r="Z7" s="393">
        <f>修补数量统计!DS8</f>
        <v>0</v>
      </c>
      <c r="AA7" s="393">
        <f>修补数量统计!DX8</f>
        <v>0</v>
      </c>
      <c r="AB7" s="393">
        <f>修补数量统计!EC8</f>
        <v>0</v>
      </c>
      <c r="AC7" s="393">
        <f>修补数量统计!EH8</f>
        <v>0</v>
      </c>
      <c r="AD7" s="393">
        <f>修补数量统计!EM8</f>
        <v>0</v>
      </c>
      <c r="AE7" s="393">
        <f>修补数量统计!ER8</f>
        <v>0</v>
      </c>
      <c r="AF7" s="393">
        <f>修补数量统计!EW8</f>
        <v>0</v>
      </c>
      <c r="AG7" s="393">
        <f>修补数量统计!FB8</f>
        <v>0</v>
      </c>
      <c r="AH7" s="393">
        <v>0</v>
      </c>
      <c r="AI7" s="342">
        <v>0.133</v>
      </c>
      <c r="AJ7" s="460"/>
      <c r="AK7" s="339">
        <f t="shared" si="1"/>
        <v>0</v>
      </c>
      <c r="AL7" s="355"/>
    </row>
    <row r="8" s="356" customFormat="1" ht="15" customHeight="1" spans="1:38">
      <c r="A8" s="394"/>
      <c r="B8" s="337" t="s">
        <v>11</v>
      </c>
      <c r="C8" s="393">
        <f>修补数量统计!H9</f>
        <v>0</v>
      </c>
      <c r="D8" s="393">
        <f>修补数量统计!M9</f>
        <v>0</v>
      </c>
      <c r="E8" s="393">
        <f>修补数量统计!R9</f>
        <v>0</v>
      </c>
      <c r="F8" s="393">
        <f>修补数量统计!W9</f>
        <v>0</v>
      </c>
      <c r="G8" s="393">
        <f>修补数量统计!AB9</f>
        <v>0</v>
      </c>
      <c r="H8" s="393">
        <f>修补数量统计!AG9</f>
        <v>0</v>
      </c>
      <c r="I8" s="393">
        <f>修补数量统计!AL9</f>
        <v>0</v>
      </c>
      <c r="J8" s="393">
        <f>修补数量统计!AQ9</f>
        <v>0</v>
      </c>
      <c r="K8" s="393">
        <f>修补数量统计!AV9</f>
        <v>0</v>
      </c>
      <c r="L8" s="393">
        <f>修补数量统计!BA9</f>
        <v>0</v>
      </c>
      <c r="M8" s="393">
        <f>修补数量统计!BF9</f>
        <v>0</v>
      </c>
      <c r="N8" s="393">
        <f>修补数量统计!BK9</f>
        <v>0</v>
      </c>
      <c r="O8" s="393">
        <f>修补数量统计!BP9</f>
        <v>0</v>
      </c>
      <c r="P8" s="393">
        <f>修补数量统计!BU9</f>
        <v>0</v>
      </c>
      <c r="Q8" s="393">
        <f>修补数量统计!BZ9</f>
        <v>0</v>
      </c>
      <c r="R8" s="393">
        <f>修补数量统计!CE9</f>
        <v>0</v>
      </c>
      <c r="S8" s="393">
        <f>修补数量统计!CJ9</f>
        <v>0</v>
      </c>
      <c r="T8" s="393">
        <f>修补数量统计!CO9</f>
        <v>0</v>
      </c>
      <c r="U8" s="393">
        <f>修补数量统计!CT9</f>
        <v>0</v>
      </c>
      <c r="V8" s="393">
        <f>修补数量统计!CY9</f>
        <v>0</v>
      </c>
      <c r="W8" s="393">
        <f>修补数量统计!DD9</f>
        <v>0</v>
      </c>
      <c r="X8" s="393">
        <f>修补数量统计!DI9</f>
        <v>0</v>
      </c>
      <c r="Y8" s="393">
        <f>修补数量统计!DN9</f>
        <v>0</v>
      </c>
      <c r="Z8" s="393">
        <f>修补数量统计!DS9</f>
        <v>0</v>
      </c>
      <c r="AA8" s="393">
        <f>修补数量统计!DX9</f>
        <v>0</v>
      </c>
      <c r="AB8" s="393">
        <f>修补数量统计!EC9</f>
        <v>0</v>
      </c>
      <c r="AC8" s="393">
        <f>修补数量统计!EH9</f>
        <v>0</v>
      </c>
      <c r="AD8" s="393">
        <f>修补数量统计!EM9</f>
        <v>0</v>
      </c>
      <c r="AE8" s="393">
        <f>修补数量统计!ER9</f>
        <v>0</v>
      </c>
      <c r="AF8" s="393">
        <f>修补数量统计!EW9</f>
        <v>0</v>
      </c>
      <c r="AG8" s="393">
        <f>修补数量统计!FB9</f>
        <v>0</v>
      </c>
      <c r="AH8" s="393">
        <f t="shared" si="0"/>
        <v>0</v>
      </c>
      <c r="AI8" s="342">
        <v>0.23</v>
      </c>
      <c r="AJ8" s="460"/>
      <c r="AK8" s="339">
        <f t="shared" si="1"/>
        <v>0</v>
      </c>
      <c r="AL8" s="355"/>
    </row>
    <row r="9" s="356" customFormat="1" ht="15" customHeight="1" spans="1:38">
      <c r="A9" s="394"/>
      <c r="B9" s="337" t="s">
        <v>12</v>
      </c>
      <c r="C9" s="393">
        <f>修补数量统计!H10</f>
        <v>0</v>
      </c>
      <c r="D9" s="393">
        <f>修补数量统计!M10</f>
        <v>0</v>
      </c>
      <c r="E9" s="393">
        <f>修补数量统计!R10</f>
        <v>0</v>
      </c>
      <c r="F9" s="393">
        <f>修补数量统计!W10</f>
        <v>0</v>
      </c>
      <c r="G9" s="393">
        <f>修补数量统计!AB10</f>
        <v>0</v>
      </c>
      <c r="H9" s="393">
        <f>修补数量统计!AG10</f>
        <v>0</v>
      </c>
      <c r="I9" s="393">
        <f>修补数量统计!AL10</f>
        <v>0</v>
      </c>
      <c r="J9" s="393">
        <f>修补数量统计!AQ10</f>
        <v>0</v>
      </c>
      <c r="K9" s="393">
        <f>修补数量统计!AV10</f>
        <v>0</v>
      </c>
      <c r="L9" s="393">
        <f>修补数量统计!BA10</f>
        <v>0</v>
      </c>
      <c r="M9" s="393">
        <f>修补数量统计!BF10</f>
        <v>0</v>
      </c>
      <c r="N9" s="393">
        <f>修补数量统计!BK10</f>
        <v>0</v>
      </c>
      <c r="O9" s="393">
        <f>修补数量统计!BP10</f>
        <v>0</v>
      </c>
      <c r="P9" s="393">
        <f>修补数量统计!BU10</f>
        <v>0</v>
      </c>
      <c r="Q9" s="393">
        <f>修补数量统计!BZ10</f>
        <v>0</v>
      </c>
      <c r="R9" s="393">
        <f>修补数量统计!CE10</f>
        <v>0</v>
      </c>
      <c r="S9" s="393">
        <f>修补数量统计!CJ10</f>
        <v>0</v>
      </c>
      <c r="T9" s="393">
        <f>修补数量统计!CO10</f>
        <v>0</v>
      </c>
      <c r="U9" s="393">
        <f>修补数量统计!CT10</f>
        <v>0</v>
      </c>
      <c r="V9" s="393">
        <f>修补数量统计!CY10</f>
        <v>0</v>
      </c>
      <c r="W9" s="393">
        <f>修补数量统计!DD10</f>
        <v>0</v>
      </c>
      <c r="X9" s="393">
        <f>修补数量统计!DI10</f>
        <v>0</v>
      </c>
      <c r="Y9" s="393">
        <f>修补数量统计!DN10</f>
        <v>0</v>
      </c>
      <c r="Z9" s="393">
        <f>修补数量统计!DS10</f>
        <v>0</v>
      </c>
      <c r="AA9" s="393">
        <f>修补数量统计!DX10</f>
        <v>0</v>
      </c>
      <c r="AB9" s="393">
        <f>修补数量统计!EC10</f>
        <v>0</v>
      </c>
      <c r="AC9" s="393">
        <f>修补数量统计!EH10</f>
        <v>0</v>
      </c>
      <c r="AD9" s="393">
        <f>修补数量统计!EM10</f>
        <v>0</v>
      </c>
      <c r="AE9" s="393">
        <f>修补数量统计!ER10</f>
        <v>0</v>
      </c>
      <c r="AF9" s="393">
        <f>修补数量统计!EW10</f>
        <v>0</v>
      </c>
      <c r="AG9" s="393">
        <f>修补数量统计!FB10</f>
        <v>0</v>
      </c>
      <c r="AH9" s="393">
        <f t="shared" si="0"/>
        <v>0</v>
      </c>
      <c r="AI9" s="342">
        <v>0.25</v>
      </c>
      <c r="AJ9" s="460"/>
      <c r="AK9" s="339">
        <f t="shared" si="1"/>
        <v>0</v>
      </c>
      <c r="AL9" s="355"/>
    </row>
    <row r="10" s="356" customFormat="1" ht="15" customHeight="1" spans="1:38">
      <c r="A10" s="394"/>
      <c r="B10" s="337" t="s">
        <v>13</v>
      </c>
      <c r="C10" s="393">
        <f>修补数量统计!H11</f>
        <v>185</v>
      </c>
      <c r="D10" s="393">
        <f>修补数量统计!M11</f>
        <v>243</v>
      </c>
      <c r="E10" s="393">
        <f>修补数量统计!R11</f>
        <v>111</v>
      </c>
      <c r="F10" s="393">
        <f>修补数量统计!W11</f>
        <v>183</v>
      </c>
      <c r="G10" s="393">
        <f>修补数量统计!AB11</f>
        <v>187</v>
      </c>
      <c r="H10" s="393">
        <f>修补数量统计!AG11</f>
        <v>241</v>
      </c>
      <c r="I10" s="393">
        <f>修补数量统计!AL11</f>
        <v>216</v>
      </c>
      <c r="J10" s="393">
        <f>修补数量统计!AQ11</f>
        <v>265</v>
      </c>
      <c r="K10" s="393">
        <f>修补数量统计!AV11</f>
        <v>187</v>
      </c>
      <c r="L10" s="393">
        <f>修补数量统计!BA11</f>
        <v>182</v>
      </c>
      <c r="M10" s="393">
        <f>修补数量统计!BF11</f>
        <v>185</v>
      </c>
      <c r="N10" s="393">
        <f>修补数量统计!BK11</f>
        <v>187</v>
      </c>
      <c r="O10" s="393">
        <f>修补数量统计!BP11</f>
        <v>170</v>
      </c>
      <c r="P10" s="393">
        <f>修补数量统计!BU11</f>
        <v>171</v>
      </c>
      <c r="Q10" s="393">
        <f>修补数量统计!BZ11</f>
        <v>0</v>
      </c>
      <c r="R10" s="393">
        <f>修补数量统计!CE11</f>
        <v>0</v>
      </c>
      <c r="S10" s="393">
        <f>修补数量统计!CJ11</f>
        <v>0</v>
      </c>
      <c r="T10" s="393">
        <f>修补数量统计!CO11</f>
        <v>0</v>
      </c>
      <c r="U10" s="393">
        <f>修补数量统计!CT11</f>
        <v>0</v>
      </c>
      <c r="V10" s="393">
        <f>修补数量统计!CY11</f>
        <v>0</v>
      </c>
      <c r="W10" s="393">
        <f>修补数量统计!DD11</f>
        <v>0</v>
      </c>
      <c r="X10" s="393">
        <f>修补数量统计!DI11</f>
        <v>37</v>
      </c>
      <c r="Y10" s="393">
        <f>修补数量统计!DN11</f>
        <v>0</v>
      </c>
      <c r="Z10" s="393">
        <f>修补数量统计!DS11</f>
        <v>0</v>
      </c>
      <c r="AA10" s="393">
        <f>修补数量统计!DX11</f>
        <v>0</v>
      </c>
      <c r="AB10" s="393">
        <f>修补数量统计!EC11</f>
        <v>0</v>
      </c>
      <c r="AC10" s="393">
        <f>修补数量统计!EH11</f>
        <v>0</v>
      </c>
      <c r="AD10" s="393">
        <f>修补数量统计!EM11</f>
        <v>0</v>
      </c>
      <c r="AE10" s="393">
        <f>修补数量统计!ER11</f>
        <v>0</v>
      </c>
      <c r="AF10" s="393">
        <f>修补数量统计!EW11</f>
        <v>0</v>
      </c>
      <c r="AG10" s="393">
        <f>修补数量统计!FB11</f>
        <v>0</v>
      </c>
      <c r="AH10" s="393">
        <f t="shared" si="0"/>
        <v>2750</v>
      </c>
      <c r="AI10" s="342">
        <v>0.67</v>
      </c>
      <c r="AJ10" s="460"/>
      <c r="AK10" s="339">
        <f t="shared" si="1"/>
        <v>1842.5</v>
      </c>
      <c r="AL10" s="355"/>
    </row>
    <row r="11" s="356" customFormat="1" ht="15" customHeight="1" spans="1:38">
      <c r="A11" s="394"/>
      <c r="B11" s="337" t="s">
        <v>14</v>
      </c>
      <c r="C11" s="393">
        <f>修补数量统计!H12</f>
        <v>0</v>
      </c>
      <c r="D11" s="393">
        <f>修补数量统计!M12</f>
        <v>0</v>
      </c>
      <c r="E11" s="393">
        <f>修补数量统计!R12</f>
        <v>0</v>
      </c>
      <c r="F11" s="393">
        <f>修补数量统计!W12</f>
        <v>0</v>
      </c>
      <c r="G11" s="393">
        <f>修补数量统计!AB12</f>
        <v>0</v>
      </c>
      <c r="H11" s="393">
        <f>修补数量统计!AG12</f>
        <v>0</v>
      </c>
      <c r="I11" s="393">
        <f>修补数量统计!AL12</f>
        <v>0</v>
      </c>
      <c r="J11" s="393">
        <f>修补数量统计!AQ12</f>
        <v>0</v>
      </c>
      <c r="K11" s="393">
        <f>修补数量统计!AV12</f>
        <v>0</v>
      </c>
      <c r="L11" s="393">
        <f>修补数量统计!BA12</f>
        <v>0</v>
      </c>
      <c r="M11" s="393">
        <f>修补数量统计!BF12</f>
        <v>0</v>
      </c>
      <c r="N11" s="393">
        <f>修补数量统计!BK12</f>
        <v>0</v>
      </c>
      <c r="O11" s="393">
        <f>修补数量统计!BP12</f>
        <v>0</v>
      </c>
      <c r="P11" s="393">
        <f>修补数量统计!BU12</f>
        <v>0</v>
      </c>
      <c r="Q11" s="393">
        <f>修补数量统计!BZ12</f>
        <v>0</v>
      </c>
      <c r="R11" s="393">
        <f>修补数量统计!CE12</f>
        <v>0</v>
      </c>
      <c r="S11" s="393">
        <f>修补数量统计!CJ12</f>
        <v>0</v>
      </c>
      <c r="T11" s="393">
        <f>修补数量统计!CO12</f>
        <v>0</v>
      </c>
      <c r="U11" s="393">
        <f>修补数量统计!CT12</f>
        <v>0</v>
      </c>
      <c r="V11" s="393">
        <f>修补数量统计!CY12</f>
        <v>0</v>
      </c>
      <c r="W11" s="393">
        <f>修补数量统计!DD12</f>
        <v>0</v>
      </c>
      <c r="X11" s="393">
        <f>修补数量统计!DI12</f>
        <v>0</v>
      </c>
      <c r="Y11" s="393">
        <f>修补数量统计!DN12</f>
        <v>0</v>
      </c>
      <c r="Z11" s="393">
        <f>修补数量统计!DS12</f>
        <v>0</v>
      </c>
      <c r="AA11" s="393">
        <f>修补数量统计!DX12</f>
        <v>0</v>
      </c>
      <c r="AB11" s="393">
        <f>修补数量统计!EC12</f>
        <v>0</v>
      </c>
      <c r="AC11" s="393">
        <f>修补数量统计!EH12</f>
        <v>0</v>
      </c>
      <c r="AD11" s="393">
        <f>修补数量统计!EM12</f>
        <v>0</v>
      </c>
      <c r="AE11" s="393">
        <f>修补数量统计!ER12</f>
        <v>0</v>
      </c>
      <c r="AF11" s="393">
        <f>修补数量统计!EW12</f>
        <v>0</v>
      </c>
      <c r="AG11" s="393">
        <f>修补数量统计!FB12</f>
        <v>0</v>
      </c>
      <c r="AH11" s="393">
        <f t="shared" si="0"/>
        <v>0</v>
      </c>
      <c r="AI11" s="342">
        <v>0.373</v>
      </c>
      <c r="AJ11" s="460"/>
      <c r="AK11" s="339">
        <f t="shared" si="1"/>
        <v>0</v>
      </c>
      <c r="AL11" s="355"/>
    </row>
    <row r="12" s="356" customFormat="1" ht="15" customHeight="1" spans="1:38">
      <c r="A12" s="394"/>
      <c r="B12" s="337" t="s">
        <v>15</v>
      </c>
      <c r="C12" s="393">
        <f>修补数量统计!H13</f>
        <v>0</v>
      </c>
      <c r="D12" s="393">
        <f>修补数量统计!M13</f>
        <v>0</v>
      </c>
      <c r="E12" s="393">
        <f>修补数量统计!R13</f>
        <v>0</v>
      </c>
      <c r="F12" s="393">
        <f>修补数量统计!W13</f>
        <v>0</v>
      </c>
      <c r="G12" s="393">
        <f>修补数量统计!AB13</f>
        <v>0</v>
      </c>
      <c r="H12" s="393">
        <f>修补数量统计!AG13</f>
        <v>0</v>
      </c>
      <c r="I12" s="393">
        <f>修补数量统计!AL13</f>
        <v>0</v>
      </c>
      <c r="J12" s="393">
        <f>修补数量统计!AQ13</f>
        <v>0</v>
      </c>
      <c r="K12" s="393">
        <f>修补数量统计!AV13</f>
        <v>0</v>
      </c>
      <c r="L12" s="393">
        <f>修补数量统计!BA13</f>
        <v>0</v>
      </c>
      <c r="M12" s="393">
        <f>修补数量统计!BF13</f>
        <v>0</v>
      </c>
      <c r="N12" s="393">
        <f>修补数量统计!BK13</f>
        <v>0</v>
      </c>
      <c r="O12" s="393">
        <f>修补数量统计!BP13</f>
        <v>0</v>
      </c>
      <c r="P12" s="393">
        <f>修补数量统计!BU13</f>
        <v>0</v>
      </c>
      <c r="Q12" s="393">
        <f>修补数量统计!BZ13</f>
        <v>87</v>
      </c>
      <c r="R12" s="393">
        <f>修补数量统计!CE13</f>
        <v>53</v>
      </c>
      <c r="S12" s="393">
        <f>修补数量统计!CJ13</f>
        <v>0</v>
      </c>
      <c r="T12" s="393">
        <f>修补数量统计!CO13</f>
        <v>0</v>
      </c>
      <c r="U12" s="393">
        <f>修补数量统计!CT13</f>
        <v>0</v>
      </c>
      <c r="V12" s="393">
        <f>修补数量统计!CY13</f>
        <v>0</v>
      </c>
      <c r="W12" s="393">
        <f>修补数量统计!DD13</f>
        <v>0</v>
      </c>
      <c r="X12" s="393">
        <f>修补数量统计!DI13</f>
        <v>0</v>
      </c>
      <c r="Y12" s="393">
        <f>修补数量统计!DN13</f>
        <v>98</v>
      </c>
      <c r="Z12" s="393">
        <f>修补数量统计!DS13</f>
        <v>110</v>
      </c>
      <c r="AA12" s="393">
        <f>修补数量统计!DX13</f>
        <v>90</v>
      </c>
      <c r="AB12" s="393">
        <f>修补数量统计!EC13</f>
        <v>105</v>
      </c>
      <c r="AC12" s="393">
        <f>修补数量统计!EH13</f>
        <v>102</v>
      </c>
      <c r="AD12" s="393">
        <f>修补数量统计!EM13</f>
        <v>101</v>
      </c>
      <c r="AE12" s="393">
        <f>修补数量统计!ER13</f>
        <v>110</v>
      </c>
      <c r="AF12" s="393">
        <f>修补数量统计!EW13</f>
        <v>67</v>
      </c>
      <c r="AG12" s="393">
        <f>修补数量统计!FB13</f>
        <v>0</v>
      </c>
      <c r="AH12" s="393">
        <f t="shared" si="0"/>
        <v>923</v>
      </c>
      <c r="AI12" s="342">
        <v>0.373</v>
      </c>
      <c r="AJ12" s="460"/>
      <c r="AK12" s="339">
        <f t="shared" si="1"/>
        <v>344.279</v>
      </c>
      <c r="AL12" s="355"/>
    </row>
    <row r="13" s="356" customFormat="1" ht="15" customHeight="1" spans="1:38">
      <c r="A13" s="394"/>
      <c r="B13" s="337" t="s">
        <v>16</v>
      </c>
      <c r="C13" s="393">
        <f>修补数量统计!H14</f>
        <v>0</v>
      </c>
      <c r="D13" s="393">
        <f>修补数量统计!M14</f>
        <v>0</v>
      </c>
      <c r="E13" s="393">
        <f>修补数量统计!R14</f>
        <v>0</v>
      </c>
      <c r="F13" s="393">
        <f>修补数量统计!W14</f>
        <v>0</v>
      </c>
      <c r="G13" s="393">
        <f>修补数量统计!AB14</f>
        <v>0</v>
      </c>
      <c r="H13" s="393">
        <f>修补数量统计!AG14</f>
        <v>0</v>
      </c>
      <c r="I13" s="393">
        <f>修补数量统计!AL14</f>
        <v>0</v>
      </c>
      <c r="J13" s="393">
        <f>修补数量统计!AQ14</f>
        <v>0</v>
      </c>
      <c r="K13" s="393">
        <f>修补数量统计!AV14</f>
        <v>0</v>
      </c>
      <c r="L13" s="393">
        <f>修补数量统计!BA14</f>
        <v>0</v>
      </c>
      <c r="M13" s="393">
        <f>修补数量统计!BF14</f>
        <v>57</v>
      </c>
      <c r="N13" s="393">
        <f>修补数量统计!BK14</f>
        <v>0</v>
      </c>
      <c r="O13" s="393">
        <f>修补数量统计!BP14</f>
        <v>59</v>
      </c>
      <c r="P13" s="393">
        <f>修补数量统计!BU14</f>
        <v>55</v>
      </c>
      <c r="Q13" s="393">
        <f>修补数量统计!BZ14</f>
        <v>59</v>
      </c>
      <c r="R13" s="393">
        <f>修补数量统计!CE14</f>
        <v>56</v>
      </c>
      <c r="S13" s="393">
        <f>修补数量统计!CJ14</f>
        <v>0</v>
      </c>
      <c r="T13" s="393">
        <f>修补数量统计!CO14</f>
        <v>0</v>
      </c>
      <c r="U13" s="393">
        <f>修补数量统计!CT14</f>
        <v>0</v>
      </c>
      <c r="V13" s="393">
        <f>修补数量统计!CY14</f>
        <v>0</v>
      </c>
      <c r="W13" s="393">
        <f>修补数量统计!DD14</f>
        <v>0</v>
      </c>
      <c r="X13" s="393">
        <f>修补数量统计!DI14</f>
        <v>99</v>
      </c>
      <c r="Y13" s="393">
        <f>修补数量统计!DN14</f>
        <v>96</v>
      </c>
      <c r="Z13" s="393">
        <f>修补数量统计!DS14</f>
        <v>100</v>
      </c>
      <c r="AA13" s="393">
        <f>修补数量统计!DX14</f>
        <v>90</v>
      </c>
      <c r="AB13" s="393">
        <f>修补数量统计!EC14</f>
        <v>102</v>
      </c>
      <c r="AC13" s="393">
        <f>修补数量统计!EH14</f>
        <v>100</v>
      </c>
      <c r="AD13" s="393">
        <f>修补数量统计!EM14</f>
        <v>110</v>
      </c>
      <c r="AE13" s="393">
        <f>修补数量统计!ER14</f>
        <v>112</v>
      </c>
      <c r="AF13" s="393">
        <f>修补数量统计!EW14</f>
        <v>92</v>
      </c>
      <c r="AG13" s="393">
        <f>修补数量统计!FB14</f>
        <v>0</v>
      </c>
      <c r="AH13" s="393">
        <f t="shared" si="0"/>
        <v>1187</v>
      </c>
      <c r="AI13" s="342">
        <v>0.373</v>
      </c>
      <c r="AJ13" s="460"/>
      <c r="AK13" s="339">
        <f t="shared" si="1"/>
        <v>442.751</v>
      </c>
      <c r="AL13" s="355"/>
    </row>
    <row r="14" s="356" customFormat="1" ht="15" customHeight="1" spans="1:38">
      <c r="A14" s="395"/>
      <c r="B14" s="337" t="s">
        <v>17</v>
      </c>
      <c r="C14" s="393">
        <f>修补数量统计!H15</f>
        <v>0</v>
      </c>
      <c r="D14" s="393">
        <f>修补数量统计!M15</f>
        <v>0</v>
      </c>
      <c r="E14" s="393">
        <f>修补数量统计!R15</f>
        <v>0</v>
      </c>
      <c r="F14" s="393">
        <f>修补数量统计!W15</f>
        <v>0</v>
      </c>
      <c r="G14" s="393">
        <f>修补数量统计!AB15</f>
        <v>0</v>
      </c>
      <c r="H14" s="393">
        <f>修补数量统计!AG15</f>
        <v>0</v>
      </c>
      <c r="I14" s="393">
        <f>修补数量统计!AL15</f>
        <v>0</v>
      </c>
      <c r="J14" s="393">
        <f>修补数量统计!AQ15</f>
        <v>0</v>
      </c>
      <c r="K14" s="393">
        <f>修补数量统计!AV15</f>
        <v>0</v>
      </c>
      <c r="L14" s="393">
        <f>修补数量统计!BA15</f>
        <v>0</v>
      </c>
      <c r="M14" s="393">
        <f>修补数量统计!BF15</f>
        <v>0</v>
      </c>
      <c r="N14" s="393">
        <f>修补数量统计!BK15</f>
        <v>0</v>
      </c>
      <c r="O14" s="393">
        <f>修补数量统计!BP15</f>
        <v>0</v>
      </c>
      <c r="P14" s="393">
        <f>修补数量统计!BU15</f>
        <v>0</v>
      </c>
      <c r="Q14" s="393">
        <f>修补数量统计!BZ15</f>
        <v>0</v>
      </c>
      <c r="R14" s="393">
        <f>修补数量统计!CE15</f>
        <v>0</v>
      </c>
      <c r="S14" s="393">
        <f>修补数量统计!CJ15</f>
        <v>0</v>
      </c>
      <c r="T14" s="393">
        <f>修补数量统计!CO15</f>
        <v>0</v>
      </c>
      <c r="U14" s="393">
        <f>修补数量统计!CT15</f>
        <v>0</v>
      </c>
      <c r="V14" s="393">
        <f>修补数量统计!CY15</f>
        <v>0</v>
      </c>
      <c r="W14" s="393">
        <f>修补数量统计!DD15</f>
        <v>0</v>
      </c>
      <c r="X14" s="393">
        <f>修补数量统计!DI15</f>
        <v>0</v>
      </c>
      <c r="Y14" s="393">
        <f>修补数量统计!DN15</f>
        <v>0</v>
      </c>
      <c r="Z14" s="393">
        <f>修补数量统计!DS15</f>
        <v>0</v>
      </c>
      <c r="AA14" s="393">
        <f>修补数量统计!DX15</f>
        <v>0</v>
      </c>
      <c r="AB14" s="393">
        <f>修补数量统计!EC15</f>
        <v>0</v>
      </c>
      <c r="AC14" s="393">
        <f>修补数量统计!EH15</f>
        <v>0</v>
      </c>
      <c r="AD14" s="393">
        <f>修补数量统计!EM15</f>
        <v>0</v>
      </c>
      <c r="AE14" s="393">
        <f>修补数量统计!ER15</f>
        <v>0</v>
      </c>
      <c r="AF14" s="393">
        <f>修补数量统计!EW15</f>
        <v>0</v>
      </c>
      <c r="AG14" s="393">
        <f>修补数量统计!FB15</f>
        <v>0</v>
      </c>
      <c r="AH14" s="393">
        <f t="shared" si="0"/>
        <v>0</v>
      </c>
      <c r="AI14" s="342">
        <v>0.373</v>
      </c>
      <c r="AJ14" s="461"/>
      <c r="AK14" s="339">
        <f t="shared" si="1"/>
        <v>0</v>
      </c>
      <c r="AL14" s="355"/>
    </row>
    <row r="15" s="355" customFormat="1" ht="15" hidden="1" customHeight="1" spans="1:37">
      <c r="A15" s="396" t="s">
        <v>18</v>
      </c>
      <c r="B15" s="397" t="s">
        <v>8</v>
      </c>
      <c r="C15" s="398">
        <f>修补数量统计!H16</f>
        <v>0</v>
      </c>
      <c r="D15" s="399"/>
      <c r="E15" s="399"/>
      <c r="F15" s="398">
        <f>修补数量统计!W16</f>
        <v>0</v>
      </c>
      <c r="G15" s="399"/>
      <c r="H15" s="399"/>
      <c r="I15" s="399"/>
      <c r="J15" s="399"/>
      <c r="K15" s="393">
        <f>修补数量统计!AV16</f>
        <v>0</v>
      </c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399"/>
      <c r="AF15" s="399"/>
      <c r="AG15" s="399"/>
      <c r="AH15" s="462">
        <f t="shared" ref="AH15:AH35" si="2">C15+D15+E15+F15+G15+H15+I15+J15+K15+L15+M15+N15+O15+P15+Q15+R15+S15+T15+U15+V15+W15+X15+Y15+Z15+AA15+AB15+AC15+AD15+AE15+AF15+AG15</f>
        <v>0</v>
      </c>
      <c r="AI15" s="463">
        <v>0.4074</v>
      </c>
      <c r="AJ15" s="464">
        <f>AH15*AI15+AH16*AI16+AH17*AI17+AH18*AI18+AH19*AI19+AH20*AI20+AH21*AI21+AH22*AI22+AH23*AI23+AH24*AI24</f>
        <v>0</v>
      </c>
      <c r="AK15" s="463">
        <v>0.4</v>
      </c>
    </row>
    <row r="16" s="355" customFormat="1" ht="15" hidden="1" customHeight="1" spans="1:37">
      <c r="A16" s="396"/>
      <c r="B16" s="397" t="s">
        <v>9</v>
      </c>
      <c r="C16" s="398">
        <f>修补数量统计!H17</f>
        <v>0</v>
      </c>
      <c r="D16" s="399"/>
      <c r="E16" s="399"/>
      <c r="F16" s="398">
        <f>修补数量统计!W17</f>
        <v>0</v>
      </c>
      <c r="G16" s="399"/>
      <c r="H16" s="399"/>
      <c r="I16" s="399"/>
      <c r="J16" s="399"/>
      <c r="K16" s="393">
        <f>修补数量统计!AV17</f>
        <v>0</v>
      </c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399"/>
      <c r="AG16" s="399"/>
      <c r="AH16" s="462">
        <f t="shared" si="2"/>
        <v>0</v>
      </c>
      <c r="AI16" s="465">
        <v>0.426727272727273</v>
      </c>
      <c r="AJ16" s="464"/>
      <c r="AK16" s="465">
        <v>0.133</v>
      </c>
    </row>
    <row r="17" s="355" customFormat="1" ht="15" hidden="1" customHeight="1" spans="1:37">
      <c r="A17" s="396"/>
      <c r="B17" s="397" t="s">
        <v>10</v>
      </c>
      <c r="C17" s="398">
        <f>修补数量统计!H18</f>
        <v>0</v>
      </c>
      <c r="D17" s="399"/>
      <c r="E17" s="399"/>
      <c r="F17" s="398">
        <f>修补数量统计!W18</f>
        <v>0</v>
      </c>
      <c r="G17" s="399"/>
      <c r="H17" s="399"/>
      <c r="I17" s="399"/>
      <c r="J17" s="399"/>
      <c r="K17" s="393">
        <f>修补数量统计!AV18</f>
        <v>0</v>
      </c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399"/>
      <c r="AA17" s="399"/>
      <c r="AB17" s="399"/>
      <c r="AC17" s="399"/>
      <c r="AD17" s="399"/>
      <c r="AE17" s="399"/>
      <c r="AF17" s="399"/>
      <c r="AG17" s="399"/>
      <c r="AH17" s="462">
        <f t="shared" si="2"/>
        <v>0</v>
      </c>
      <c r="AI17" s="465">
        <v>0.446054545454545</v>
      </c>
      <c r="AJ17" s="464"/>
      <c r="AK17" s="465">
        <v>0.23</v>
      </c>
    </row>
    <row r="18" s="355" customFormat="1" ht="15" hidden="1" customHeight="1" spans="1:37">
      <c r="A18" s="396"/>
      <c r="B18" s="397" t="s">
        <v>11</v>
      </c>
      <c r="C18" s="398">
        <f>修补数量统计!H19</f>
        <v>0</v>
      </c>
      <c r="D18" s="399"/>
      <c r="E18" s="399"/>
      <c r="F18" s="398">
        <f>修补数量统计!W19</f>
        <v>0</v>
      </c>
      <c r="G18" s="399"/>
      <c r="H18" s="399"/>
      <c r="I18" s="399"/>
      <c r="J18" s="399"/>
      <c r="K18" s="393">
        <f>修补数量统计!AV19</f>
        <v>0</v>
      </c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399"/>
      <c r="X18" s="399"/>
      <c r="Y18" s="399"/>
      <c r="Z18" s="399"/>
      <c r="AA18" s="399"/>
      <c r="AB18" s="399"/>
      <c r="AC18" s="399"/>
      <c r="AD18" s="399"/>
      <c r="AE18" s="399"/>
      <c r="AF18" s="399"/>
      <c r="AG18" s="399"/>
      <c r="AH18" s="462">
        <f t="shared" si="2"/>
        <v>0</v>
      </c>
      <c r="AI18" s="465">
        <v>0.465381818181818</v>
      </c>
      <c r="AJ18" s="464"/>
      <c r="AK18" s="465">
        <v>0.25</v>
      </c>
    </row>
    <row r="19" s="355" customFormat="1" ht="15" hidden="1" customHeight="1" spans="1:37">
      <c r="A19" s="396"/>
      <c r="B19" s="397" t="s">
        <v>12</v>
      </c>
      <c r="C19" s="398">
        <f>修补数量统计!H20</f>
        <v>0</v>
      </c>
      <c r="D19" s="399"/>
      <c r="E19" s="399"/>
      <c r="F19" s="398">
        <f>修补数量统计!W20</f>
        <v>0</v>
      </c>
      <c r="G19" s="399"/>
      <c r="H19" s="399"/>
      <c r="I19" s="399"/>
      <c r="J19" s="399"/>
      <c r="K19" s="393">
        <f>修补数量统计!AV20</f>
        <v>0</v>
      </c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99"/>
      <c r="AE19" s="399"/>
      <c r="AF19" s="399"/>
      <c r="AG19" s="399"/>
      <c r="AH19" s="462">
        <f t="shared" si="2"/>
        <v>0</v>
      </c>
      <c r="AI19" s="465">
        <v>0.484709090909091</v>
      </c>
      <c r="AJ19" s="464"/>
      <c r="AK19" s="465">
        <v>0.373</v>
      </c>
    </row>
    <row r="20" s="355" customFormat="1" ht="15" hidden="1" customHeight="1" spans="1:37">
      <c r="A20" s="400" t="s">
        <v>19</v>
      </c>
      <c r="B20" s="397" t="s">
        <v>20</v>
      </c>
      <c r="C20" s="398">
        <f>修补数量统计!H21</f>
        <v>0</v>
      </c>
      <c r="D20" s="399"/>
      <c r="E20" s="399"/>
      <c r="F20" s="398">
        <f>修补数量统计!W21</f>
        <v>0</v>
      </c>
      <c r="G20" s="399"/>
      <c r="H20" s="399"/>
      <c r="I20" s="399"/>
      <c r="J20" s="399"/>
      <c r="K20" s="393">
        <f>修补数量统计!AV21</f>
        <v>0</v>
      </c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399"/>
      <c r="X20" s="399"/>
      <c r="Y20" s="399"/>
      <c r="Z20" s="399"/>
      <c r="AA20" s="399"/>
      <c r="AB20" s="399"/>
      <c r="AC20" s="399"/>
      <c r="AD20" s="399"/>
      <c r="AE20" s="399"/>
      <c r="AF20" s="399"/>
      <c r="AG20" s="399"/>
      <c r="AH20" s="462">
        <f t="shared" si="2"/>
        <v>0</v>
      </c>
      <c r="AI20" s="465">
        <v>0.504036363636364</v>
      </c>
      <c r="AJ20" s="464"/>
      <c r="AK20" s="463">
        <v>0.4</v>
      </c>
    </row>
    <row r="21" s="355" customFormat="1" ht="15" hidden="1" customHeight="1" spans="1:37">
      <c r="A21" s="400"/>
      <c r="B21" s="397" t="s">
        <v>21</v>
      </c>
      <c r="C21" s="398">
        <f>修补数量统计!H22</f>
        <v>0</v>
      </c>
      <c r="D21" s="399"/>
      <c r="E21" s="399"/>
      <c r="F21" s="398">
        <f>修补数量统计!W22</f>
        <v>0</v>
      </c>
      <c r="G21" s="399"/>
      <c r="H21" s="399"/>
      <c r="I21" s="399"/>
      <c r="J21" s="399"/>
      <c r="K21" s="393">
        <f>修补数量统计!AV22</f>
        <v>0</v>
      </c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399"/>
      <c r="X21" s="399"/>
      <c r="Y21" s="399"/>
      <c r="Z21" s="399"/>
      <c r="AA21" s="399"/>
      <c r="AB21" s="399"/>
      <c r="AC21" s="399"/>
      <c r="AD21" s="399"/>
      <c r="AE21" s="399"/>
      <c r="AF21" s="399"/>
      <c r="AG21" s="399"/>
      <c r="AH21" s="462">
        <f t="shared" si="2"/>
        <v>0</v>
      </c>
      <c r="AI21" s="465">
        <v>0.523363636363636</v>
      </c>
      <c r="AJ21" s="464"/>
      <c r="AK21" s="465">
        <v>0.133</v>
      </c>
    </row>
    <row r="22" s="355" customFormat="1" ht="15" hidden="1" customHeight="1" spans="1:37">
      <c r="A22" s="400"/>
      <c r="B22" s="397" t="s">
        <v>22</v>
      </c>
      <c r="C22" s="398">
        <f>修补数量统计!H23</f>
        <v>0</v>
      </c>
      <c r="D22" s="399"/>
      <c r="E22" s="399"/>
      <c r="F22" s="398">
        <f>修补数量统计!W23</f>
        <v>0</v>
      </c>
      <c r="G22" s="399"/>
      <c r="H22" s="399"/>
      <c r="I22" s="399"/>
      <c r="J22" s="399"/>
      <c r="K22" s="393">
        <f>修补数量统计!AV23</f>
        <v>0</v>
      </c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399"/>
      <c r="X22" s="399"/>
      <c r="Y22" s="399"/>
      <c r="Z22" s="399"/>
      <c r="AA22" s="399"/>
      <c r="AB22" s="399"/>
      <c r="AC22" s="399"/>
      <c r="AD22" s="399"/>
      <c r="AE22" s="399"/>
      <c r="AF22" s="399"/>
      <c r="AG22" s="399"/>
      <c r="AH22" s="462">
        <f t="shared" si="2"/>
        <v>0</v>
      </c>
      <c r="AI22" s="465">
        <v>0.542690909090909</v>
      </c>
      <c r="AJ22" s="464"/>
      <c r="AK22" s="465">
        <v>0.23</v>
      </c>
    </row>
    <row r="23" s="355" customFormat="1" ht="15" hidden="1" customHeight="1" spans="1:37">
      <c r="A23" s="400"/>
      <c r="B23" s="397" t="s">
        <v>23</v>
      </c>
      <c r="C23" s="398">
        <f>修补数量统计!H24</f>
        <v>0</v>
      </c>
      <c r="D23" s="399"/>
      <c r="E23" s="399"/>
      <c r="F23" s="398">
        <f>修补数量统计!W24</f>
        <v>0</v>
      </c>
      <c r="G23" s="399"/>
      <c r="H23" s="399"/>
      <c r="I23" s="399"/>
      <c r="J23" s="399"/>
      <c r="K23" s="393">
        <f>修补数量统计!AV24</f>
        <v>0</v>
      </c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399"/>
      <c r="AC23" s="399"/>
      <c r="AD23" s="399"/>
      <c r="AE23" s="399"/>
      <c r="AF23" s="399"/>
      <c r="AG23" s="399"/>
      <c r="AH23" s="462">
        <f t="shared" si="2"/>
        <v>0</v>
      </c>
      <c r="AI23" s="465">
        <v>0.562018181818182</v>
      </c>
      <c r="AJ23" s="464"/>
      <c r="AK23" s="465">
        <v>0.25</v>
      </c>
    </row>
    <row r="24" s="355" customFormat="1" ht="15" hidden="1" customHeight="1" spans="1:37">
      <c r="A24" s="400"/>
      <c r="B24" s="401" t="s">
        <v>24</v>
      </c>
      <c r="C24" s="398">
        <f>修补数量统计!H25</f>
        <v>0</v>
      </c>
      <c r="D24" s="399"/>
      <c r="E24" s="399"/>
      <c r="F24" s="398">
        <f>修补数量统计!W25</f>
        <v>0</v>
      </c>
      <c r="G24" s="399"/>
      <c r="H24" s="399"/>
      <c r="I24" s="399"/>
      <c r="J24" s="399"/>
      <c r="K24" s="393">
        <f>修补数量统计!AV25</f>
        <v>0</v>
      </c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399"/>
      <c r="AC24" s="399"/>
      <c r="AD24" s="399"/>
      <c r="AE24" s="399"/>
      <c r="AF24" s="399"/>
      <c r="AG24" s="399"/>
      <c r="AH24" s="462">
        <f t="shared" si="2"/>
        <v>0</v>
      </c>
      <c r="AI24" s="465">
        <v>0.581345454545455</v>
      </c>
      <c r="AJ24" s="466"/>
      <c r="AK24" s="465">
        <v>0.373</v>
      </c>
    </row>
    <row r="25" s="355" customFormat="1" ht="15" hidden="1" customHeight="1" spans="1:37">
      <c r="A25" s="402" t="s">
        <v>25</v>
      </c>
      <c r="B25" s="397" t="s">
        <v>8</v>
      </c>
      <c r="C25" s="398">
        <f>修补数量统计!H26</f>
        <v>0</v>
      </c>
      <c r="D25" s="399"/>
      <c r="E25" s="399"/>
      <c r="F25" s="398">
        <f>修补数量统计!W26</f>
        <v>45</v>
      </c>
      <c r="G25" s="399"/>
      <c r="H25" s="399"/>
      <c r="I25" s="399"/>
      <c r="J25" s="399"/>
      <c r="K25" s="393">
        <f>修补数量统计!AV26</f>
        <v>0</v>
      </c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399"/>
      <c r="AC25" s="399"/>
      <c r="AD25" s="399"/>
      <c r="AE25" s="399"/>
      <c r="AF25" s="399"/>
      <c r="AG25" s="399"/>
      <c r="AH25" s="462">
        <f t="shared" si="2"/>
        <v>45</v>
      </c>
      <c r="AI25" s="463">
        <v>0.4</v>
      </c>
      <c r="AJ25" s="467">
        <f>AH25*AI25+AH26*AI26+AH27*AI27+AH28*AI28+AH29*AI29+AH30*AI30+AH31*AI31+AH32*AI32+AH33*AI33+AH34*AI34</f>
        <v>471.97</v>
      </c>
      <c r="AK25" s="463">
        <v>0.4</v>
      </c>
    </row>
    <row r="26" s="355" customFormat="1" ht="15" hidden="1" customHeight="1" spans="1:37">
      <c r="A26" s="403"/>
      <c r="B26" s="397" t="s">
        <v>9</v>
      </c>
      <c r="C26" s="398">
        <f>修补数量统计!H27</f>
        <v>0</v>
      </c>
      <c r="D26" s="399"/>
      <c r="E26" s="399"/>
      <c r="F26" s="398">
        <f>修补数量统计!W27</f>
        <v>0</v>
      </c>
      <c r="G26" s="399"/>
      <c r="H26" s="399"/>
      <c r="I26" s="399"/>
      <c r="J26" s="399"/>
      <c r="K26" s="393">
        <f>修补数量统计!AV27</f>
        <v>0</v>
      </c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99"/>
      <c r="AF26" s="399"/>
      <c r="AG26" s="399"/>
      <c r="AH26" s="462">
        <f t="shared" si="2"/>
        <v>0</v>
      </c>
      <c r="AI26" s="465">
        <v>0.133</v>
      </c>
      <c r="AJ26" s="467"/>
      <c r="AK26" s="465">
        <v>0.133</v>
      </c>
    </row>
    <row r="27" s="355" customFormat="1" ht="15" hidden="1" customHeight="1" spans="1:37">
      <c r="A27" s="403"/>
      <c r="B27" s="397" t="s">
        <v>10</v>
      </c>
      <c r="C27" s="398">
        <f>修补数量统计!H28</f>
        <v>0</v>
      </c>
      <c r="D27" s="399"/>
      <c r="E27" s="399"/>
      <c r="F27" s="398">
        <f>修补数量统计!W28</f>
        <v>0</v>
      </c>
      <c r="G27" s="399"/>
      <c r="H27" s="399"/>
      <c r="I27" s="399"/>
      <c r="J27" s="399"/>
      <c r="K27" s="393">
        <f>修补数量统计!AV28</f>
        <v>0</v>
      </c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  <c r="AA27" s="399"/>
      <c r="AB27" s="399"/>
      <c r="AC27" s="399"/>
      <c r="AD27" s="399"/>
      <c r="AE27" s="399"/>
      <c r="AF27" s="399"/>
      <c r="AG27" s="399"/>
      <c r="AH27" s="462">
        <f t="shared" si="2"/>
        <v>0</v>
      </c>
      <c r="AI27" s="465">
        <v>0.133</v>
      </c>
      <c r="AJ27" s="467"/>
      <c r="AK27" s="465">
        <v>0.133</v>
      </c>
    </row>
    <row r="28" s="355" customFormat="1" ht="15" hidden="1" customHeight="1" spans="1:37">
      <c r="A28" s="403"/>
      <c r="B28" s="397" t="s">
        <v>11</v>
      </c>
      <c r="C28" s="398">
        <f>修补数量统计!H29</f>
        <v>323</v>
      </c>
      <c r="D28" s="399"/>
      <c r="E28" s="399"/>
      <c r="F28" s="398">
        <f>修补数量统计!W29</f>
        <v>102</v>
      </c>
      <c r="G28" s="399"/>
      <c r="H28" s="399"/>
      <c r="I28" s="399"/>
      <c r="J28" s="399"/>
      <c r="K28" s="393">
        <f>修补数量统计!AV29</f>
        <v>379</v>
      </c>
      <c r="L28" s="399"/>
      <c r="M28" s="399"/>
      <c r="N28" s="399"/>
      <c r="O28" s="399"/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99"/>
      <c r="AF28" s="399"/>
      <c r="AG28" s="399"/>
      <c r="AH28" s="462">
        <f t="shared" si="2"/>
        <v>804</v>
      </c>
      <c r="AI28" s="465">
        <v>0.23</v>
      </c>
      <c r="AJ28" s="467"/>
      <c r="AK28" s="465">
        <v>0.23</v>
      </c>
    </row>
    <row r="29" s="355" customFormat="1" ht="15" hidden="1" customHeight="1" spans="1:37">
      <c r="A29" s="403"/>
      <c r="B29" s="397" t="s">
        <v>12</v>
      </c>
      <c r="C29" s="398">
        <f>修补数量统计!H30</f>
        <v>333</v>
      </c>
      <c r="D29" s="399"/>
      <c r="E29" s="399"/>
      <c r="F29" s="398">
        <f>修补数量统计!W30</f>
        <v>116</v>
      </c>
      <c r="G29" s="399"/>
      <c r="H29" s="399"/>
      <c r="I29" s="399"/>
      <c r="J29" s="399"/>
      <c r="K29" s="393">
        <f>修补数量统计!AV30</f>
        <v>326</v>
      </c>
      <c r="L29" s="399"/>
      <c r="M29" s="399"/>
      <c r="N29" s="399"/>
      <c r="O29" s="399"/>
      <c r="P29" s="399"/>
      <c r="Q29" s="399"/>
      <c r="R29" s="399"/>
      <c r="S29" s="399"/>
      <c r="T29" s="399"/>
      <c r="U29" s="399"/>
      <c r="V29" s="399"/>
      <c r="W29" s="399"/>
      <c r="X29" s="399"/>
      <c r="Y29" s="399"/>
      <c r="Z29" s="399"/>
      <c r="AA29" s="399"/>
      <c r="AB29" s="399"/>
      <c r="AC29" s="399"/>
      <c r="AD29" s="399"/>
      <c r="AE29" s="399"/>
      <c r="AF29" s="399"/>
      <c r="AG29" s="399"/>
      <c r="AH29" s="462">
        <f t="shared" si="2"/>
        <v>775</v>
      </c>
      <c r="AI29" s="465">
        <v>0.25</v>
      </c>
      <c r="AJ29" s="467"/>
      <c r="AK29" s="465">
        <v>0.25</v>
      </c>
    </row>
    <row r="30" s="357" customFormat="1" ht="15" customHeight="1" spans="1:38">
      <c r="A30" s="404" t="s">
        <v>26</v>
      </c>
      <c r="B30" s="405" t="s">
        <v>8</v>
      </c>
      <c r="C30" s="406">
        <f>修补数量统计!H16</f>
        <v>0</v>
      </c>
      <c r="D30" s="406">
        <f>修补数量统计!M16</f>
        <v>0</v>
      </c>
      <c r="E30" s="406">
        <f>修补数量统计!R16</f>
        <v>0</v>
      </c>
      <c r="F30" s="406">
        <f>修补数量统计!W16</f>
        <v>0</v>
      </c>
      <c r="G30" s="406">
        <f>VLOOKUP(B30,修补数量统计!$D$16:$FW$24,25,0)</f>
        <v>0</v>
      </c>
      <c r="H30" s="406">
        <f>VLOOKUP(B30,修补数量统计!$D$16:$FW$24,30,0)</f>
        <v>0</v>
      </c>
      <c r="I30" s="406">
        <f>VLOOKUP(B30,修补数量统计!$D$16:$FW$24,35,0)</f>
        <v>0</v>
      </c>
      <c r="J30" s="406">
        <f>修补数量统计!AQ16</f>
        <v>0</v>
      </c>
      <c r="K30" s="406">
        <f>修补数量统计!AV16</f>
        <v>0</v>
      </c>
      <c r="L30" s="406">
        <f>修补数量统计!BA16</f>
        <v>0</v>
      </c>
      <c r="M30" s="406">
        <f>修补数量统计!BF16</f>
        <v>0</v>
      </c>
      <c r="N30" s="406">
        <f>修补数量统计!BK16</f>
        <v>0</v>
      </c>
      <c r="O30" s="406">
        <f>修补数量统计!BP16</f>
        <v>0</v>
      </c>
      <c r="P30" s="406">
        <f>修补数量统计!BU16</f>
        <v>0</v>
      </c>
      <c r="Q30" s="406">
        <f>修补数量统计!BZ16</f>
        <v>0</v>
      </c>
      <c r="R30" s="406">
        <f>修补数量统计!CE16</f>
        <v>0</v>
      </c>
      <c r="S30" s="406">
        <f>修补数量统计!CJ16</f>
        <v>0</v>
      </c>
      <c r="T30" s="406">
        <f>修补数量统计!CO16</f>
        <v>0</v>
      </c>
      <c r="U30" s="406">
        <f>修补数量统计!CT16</f>
        <v>0</v>
      </c>
      <c r="V30" s="406">
        <f>修补数量统计!CY16</f>
        <v>30</v>
      </c>
      <c r="W30" s="406">
        <f>修补数量统计!DD16</f>
        <v>0</v>
      </c>
      <c r="X30" s="406">
        <f>修补数量统计!DI16</f>
        <v>0</v>
      </c>
      <c r="Y30" s="406">
        <f>修补数量统计!DN16</f>
        <v>0</v>
      </c>
      <c r="Z30" s="406">
        <f>修补数量统计!DS16</f>
        <v>0</v>
      </c>
      <c r="AA30" s="406">
        <f>修补数量统计!DX16</f>
        <v>0</v>
      </c>
      <c r="AB30" s="406">
        <f>修补数量统计!EC16</f>
        <v>0</v>
      </c>
      <c r="AC30" s="406">
        <f>修补数量统计!EH16</f>
        <v>0</v>
      </c>
      <c r="AD30" s="406">
        <f>修补数量统计!EM16</f>
        <v>0</v>
      </c>
      <c r="AE30" s="406">
        <f>修补数量统计!ER16</f>
        <v>0</v>
      </c>
      <c r="AF30" s="406">
        <f>修补数量统计!EW16</f>
        <v>0</v>
      </c>
      <c r="AG30" s="406">
        <f>修补数量统计!FB16</f>
        <v>0</v>
      </c>
      <c r="AH30" s="406">
        <f t="shared" si="2"/>
        <v>30</v>
      </c>
      <c r="AI30" s="468">
        <v>0.4</v>
      </c>
      <c r="AJ30" s="469" t="e">
        <f>AH30*AI30+AH31*AI31+AH32*AI32+AH33*AI33+AH34*AI34+AH35*AI35+AH36*AI36+AH37*AI37+AH38*AI38+AH39*AI39</f>
        <v>#REF!</v>
      </c>
      <c r="AK30" s="468">
        <v>0.4</v>
      </c>
      <c r="AL30" s="355"/>
    </row>
    <row r="31" s="357" customFormat="1" ht="15" customHeight="1" spans="1:38">
      <c r="A31" s="407"/>
      <c r="B31" s="405" t="s">
        <v>9</v>
      </c>
      <c r="C31" s="406">
        <f>修补数量统计!H17</f>
        <v>0</v>
      </c>
      <c r="D31" s="406">
        <f>修补数量统计!M17</f>
        <v>0</v>
      </c>
      <c r="E31" s="406">
        <f>修补数量统计!R17</f>
        <v>0</v>
      </c>
      <c r="F31" s="406">
        <f>修补数量统计!W17</f>
        <v>0</v>
      </c>
      <c r="G31" s="406">
        <f>VLOOKUP(B31,修补数量统计!$D$16:$FW$24,25,0)</f>
        <v>0</v>
      </c>
      <c r="H31" s="406">
        <f>VLOOKUP(B31,修补数量统计!$D$16:$FW$24,30,0)</f>
        <v>0</v>
      </c>
      <c r="I31" s="406">
        <f>VLOOKUP(B31,修补数量统计!$D$16:$FW$24,35,0)</f>
        <v>0</v>
      </c>
      <c r="J31" s="406">
        <f>修补数量统计!AQ17</f>
        <v>0</v>
      </c>
      <c r="K31" s="406">
        <f>修补数量统计!AV17</f>
        <v>0</v>
      </c>
      <c r="L31" s="406">
        <f>修补数量统计!BA17</f>
        <v>0</v>
      </c>
      <c r="M31" s="406">
        <f>修补数量统计!BF17</f>
        <v>0</v>
      </c>
      <c r="N31" s="406">
        <f>修补数量统计!BK17</f>
        <v>0</v>
      </c>
      <c r="O31" s="406">
        <f>修补数量统计!BP17</f>
        <v>0</v>
      </c>
      <c r="P31" s="406">
        <f>修补数量统计!BU17</f>
        <v>0</v>
      </c>
      <c r="Q31" s="406">
        <f>修补数量统计!BZ17</f>
        <v>0</v>
      </c>
      <c r="R31" s="406">
        <f>修补数量统计!CE17</f>
        <v>0</v>
      </c>
      <c r="S31" s="406">
        <f>修补数量统计!CJ17</f>
        <v>0</v>
      </c>
      <c r="T31" s="406">
        <f>修补数量统计!CO17</f>
        <v>0</v>
      </c>
      <c r="U31" s="406">
        <f>修补数量统计!CT17</f>
        <v>0</v>
      </c>
      <c r="V31" s="406">
        <f>修补数量统计!CY17</f>
        <v>0</v>
      </c>
      <c r="W31" s="406">
        <f>修补数量统计!DD17</f>
        <v>0</v>
      </c>
      <c r="X31" s="406">
        <f>修补数量统计!DI17</f>
        <v>0</v>
      </c>
      <c r="Y31" s="406">
        <f>修补数量统计!DN17</f>
        <v>0</v>
      </c>
      <c r="Z31" s="406">
        <f>修补数量统计!DS17</f>
        <v>0</v>
      </c>
      <c r="AA31" s="406">
        <f>修补数量统计!DX17</f>
        <v>0</v>
      </c>
      <c r="AB31" s="406">
        <f>修补数量统计!EC17</f>
        <v>0</v>
      </c>
      <c r="AC31" s="406">
        <f>修补数量统计!EH17</f>
        <v>0</v>
      </c>
      <c r="AD31" s="406">
        <f>修补数量统计!EM17</f>
        <v>0</v>
      </c>
      <c r="AE31" s="406">
        <f>修补数量统计!ER17</f>
        <v>0</v>
      </c>
      <c r="AF31" s="406">
        <f>修补数量统计!EW17</f>
        <v>0</v>
      </c>
      <c r="AG31" s="406">
        <f>修补数量统计!FB17</f>
        <v>0</v>
      </c>
      <c r="AH31" s="406">
        <f t="shared" si="2"/>
        <v>0</v>
      </c>
      <c r="AI31" s="470">
        <v>0.133</v>
      </c>
      <c r="AJ31" s="469"/>
      <c r="AK31" s="470">
        <v>0.133</v>
      </c>
      <c r="AL31" s="355"/>
    </row>
    <row r="32" s="357" customFormat="1" ht="15" customHeight="1" spans="1:38">
      <c r="A32" s="407"/>
      <c r="B32" s="405" t="s">
        <v>10</v>
      </c>
      <c r="C32" s="406">
        <f>修补数量统计!H18</f>
        <v>0</v>
      </c>
      <c r="D32" s="406">
        <f>修补数量统计!M18</f>
        <v>0</v>
      </c>
      <c r="E32" s="406">
        <f>修补数量统计!R18</f>
        <v>0</v>
      </c>
      <c r="F32" s="406">
        <f>修补数量统计!W18</f>
        <v>0</v>
      </c>
      <c r="G32" s="406">
        <f>VLOOKUP(B32,修补数量统计!$D$16:$FW$24,25,0)</f>
        <v>0</v>
      </c>
      <c r="H32" s="406">
        <f>VLOOKUP(B32,修补数量统计!$D$16:$FW$24,30,0)</f>
        <v>0</v>
      </c>
      <c r="I32" s="406">
        <f>VLOOKUP(B32,修补数量统计!$D$16:$FW$24,35,0)</f>
        <v>0</v>
      </c>
      <c r="J32" s="406">
        <f>修补数量统计!AQ18</f>
        <v>0</v>
      </c>
      <c r="K32" s="406">
        <f>修补数量统计!AV18</f>
        <v>0</v>
      </c>
      <c r="L32" s="406">
        <f>修补数量统计!BA18</f>
        <v>0</v>
      </c>
      <c r="M32" s="406">
        <f>修补数量统计!BF18</f>
        <v>0</v>
      </c>
      <c r="N32" s="406">
        <f>修补数量统计!BK18</f>
        <v>0</v>
      </c>
      <c r="O32" s="406">
        <f>修补数量统计!BP18</f>
        <v>0</v>
      </c>
      <c r="P32" s="406">
        <f>修补数量统计!BU18</f>
        <v>0</v>
      </c>
      <c r="Q32" s="406">
        <f>修补数量统计!BZ18</f>
        <v>0</v>
      </c>
      <c r="R32" s="406">
        <f>修补数量统计!CE18</f>
        <v>0</v>
      </c>
      <c r="S32" s="406">
        <f>修补数量统计!CJ18</f>
        <v>0</v>
      </c>
      <c r="T32" s="406">
        <f>修补数量统计!CO18</f>
        <v>0</v>
      </c>
      <c r="U32" s="406">
        <f>修补数量统计!CT18</f>
        <v>0</v>
      </c>
      <c r="V32" s="406">
        <f>修补数量统计!CY18</f>
        <v>0</v>
      </c>
      <c r="W32" s="406">
        <f>修补数量统计!DD18</f>
        <v>0</v>
      </c>
      <c r="X32" s="406">
        <f>修补数量统计!DI18</f>
        <v>0</v>
      </c>
      <c r="Y32" s="406">
        <f>修补数量统计!DN18</f>
        <v>0</v>
      </c>
      <c r="Z32" s="406">
        <f>修补数量统计!DS18</f>
        <v>0</v>
      </c>
      <c r="AA32" s="406">
        <f>修补数量统计!DX18</f>
        <v>0</v>
      </c>
      <c r="AB32" s="406">
        <f>修补数量统计!EC18</f>
        <v>0</v>
      </c>
      <c r="AC32" s="406">
        <f>修补数量统计!EH18</f>
        <v>0</v>
      </c>
      <c r="AD32" s="406">
        <f>修补数量统计!EM18</f>
        <v>0</v>
      </c>
      <c r="AE32" s="406">
        <f>修补数量统计!ER18</f>
        <v>0</v>
      </c>
      <c r="AF32" s="406">
        <f>修补数量统计!EW18</f>
        <v>0</v>
      </c>
      <c r="AG32" s="406">
        <f>修补数量统计!FB18</f>
        <v>0</v>
      </c>
      <c r="AH32" s="406">
        <f t="shared" si="2"/>
        <v>0</v>
      </c>
      <c r="AI32" s="470">
        <v>0.133</v>
      </c>
      <c r="AJ32" s="469"/>
      <c r="AK32" s="470">
        <v>0.133</v>
      </c>
      <c r="AL32" s="355"/>
    </row>
    <row r="33" s="357" customFormat="1" ht="15" customHeight="1" spans="1:38">
      <c r="A33" s="407"/>
      <c r="B33" s="405" t="s">
        <v>11</v>
      </c>
      <c r="C33" s="406">
        <f>修补数量统计!H19</f>
        <v>0</v>
      </c>
      <c r="D33" s="406">
        <f>修补数量统计!M19</f>
        <v>0</v>
      </c>
      <c r="E33" s="406">
        <f>修补数量统计!R19</f>
        <v>0</v>
      </c>
      <c r="F33" s="406">
        <f>修补数量统计!W19</f>
        <v>0</v>
      </c>
      <c r="G33" s="406">
        <f>VLOOKUP(B33,修补数量统计!$D$16:$FW$24,25,0)</f>
        <v>160</v>
      </c>
      <c r="H33" s="406">
        <f>VLOOKUP(B33,修补数量统计!$D$16:$FW$24,30,0)</f>
        <v>0</v>
      </c>
      <c r="I33" s="406">
        <f>VLOOKUP(B33,修补数量统计!$D$16:$FW$24,35,0)</f>
        <v>0</v>
      </c>
      <c r="J33" s="406">
        <f>修补数量统计!AQ19</f>
        <v>0</v>
      </c>
      <c r="K33" s="406">
        <f>修补数量统计!AV19</f>
        <v>0</v>
      </c>
      <c r="L33" s="406">
        <f>修补数量统计!BA19</f>
        <v>0</v>
      </c>
      <c r="M33" s="406">
        <f>修补数量统计!BF19</f>
        <v>0</v>
      </c>
      <c r="N33" s="406">
        <f>修补数量统计!BK19</f>
        <v>0</v>
      </c>
      <c r="O33" s="406">
        <f>修补数量统计!BP19</f>
        <v>0</v>
      </c>
      <c r="P33" s="406">
        <f>修补数量统计!BU19</f>
        <v>0</v>
      </c>
      <c r="Q33" s="406">
        <f>修补数量统计!BZ19</f>
        <v>0</v>
      </c>
      <c r="R33" s="406">
        <f>修补数量统计!CE19</f>
        <v>0</v>
      </c>
      <c r="S33" s="406">
        <f>修补数量统计!CJ19</f>
        <v>0</v>
      </c>
      <c r="T33" s="406">
        <f>修补数量统计!CO19</f>
        <v>0</v>
      </c>
      <c r="U33" s="406">
        <f>修补数量统计!CT19</f>
        <v>0</v>
      </c>
      <c r="V33" s="406">
        <f>修补数量统计!CY19</f>
        <v>0</v>
      </c>
      <c r="W33" s="406">
        <f>修补数量统计!DD19</f>
        <v>0</v>
      </c>
      <c r="X33" s="406">
        <f>修补数量统计!DI19</f>
        <v>0</v>
      </c>
      <c r="Y33" s="406">
        <f>修补数量统计!DN19</f>
        <v>0</v>
      </c>
      <c r="Z33" s="406">
        <f>修补数量统计!DS19</f>
        <v>0</v>
      </c>
      <c r="AA33" s="406">
        <f>修补数量统计!DX19</f>
        <v>0</v>
      </c>
      <c r="AB33" s="406">
        <f>修补数量统计!EC19</f>
        <v>0</v>
      </c>
      <c r="AC33" s="406">
        <f>修补数量统计!EH19</f>
        <v>0</v>
      </c>
      <c r="AD33" s="406">
        <f>修补数量统计!EM19</f>
        <v>0</v>
      </c>
      <c r="AE33" s="406">
        <f>修补数量统计!ER19</f>
        <v>0</v>
      </c>
      <c r="AF33" s="406">
        <f>修补数量统计!EW19</f>
        <v>0</v>
      </c>
      <c r="AG33" s="406">
        <f>修补数量统计!FB19</f>
        <v>0</v>
      </c>
      <c r="AH33" s="406">
        <f t="shared" si="2"/>
        <v>160</v>
      </c>
      <c r="AI33" s="470">
        <v>0.23</v>
      </c>
      <c r="AJ33" s="469"/>
      <c r="AK33" s="470">
        <v>0.23</v>
      </c>
      <c r="AL33" s="355"/>
    </row>
    <row r="34" s="357" customFormat="1" ht="15" customHeight="1" spans="1:38">
      <c r="A34" s="407"/>
      <c r="B34" s="405" t="s">
        <v>12</v>
      </c>
      <c r="C34" s="406">
        <f>修补数量统计!H20</f>
        <v>0</v>
      </c>
      <c r="D34" s="406">
        <f>修补数量统计!M20</f>
        <v>0</v>
      </c>
      <c r="E34" s="406">
        <f>修补数量统计!R20</f>
        <v>0</v>
      </c>
      <c r="F34" s="406">
        <f>修补数量统计!W20</f>
        <v>0</v>
      </c>
      <c r="G34" s="406">
        <f>VLOOKUP(B34,修补数量统计!$D$16:$FW$24,25,0)</f>
        <v>106</v>
      </c>
      <c r="H34" s="406">
        <f>VLOOKUP(B34,修补数量统计!$D$16:$FW$24,30,0)</f>
        <v>0</v>
      </c>
      <c r="I34" s="406">
        <f>VLOOKUP(B34,修补数量统计!$D$16:$FW$24,35,0)</f>
        <v>0</v>
      </c>
      <c r="J34" s="406">
        <f>修补数量统计!AQ20</f>
        <v>0</v>
      </c>
      <c r="K34" s="406">
        <f>修补数量统计!AV20</f>
        <v>0</v>
      </c>
      <c r="L34" s="406">
        <f>修补数量统计!BA20</f>
        <v>0</v>
      </c>
      <c r="M34" s="406">
        <f>修补数量统计!BF20</f>
        <v>0</v>
      </c>
      <c r="N34" s="406">
        <f>修补数量统计!BK20</f>
        <v>0</v>
      </c>
      <c r="O34" s="406">
        <f>修补数量统计!BP20</f>
        <v>0</v>
      </c>
      <c r="P34" s="406">
        <f>修补数量统计!BU20</f>
        <v>0</v>
      </c>
      <c r="Q34" s="406">
        <f>修补数量统计!BZ20</f>
        <v>0</v>
      </c>
      <c r="R34" s="406">
        <f>修补数量统计!CE20</f>
        <v>0</v>
      </c>
      <c r="S34" s="406">
        <f>修补数量统计!CJ20</f>
        <v>0</v>
      </c>
      <c r="T34" s="406">
        <f>修补数量统计!CO20</f>
        <v>0</v>
      </c>
      <c r="U34" s="406">
        <f>修补数量统计!CT20</f>
        <v>0</v>
      </c>
      <c r="V34" s="406">
        <f>修补数量统计!CY20</f>
        <v>0</v>
      </c>
      <c r="W34" s="406">
        <f>修补数量统计!DD20</f>
        <v>0</v>
      </c>
      <c r="X34" s="406">
        <f>修补数量统计!DI20</f>
        <v>0</v>
      </c>
      <c r="Y34" s="406">
        <f>修补数量统计!DN20</f>
        <v>0</v>
      </c>
      <c r="Z34" s="406">
        <f>修补数量统计!DS20</f>
        <v>0</v>
      </c>
      <c r="AA34" s="406">
        <f>修补数量统计!DX20</f>
        <v>0</v>
      </c>
      <c r="AB34" s="406">
        <f>修补数量统计!EC20</f>
        <v>0</v>
      </c>
      <c r="AC34" s="406">
        <f>修补数量统计!EH20</f>
        <v>0</v>
      </c>
      <c r="AD34" s="406">
        <f>修补数量统计!EM20</f>
        <v>0</v>
      </c>
      <c r="AE34" s="406">
        <f>修补数量统计!ER20</f>
        <v>0</v>
      </c>
      <c r="AF34" s="406">
        <f>修补数量统计!EW20</f>
        <v>0</v>
      </c>
      <c r="AG34" s="406">
        <f>修补数量统计!FB20</f>
        <v>0</v>
      </c>
      <c r="AH34" s="406">
        <f t="shared" si="2"/>
        <v>106</v>
      </c>
      <c r="AI34" s="470">
        <v>0.25</v>
      </c>
      <c r="AJ34" s="469"/>
      <c r="AK34" s="470">
        <v>0.25</v>
      </c>
      <c r="AL34" s="355"/>
    </row>
    <row r="35" s="357" customFormat="1" ht="15" customHeight="1" spans="1:38">
      <c r="A35" s="407"/>
      <c r="B35" s="405" t="s">
        <v>13</v>
      </c>
      <c r="C35" s="406">
        <f>修补数量统计!H21</f>
        <v>0</v>
      </c>
      <c r="D35" s="406">
        <f>修补数量统计!M21</f>
        <v>0</v>
      </c>
      <c r="E35" s="406">
        <f>修补数量统计!R21</f>
        <v>0</v>
      </c>
      <c r="F35" s="406">
        <f>修补数量统计!W21</f>
        <v>0</v>
      </c>
      <c r="G35" s="406">
        <f>VLOOKUP(B35,修补数量统计!$D$16:$FW$24,25,0)</f>
        <v>0</v>
      </c>
      <c r="H35" s="406">
        <f>VLOOKUP(B35,修补数量统计!$D$16:$FW$24,30,0)</f>
        <v>0</v>
      </c>
      <c r="I35" s="406">
        <f>VLOOKUP(B35,修补数量统计!$D$16:$FW$24,35,0)</f>
        <v>0</v>
      </c>
      <c r="J35" s="406">
        <f>修补数量统计!AQ21</f>
        <v>0</v>
      </c>
      <c r="K35" s="406">
        <f>修补数量统计!AV21</f>
        <v>0</v>
      </c>
      <c r="L35" s="406">
        <f>修补数量统计!BA21</f>
        <v>0</v>
      </c>
      <c r="M35" s="406">
        <f>修补数量统计!BF21</f>
        <v>0</v>
      </c>
      <c r="N35" s="406">
        <f>修补数量统计!BK21</f>
        <v>0</v>
      </c>
      <c r="O35" s="406">
        <f>修补数量统计!BP21</f>
        <v>0</v>
      </c>
      <c r="P35" s="406">
        <f>修补数量统计!BU21</f>
        <v>0</v>
      </c>
      <c r="Q35" s="406">
        <f>修补数量统计!BZ21</f>
        <v>0</v>
      </c>
      <c r="R35" s="406">
        <f>修补数量统计!CE21</f>
        <v>0</v>
      </c>
      <c r="S35" s="406">
        <f>修补数量统计!CJ21</f>
        <v>0</v>
      </c>
      <c r="T35" s="406">
        <f>修补数量统计!CO21</f>
        <v>0</v>
      </c>
      <c r="U35" s="406">
        <f>修补数量统计!CT21</f>
        <v>0</v>
      </c>
      <c r="V35" s="406">
        <f>修补数量统计!CY21</f>
        <v>0</v>
      </c>
      <c r="W35" s="406">
        <f>修补数量统计!DD21</f>
        <v>0</v>
      </c>
      <c r="X35" s="406">
        <f>修补数量统计!DI21</f>
        <v>0</v>
      </c>
      <c r="Y35" s="406">
        <f>修补数量统计!DN21</f>
        <v>0</v>
      </c>
      <c r="Z35" s="406">
        <f>修补数量统计!DS21</f>
        <v>0</v>
      </c>
      <c r="AA35" s="406">
        <f>修补数量统计!DX21</f>
        <v>0</v>
      </c>
      <c r="AB35" s="406">
        <f>修补数量统计!EC21</f>
        <v>0</v>
      </c>
      <c r="AC35" s="406">
        <f>修补数量统计!EH21</f>
        <v>0</v>
      </c>
      <c r="AD35" s="406">
        <f>修补数量统计!EM21</f>
        <v>0</v>
      </c>
      <c r="AE35" s="406">
        <f>修补数量统计!ER21</f>
        <v>0</v>
      </c>
      <c r="AF35" s="406">
        <f>修补数量统计!EW21</f>
        <v>0</v>
      </c>
      <c r="AG35" s="406">
        <f>修补数量统计!FB21</f>
        <v>0</v>
      </c>
      <c r="AH35" s="406">
        <f t="shared" si="2"/>
        <v>0</v>
      </c>
      <c r="AI35" s="470">
        <v>0.67</v>
      </c>
      <c r="AJ35" s="469"/>
      <c r="AK35" s="470">
        <v>0.373</v>
      </c>
      <c r="AL35" s="355"/>
    </row>
    <row r="36" s="357" customFormat="1" ht="15" customHeight="1" spans="1:38">
      <c r="A36" s="407"/>
      <c r="B36" s="405" t="s">
        <v>14</v>
      </c>
      <c r="C36" s="406">
        <f>修补数量统计!H22</f>
        <v>0</v>
      </c>
      <c r="D36" s="406">
        <f>修补数量统计!M22</f>
        <v>0</v>
      </c>
      <c r="E36" s="406">
        <f>修补数量统计!R22</f>
        <v>0</v>
      </c>
      <c r="F36" s="406">
        <f>修补数量统计!W22</f>
        <v>0</v>
      </c>
      <c r="G36" s="406">
        <f>VLOOKUP(B36,修补数量统计!$D$16:$FW$24,25,0)</f>
        <v>0</v>
      </c>
      <c r="H36" s="406">
        <f>VLOOKUP(B36,修补数量统计!$D$16:$FW$24,30,0)</f>
        <v>0</v>
      </c>
      <c r="I36" s="406">
        <f>VLOOKUP(B36,修补数量统计!$D$16:$FW$24,35,0)</f>
        <v>0</v>
      </c>
      <c r="J36" s="406">
        <f>修补数量统计!AQ22</f>
        <v>0</v>
      </c>
      <c r="K36" s="406">
        <f>修补数量统计!AV22</f>
        <v>0</v>
      </c>
      <c r="L36" s="406">
        <f>修补数量统计!BA22</f>
        <v>0</v>
      </c>
      <c r="M36" s="406">
        <f>修补数量统计!BF22</f>
        <v>0</v>
      </c>
      <c r="N36" s="406">
        <f>修补数量统计!BK22</f>
        <v>0</v>
      </c>
      <c r="O36" s="406">
        <f>修补数量统计!BP22</f>
        <v>0</v>
      </c>
      <c r="P36" s="406">
        <f>修补数量统计!BU22</f>
        <v>0</v>
      </c>
      <c r="Q36" s="406">
        <f>修补数量统计!BZ22</f>
        <v>0</v>
      </c>
      <c r="R36" s="406">
        <f>修补数量统计!CE22</f>
        <v>0</v>
      </c>
      <c r="S36" s="406">
        <f>修补数量统计!CJ22</f>
        <v>0</v>
      </c>
      <c r="T36" s="406">
        <f>修补数量统计!CO22</f>
        <v>0</v>
      </c>
      <c r="U36" s="406">
        <f>修补数量统计!CT22</f>
        <v>0</v>
      </c>
      <c r="V36" s="406">
        <f>修补数量统计!CY22</f>
        <v>0</v>
      </c>
      <c r="W36" s="406">
        <f>修补数量统计!DD22</f>
        <v>0</v>
      </c>
      <c r="X36" s="406">
        <f>修补数量统计!DI22</f>
        <v>0</v>
      </c>
      <c r="Y36" s="406">
        <f>修补数量统计!DN22</f>
        <v>0</v>
      </c>
      <c r="Z36" s="406">
        <f>修补数量统计!DS22</f>
        <v>0</v>
      </c>
      <c r="AA36" s="406">
        <f>修补数量统计!DX22</f>
        <v>0</v>
      </c>
      <c r="AB36" s="406">
        <f>修补数量统计!EC23</f>
        <v>0</v>
      </c>
      <c r="AC36" s="406">
        <f>修补数量统计!EH22</f>
        <v>0</v>
      </c>
      <c r="AD36" s="406">
        <f>修补数量统计!EM22</f>
        <v>0</v>
      </c>
      <c r="AE36" s="406">
        <f>修补数量统计!ER22</f>
        <v>0</v>
      </c>
      <c r="AF36" s="406">
        <f>修补数量统计!EW22</f>
        <v>0</v>
      </c>
      <c r="AG36" s="406">
        <f>修补数量统计!FB22</f>
        <v>0</v>
      </c>
      <c r="AH36" s="406">
        <f t="shared" ref="AH36:AH41" si="3">C36+D36+E36+F36+G36+H36+I36+J36+K36+L36+M36+N36+O36+P36+Q36+R36+S36+T36+U36+V36+W36+X36+Y36+Z36+AA36+AB36+AC36+AD36+AE36+AF36+AG36</f>
        <v>0</v>
      </c>
      <c r="AI36" s="470">
        <v>0.373</v>
      </c>
      <c r="AJ36" s="469"/>
      <c r="AK36" s="470">
        <v>0.373</v>
      </c>
      <c r="AL36" s="355"/>
    </row>
    <row r="37" s="357" customFormat="1" ht="15" customHeight="1" spans="1:38">
      <c r="A37" s="407"/>
      <c r="B37" s="405" t="s">
        <v>15</v>
      </c>
      <c r="C37" s="406">
        <f>修补数量统计!H23</f>
        <v>0</v>
      </c>
      <c r="D37" s="406">
        <f>修补数量统计!M23</f>
        <v>0</v>
      </c>
      <c r="E37" s="406">
        <f>修补数量统计!R23</f>
        <v>0</v>
      </c>
      <c r="F37" s="406">
        <f>修补数量统计!W23</f>
        <v>0</v>
      </c>
      <c r="G37" s="406">
        <f>VLOOKUP(B37,修补数量统计!$D$16:$FW$24,25,0)</f>
        <v>0</v>
      </c>
      <c r="H37" s="406">
        <f>VLOOKUP(B37,修补数量统计!$D$16:$FW$24,30,0)</f>
        <v>0</v>
      </c>
      <c r="I37" s="406">
        <f>VLOOKUP(B37,修补数量统计!$D$16:$FW$24,35,0)</f>
        <v>0</v>
      </c>
      <c r="J37" s="406">
        <f>修补数量统计!AQ23</f>
        <v>0</v>
      </c>
      <c r="K37" s="406">
        <f>修补数量统计!AV23</f>
        <v>0</v>
      </c>
      <c r="L37" s="406">
        <f>修补数量统计!BA23</f>
        <v>55</v>
      </c>
      <c r="M37" s="406">
        <f>修补数量统计!BF23</f>
        <v>89</v>
      </c>
      <c r="N37" s="406">
        <f>修补数量统计!BK23</f>
        <v>76</v>
      </c>
      <c r="O37" s="406">
        <f>修补数量统计!BP23</f>
        <v>87</v>
      </c>
      <c r="P37" s="406">
        <f>修补数量统计!BU23</f>
        <v>112</v>
      </c>
      <c r="Q37" s="406">
        <f>修补数量统计!BZ23</f>
        <v>46</v>
      </c>
      <c r="R37" s="406">
        <f>修补数量统计!CE23</f>
        <v>72</v>
      </c>
      <c r="S37" s="406" t="e">
        <f>修补数量统计!#REF!</f>
        <v>#REF!</v>
      </c>
      <c r="T37" s="406">
        <f>修补数量统计!CO23</f>
        <v>113</v>
      </c>
      <c r="U37" s="406">
        <f>修补数量统计!CT23</f>
        <v>75</v>
      </c>
      <c r="V37" s="406">
        <f>修补数量统计!CY23</f>
        <v>13</v>
      </c>
      <c r="W37" s="406">
        <f>修补数量统计!DD23</f>
        <v>0</v>
      </c>
      <c r="X37" s="406">
        <f>修补数量统计!DI23</f>
        <v>0</v>
      </c>
      <c r="Y37" s="406">
        <f>修补数量统计!DN23</f>
        <v>0</v>
      </c>
      <c r="Z37" s="406">
        <f>修补数量统计!DS23</f>
        <v>0</v>
      </c>
      <c r="AA37" s="406">
        <f>修补数量统计!DX23</f>
        <v>0</v>
      </c>
      <c r="AB37" s="406">
        <f>修补数量统计!EC23</f>
        <v>0</v>
      </c>
      <c r="AC37" s="406">
        <f>修补数量统计!EH23</f>
        <v>0</v>
      </c>
      <c r="AD37" s="406">
        <f>修补数量统计!EM23</f>
        <v>0</v>
      </c>
      <c r="AE37" s="406">
        <f>修补数量统计!ER23</f>
        <v>0</v>
      </c>
      <c r="AF37" s="406">
        <f>修补数量统计!EW23</f>
        <v>0</v>
      </c>
      <c r="AG37" s="406">
        <f>修补数量统计!FB23</f>
        <v>0</v>
      </c>
      <c r="AH37" s="406" t="e">
        <f t="shared" si="3"/>
        <v>#REF!</v>
      </c>
      <c r="AI37" s="470">
        <v>0.373</v>
      </c>
      <c r="AJ37" s="469"/>
      <c r="AK37" s="470">
        <v>0.373</v>
      </c>
      <c r="AL37" s="355"/>
    </row>
    <row r="38" s="357" customFormat="1" ht="15" customHeight="1" spans="1:38">
      <c r="A38" s="407"/>
      <c r="B38" s="405" t="s">
        <v>16</v>
      </c>
      <c r="C38" s="406">
        <f>修补数量统计!H24</f>
        <v>0</v>
      </c>
      <c r="D38" s="406">
        <f>修补数量统计!M24</f>
        <v>0</v>
      </c>
      <c r="E38" s="406">
        <f>修补数量统计!R24</f>
        <v>0</v>
      </c>
      <c r="F38" s="406">
        <f>修补数量统计!W24</f>
        <v>0</v>
      </c>
      <c r="G38" s="406">
        <f>VLOOKUP(B38,修补数量统计!$D$16:$FW$24,25,0)</f>
        <v>0</v>
      </c>
      <c r="H38" s="406">
        <f>VLOOKUP(B38,修补数量统计!$D$16:$FW$24,30,0)</f>
        <v>0</v>
      </c>
      <c r="I38" s="406">
        <f>VLOOKUP(B38,修补数量统计!$D$16:$FW$24,35,0)</f>
        <v>0</v>
      </c>
      <c r="J38" s="406">
        <f>修补数量统计!AQ24</f>
        <v>0</v>
      </c>
      <c r="K38" s="406">
        <f>修补数量统计!AV24</f>
        <v>0</v>
      </c>
      <c r="L38" s="406">
        <f>修补数量统计!BA24</f>
        <v>63</v>
      </c>
      <c r="M38" s="406">
        <f>修补数量统计!BF24</f>
        <v>84</v>
      </c>
      <c r="N38" s="406">
        <f>修补数量统计!BK24</f>
        <v>83</v>
      </c>
      <c r="O38" s="406">
        <f>修补数量统计!BP24</f>
        <v>88</v>
      </c>
      <c r="P38" s="406">
        <f>修补数量统计!BU24</f>
        <v>99</v>
      </c>
      <c r="Q38" s="406">
        <f>修补数量统计!BZ24</f>
        <v>69</v>
      </c>
      <c r="R38" s="406">
        <f>修补数量统计!CE24</f>
        <v>91</v>
      </c>
      <c r="S38" s="406">
        <f>修补数量统计!CJ24</f>
        <v>73</v>
      </c>
      <c r="T38" s="406">
        <f>修补数量统计!CO24</f>
        <v>90</v>
      </c>
      <c r="U38" s="406">
        <f>修补数量统计!CT24</f>
        <v>66</v>
      </c>
      <c r="V38" s="406">
        <f>修补数量统计!CY24</f>
        <v>6</v>
      </c>
      <c r="W38" s="406">
        <f>修补数量统计!DD24</f>
        <v>0</v>
      </c>
      <c r="X38" s="406">
        <f>修补数量统计!DI24</f>
        <v>0</v>
      </c>
      <c r="Y38" s="406">
        <f>修补数量统计!DN24</f>
        <v>0</v>
      </c>
      <c r="Z38" s="406">
        <f>修补数量统计!DS24</f>
        <v>0</v>
      </c>
      <c r="AA38" s="406">
        <f>修补数量统计!DX24</f>
        <v>0</v>
      </c>
      <c r="AB38" s="406">
        <f>修补数量统计!EC24</f>
        <v>0</v>
      </c>
      <c r="AC38" s="406">
        <f>修补数量统计!EH24</f>
        <v>0</v>
      </c>
      <c r="AD38" s="406">
        <f>修补数量统计!EM24</f>
        <v>0</v>
      </c>
      <c r="AE38" s="406">
        <f>修补数量统计!ER24</f>
        <v>0</v>
      </c>
      <c r="AF38" s="406">
        <f>修补数量统计!EW24</f>
        <v>0</v>
      </c>
      <c r="AG38" s="406">
        <f>修补数量统计!FB24</f>
        <v>0</v>
      </c>
      <c r="AH38" s="406">
        <f t="shared" si="3"/>
        <v>812</v>
      </c>
      <c r="AI38" s="470">
        <v>0.373</v>
      </c>
      <c r="AJ38" s="469"/>
      <c r="AK38" s="470">
        <v>0.373</v>
      </c>
      <c r="AL38" s="355"/>
    </row>
    <row r="39" s="357" customFormat="1" ht="15" customHeight="1" spans="1:38">
      <c r="A39" s="408"/>
      <c r="B39" s="405" t="s">
        <v>17</v>
      </c>
      <c r="C39" s="406">
        <f>修补数量统计!H25</f>
        <v>0</v>
      </c>
      <c r="D39" s="406">
        <f>修补数量统计!M25</f>
        <v>0</v>
      </c>
      <c r="E39" s="406">
        <f>修补数量统计!R25</f>
        <v>0</v>
      </c>
      <c r="F39" s="406">
        <f>修补数量统计!W25</f>
        <v>0</v>
      </c>
      <c r="G39" s="406">
        <v>0</v>
      </c>
      <c r="H39" s="406">
        <v>0</v>
      </c>
      <c r="I39" s="406">
        <v>0</v>
      </c>
      <c r="J39" s="406">
        <f>修补数量统计!AQ25</f>
        <v>0</v>
      </c>
      <c r="K39" s="406">
        <f>修补数量统计!AV25</f>
        <v>0</v>
      </c>
      <c r="L39" s="406">
        <f>修补数量统计!BA25</f>
        <v>0</v>
      </c>
      <c r="M39" s="406">
        <f>修补数量统计!BF25</f>
        <v>0</v>
      </c>
      <c r="N39" s="406">
        <f>修补数量统计!BK25</f>
        <v>0</v>
      </c>
      <c r="O39" s="406">
        <f>修补数量统计!BP25</f>
        <v>0</v>
      </c>
      <c r="P39" s="406">
        <f>修补数量统计!BU25</f>
        <v>0</v>
      </c>
      <c r="Q39" s="406">
        <f>修补数量统计!BZ25</f>
        <v>0</v>
      </c>
      <c r="R39" s="406">
        <f>修补数量统计!CE25</f>
        <v>0</v>
      </c>
      <c r="S39" s="406">
        <f>修补数量统计!CJ25</f>
        <v>0</v>
      </c>
      <c r="T39" s="406">
        <f>修补数量统计!CO25</f>
        <v>0</v>
      </c>
      <c r="U39" s="406">
        <f>修补数量统计!CT25</f>
        <v>0</v>
      </c>
      <c r="V39" s="406">
        <f>修补数量统计!CY25</f>
        <v>0</v>
      </c>
      <c r="W39" s="406">
        <f>修补数量统计!DD25</f>
        <v>0</v>
      </c>
      <c r="X39" s="406">
        <f>修补数量统计!DI25</f>
        <v>0</v>
      </c>
      <c r="Y39" s="406">
        <f>修补数量统计!DN25</f>
        <v>0</v>
      </c>
      <c r="Z39" s="406">
        <f>修补数量统计!DS25</f>
        <v>0</v>
      </c>
      <c r="AA39" s="406">
        <f>修补数量统计!DX25</f>
        <v>0</v>
      </c>
      <c r="AB39" s="406">
        <f>修补数量统计!EC25</f>
        <v>0</v>
      </c>
      <c r="AC39" s="406">
        <f>修补数量统计!EH25</f>
        <v>0</v>
      </c>
      <c r="AD39" s="406">
        <f>修补数量统计!EM25</f>
        <v>0</v>
      </c>
      <c r="AE39" s="406">
        <f>修补数量统计!ER25</f>
        <v>0</v>
      </c>
      <c r="AF39" s="406">
        <f>修补数量统计!EW25</f>
        <v>0</v>
      </c>
      <c r="AG39" s="406">
        <f>修补数量统计!FB25</f>
        <v>0</v>
      </c>
      <c r="AH39" s="406">
        <f t="shared" si="3"/>
        <v>0</v>
      </c>
      <c r="AI39" s="470">
        <v>0.373</v>
      </c>
      <c r="AJ39" s="469"/>
      <c r="AK39" s="470">
        <v>0.373</v>
      </c>
      <c r="AL39" s="355"/>
    </row>
    <row r="40" s="358" customFormat="1" ht="15" customHeight="1" spans="1:38">
      <c r="A40" s="409" t="s">
        <v>27</v>
      </c>
      <c r="B40" s="410" t="s">
        <v>8</v>
      </c>
      <c r="C40" s="411">
        <f>修补数量统计!H26</f>
        <v>0</v>
      </c>
      <c r="D40" s="411">
        <f>修补数量统计!M26</f>
        <v>0</v>
      </c>
      <c r="E40" s="411">
        <f>修补数量统计!R26</f>
        <v>194</v>
      </c>
      <c r="F40" s="411">
        <f>修补数量统计!W26</f>
        <v>45</v>
      </c>
      <c r="G40" s="411">
        <f>修补数量统计!AB26</f>
        <v>0</v>
      </c>
      <c r="H40" s="411">
        <f>修补数量统计!AG26</f>
        <v>0</v>
      </c>
      <c r="I40" s="411">
        <f>VLOOKUP(B40,修补数量统计!D26:FW35,35,0)</f>
        <v>0</v>
      </c>
      <c r="J40" s="411">
        <f>VLOOKUP(B40,修补数量统计!D26:FW35,40,0)</f>
        <v>0</v>
      </c>
      <c r="K40" s="411">
        <f>VLOOKUP(B40,修补数量统计!D26:FW35,45,0)</f>
        <v>0</v>
      </c>
      <c r="L40" s="411">
        <f>修补数量统计!BA26</f>
        <v>0</v>
      </c>
      <c r="M40" s="411">
        <f>修补数量统计!BF26</f>
        <v>0</v>
      </c>
      <c r="N40" s="411">
        <f>修补数量统计!BK26</f>
        <v>0</v>
      </c>
      <c r="O40" s="411">
        <f>修补数量统计!BP26</f>
        <v>0</v>
      </c>
      <c r="P40" s="411">
        <f>修补数量统计!BU26</f>
        <v>0</v>
      </c>
      <c r="Q40" s="411">
        <f>修补数量统计!BZ26</f>
        <v>0</v>
      </c>
      <c r="R40" s="411">
        <f>修补数量统计!CE26</f>
        <v>0</v>
      </c>
      <c r="S40" s="411">
        <f>修补数量统计!CJ26</f>
        <v>0</v>
      </c>
      <c r="T40" s="411">
        <f>修补数量统计!CO26</f>
        <v>0</v>
      </c>
      <c r="U40" s="411">
        <f>修补数量统计!CT26</f>
        <v>0</v>
      </c>
      <c r="V40" s="411">
        <f>修补数量统计!CY26</f>
        <v>0</v>
      </c>
      <c r="W40" s="411">
        <f>修补数量统计!DD26</f>
        <v>0</v>
      </c>
      <c r="X40" s="411">
        <f>修补数量统计!DI26</f>
        <v>0</v>
      </c>
      <c r="Y40" s="411">
        <f>修补数量统计!DN26</f>
        <v>0</v>
      </c>
      <c r="Z40" s="411">
        <f>修补数量统计!DS26</f>
        <v>40</v>
      </c>
      <c r="AA40" s="411">
        <f>修补数量统计!DX26</f>
        <v>0</v>
      </c>
      <c r="AB40" s="411">
        <f>修补数量统计!EC26</f>
        <v>0</v>
      </c>
      <c r="AC40" s="411">
        <f>修补数量统计!EH26</f>
        <v>0</v>
      </c>
      <c r="AD40" s="411">
        <f>修补数量统计!EM26</f>
        <v>0</v>
      </c>
      <c r="AE40" s="411">
        <f>修补数量统计!ER26</f>
        <v>0</v>
      </c>
      <c r="AF40" s="411">
        <f>修补数量统计!EW26</f>
        <v>0</v>
      </c>
      <c r="AG40" s="411">
        <f>修补数量统计!FB26</f>
        <v>0</v>
      </c>
      <c r="AH40" s="411">
        <f t="shared" si="3"/>
        <v>279</v>
      </c>
      <c r="AI40" s="471">
        <v>0.4</v>
      </c>
      <c r="AJ40" s="469">
        <f>AH40*AI40+AH41*AI41+AH42*AI42+AH43*AI43+AH44*AI44+AH45*AI45+AH46*AI46+AH47*AI47+AH48*AI48+AH49*AI49</f>
        <v>3318.87</v>
      </c>
      <c r="AK40" s="471">
        <v>0.4</v>
      </c>
      <c r="AL40" s="355"/>
    </row>
    <row r="41" s="358" customFormat="1" ht="15" customHeight="1" spans="1:38">
      <c r="A41" s="412"/>
      <c r="B41" s="410" t="s">
        <v>9</v>
      </c>
      <c r="C41" s="411">
        <f>修补数量统计!H27</f>
        <v>0</v>
      </c>
      <c r="D41" s="411">
        <f>修补数量统计!M27</f>
        <v>0</v>
      </c>
      <c r="E41" s="411">
        <f>修补数量统计!R27</f>
        <v>0</v>
      </c>
      <c r="F41" s="411">
        <f>修补数量统计!W27</f>
        <v>0</v>
      </c>
      <c r="G41" s="411">
        <f>修补数量统计!AB27</f>
        <v>0</v>
      </c>
      <c r="H41" s="411">
        <f>修补数量统计!AG27</f>
        <v>0</v>
      </c>
      <c r="I41" s="411">
        <f>VLOOKUP(B41,修补数量统计!D27:FW35,35,0)</f>
        <v>0</v>
      </c>
      <c r="J41" s="411">
        <f>VLOOKUP(B41,修补数量统计!D27:FW35,40,0)</f>
        <v>0</v>
      </c>
      <c r="K41" s="411">
        <f>VLOOKUP(B41,修补数量统计!D27:FW35,45,0)</f>
        <v>0</v>
      </c>
      <c r="L41" s="411">
        <f>修补数量统计!BA27</f>
        <v>0</v>
      </c>
      <c r="M41" s="411">
        <f>修补数量统计!BF27</f>
        <v>0</v>
      </c>
      <c r="N41" s="411">
        <f>修补数量统计!BK27</f>
        <v>0</v>
      </c>
      <c r="O41" s="411">
        <f>修补数量统计!BP27</f>
        <v>0</v>
      </c>
      <c r="P41" s="411">
        <f>修补数量统计!BU27</f>
        <v>0</v>
      </c>
      <c r="Q41" s="411">
        <f>修补数量统计!BZ27</f>
        <v>0</v>
      </c>
      <c r="R41" s="411">
        <f>修补数量统计!CE27</f>
        <v>0</v>
      </c>
      <c r="S41" s="411">
        <f>修补数量统计!CJ27</f>
        <v>0</v>
      </c>
      <c r="T41" s="411">
        <f>修补数量统计!CO27</f>
        <v>0</v>
      </c>
      <c r="U41" s="411">
        <f>修补数量统计!CT27</f>
        <v>0</v>
      </c>
      <c r="V41" s="411">
        <f>修补数量统计!CY27</f>
        <v>0</v>
      </c>
      <c r="W41" s="411">
        <f>修补数量统计!DD27</f>
        <v>0</v>
      </c>
      <c r="X41" s="411">
        <f>修补数量统计!DI27</f>
        <v>0</v>
      </c>
      <c r="Y41" s="411">
        <f>修补数量统计!DN27</f>
        <v>0</v>
      </c>
      <c r="Z41" s="411">
        <f>修补数量统计!DS27</f>
        <v>0</v>
      </c>
      <c r="AA41" s="411">
        <f>修补数量统计!DX27</f>
        <v>0</v>
      </c>
      <c r="AB41" s="411">
        <f>修补数量统计!EC27</f>
        <v>0</v>
      </c>
      <c r="AC41" s="411">
        <f>修补数量统计!EH27</f>
        <v>0</v>
      </c>
      <c r="AD41" s="411">
        <f>修补数量统计!EM27</f>
        <v>0</v>
      </c>
      <c r="AE41" s="411">
        <f>修补数量统计!ER27</f>
        <v>0</v>
      </c>
      <c r="AF41" s="411">
        <f>修补数量统计!EW27</f>
        <v>0</v>
      </c>
      <c r="AG41" s="411">
        <f>修补数量统计!FB27</f>
        <v>0</v>
      </c>
      <c r="AH41" s="411">
        <f t="shared" si="3"/>
        <v>0</v>
      </c>
      <c r="AI41" s="472">
        <v>0.133</v>
      </c>
      <c r="AJ41" s="469"/>
      <c r="AK41" s="472">
        <v>0.133</v>
      </c>
      <c r="AL41" s="355"/>
    </row>
    <row r="42" s="358" customFormat="1" ht="15" customHeight="1" spans="1:38">
      <c r="A42" s="412"/>
      <c r="B42" s="410" t="s">
        <v>10</v>
      </c>
      <c r="C42" s="411">
        <f>修补数量统计!H28</f>
        <v>0</v>
      </c>
      <c r="D42" s="411">
        <f>修补数量统计!M28</f>
        <v>0</v>
      </c>
      <c r="E42" s="411">
        <f>修补数量统计!R28</f>
        <v>0</v>
      </c>
      <c r="F42" s="411">
        <f>修补数量统计!W28</f>
        <v>0</v>
      </c>
      <c r="G42" s="411">
        <f>修补数量统计!AB28</f>
        <v>0</v>
      </c>
      <c r="H42" s="411">
        <f>修补数量统计!AG28</f>
        <v>0</v>
      </c>
      <c r="I42" s="411">
        <f>VLOOKUP(B42,修补数量统计!D28:FW35,35,0)</f>
        <v>0</v>
      </c>
      <c r="J42" s="411">
        <f>VLOOKUP(B42,修补数量统计!D28:FW35,40,0)</f>
        <v>0</v>
      </c>
      <c r="K42" s="411">
        <f>VLOOKUP(B42,修补数量统计!D28:FW35,45,0)</f>
        <v>0</v>
      </c>
      <c r="L42" s="411">
        <f>修补数量统计!BA28</f>
        <v>0</v>
      </c>
      <c r="M42" s="411">
        <f>修补数量统计!BF28</f>
        <v>0</v>
      </c>
      <c r="N42" s="411">
        <f>修补数量统计!BK28</f>
        <v>0</v>
      </c>
      <c r="O42" s="411">
        <f>修补数量统计!BP28</f>
        <v>0</v>
      </c>
      <c r="P42" s="411">
        <f>修补数量统计!BU28</f>
        <v>0</v>
      </c>
      <c r="Q42" s="411">
        <f>修补数量统计!BZ28</f>
        <v>0</v>
      </c>
      <c r="R42" s="411">
        <f>修补数量统计!CE28</f>
        <v>0</v>
      </c>
      <c r="S42" s="411">
        <f>修补数量统计!CJ28</f>
        <v>0</v>
      </c>
      <c r="T42" s="411">
        <f>修补数量统计!CO28</f>
        <v>0</v>
      </c>
      <c r="U42" s="411">
        <f>修补数量统计!CT28</f>
        <v>0</v>
      </c>
      <c r="V42" s="411">
        <f>修补数量统计!CY28</f>
        <v>0</v>
      </c>
      <c r="W42" s="411">
        <f>修补数量统计!DD28</f>
        <v>0</v>
      </c>
      <c r="X42" s="411">
        <f>修补数量统计!DI28</f>
        <v>0</v>
      </c>
      <c r="Y42" s="411">
        <f>修补数量统计!DN28</f>
        <v>0</v>
      </c>
      <c r="Z42" s="411">
        <f>修补数量统计!DS28</f>
        <v>0</v>
      </c>
      <c r="AA42" s="411">
        <f>修补数量统计!DX28</f>
        <v>0</v>
      </c>
      <c r="AB42" s="411">
        <f>修补数量统计!EC28</f>
        <v>0</v>
      </c>
      <c r="AC42" s="411">
        <f>修补数量统计!EH28</f>
        <v>0</v>
      </c>
      <c r="AD42" s="411">
        <f>修补数量统计!EM28</f>
        <v>0</v>
      </c>
      <c r="AE42" s="411">
        <f>修补数量统计!ER28</f>
        <v>0</v>
      </c>
      <c r="AF42" s="411">
        <f>修补数量统计!EW28</f>
        <v>0</v>
      </c>
      <c r="AG42" s="411">
        <f>修补数量统计!FB28</f>
        <v>0</v>
      </c>
      <c r="AH42" s="411">
        <f t="shared" ref="AH42:AH49" si="4">C42+D42+E42+F42+G42+H42+I42+J42+K42+L42+M42+N42+O42+P42+Q42+R42+S42+T42+U42+V42+W42+X42+Y42+Z42+AA42+AB42+AC42+AD42+AE42+AF42+AG42</f>
        <v>0</v>
      </c>
      <c r="AI42" s="472">
        <v>0.133</v>
      </c>
      <c r="AJ42" s="469"/>
      <c r="AK42" s="472">
        <v>0.133</v>
      </c>
      <c r="AL42" s="355"/>
    </row>
    <row r="43" s="358" customFormat="1" ht="15" customHeight="1" spans="1:38">
      <c r="A43" s="412"/>
      <c r="B43" s="410" t="s">
        <v>11</v>
      </c>
      <c r="C43" s="411">
        <f>修补数量统计!H29</f>
        <v>323</v>
      </c>
      <c r="D43" s="411">
        <f>修补数量统计!M29</f>
        <v>349</v>
      </c>
      <c r="E43" s="411">
        <f>修补数量统计!R29</f>
        <v>115</v>
      </c>
      <c r="F43" s="411">
        <f>修补数量统计!W29</f>
        <v>102</v>
      </c>
      <c r="G43" s="411">
        <f>修补数量统计!AB29</f>
        <v>173</v>
      </c>
      <c r="H43" s="411">
        <f>修补数量统计!AG29</f>
        <v>417</v>
      </c>
      <c r="I43" s="411">
        <f>VLOOKUP(B43,修补数量统计!D29:FW35,35,0)</f>
        <v>473</v>
      </c>
      <c r="J43" s="411">
        <f>VLOOKUP(B43,修补数量统计!D29:FW35,40,0)</f>
        <v>353</v>
      </c>
      <c r="K43" s="411">
        <f>VLOOKUP(B43,修补数量统计!D29:FW35,45,0)</f>
        <v>379</v>
      </c>
      <c r="L43" s="411">
        <f>修补数量统计!BA29</f>
        <v>395</v>
      </c>
      <c r="M43" s="411">
        <f>修补数量统计!BF29</f>
        <v>0</v>
      </c>
      <c r="N43" s="411">
        <f>修补数量统计!BK29</f>
        <v>0</v>
      </c>
      <c r="O43" s="411">
        <f>修补数量统计!BP29</f>
        <v>0</v>
      </c>
      <c r="P43" s="411">
        <f>修补数量统计!BU29</f>
        <v>0</v>
      </c>
      <c r="Q43" s="411">
        <f>修补数量统计!BZ29</f>
        <v>0</v>
      </c>
      <c r="R43" s="411">
        <f>修补数量统计!CE29</f>
        <v>0</v>
      </c>
      <c r="S43" s="411">
        <f>修补数量统计!CJ29</f>
        <v>0</v>
      </c>
      <c r="T43" s="411">
        <f>修补数量统计!CO29</f>
        <v>0</v>
      </c>
      <c r="U43" s="411">
        <f>修补数量统计!CT29</f>
        <v>0</v>
      </c>
      <c r="V43" s="411">
        <f>修补数量统计!CY29</f>
        <v>165</v>
      </c>
      <c r="W43" s="411">
        <f>修补数量统计!DD29</f>
        <v>373</v>
      </c>
      <c r="X43" s="411">
        <f>修补数量统计!DI29</f>
        <v>315</v>
      </c>
      <c r="Y43" s="411">
        <f>修补数量统计!DN29</f>
        <v>424</v>
      </c>
      <c r="Z43" s="411">
        <f>修补数量统计!DS29</f>
        <v>360</v>
      </c>
      <c r="AA43" s="411">
        <f>修补数量统计!DX29</f>
        <v>424</v>
      </c>
      <c r="AB43" s="411">
        <f>修补数量统计!EC29</f>
        <v>423</v>
      </c>
      <c r="AC43" s="411">
        <f>修补数量统计!EH29</f>
        <v>463</v>
      </c>
      <c r="AD43" s="411">
        <f>修补数量统计!EM29</f>
        <v>457</v>
      </c>
      <c r="AE43" s="411">
        <f>修补数量统计!ER29</f>
        <v>0</v>
      </c>
      <c r="AF43" s="411">
        <f>修补数量统计!EW29</f>
        <v>0</v>
      </c>
      <c r="AG43" s="411">
        <f>修补数量统计!FB29</f>
        <v>0</v>
      </c>
      <c r="AH43" s="411">
        <f t="shared" si="4"/>
        <v>6483</v>
      </c>
      <c r="AI43" s="472">
        <v>0.23</v>
      </c>
      <c r="AJ43" s="469"/>
      <c r="AK43" s="472">
        <v>0.23</v>
      </c>
      <c r="AL43" s="355"/>
    </row>
    <row r="44" s="358" customFormat="1" ht="15" customHeight="1" spans="1:38">
      <c r="A44" s="412"/>
      <c r="B44" s="410" t="s">
        <v>12</v>
      </c>
      <c r="C44" s="411">
        <f>修补数量统计!H30</f>
        <v>333</v>
      </c>
      <c r="D44" s="411">
        <f>修补数量统计!M30</f>
        <v>402</v>
      </c>
      <c r="E44" s="411">
        <f>修补数量统计!R30</f>
        <v>133</v>
      </c>
      <c r="F44" s="411">
        <f>修补数量统计!W30</f>
        <v>116</v>
      </c>
      <c r="G44" s="411">
        <f>修补数量统计!AB30</f>
        <v>170</v>
      </c>
      <c r="H44" s="411">
        <f>修补数量统计!AG30</f>
        <v>347</v>
      </c>
      <c r="I44" s="411">
        <f>VLOOKUP(B44,修补数量统计!D30:FW35,35,0)</f>
        <v>398</v>
      </c>
      <c r="J44" s="411">
        <f>VLOOKUP(B44,修补数量统计!D30:FW35,40,0)</f>
        <v>299</v>
      </c>
      <c r="K44" s="411">
        <f>VLOOKUP(B44,修补数量统计!D30:FW35,45,0)</f>
        <v>326</v>
      </c>
      <c r="L44" s="411">
        <f>修补数量统计!BA30</f>
        <v>337</v>
      </c>
      <c r="M44" s="411">
        <f>修补数量统计!BF30</f>
        <v>0</v>
      </c>
      <c r="N44" s="411">
        <f>修补数量统计!BK30</f>
        <v>0</v>
      </c>
      <c r="O44" s="411">
        <f>修补数量统计!BP30</f>
        <v>0</v>
      </c>
      <c r="P44" s="411">
        <f>修补数量统计!BU30</f>
        <v>0</v>
      </c>
      <c r="Q44" s="411">
        <f>修补数量统计!BZ30</f>
        <v>0</v>
      </c>
      <c r="R44" s="411">
        <f>修补数量统计!CE30</f>
        <v>0</v>
      </c>
      <c r="S44" s="411">
        <f>修补数量统计!CJ30</f>
        <v>0</v>
      </c>
      <c r="T44" s="411">
        <f>修补数量统计!CO30</f>
        <v>0</v>
      </c>
      <c r="U44" s="411">
        <f>修补数量统计!CT30</f>
        <v>0</v>
      </c>
      <c r="V44" s="411">
        <f>修补数量统计!CY30</f>
        <v>110</v>
      </c>
      <c r="W44" s="411">
        <f>修补数量统计!DD30</f>
        <v>363</v>
      </c>
      <c r="X44" s="411">
        <f>修补数量统计!DI30</f>
        <v>318</v>
      </c>
      <c r="Y44" s="411">
        <f>修补数量统计!DN30</f>
        <v>384</v>
      </c>
      <c r="Z44" s="411">
        <f>修补数量统计!DS30</f>
        <v>313</v>
      </c>
      <c r="AA44" s="411">
        <f>修补数量统计!DX30</f>
        <v>401</v>
      </c>
      <c r="AB44" s="411">
        <f>修补数量统计!EC30</f>
        <v>368</v>
      </c>
      <c r="AC44" s="411">
        <f>修补数量统计!EH30</f>
        <v>397</v>
      </c>
      <c r="AD44" s="411">
        <f>修补数量统计!EM30</f>
        <v>365</v>
      </c>
      <c r="AE44" s="411">
        <f>修补数量统计!ER30</f>
        <v>0</v>
      </c>
      <c r="AF44" s="411">
        <f>修补数量统计!EW30</f>
        <v>0</v>
      </c>
      <c r="AG44" s="411">
        <f>修补数量统计!FB30</f>
        <v>0</v>
      </c>
      <c r="AH44" s="411">
        <f t="shared" si="4"/>
        <v>5880</v>
      </c>
      <c r="AI44" s="472">
        <v>0.25</v>
      </c>
      <c r="AJ44" s="469"/>
      <c r="AK44" s="472">
        <v>0.25</v>
      </c>
      <c r="AL44" s="355"/>
    </row>
    <row r="45" s="358" customFormat="1" ht="15" customHeight="1" spans="1:38">
      <c r="A45" s="412"/>
      <c r="B45" s="410" t="s">
        <v>13</v>
      </c>
      <c r="C45" s="411">
        <f>修补数量统计!H31</f>
        <v>0</v>
      </c>
      <c r="D45" s="411">
        <f>修补数量统计!M31</f>
        <v>0</v>
      </c>
      <c r="E45" s="411">
        <f>修补数量统计!R31</f>
        <v>0</v>
      </c>
      <c r="F45" s="411">
        <f>修补数量统计!W31</f>
        <v>0</v>
      </c>
      <c r="G45" s="411">
        <f>修补数量统计!AB31</f>
        <v>0</v>
      </c>
      <c r="H45" s="411">
        <f>修补数量统计!AG31</f>
        <v>0</v>
      </c>
      <c r="I45" s="411">
        <f>VLOOKUP(B45,修补数量统计!D31:FW35,35,0)</f>
        <v>0</v>
      </c>
      <c r="J45" s="411">
        <f>VLOOKUP(B45,修补数量统计!D31:FW35,40,0)</f>
        <v>0</v>
      </c>
      <c r="K45" s="411">
        <f>VLOOKUP(B45,修补数量统计!D31:FW35,45,0)</f>
        <v>0</v>
      </c>
      <c r="L45" s="411">
        <f>修补数量统计!BA31</f>
        <v>0</v>
      </c>
      <c r="M45" s="411">
        <f>修补数量统计!BF31</f>
        <v>60</v>
      </c>
      <c r="N45" s="411">
        <f>修补数量统计!BK31</f>
        <v>100</v>
      </c>
      <c r="O45" s="411">
        <f>修补数量统计!BP31</f>
        <v>100</v>
      </c>
      <c r="P45" s="411">
        <f>修补数量统计!BU31</f>
        <v>100</v>
      </c>
      <c r="Q45" s="411">
        <f>修补数量统计!BZ31</f>
        <v>100</v>
      </c>
      <c r="R45" s="411">
        <f>修补数量统计!CE31</f>
        <v>100</v>
      </c>
      <c r="S45" s="411">
        <f>修补数量统计!CJ31</f>
        <v>100</v>
      </c>
      <c r="T45" s="411">
        <f>修补数量统计!CO31</f>
        <v>0</v>
      </c>
      <c r="U45" s="411">
        <f>修补数量统计!CT31</f>
        <v>0</v>
      </c>
      <c r="V45" s="411">
        <f>修补数量统计!CY31</f>
        <v>0</v>
      </c>
      <c r="W45" s="411">
        <f>修补数量统计!DD31</f>
        <v>0</v>
      </c>
      <c r="X45" s="411">
        <f>修补数量统计!DI31</f>
        <v>0</v>
      </c>
      <c r="Y45" s="411">
        <f>修补数量统计!DN31</f>
        <v>0</v>
      </c>
      <c r="Z45" s="411">
        <f>修补数量统计!DS31</f>
        <v>0</v>
      </c>
      <c r="AA45" s="411">
        <f>修补数量统计!DX31</f>
        <v>0</v>
      </c>
      <c r="AB45" s="411">
        <f>修补数量统计!EC31</f>
        <v>0</v>
      </c>
      <c r="AC45" s="411">
        <f>修补数量统计!EH31</f>
        <v>0</v>
      </c>
      <c r="AD45" s="411">
        <f>修补数量统计!EM31</f>
        <v>0</v>
      </c>
      <c r="AE45" s="411">
        <f>修补数量统计!ER31</f>
        <v>0</v>
      </c>
      <c r="AF45" s="411">
        <f>修补数量统计!EW31</f>
        <v>0</v>
      </c>
      <c r="AG45" s="411">
        <f>修补数量统计!FB31</f>
        <v>0</v>
      </c>
      <c r="AH45" s="411">
        <f t="shared" si="4"/>
        <v>660</v>
      </c>
      <c r="AI45" s="472">
        <v>0.373</v>
      </c>
      <c r="AJ45" s="469"/>
      <c r="AK45" s="472">
        <v>0.373</v>
      </c>
      <c r="AL45" s="355"/>
    </row>
    <row r="46" s="358" customFormat="1" ht="15" customHeight="1" spans="1:38">
      <c r="A46" s="412"/>
      <c r="B46" s="410" t="s">
        <v>14</v>
      </c>
      <c r="C46" s="411">
        <f>修补数量统计!H32</f>
        <v>0</v>
      </c>
      <c r="D46" s="411">
        <f>修补数量统计!M32</f>
        <v>0</v>
      </c>
      <c r="E46" s="411">
        <f>修补数量统计!R32</f>
        <v>0</v>
      </c>
      <c r="F46" s="411">
        <f>修补数量统计!W32</f>
        <v>0</v>
      </c>
      <c r="G46" s="411">
        <f>修补数量统计!AB32</f>
        <v>0</v>
      </c>
      <c r="H46" s="411">
        <f>修补数量统计!AG32</f>
        <v>0</v>
      </c>
      <c r="I46" s="411">
        <f>VLOOKUP(B46,修补数量统计!D32:FW35,35,0)</f>
        <v>0</v>
      </c>
      <c r="J46" s="411">
        <f>VLOOKUP(B46,修补数量统计!D32:FW35,40,0)</f>
        <v>0</v>
      </c>
      <c r="K46" s="411">
        <f>VLOOKUP(B46,修补数量统计!D32:FW35,45,0)</f>
        <v>0</v>
      </c>
      <c r="L46" s="411">
        <f>修补数量统计!BA32</f>
        <v>0</v>
      </c>
      <c r="M46" s="411">
        <f>修补数量统计!BF32</f>
        <v>0</v>
      </c>
      <c r="N46" s="411">
        <f>修补数量统计!BK32</f>
        <v>0</v>
      </c>
      <c r="O46" s="411">
        <f>修补数量统计!BP32</f>
        <v>0</v>
      </c>
      <c r="P46" s="411">
        <f>修补数量统计!BU32</f>
        <v>0</v>
      </c>
      <c r="Q46" s="411">
        <f>修补数量统计!BZ32</f>
        <v>0</v>
      </c>
      <c r="R46" s="411">
        <f>修补数量统计!CE32</f>
        <v>0</v>
      </c>
      <c r="S46" s="411">
        <f>修补数量统计!CJ32</f>
        <v>0</v>
      </c>
      <c r="T46" s="411">
        <f>修补数量统计!CO32</f>
        <v>0</v>
      </c>
      <c r="U46" s="411">
        <f>修补数量统计!CT32</f>
        <v>0</v>
      </c>
      <c r="V46" s="411">
        <f>修补数量统计!CY32</f>
        <v>0</v>
      </c>
      <c r="W46" s="411">
        <f>修补数量统计!DD32</f>
        <v>0</v>
      </c>
      <c r="X46" s="411">
        <f>修补数量统计!DI32</f>
        <v>0</v>
      </c>
      <c r="Y46" s="411">
        <f>修补数量统计!DN32</f>
        <v>0</v>
      </c>
      <c r="Z46" s="411">
        <f>修补数量统计!DS32</f>
        <v>0</v>
      </c>
      <c r="AA46" s="411">
        <f>修补数量统计!DX32</f>
        <v>0</v>
      </c>
      <c r="AB46" s="411">
        <f>修补数量统计!EC32</f>
        <v>0</v>
      </c>
      <c r="AC46" s="411">
        <f>修补数量统计!EH32</f>
        <v>0</v>
      </c>
      <c r="AD46" s="411">
        <f>修补数量统计!EM32</f>
        <v>0</v>
      </c>
      <c r="AE46" s="411">
        <f>修补数量统计!ER32</f>
        <v>0</v>
      </c>
      <c r="AF46" s="411">
        <f>修补数量统计!EW32</f>
        <v>0</v>
      </c>
      <c r="AG46" s="411">
        <f>修补数量统计!FB32</f>
        <v>0</v>
      </c>
      <c r="AH46" s="411">
        <f t="shared" si="4"/>
        <v>0</v>
      </c>
      <c r="AI46" s="472">
        <v>0.373</v>
      </c>
      <c r="AJ46" s="469"/>
      <c r="AK46" s="472">
        <v>0.373</v>
      </c>
      <c r="AL46" s="355"/>
    </row>
    <row r="47" s="358" customFormat="1" ht="15" customHeight="1" spans="1:38">
      <c r="A47" s="412"/>
      <c r="B47" s="410" t="s">
        <v>15</v>
      </c>
      <c r="C47" s="411">
        <f>修补数量统计!H33</f>
        <v>0</v>
      </c>
      <c r="D47" s="411">
        <f>修补数量统计!M33</f>
        <v>0</v>
      </c>
      <c r="E47" s="411">
        <f>修补数量统计!R33</f>
        <v>0</v>
      </c>
      <c r="F47" s="411">
        <f>修补数量统计!W33</f>
        <v>0</v>
      </c>
      <c r="G47" s="411">
        <f>修补数量统计!AB33</f>
        <v>0</v>
      </c>
      <c r="H47" s="411">
        <f>修补数量统计!AG33</f>
        <v>0</v>
      </c>
      <c r="I47" s="411">
        <f>VLOOKUP(B47,修补数量统计!D33:FW35,35,0)</f>
        <v>0</v>
      </c>
      <c r="J47" s="411">
        <f>VLOOKUP(B47,修补数量统计!D33:FW35,40,0)</f>
        <v>0</v>
      </c>
      <c r="K47" s="411">
        <f>VLOOKUP(B47,修补数量统计!D33:FW35,45,0)</f>
        <v>0</v>
      </c>
      <c r="L47" s="411">
        <f>修补数量统计!BA33</f>
        <v>0</v>
      </c>
      <c r="M47" s="411">
        <f>修补数量统计!BF33</f>
        <v>0</v>
      </c>
      <c r="N47" s="411">
        <f>修补数量统计!BK33</f>
        <v>0</v>
      </c>
      <c r="O47" s="411">
        <f>修补数量统计!BP33</f>
        <v>0</v>
      </c>
      <c r="P47" s="411">
        <f>修补数量统计!BU33</f>
        <v>0</v>
      </c>
      <c r="Q47" s="411">
        <f>修补数量统计!BZ33</f>
        <v>0</v>
      </c>
      <c r="R47" s="411">
        <f>修补数量统计!CE33</f>
        <v>0</v>
      </c>
      <c r="S47" s="411">
        <f>修补数量统计!CJ33</f>
        <v>0</v>
      </c>
      <c r="T47" s="411">
        <f>修补数量统计!CO33</f>
        <v>0</v>
      </c>
      <c r="U47" s="411">
        <f>修补数量统计!CT33</f>
        <v>0</v>
      </c>
      <c r="V47" s="411">
        <f>修补数量统计!CY33</f>
        <v>0</v>
      </c>
      <c r="W47" s="411">
        <f>修补数量统计!DD33</f>
        <v>0</v>
      </c>
      <c r="X47" s="411">
        <f>修补数量统计!DI33</f>
        <v>0</v>
      </c>
      <c r="Y47" s="411">
        <f>修补数量统计!DN33</f>
        <v>0</v>
      </c>
      <c r="Z47" s="411">
        <f>修补数量统计!DS33</f>
        <v>0</v>
      </c>
      <c r="AA47" s="411">
        <f>修补数量统计!DX33</f>
        <v>0</v>
      </c>
      <c r="AB47" s="411">
        <f>修补数量统计!EC33</f>
        <v>0</v>
      </c>
      <c r="AC47" s="411">
        <f>修补数量统计!EH33</f>
        <v>0</v>
      </c>
      <c r="AD47" s="411">
        <f>修补数量统计!EM33</f>
        <v>0</v>
      </c>
      <c r="AE47" s="411">
        <f>修补数量统计!ER33</f>
        <v>0</v>
      </c>
      <c r="AF47" s="411">
        <f>修补数量统计!EW33</f>
        <v>0</v>
      </c>
      <c r="AG47" s="411">
        <f>修补数量统计!FB33</f>
        <v>0</v>
      </c>
      <c r="AH47" s="411">
        <f t="shared" si="4"/>
        <v>0</v>
      </c>
      <c r="AI47" s="472">
        <v>0.373</v>
      </c>
      <c r="AJ47" s="469"/>
      <c r="AK47" s="472">
        <v>0.373</v>
      </c>
      <c r="AL47" s="355"/>
    </row>
    <row r="48" s="358" customFormat="1" ht="15" customHeight="1" spans="1:38">
      <c r="A48" s="412"/>
      <c r="B48" s="410" t="s">
        <v>16</v>
      </c>
      <c r="C48" s="411">
        <f>修补数量统计!H34</f>
        <v>0</v>
      </c>
      <c r="D48" s="411">
        <f>修补数量统计!M34</f>
        <v>0</v>
      </c>
      <c r="E48" s="411">
        <f>修补数量统计!R34</f>
        <v>0</v>
      </c>
      <c r="F48" s="411">
        <f>修补数量统计!W34</f>
        <v>0</v>
      </c>
      <c r="G48" s="411">
        <f>修补数量统计!AB34</f>
        <v>0</v>
      </c>
      <c r="H48" s="411">
        <f>修补数量统计!AG34</f>
        <v>0</v>
      </c>
      <c r="I48" s="411">
        <f>VLOOKUP(B48,修补数量统计!D34:FW35,35,0)</f>
        <v>0</v>
      </c>
      <c r="J48" s="411">
        <f>VLOOKUP(B48,修补数量统计!D34:FW35,40,0)</f>
        <v>0</v>
      </c>
      <c r="K48" s="411">
        <f>VLOOKUP(B48,修补数量统计!D34:FW35,45,0)</f>
        <v>0</v>
      </c>
      <c r="L48" s="411">
        <f>修补数量统计!BA34</f>
        <v>0</v>
      </c>
      <c r="M48" s="411">
        <f>修补数量统计!BF34</f>
        <v>0</v>
      </c>
      <c r="N48" s="411">
        <f>修补数量统计!BK34</f>
        <v>0</v>
      </c>
      <c r="O48" s="411">
        <f>修补数量统计!BP34</f>
        <v>0</v>
      </c>
      <c r="P48" s="411">
        <f>修补数量统计!BU34</f>
        <v>0</v>
      </c>
      <c r="Q48" s="411">
        <f>修补数量统计!BZ34</f>
        <v>0</v>
      </c>
      <c r="R48" s="411">
        <f>修补数量统计!CE34</f>
        <v>0</v>
      </c>
      <c r="S48" s="411">
        <f>修补数量统计!CJ34</f>
        <v>0</v>
      </c>
      <c r="T48" s="411">
        <f>修补数量统计!CO34</f>
        <v>0</v>
      </c>
      <c r="U48" s="411">
        <f>修补数量统计!CT34</f>
        <v>0</v>
      </c>
      <c r="V48" s="411">
        <f>修补数量统计!CY34</f>
        <v>0</v>
      </c>
      <c r="W48" s="411">
        <f>修补数量统计!DD34</f>
        <v>0</v>
      </c>
      <c r="X48" s="411">
        <f>修补数量统计!DI34</f>
        <v>0</v>
      </c>
      <c r="Y48" s="411">
        <f>修补数量统计!DN34</f>
        <v>0</v>
      </c>
      <c r="Z48" s="411">
        <f>修补数量统计!DS34</f>
        <v>0</v>
      </c>
      <c r="AA48" s="411">
        <f>修补数量统计!DX34</f>
        <v>0</v>
      </c>
      <c r="AB48" s="411">
        <f>修补数量统计!EC34</f>
        <v>0</v>
      </c>
      <c r="AC48" s="411">
        <f>修补数量统计!EH34</f>
        <v>0</v>
      </c>
      <c r="AD48" s="411">
        <f>修补数量统计!EM34</f>
        <v>0</v>
      </c>
      <c r="AE48" s="411">
        <f>修补数量统计!ER34</f>
        <v>0</v>
      </c>
      <c r="AF48" s="411">
        <f>修补数量统计!EW34</f>
        <v>0</v>
      </c>
      <c r="AG48" s="411">
        <f>修补数量统计!FB34</f>
        <v>0</v>
      </c>
      <c r="AH48" s="411">
        <f t="shared" si="4"/>
        <v>0</v>
      </c>
      <c r="AI48" s="472">
        <v>0.373</v>
      </c>
      <c r="AJ48" s="469"/>
      <c r="AK48" s="472">
        <v>0.373</v>
      </c>
      <c r="AL48" s="355"/>
    </row>
    <row r="49" s="358" customFormat="1" ht="15" customHeight="1" spans="1:38">
      <c r="A49" s="413"/>
      <c r="B49" s="410" t="s">
        <v>17</v>
      </c>
      <c r="C49" s="411">
        <f>修补数量统计!H35</f>
        <v>0</v>
      </c>
      <c r="D49" s="411">
        <f>修补数量统计!M35</f>
        <v>0</v>
      </c>
      <c r="E49" s="411">
        <f>修补数量统计!R35</f>
        <v>0</v>
      </c>
      <c r="F49" s="411">
        <f>修补数量统计!W35</f>
        <v>0</v>
      </c>
      <c r="G49" s="411">
        <f>修补数量统计!AB35</f>
        <v>0</v>
      </c>
      <c r="H49" s="411">
        <f>修补数量统计!AG35</f>
        <v>0</v>
      </c>
      <c r="I49" s="411">
        <f>VLOOKUP(B49,修补数量统计!D35:FW35,35,0)</f>
        <v>0</v>
      </c>
      <c r="J49" s="411">
        <f>VLOOKUP(B49,修补数量统计!D35:FW35,40,0)</f>
        <v>0</v>
      </c>
      <c r="K49" s="411">
        <f>VLOOKUP(B49,修补数量统计!D35:FW35,45,0)</f>
        <v>0</v>
      </c>
      <c r="L49" s="411">
        <f>修补数量统计!BA35</f>
        <v>0</v>
      </c>
      <c r="M49" s="411">
        <f>修补数量统计!BF35</f>
        <v>0</v>
      </c>
      <c r="N49" s="411">
        <f>修补数量统计!BK35</f>
        <v>0</v>
      </c>
      <c r="O49" s="411">
        <f>修补数量统计!BP35</f>
        <v>0</v>
      </c>
      <c r="P49" s="411">
        <f>修补数量统计!BU35</f>
        <v>0</v>
      </c>
      <c r="Q49" s="411">
        <f>修补数量统计!BZ35</f>
        <v>0</v>
      </c>
      <c r="R49" s="411">
        <f>修补数量统计!CE35</f>
        <v>0</v>
      </c>
      <c r="S49" s="411">
        <f>修补数量统计!CJ35</f>
        <v>0</v>
      </c>
      <c r="T49" s="411">
        <f>修补数量统计!CO35</f>
        <v>0</v>
      </c>
      <c r="U49" s="411">
        <f>修补数量统计!CT35</f>
        <v>0</v>
      </c>
      <c r="V49" s="411">
        <f>修补数量统计!CY35</f>
        <v>0</v>
      </c>
      <c r="W49" s="411">
        <f>修补数量统计!DD35</f>
        <v>0</v>
      </c>
      <c r="X49" s="411">
        <f>修补数量统计!DI35</f>
        <v>0</v>
      </c>
      <c r="Y49" s="411">
        <f>修补数量统计!DN35</f>
        <v>0</v>
      </c>
      <c r="Z49" s="411">
        <f>修补数量统计!DS35</f>
        <v>0</v>
      </c>
      <c r="AA49" s="411">
        <f>修补数量统计!DX35</f>
        <v>0</v>
      </c>
      <c r="AB49" s="411">
        <f>修补数量统计!EC35</f>
        <v>0</v>
      </c>
      <c r="AC49" s="411">
        <f>修补数量统计!EH35</f>
        <v>0</v>
      </c>
      <c r="AD49" s="411">
        <f>修补数量统计!EM35</f>
        <v>0</v>
      </c>
      <c r="AE49" s="411">
        <f>修补数量统计!ER35</f>
        <v>0</v>
      </c>
      <c r="AF49" s="411">
        <f>修补数量统计!EW35</f>
        <v>0</v>
      </c>
      <c r="AG49" s="411">
        <f>修补数量统计!FB35</f>
        <v>0</v>
      </c>
      <c r="AH49" s="411">
        <f t="shared" si="4"/>
        <v>0</v>
      </c>
      <c r="AI49" s="472">
        <v>0.373</v>
      </c>
      <c r="AJ49" s="469"/>
      <c r="AK49" s="472">
        <v>0.373</v>
      </c>
      <c r="AL49" s="355"/>
    </row>
    <row r="50" s="359" customFormat="1" ht="15" customHeight="1" spans="1:38">
      <c r="A50" s="414" t="s">
        <v>28</v>
      </c>
      <c r="B50" s="415" t="s">
        <v>8</v>
      </c>
      <c r="C50" s="416">
        <f>VLOOKUP(B50,修补数量统计!D37:FW45,5,0)</f>
        <v>0</v>
      </c>
      <c r="D50" s="416">
        <f>VLOOKUP(B50,修补数量统计!D37:FW45,10,0)</f>
        <v>0</v>
      </c>
      <c r="E50" s="416">
        <f>VLOOKUP(B50,修补数量统计!D37:FW45,15,0)</f>
        <v>82</v>
      </c>
      <c r="F50" s="416">
        <f>VLOOKUP(B50,修补数量统计!D37:FW45,20,0)</f>
        <v>49</v>
      </c>
      <c r="G50" s="416">
        <f>VLOOKUP(B50,修补数量统计!D37:FW45,25,0)</f>
        <v>0</v>
      </c>
      <c r="H50" s="416">
        <f>VLOOKUP(B50,修补数量统计!D37:FW45,30,0)</f>
        <v>0</v>
      </c>
      <c r="I50" s="416">
        <f>VLOOKUP(B50,修补数量统计!D37:FW45,35,0)</f>
        <v>0</v>
      </c>
      <c r="J50" s="416">
        <f>VLOOKUP(B50,修补数量统计!D37:FW45,40,0)</f>
        <v>0</v>
      </c>
      <c r="K50" s="416">
        <f>VLOOKUP(B50,修补数量统计!D37:FW45,45,0)</f>
        <v>0</v>
      </c>
      <c r="L50" s="416">
        <f>VLOOKUP(B50,修补数量统计!D37:FW45,50,0)</f>
        <v>0</v>
      </c>
      <c r="M50" s="416">
        <f>修补数量统计!BF37</f>
        <v>0</v>
      </c>
      <c r="N50" s="416">
        <f>修补数量统计!BK37</f>
        <v>0</v>
      </c>
      <c r="O50" s="416">
        <f>修补数量统计!BP37</f>
        <v>0</v>
      </c>
      <c r="P50" s="416">
        <f>修补数量统计!BU37</f>
        <v>0</v>
      </c>
      <c r="Q50" s="416">
        <f>修补数量统计!BZ37</f>
        <v>0</v>
      </c>
      <c r="R50" s="416">
        <f>修补数量统计!CE37</f>
        <v>0</v>
      </c>
      <c r="S50" s="416">
        <f>修补数量统计!CJ37</f>
        <v>0</v>
      </c>
      <c r="T50" s="416">
        <f>修补数量统计!CO37</f>
        <v>0</v>
      </c>
      <c r="U50" s="416">
        <f>修补数量统计!CT37</f>
        <v>0</v>
      </c>
      <c r="V50" s="416">
        <f>修补数量统计!CY37</f>
        <v>237</v>
      </c>
      <c r="W50" s="416">
        <f>修补数量统计!DD37</f>
        <v>0</v>
      </c>
      <c r="X50" s="416">
        <f>修补数量统计!DI37</f>
        <v>0</v>
      </c>
      <c r="Y50" s="416">
        <f>修补数量统计!DN37</f>
        <v>0</v>
      </c>
      <c r="Z50" s="416">
        <f>修补数量统计!DS37</f>
        <v>40</v>
      </c>
      <c r="AA50" s="416">
        <f>修补数量统计!DX37</f>
        <v>0</v>
      </c>
      <c r="AB50" s="416">
        <f>修补数量统计!EC37</f>
        <v>0</v>
      </c>
      <c r="AC50" s="416">
        <f>修补数量统计!EH37</f>
        <v>0</v>
      </c>
      <c r="AD50" s="416">
        <f>修补数量统计!EM37</f>
        <v>0</v>
      </c>
      <c r="AE50" s="416">
        <f>修补数量统计!ER37</f>
        <v>0</v>
      </c>
      <c r="AF50" s="416">
        <f>修补数量统计!EW37</f>
        <v>210</v>
      </c>
      <c r="AG50" s="416">
        <f>修补数量统计!FB37</f>
        <v>0</v>
      </c>
      <c r="AH50" s="416">
        <f t="shared" ref="AH50:AH89" si="5">C50+D50+E50+F50+G50+H50+I50+J50+K50+L50+M50+N50+O50+P50+Q50+R50+S50+T50+U50+V50+W50+X50+Y50+Z50+AA50+AB50+AC50+AD50+AE50+AF50+AG50</f>
        <v>618</v>
      </c>
      <c r="AI50" s="473">
        <v>0.4</v>
      </c>
      <c r="AJ50" s="474">
        <f>AH50*AI50+AH51*AI51+AH52*AI52+AH53*AI53+AH54*AI54+AH55*AI55+AH56*AI56+AH57*AI57+AH58*AI58+AH59*AI59</f>
        <v>2559.804</v>
      </c>
      <c r="AK50" s="275">
        <v>0.4</v>
      </c>
      <c r="AL50" s="355"/>
    </row>
    <row r="51" s="359" customFormat="1" ht="15" customHeight="1" spans="1:38">
      <c r="A51" s="417"/>
      <c r="B51" s="415" t="s">
        <v>9</v>
      </c>
      <c r="C51" s="416">
        <f>VLOOKUP(B51,修补数量统计!D37:FW46,5,0)</f>
        <v>736</v>
      </c>
      <c r="D51" s="416">
        <f>VLOOKUP(B51,修补数量统计!D37:FW46,10,0)</f>
        <v>781</v>
      </c>
      <c r="E51" s="416">
        <f>VLOOKUP(B51,修补数量统计!D37:FW46,15,0)</f>
        <v>236</v>
      </c>
      <c r="F51" s="416">
        <f>VLOOKUP(B51,修补数量统计!D37:FW46,20,0)</f>
        <v>199</v>
      </c>
      <c r="G51" s="416">
        <f>VLOOKUP(B51,修补数量统计!D37:FW46,25,0)</f>
        <v>772</v>
      </c>
      <c r="H51" s="416">
        <f>VLOOKUP(B51,修补数量统计!D37:FW46,30,0)</f>
        <v>749</v>
      </c>
      <c r="I51" s="416">
        <f>VLOOKUP(B51,修补数量统计!D37:FW46,35,0)</f>
        <v>782</v>
      </c>
      <c r="J51" s="416">
        <f>VLOOKUP(B51,修补数量统计!D37:FW46,40,0)</f>
        <v>643</v>
      </c>
      <c r="K51" s="416">
        <f>VLOOKUP(B51,修补数量统计!D37:FW46,45,0)</f>
        <v>620</v>
      </c>
      <c r="L51" s="416">
        <f>VLOOKUP(B51,修补数量统计!D37:FW46,50,0)</f>
        <v>671</v>
      </c>
      <c r="M51" s="416">
        <f>修补数量统计!BF38</f>
        <v>617</v>
      </c>
      <c r="N51" s="416">
        <f>修补数量统计!BK38</f>
        <v>541</v>
      </c>
      <c r="O51" s="416">
        <f>修补数量统计!BP38</f>
        <v>623</v>
      </c>
      <c r="P51" s="416">
        <f>修补数量统计!BU38</f>
        <v>756</v>
      </c>
      <c r="Q51" s="416">
        <f>修补数量统计!BZ38</f>
        <v>511</v>
      </c>
      <c r="R51" s="416">
        <f>修补数量统计!CE38</f>
        <v>636</v>
      </c>
      <c r="S51" s="416">
        <f>修补数量统计!CJ38</f>
        <v>0</v>
      </c>
      <c r="T51" s="416">
        <f>修补数量统计!CO38</f>
        <v>798</v>
      </c>
      <c r="U51" s="416">
        <f>修补数量统计!CT38</f>
        <v>413</v>
      </c>
      <c r="V51" s="416">
        <f>修补数量统计!CY38</f>
        <v>0</v>
      </c>
      <c r="W51" s="416">
        <f>修补数量统计!DD38</f>
        <v>708</v>
      </c>
      <c r="X51" s="416">
        <f>修补数量统计!DI38</f>
        <v>568</v>
      </c>
      <c r="Y51" s="416">
        <f>修补数量统计!DN38</f>
        <v>691</v>
      </c>
      <c r="Z51" s="416">
        <f>修补数量统计!DS38</f>
        <v>555</v>
      </c>
      <c r="AA51" s="416">
        <f>修补数量统计!DX38</f>
        <v>734</v>
      </c>
      <c r="AB51" s="416">
        <f>修补数量统计!EC38</f>
        <v>738</v>
      </c>
      <c r="AC51" s="416">
        <f>修补数量统计!EH38</f>
        <v>816</v>
      </c>
      <c r="AD51" s="416">
        <f>修补数量统计!EM38</f>
        <v>665</v>
      </c>
      <c r="AE51" s="416">
        <f>修补数量统计!ER38</f>
        <v>814</v>
      </c>
      <c r="AF51" s="416">
        <f>修补数量统计!EW38</f>
        <v>15</v>
      </c>
      <c r="AG51" s="416">
        <f>修补数量统计!FB38</f>
        <v>0</v>
      </c>
      <c r="AH51" s="416">
        <f t="shared" si="5"/>
        <v>17388</v>
      </c>
      <c r="AI51" s="475">
        <v>0.133</v>
      </c>
      <c r="AJ51" s="474"/>
      <c r="AK51" s="279">
        <v>0.133</v>
      </c>
      <c r="AL51" s="355"/>
    </row>
    <row r="52" s="359" customFormat="1" ht="15" customHeight="1" spans="1:38">
      <c r="A52" s="417"/>
      <c r="B52" s="415" t="s">
        <v>10</v>
      </c>
      <c r="C52" s="416">
        <f>VLOOKUP(B52,修补数量统计!D38:FW47,5,0)</f>
        <v>0</v>
      </c>
      <c r="D52" s="416">
        <f>VLOOKUP(B52,修补数量统计!D38:FW47,10,0)</f>
        <v>0</v>
      </c>
      <c r="E52" s="416">
        <f>VLOOKUP(B52,修补数量统计!D38:FW47,15,0)</f>
        <v>0</v>
      </c>
      <c r="F52" s="416">
        <f>VLOOKUP(B52,修补数量统计!D38:FW47,20,0)</f>
        <v>0</v>
      </c>
      <c r="G52" s="416">
        <f>VLOOKUP(B52,修补数量统计!D38:FW47,25,0)</f>
        <v>0</v>
      </c>
      <c r="H52" s="416">
        <f>VLOOKUP(B52,修补数量统计!D38:FW47,30,0)</f>
        <v>0</v>
      </c>
      <c r="I52" s="416">
        <f>VLOOKUP(B52,修补数量统计!D38:FW47,35,0)</f>
        <v>0</v>
      </c>
      <c r="J52" s="416">
        <f>VLOOKUP(B52,修补数量统计!D38:FW47,40,0)</f>
        <v>0</v>
      </c>
      <c r="K52" s="416">
        <f>VLOOKUP(B52,修补数量统计!D38:FW47,45,0)</f>
        <v>0</v>
      </c>
      <c r="L52" s="416">
        <f>VLOOKUP(B52,修补数量统计!D38:FW47,50,0)</f>
        <v>0</v>
      </c>
      <c r="M52" s="416">
        <f>修补数量统计!BF39</f>
        <v>0</v>
      </c>
      <c r="N52" s="416">
        <f>修补数量统计!BK39</f>
        <v>0</v>
      </c>
      <c r="O52" s="416">
        <f>修补数量统计!BP39</f>
        <v>0</v>
      </c>
      <c r="P52" s="416">
        <f>修补数量统计!BU39</f>
        <v>0</v>
      </c>
      <c r="Q52" s="416">
        <f>修补数量统计!BZ39</f>
        <v>0</v>
      </c>
      <c r="R52" s="416">
        <f>修补数量统计!CE39</f>
        <v>0</v>
      </c>
      <c r="S52" s="416">
        <f>修补数量统计!CJ39</f>
        <v>0</v>
      </c>
      <c r="T52" s="416">
        <f>修补数量统计!CO39</f>
        <v>0</v>
      </c>
      <c r="U52" s="416">
        <f>修补数量统计!CT39</f>
        <v>0</v>
      </c>
      <c r="V52" s="416">
        <f>修补数量统计!CY39</f>
        <v>0</v>
      </c>
      <c r="W52" s="416">
        <f>修补数量统计!DD39</f>
        <v>0</v>
      </c>
      <c r="X52" s="416">
        <f>修补数量统计!DI39</f>
        <v>0</v>
      </c>
      <c r="Y52" s="416">
        <f>修补数量统计!DN39</f>
        <v>0</v>
      </c>
      <c r="Z52" s="416">
        <f>修补数量统计!DS39</f>
        <v>0</v>
      </c>
      <c r="AA52" s="416">
        <f>修补数量统计!DX39</f>
        <v>0</v>
      </c>
      <c r="AB52" s="416">
        <f>修补数量统计!EC39</f>
        <v>0</v>
      </c>
      <c r="AC52" s="416">
        <f>修补数量统计!EH39</f>
        <v>0</v>
      </c>
      <c r="AD52" s="416">
        <f>修补数量统计!EM39</f>
        <v>0</v>
      </c>
      <c r="AE52" s="416">
        <f>修补数量统计!ER39</f>
        <v>0</v>
      </c>
      <c r="AF52" s="416">
        <f>修补数量统计!EW39</f>
        <v>0</v>
      </c>
      <c r="AG52" s="416">
        <f>修补数量统计!FB39</f>
        <v>0</v>
      </c>
      <c r="AH52" s="416">
        <f t="shared" si="5"/>
        <v>0</v>
      </c>
      <c r="AI52" s="475">
        <v>0.133</v>
      </c>
      <c r="AJ52" s="474"/>
      <c r="AK52" s="279">
        <v>0.133</v>
      </c>
      <c r="AL52" s="355"/>
    </row>
    <row r="53" s="359" customFormat="1" ht="15" customHeight="1" spans="1:38">
      <c r="A53" s="417"/>
      <c r="B53" s="415" t="s">
        <v>11</v>
      </c>
      <c r="C53" s="416">
        <f>VLOOKUP(B53,修补数量统计!D39:FW48,5,0)</f>
        <v>0</v>
      </c>
      <c r="D53" s="416">
        <f>VLOOKUP(B53,修补数量统计!D39:FW48,10,0)</f>
        <v>0</v>
      </c>
      <c r="E53" s="416">
        <f>VLOOKUP(B53,修补数量统计!D39:FW48,15,0)</f>
        <v>0</v>
      </c>
      <c r="F53" s="416">
        <f>VLOOKUP(B53,修补数量统计!D39:FW48,20,0)</f>
        <v>0</v>
      </c>
      <c r="G53" s="416">
        <f>VLOOKUP(B53,修补数量统计!D39:FW48,25,0)</f>
        <v>0</v>
      </c>
      <c r="H53" s="416">
        <f>VLOOKUP(B53,修补数量统计!D39:FW48,30,0)</f>
        <v>0</v>
      </c>
      <c r="I53" s="416">
        <f>VLOOKUP(B53,修补数量统计!D39:FW48,35,0)</f>
        <v>0</v>
      </c>
      <c r="J53" s="416">
        <f>VLOOKUP(B53,修补数量统计!D39:FW48,40,0)</f>
        <v>0</v>
      </c>
      <c r="K53" s="416">
        <f>VLOOKUP(B53,修补数量统计!D39:FW48,45,0)</f>
        <v>0</v>
      </c>
      <c r="L53" s="416">
        <f>VLOOKUP(B53,修补数量统计!D39:FW48,50,0)</f>
        <v>0</v>
      </c>
      <c r="M53" s="416">
        <f>修补数量统计!BF40</f>
        <v>0</v>
      </c>
      <c r="N53" s="416">
        <f>修补数量统计!BK40</f>
        <v>0</v>
      </c>
      <c r="O53" s="416">
        <f>修补数量统计!BP40</f>
        <v>0</v>
      </c>
      <c r="P53" s="416">
        <f>修补数量统计!BU40</f>
        <v>0</v>
      </c>
      <c r="Q53" s="416">
        <f>修补数量统计!BZ40</f>
        <v>0</v>
      </c>
      <c r="R53" s="416">
        <f>修补数量统计!CE40</f>
        <v>0</v>
      </c>
      <c r="S53" s="416">
        <f>修补数量统计!CJ40</f>
        <v>0</v>
      </c>
      <c r="T53" s="416">
        <f>修补数量统计!CO40</f>
        <v>0</v>
      </c>
      <c r="U53" s="416">
        <f>修补数量统计!CT40</f>
        <v>0</v>
      </c>
      <c r="V53" s="416">
        <f>修补数量统计!CY40</f>
        <v>0</v>
      </c>
      <c r="W53" s="416">
        <f>修补数量统计!DD40</f>
        <v>0</v>
      </c>
      <c r="X53" s="416">
        <f>修补数量统计!DI40</f>
        <v>0</v>
      </c>
      <c r="Y53" s="416">
        <f>修补数量统计!DN40</f>
        <v>0</v>
      </c>
      <c r="Z53" s="416">
        <f>修补数量统计!DS40</f>
        <v>0</v>
      </c>
      <c r="AA53" s="416">
        <f>修补数量统计!DX40</f>
        <v>0</v>
      </c>
      <c r="AB53" s="416">
        <f>修补数量统计!EC40</f>
        <v>0</v>
      </c>
      <c r="AC53" s="416">
        <f>修补数量统计!EH40</f>
        <v>0</v>
      </c>
      <c r="AD53" s="416">
        <f>修补数量统计!EM40</f>
        <v>0</v>
      </c>
      <c r="AE53" s="416">
        <f>修补数量统计!ER40</f>
        <v>0</v>
      </c>
      <c r="AF53" s="416">
        <f>修补数量统计!EW40</f>
        <v>0</v>
      </c>
      <c r="AG53" s="416">
        <f>修补数量统计!FB40</f>
        <v>0</v>
      </c>
      <c r="AH53" s="416">
        <f t="shared" si="5"/>
        <v>0</v>
      </c>
      <c r="AI53" s="475">
        <v>0.23</v>
      </c>
      <c r="AJ53" s="474"/>
      <c r="AK53" s="279">
        <v>0.23</v>
      </c>
      <c r="AL53" s="355"/>
    </row>
    <row r="54" s="359" customFormat="1" ht="15" customHeight="1" spans="1:38">
      <c r="A54" s="417"/>
      <c r="B54" s="415" t="s">
        <v>12</v>
      </c>
      <c r="C54" s="416">
        <f>VLOOKUP(B54,修补数量统计!D40:FW49,5,0)</f>
        <v>0</v>
      </c>
      <c r="D54" s="416">
        <f>VLOOKUP(B54,修补数量统计!D40:FW49,10,0)</f>
        <v>0</v>
      </c>
      <c r="E54" s="416">
        <f>VLOOKUP(B54,修补数量统计!D40:FW49,15,0)</f>
        <v>0</v>
      </c>
      <c r="F54" s="416">
        <f>VLOOKUP(B54,修补数量统计!D40:FW49,20,0)</f>
        <v>0</v>
      </c>
      <c r="G54" s="416">
        <f>VLOOKUP(B54,修补数量统计!D40:FW49,25,0)</f>
        <v>0</v>
      </c>
      <c r="H54" s="416">
        <f>VLOOKUP(B54,修补数量统计!D40:FW49,30,0)</f>
        <v>0</v>
      </c>
      <c r="I54" s="416">
        <f>VLOOKUP(B54,修补数量统计!D40:FW49,35,0)</f>
        <v>0</v>
      </c>
      <c r="J54" s="416">
        <f>VLOOKUP(B54,修补数量统计!D40:FW49,40,0)</f>
        <v>0</v>
      </c>
      <c r="K54" s="416">
        <f>VLOOKUP(B54,修补数量统计!D40:FW49,45,0)</f>
        <v>0</v>
      </c>
      <c r="L54" s="416">
        <f>VLOOKUP(B54,修补数量统计!D40:FW49,50,0)</f>
        <v>0</v>
      </c>
      <c r="M54" s="416">
        <f>修补数量统计!BF41</f>
        <v>0</v>
      </c>
      <c r="N54" s="416">
        <f>修补数量统计!BK41</f>
        <v>0</v>
      </c>
      <c r="O54" s="416">
        <f>修补数量统计!BP41</f>
        <v>0</v>
      </c>
      <c r="P54" s="416">
        <f>修补数量统计!BU41</f>
        <v>0</v>
      </c>
      <c r="Q54" s="416">
        <f>修补数量统计!BZ41</f>
        <v>0</v>
      </c>
      <c r="R54" s="416">
        <f>修补数量统计!CE41</f>
        <v>0</v>
      </c>
      <c r="S54" s="416">
        <f>修补数量统计!CJ41</f>
        <v>0</v>
      </c>
      <c r="T54" s="416">
        <f>修补数量统计!CO41</f>
        <v>0</v>
      </c>
      <c r="U54" s="416">
        <f>修补数量统计!CT41</f>
        <v>0</v>
      </c>
      <c r="V54" s="416">
        <f>修补数量统计!CY41</f>
        <v>0</v>
      </c>
      <c r="W54" s="416">
        <f>修补数量统计!DD41</f>
        <v>0</v>
      </c>
      <c r="X54" s="416">
        <f>修补数量统计!DI41</f>
        <v>0</v>
      </c>
      <c r="Y54" s="416">
        <f>修补数量统计!DN41</f>
        <v>0</v>
      </c>
      <c r="Z54" s="416">
        <f>修补数量统计!DS41</f>
        <v>0</v>
      </c>
      <c r="AA54" s="416">
        <f>修补数量统计!DX41</f>
        <v>0</v>
      </c>
      <c r="AB54" s="416">
        <f>修补数量统计!EC41</f>
        <v>0</v>
      </c>
      <c r="AC54" s="416">
        <f>修补数量统计!EH41</f>
        <v>0</v>
      </c>
      <c r="AD54" s="416">
        <f>修补数量统计!EM41</f>
        <v>0</v>
      </c>
      <c r="AE54" s="416">
        <f>修补数量统计!ER41</f>
        <v>0</v>
      </c>
      <c r="AF54" s="416">
        <f>修补数量统计!EW41</f>
        <v>0</v>
      </c>
      <c r="AG54" s="416">
        <f>修补数量统计!FB41</f>
        <v>0</v>
      </c>
      <c r="AH54" s="416">
        <f t="shared" si="5"/>
        <v>0</v>
      </c>
      <c r="AI54" s="475">
        <v>0.25</v>
      </c>
      <c r="AJ54" s="474"/>
      <c r="AK54" s="279">
        <v>0.25</v>
      </c>
      <c r="AL54" s="355"/>
    </row>
    <row r="55" s="359" customFormat="1" ht="15" customHeight="1" spans="1:38">
      <c r="A55" s="417"/>
      <c r="B55" s="415" t="s">
        <v>13</v>
      </c>
      <c r="C55" s="416">
        <v>0</v>
      </c>
      <c r="D55" s="416">
        <v>0</v>
      </c>
      <c r="E55" s="416">
        <v>0</v>
      </c>
      <c r="F55" s="416">
        <v>0</v>
      </c>
      <c r="G55" s="416">
        <v>0</v>
      </c>
      <c r="H55" s="416">
        <v>0</v>
      </c>
      <c r="I55" s="416">
        <v>0</v>
      </c>
      <c r="J55" s="416">
        <v>0</v>
      </c>
      <c r="K55" s="416">
        <v>0</v>
      </c>
      <c r="L55" s="416">
        <v>0</v>
      </c>
      <c r="M55" s="416">
        <f>修补数量统计!BF42</f>
        <v>0</v>
      </c>
      <c r="N55" s="416">
        <f>修补数量统计!BK42</f>
        <v>0</v>
      </c>
      <c r="O55" s="416">
        <f>修补数量统计!BP42</f>
        <v>0</v>
      </c>
      <c r="P55" s="416">
        <f>修补数量统计!BU42</f>
        <v>0</v>
      </c>
      <c r="Q55" s="416">
        <f>修补数量统计!BZ42</f>
        <v>0</v>
      </c>
      <c r="R55" s="416">
        <f>修补数量统计!CE42</f>
        <v>0</v>
      </c>
      <c r="S55" s="416">
        <f>修补数量统计!CJ42</f>
        <v>0</v>
      </c>
      <c r="T55" s="416">
        <f>修补数量统计!CO42</f>
        <v>0</v>
      </c>
      <c r="U55" s="416">
        <f>修补数量统计!CT42</f>
        <v>0</v>
      </c>
      <c r="V55" s="416">
        <f>修补数量统计!CY42</f>
        <v>0</v>
      </c>
      <c r="W55" s="416">
        <f>修补数量统计!DD42</f>
        <v>0</v>
      </c>
      <c r="X55" s="416">
        <f>修补数量统计!DI42</f>
        <v>0</v>
      </c>
      <c r="Y55" s="416">
        <f>修补数量统计!DN42</f>
        <v>0</v>
      </c>
      <c r="Z55" s="416">
        <f>修补数量统计!DS42</f>
        <v>0</v>
      </c>
      <c r="AA55" s="416">
        <f>修补数量统计!DX42</f>
        <v>0</v>
      </c>
      <c r="AB55" s="416">
        <f>修补数量统计!EC42</f>
        <v>0</v>
      </c>
      <c r="AC55" s="416">
        <f>修补数量统计!EH42</f>
        <v>0</v>
      </c>
      <c r="AD55" s="416">
        <f>修补数量统计!EM42</f>
        <v>0</v>
      </c>
      <c r="AE55" s="416">
        <f>修补数量统计!ER42</f>
        <v>0</v>
      </c>
      <c r="AF55" s="416">
        <f>修补数量统计!EW42</f>
        <v>0</v>
      </c>
      <c r="AG55" s="416">
        <f>修补数量统计!FB42</f>
        <v>0</v>
      </c>
      <c r="AH55" s="416">
        <f t="shared" si="5"/>
        <v>0</v>
      </c>
      <c r="AI55" s="475">
        <v>0.373</v>
      </c>
      <c r="AJ55" s="474"/>
      <c r="AK55" s="279">
        <v>0.373</v>
      </c>
      <c r="AL55" s="355"/>
    </row>
    <row r="56" s="359" customFormat="1" ht="15" customHeight="1" spans="1:38">
      <c r="A56" s="417"/>
      <c r="B56" s="415" t="s">
        <v>14</v>
      </c>
      <c r="C56" s="416">
        <v>0</v>
      </c>
      <c r="D56" s="416">
        <v>0</v>
      </c>
      <c r="E56" s="416">
        <v>0</v>
      </c>
      <c r="F56" s="416">
        <v>0</v>
      </c>
      <c r="G56" s="416">
        <v>0</v>
      </c>
      <c r="H56" s="416">
        <v>0</v>
      </c>
      <c r="I56" s="416">
        <v>0</v>
      </c>
      <c r="J56" s="416">
        <v>0</v>
      </c>
      <c r="K56" s="416">
        <v>0</v>
      </c>
      <c r="L56" s="416">
        <v>0</v>
      </c>
      <c r="M56" s="416">
        <f>修补数量统计!BF43</f>
        <v>0</v>
      </c>
      <c r="N56" s="416">
        <f>修补数量统计!BK43</f>
        <v>0</v>
      </c>
      <c r="O56" s="416">
        <f>修补数量统计!BP43</f>
        <v>0</v>
      </c>
      <c r="P56" s="416">
        <f>修补数量统计!BU43</f>
        <v>0</v>
      </c>
      <c r="Q56" s="416">
        <f>修补数量统计!BZ43</f>
        <v>0</v>
      </c>
      <c r="R56" s="416">
        <f>修补数量统计!CE43</f>
        <v>0</v>
      </c>
      <c r="S56" s="416">
        <f>修补数量统计!CJ43</f>
        <v>0</v>
      </c>
      <c r="T56" s="416">
        <f>修补数量统计!CO43</f>
        <v>0</v>
      </c>
      <c r="U56" s="416">
        <f>修补数量统计!CT43</f>
        <v>0</v>
      </c>
      <c r="V56" s="416">
        <f>修补数量统计!CY43</f>
        <v>0</v>
      </c>
      <c r="W56" s="416">
        <f>修补数量统计!DD43</f>
        <v>0</v>
      </c>
      <c r="X56" s="416">
        <f>修补数量统计!DI43</f>
        <v>0</v>
      </c>
      <c r="Y56" s="416">
        <f>修补数量统计!DN43</f>
        <v>0</v>
      </c>
      <c r="Z56" s="416">
        <f>修补数量统计!DS43</f>
        <v>0</v>
      </c>
      <c r="AA56" s="416">
        <f>修补数量统计!DX43</f>
        <v>0</v>
      </c>
      <c r="AB56" s="416">
        <f>修补数量统计!EC43</f>
        <v>0</v>
      </c>
      <c r="AC56" s="416">
        <f>修补数量统计!EH43</f>
        <v>0</v>
      </c>
      <c r="AD56" s="416">
        <f>修补数量统计!EM43</f>
        <v>0</v>
      </c>
      <c r="AE56" s="416">
        <f>修补数量统计!ER43</f>
        <v>0</v>
      </c>
      <c r="AF56" s="416">
        <f>修补数量统计!EW43</f>
        <v>0</v>
      </c>
      <c r="AG56" s="416">
        <f>修补数量统计!FB43</f>
        <v>0</v>
      </c>
      <c r="AH56" s="416">
        <f t="shared" si="5"/>
        <v>0</v>
      </c>
      <c r="AI56" s="475">
        <v>0.373</v>
      </c>
      <c r="AJ56" s="474"/>
      <c r="AK56" s="279">
        <v>0.373</v>
      </c>
      <c r="AL56" s="355"/>
    </row>
    <row r="57" s="359" customFormat="1" ht="15" customHeight="1" spans="1:38">
      <c r="A57" s="417"/>
      <c r="B57" s="415" t="s">
        <v>15</v>
      </c>
      <c r="C57" s="416">
        <f>VLOOKUP(B57,修补数量统计!D43:FW52,5,0)</f>
        <v>0</v>
      </c>
      <c r="D57" s="416">
        <f>VLOOKUP(B57,修补数量统计!D43:FW52,10,0)</f>
        <v>0</v>
      </c>
      <c r="E57" s="416">
        <f>VLOOKUP(B57,修补数量统计!D43:FW52,15,0)</f>
        <v>0</v>
      </c>
      <c r="F57" s="416">
        <f>VLOOKUP(B57,修补数量统计!D43:FW52,20,0)</f>
        <v>0</v>
      </c>
      <c r="G57" s="416">
        <v>0</v>
      </c>
      <c r="H57" s="416">
        <f>VLOOKUP(B57,修补数量统计!D43:FW52,30,0)</f>
        <v>0</v>
      </c>
      <c r="I57" s="416">
        <f>VLOOKUP(B57,修补数量统计!D43:FW52,35,0)</f>
        <v>0</v>
      </c>
      <c r="J57" s="416">
        <f>VLOOKUP(B57,修补数量统计!D43:FW52,40,0)</f>
        <v>0</v>
      </c>
      <c r="K57" s="416">
        <f>VLOOKUP(B57,修补数量统计!D43:FW52,45,0)</f>
        <v>0</v>
      </c>
      <c r="L57" s="416">
        <f>VLOOKUP(B57,修补数量统计!D43:FW52,50,0)</f>
        <v>0</v>
      </c>
      <c r="M57" s="416">
        <f>修补数量统计!BF44</f>
        <v>0</v>
      </c>
      <c r="N57" s="416">
        <f>修补数量统计!BK44</f>
        <v>0</v>
      </c>
      <c r="O57" s="416">
        <f>修补数量统计!BP44</f>
        <v>0</v>
      </c>
      <c r="P57" s="416">
        <f>修补数量统计!BU44</f>
        <v>0</v>
      </c>
      <c r="Q57" s="416">
        <f>修补数量统计!BZ44</f>
        <v>0</v>
      </c>
      <c r="R57" s="416">
        <f>修补数量统计!CE44</f>
        <v>0</v>
      </c>
      <c r="S57" s="416">
        <f>修补数量统计!CJ44</f>
        <v>0</v>
      </c>
      <c r="T57" s="416">
        <f>修补数量统计!CO44</f>
        <v>0</v>
      </c>
      <c r="U57" s="416">
        <f>修补数量统计!CT44</f>
        <v>0</v>
      </c>
      <c r="V57" s="416">
        <f>修补数量统计!CY44</f>
        <v>0</v>
      </c>
      <c r="W57" s="416">
        <f>修补数量统计!DD44</f>
        <v>0</v>
      </c>
      <c r="X57" s="416">
        <f>修补数量统计!DI44</f>
        <v>0</v>
      </c>
      <c r="Y57" s="416">
        <f>修补数量统计!DN44</f>
        <v>0</v>
      </c>
      <c r="Z57" s="416">
        <f>修补数量统计!DS44</f>
        <v>0</v>
      </c>
      <c r="AA57" s="416">
        <f>修补数量统计!DX44</f>
        <v>0</v>
      </c>
      <c r="AB57" s="416">
        <f>修补数量统计!EC44</f>
        <v>0</v>
      </c>
      <c r="AC57" s="416">
        <f>修补数量统计!EH44</f>
        <v>0</v>
      </c>
      <c r="AD57" s="416">
        <f>修补数量统计!EM44</f>
        <v>0</v>
      </c>
      <c r="AE57" s="416">
        <f>修补数量统计!ER44</f>
        <v>0</v>
      </c>
      <c r="AF57" s="416">
        <f>修补数量统计!EW44</f>
        <v>0</v>
      </c>
      <c r="AG57" s="416">
        <f>修补数量统计!FB44</f>
        <v>0</v>
      </c>
      <c r="AH57" s="416">
        <f t="shared" si="5"/>
        <v>0</v>
      </c>
      <c r="AI57" s="475">
        <v>0.373</v>
      </c>
      <c r="AJ57" s="474"/>
      <c r="AK57" s="279">
        <v>0.373</v>
      </c>
      <c r="AL57" s="355"/>
    </row>
    <row r="58" s="359" customFormat="1" ht="15" customHeight="1" spans="1:38">
      <c r="A58" s="417"/>
      <c r="B58" s="415" t="s">
        <v>16</v>
      </c>
      <c r="C58" s="416">
        <f>VLOOKUP(B58,修补数量统计!D44:FW53,5,0)</f>
        <v>0</v>
      </c>
      <c r="D58" s="416">
        <f>VLOOKUP(B58,修补数量统计!D44:FW53,10,0)</f>
        <v>0</v>
      </c>
      <c r="E58" s="416">
        <f>VLOOKUP(B58,修补数量统计!D44:FW53,15,0)</f>
        <v>0</v>
      </c>
      <c r="F58" s="416">
        <f>VLOOKUP(B58,修补数量统计!D44:FW53,20,0)</f>
        <v>0</v>
      </c>
      <c r="G58" s="416">
        <f>VLOOKUP(B58,修补数量统计!D44:FW53,25,0)</f>
        <v>0</v>
      </c>
      <c r="H58" s="416">
        <f>VLOOKUP(B58,修补数量统计!D44:FW53,30,0)</f>
        <v>0</v>
      </c>
      <c r="I58" s="416">
        <f>VLOOKUP(B58,修补数量统计!D44:FW53,35,0)</f>
        <v>0</v>
      </c>
      <c r="J58" s="416">
        <f>VLOOKUP(B58,修补数量统计!D44:FW53,40,0)</f>
        <v>0</v>
      </c>
      <c r="K58" s="416">
        <f>VLOOKUP(B58,修补数量统计!D44:FW53,45,0)</f>
        <v>0</v>
      </c>
      <c r="L58" s="416">
        <f>VLOOKUP(B58,修补数量统计!D44:FW53,50,0)</f>
        <v>0</v>
      </c>
      <c r="M58" s="416">
        <f>修补数量统计!BF45</f>
        <v>0</v>
      </c>
      <c r="N58" s="416">
        <f>修补数量统计!BK45</f>
        <v>0</v>
      </c>
      <c r="O58" s="416">
        <f>修补数量统计!BP45</f>
        <v>0</v>
      </c>
      <c r="P58" s="416">
        <f>修补数量统计!BU45</f>
        <v>0</v>
      </c>
      <c r="Q58" s="416">
        <f>修补数量统计!BZ45</f>
        <v>0</v>
      </c>
      <c r="R58" s="416">
        <f>修补数量统计!CE45</f>
        <v>0</v>
      </c>
      <c r="S58" s="416">
        <f>修补数量统计!CJ45</f>
        <v>0</v>
      </c>
      <c r="T58" s="416">
        <f>修补数量统计!CO45</f>
        <v>0</v>
      </c>
      <c r="U58" s="416">
        <f>修补数量统计!F45</f>
        <v>0</v>
      </c>
      <c r="V58" s="416">
        <f>修补数量统计!CY45</f>
        <v>0</v>
      </c>
      <c r="W58" s="416">
        <f>修补数量统计!DD45</f>
        <v>0</v>
      </c>
      <c r="X58" s="416">
        <f>修补数量统计!DI45</f>
        <v>0</v>
      </c>
      <c r="Y58" s="416">
        <f>修补数量统计!DN45</f>
        <v>0</v>
      </c>
      <c r="Z58" s="416">
        <f>修补数量统计!DS45</f>
        <v>0</v>
      </c>
      <c r="AA58" s="416">
        <f>修补数量统计!DX45</f>
        <v>0</v>
      </c>
      <c r="AB58" s="416">
        <f>修补数量统计!EC45</f>
        <v>0</v>
      </c>
      <c r="AC58" s="416">
        <f>修补数量统计!EH45</f>
        <v>0</v>
      </c>
      <c r="AD58" s="416">
        <f>修补数量统计!EM45</f>
        <v>0</v>
      </c>
      <c r="AE58" s="416">
        <f>修补数量统计!ER45</f>
        <v>0</v>
      </c>
      <c r="AF58" s="416">
        <f>修补数量统计!EW45</f>
        <v>0</v>
      </c>
      <c r="AG58" s="416">
        <f>修补数量统计!FB45</f>
        <v>0</v>
      </c>
      <c r="AH58" s="416">
        <f t="shared" si="5"/>
        <v>0</v>
      </c>
      <c r="AI58" s="475">
        <v>0.373</v>
      </c>
      <c r="AJ58" s="474"/>
      <c r="AK58" s="279">
        <v>0.373</v>
      </c>
      <c r="AL58" s="355"/>
    </row>
    <row r="59" s="359" customFormat="1" ht="15" customHeight="1" spans="1:38">
      <c r="A59" s="418"/>
      <c r="B59" s="415" t="s">
        <v>17</v>
      </c>
      <c r="C59" s="416">
        <f>VLOOKUP(B59,修补数量统计!D45:FW54,5,0)</f>
        <v>0</v>
      </c>
      <c r="D59" s="416">
        <f>VLOOKUP(B59,修补数量统计!D45:FW54,10,0)</f>
        <v>0</v>
      </c>
      <c r="E59" s="416">
        <f>VLOOKUP(B59,修补数量统计!D45:FW54,15,0)</f>
        <v>0</v>
      </c>
      <c r="F59" s="416">
        <f>VLOOKUP(B59,修补数量统计!D45:FW54,20,0)</f>
        <v>0</v>
      </c>
      <c r="G59" s="416">
        <f>VLOOKUP(B59,修补数量统计!D45:FW54,25,0)</f>
        <v>0</v>
      </c>
      <c r="H59" s="416">
        <f>VLOOKUP(B59,修补数量统计!D45:FW54,30,0)</f>
        <v>0</v>
      </c>
      <c r="I59" s="416">
        <f>VLOOKUP(B59,修补数量统计!D45:FW54,35,0)</f>
        <v>0</v>
      </c>
      <c r="J59" s="416">
        <f>VLOOKUP(B59,修补数量统计!D45:FW54,40,0)</f>
        <v>0</v>
      </c>
      <c r="K59" s="416">
        <f>VLOOKUP(B59,修补数量统计!D45:FW54,45,0)</f>
        <v>0</v>
      </c>
      <c r="L59" s="416">
        <f>VLOOKUP(B59,修补数量统计!D45:FW54,50,0)</f>
        <v>0</v>
      </c>
      <c r="M59" s="416">
        <f>修补数量统计!BF46</f>
        <v>0</v>
      </c>
      <c r="N59" s="416">
        <f>修补数量统计!BK46</f>
        <v>0</v>
      </c>
      <c r="O59" s="416">
        <f>修补数量统计!BP46</f>
        <v>0</v>
      </c>
      <c r="P59" s="416">
        <f>修补数量统计!BU46</f>
        <v>0</v>
      </c>
      <c r="Q59" s="416">
        <f>修补数量统计!BZ46</f>
        <v>0</v>
      </c>
      <c r="R59" s="416">
        <f>修补数量统计!CE46</f>
        <v>0</v>
      </c>
      <c r="S59" s="416">
        <f>修补数量统计!CJ46</f>
        <v>0</v>
      </c>
      <c r="T59" s="416">
        <f>修补数量统计!CO46</f>
        <v>0</v>
      </c>
      <c r="U59" s="416">
        <f>修补数量统计!CT46</f>
        <v>0</v>
      </c>
      <c r="V59" s="416">
        <f>修补数量统计!CY46</f>
        <v>0</v>
      </c>
      <c r="W59" s="416">
        <f>修补数量统计!DD46</f>
        <v>0</v>
      </c>
      <c r="X59" s="416">
        <f>修补数量统计!DI46</f>
        <v>0</v>
      </c>
      <c r="Y59" s="416">
        <f>修补数量统计!DN46</f>
        <v>0</v>
      </c>
      <c r="Z59" s="416">
        <f>修补数量统计!DS46</f>
        <v>0</v>
      </c>
      <c r="AA59" s="416">
        <f>修补数量统计!DX46</f>
        <v>0</v>
      </c>
      <c r="AB59" s="416">
        <f>修补数量统计!EC46</f>
        <v>0</v>
      </c>
      <c r="AC59" s="416">
        <f>修补数量统计!EH46</f>
        <v>0</v>
      </c>
      <c r="AD59" s="416">
        <f>修补数量统计!EM46</f>
        <v>0</v>
      </c>
      <c r="AE59" s="416">
        <f>修补数量统计!ER46</f>
        <v>0</v>
      </c>
      <c r="AF59" s="416">
        <f>修补数量统计!EW46</f>
        <v>0</v>
      </c>
      <c r="AG59" s="416">
        <f>修补数量统计!FB46</f>
        <v>0</v>
      </c>
      <c r="AH59" s="416">
        <f t="shared" si="5"/>
        <v>0</v>
      </c>
      <c r="AI59" s="476">
        <v>0.373</v>
      </c>
      <c r="AJ59" s="474"/>
      <c r="AK59" s="279">
        <v>0.373</v>
      </c>
      <c r="AL59" s="355"/>
    </row>
    <row r="60" s="360" customFormat="1" ht="15" customHeight="1" spans="1:38">
      <c r="A60" s="419" t="s">
        <v>29</v>
      </c>
      <c r="B60" s="420" t="s">
        <v>8</v>
      </c>
      <c r="C60" s="421">
        <f>VLOOKUP(B60,修补数量统计!D46:FW55,5,0)</f>
        <v>278</v>
      </c>
      <c r="D60" s="421">
        <f>VLOOKUP(B60,修补数量统计!D46:FW55,10,0)</f>
        <v>371</v>
      </c>
      <c r="E60" s="421">
        <f>VLOOKUP(B60,修补数量统计!D46:FW55,15,0)</f>
        <v>305</v>
      </c>
      <c r="F60" s="421">
        <f>VLOOKUP(B60,修补数量统计!D46:FW55,20,0)</f>
        <v>0</v>
      </c>
      <c r="G60" s="421">
        <f>VLOOKUP(B60,修补数量统计!D46:FW55,25,0)</f>
        <v>0</v>
      </c>
      <c r="H60" s="421">
        <f>VLOOKUP(B60,修补数量统计!D46:FW55,30,0)</f>
        <v>356</v>
      </c>
      <c r="I60" s="421">
        <f>VLOOKUP(B60,修补数量统计!D46:FW55,35,0)</f>
        <v>397</v>
      </c>
      <c r="J60" s="421">
        <f>VLOOKUP(B60,修补数量统计!D46:FW55,40,0)</f>
        <v>305</v>
      </c>
      <c r="K60" s="421">
        <f>VLOOKUP(B60,修补数量统计!D46:FW55,45,0)</f>
        <v>369</v>
      </c>
      <c r="L60" s="421">
        <f>VLOOKUP(B60,修补数量统计!D46:FW55,50,0)</f>
        <v>317</v>
      </c>
      <c r="M60" s="421">
        <f>修补数量统计!BF47</f>
        <v>285</v>
      </c>
      <c r="N60" s="421">
        <f>修补数量统计!BK47</f>
        <v>272</v>
      </c>
      <c r="O60" s="421">
        <f>修补数量统计!BP47</f>
        <v>348</v>
      </c>
      <c r="P60" s="421">
        <f>修补数量统计!BU47</f>
        <v>354</v>
      </c>
      <c r="Q60" s="421">
        <f>修补数量统计!BZ47</f>
        <v>262</v>
      </c>
      <c r="R60" s="421">
        <f>修补数量统计!CE47</f>
        <v>327</v>
      </c>
      <c r="S60" s="421">
        <f>修补数量统计!CJ47</f>
        <v>243</v>
      </c>
      <c r="T60" s="421">
        <f>修补数量统计!CO47</f>
        <v>353</v>
      </c>
      <c r="U60" s="421">
        <f>修补数量统计!CT47</f>
        <v>218</v>
      </c>
      <c r="V60" s="421">
        <f>修补数量统计!CY47</f>
        <v>524</v>
      </c>
      <c r="W60" s="421">
        <f>修补数量统计!DD47</f>
        <v>360</v>
      </c>
      <c r="X60" s="421">
        <f>修补数量统计!DI47</f>
        <v>302</v>
      </c>
      <c r="Y60" s="421">
        <f>修补数量统计!DN47</f>
        <v>347</v>
      </c>
      <c r="Z60" s="421">
        <f>修补数量统计!DS47</f>
        <v>347</v>
      </c>
      <c r="AA60" s="421">
        <f>修补数量统计!DX47</f>
        <v>360</v>
      </c>
      <c r="AB60" s="421">
        <f>修补数量统计!EC47</f>
        <v>300</v>
      </c>
      <c r="AC60" s="421">
        <f>修补数量统计!EH47</f>
        <v>377</v>
      </c>
      <c r="AD60" s="421">
        <f>修补数量统计!EM47</f>
        <v>316</v>
      </c>
      <c r="AE60" s="421">
        <f>修补数量统计!ER47</f>
        <v>371</v>
      </c>
      <c r="AF60" s="421">
        <f>修补数量统计!EW47</f>
        <v>311</v>
      </c>
      <c r="AG60" s="421">
        <f>修补数量统计!FB47</f>
        <v>0</v>
      </c>
      <c r="AH60" s="421">
        <f t="shared" ref="AH60:AH69" si="6">C60+D60+E60+F60+G60+H60+I60+J60+K60+L60+M60+N60+O60+P60+Q60+R60+S60+T60+U60+V60+W60+X60+Y60+Z60+AA60+AB60+AC60+AD60+AE60+AF60+AG60</f>
        <v>9275</v>
      </c>
      <c r="AI60" s="477">
        <v>0.4</v>
      </c>
      <c r="AJ60" s="478">
        <f>AH60*AI60+AH61*AI61+AH62*AI62+AH63*AI63+AH64*AI64+AH65*AI65+AH66*AI66+AH67*AI67+AH68*AI68+AH69*AI69</f>
        <v>3733</v>
      </c>
      <c r="AK60" s="477">
        <v>0.4</v>
      </c>
      <c r="AL60" s="355"/>
    </row>
    <row r="61" s="360" customFormat="1" ht="15" customHeight="1" spans="1:38">
      <c r="A61" s="422"/>
      <c r="B61" s="420" t="s">
        <v>9</v>
      </c>
      <c r="C61" s="421">
        <f>VLOOKUP(B61,修补数量统计!D47:FW56,5,0)</f>
        <v>0</v>
      </c>
      <c r="D61" s="421">
        <f>VLOOKUP(B61,修补数量统计!D47:FW56,10,0)</f>
        <v>0</v>
      </c>
      <c r="E61" s="421">
        <f>VLOOKUP(B61,修补数量统计!D47:FW56,15,0)</f>
        <v>0</v>
      </c>
      <c r="F61" s="421">
        <f>VLOOKUP(B61,修补数量统计!D47:FW56,20,0)</f>
        <v>0</v>
      </c>
      <c r="G61" s="421">
        <f>VLOOKUP(B61,修补数量统计!D47:FW56,25,0)</f>
        <v>0</v>
      </c>
      <c r="H61" s="421">
        <f>VLOOKUP(B61,修补数量统计!D47:FW56,30,0)</f>
        <v>0</v>
      </c>
      <c r="I61" s="421">
        <f>VLOOKUP(B61,修补数量统计!D47:FW56,35,0)</f>
        <v>0</v>
      </c>
      <c r="J61" s="421">
        <f>VLOOKUP(B61,修补数量统计!D47:FW56,40,0)</f>
        <v>0</v>
      </c>
      <c r="K61" s="421">
        <f>VLOOKUP(B61,修补数量统计!D47:FW56,45,0)</f>
        <v>0</v>
      </c>
      <c r="L61" s="421">
        <f>VLOOKUP(B61,修补数量统计!D47:FW56,50,0)</f>
        <v>0</v>
      </c>
      <c r="M61" s="421">
        <f>修补数量统计!BF48</f>
        <v>0</v>
      </c>
      <c r="N61" s="421">
        <f>修补数量统计!BK48</f>
        <v>0</v>
      </c>
      <c r="O61" s="421">
        <f>修补数量统计!BP48</f>
        <v>0</v>
      </c>
      <c r="P61" s="421">
        <f>修补数量统计!BU48</f>
        <v>0</v>
      </c>
      <c r="Q61" s="421">
        <f>修补数量统计!BZ48</f>
        <v>0</v>
      </c>
      <c r="R61" s="421">
        <f>修补数量统计!CE48</f>
        <v>0</v>
      </c>
      <c r="S61" s="421">
        <f>修补数量统计!CJ48</f>
        <v>0</v>
      </c>
      <c r="T61" s="421">
        <f>修补数量统计!CO48</f>
        <v>0</v>
      </c>
      <c r="U61" s="421">
        <f>修补数量统计!CT48</f>
        <v>0</v>
      </c>
      <c r="V61" s="421">
        <f>修补数量统计!CY48</f>
        <v>0</v>
      </c>
      <c r="W61" s="421">
        <f>修补数量统计!DD48</f>
        <v>0</v>
      </c>
      <c r="X61" s="421">
        <f>修补数量统计!DI48</f>
        <v>0</v>
      </c>
      <c r="Y61" s="421">
        <f>修补数量统计!DN48</f>
        <v>0</v>
      </c>
      <c r="Z61" s="421">
        <f>修补数量统计!DS48</f>
        <v>0</v>
      </c>
      <c r="AA61" s="421">
        <f>修补数量统计!DX48</f>
        <v>0</v>
      </c>
      <c r="AB61" s="421">
        <f>修补数量统计!EC48</f>
        <v>0</v>
      </c>
      <c r="AC61" s="421">
        <f>修补数量统计!EH48</f>
        <v>0</v>
      </c>
      <c r="AD61" s="421">
        <f>修补数量统计!EM48</f>
        <v>0</v>
      </c>
      <c r="AE61" s="421">
        <f>修补数量统计!ER48</f>
        <v>0</v>
      </c>
      <c r="AF61" s="421">
        <f>修补数量统计!EW48</f>
        <v>0</v>
      </c>
      <c r="AG61" s="421">
        <f>修补数量统计!FB48</f>
        <v>0</v>
      </c>
      <c r="AH61" s="421">
        <f t="shared" si="6"/>
        <v>0</v>
      </c>
      <c r="AI61" s="479">
        <v>0.133</v>
      </c>
      <c r="AJ61" s="478"/>
      <c r="AK61" s="479">
        <v>0.133</v>
      </c>
      <c r="AL61" s="355"/>
    </row>
    <row r="62" s="360" customFormat="1" ht="15" customHeight="1" spans="1:38">
      <c r="A62" s="422"/>
      <c r="B62" s="420" t="s">
        <v>10</v>
      </c>
      <c r="C62" s="421">
        <f>VLOOKUP(B62,修补数量统计!D48:FW57,5,0)</f>
        <v>0</v>
      </c>
      <c r="D62" s="421">
        <f>VLOOKUP(B62,修补数量统计!D48:FW57,10,0)</f>
        <v>0</v>
      </c>
      <c r="E62" s="421">
        <f>VLOOKUP(B62,修补数量统计!D48:FW57,15,0)</f>
        <v>0</v>
      </c>
      <c r="F62" s="421">
        <f>VLOOKUP(B62,修补数量统计!D48:FW57,20,0)</f>
        <v>0</v>
      </c>
      <c r="G62" s="421">
        <f>VLOOKUP(B62,修补数量统计!D48:FW57,25,0)</f>
        <v>0</v>
      </c>
      <c r="H62" s="421">
        <f>VLOOKUP(B62,修补数量统计!D48:FW57,30,0)</f>
        <v>0</v>
      </c>
      <c r="I62" s="421">
        <f>VLOOKUP(B62,修补数量统计!D48:FW57,35,0)</f>
        <v>0</v>
      </c>
      <c r="J62" s="421">
        <f>VLOOKUP(B62,修补数量统计!D48:FW57,40,0)</f>
        <v>0</v>
      </c>
      <c r="K62" s="421">
        <f>VLOOKUP(B62,修补数量统计!D48:FW57,45,0)</f>
        <v>0</v>
      </c>
      <c r="L62" s="421">
        <f>VLOOKUP(B62,修补数量统计!D48:FW57,50,0)</f>
        <v>0</v>
      </c>
      <c r="M62" s="421">
        <f>修补数量统计!BF49</f>
        <v>0</v>
      </c>
      <c r="N62" s="421">
        <f>修补数量统计!BK49</f>
        <v>0</v>
      </c>
      <c r="O62" s="421">
        <f>修补数量统计!BP49</f>
        <v>0</v>
      </c>
      <c r="P62" s="421">
        <f>修补数量统计!BU49</f>
        <v>0</v>
      </c>
      <c r="Q62" s="421">
        <f>修补数量统计!BZ49</f>
        <v>0</v>
      </c>
      <c r="R62" s="421">
        <f>修补数量统计!CE49</f>
        <v>0</v>
      </c>
      <c r="S62" s="421">
        <f>修补数量统计!CJ49</f>
        <v>0</v>
      </c>
      <c r="T62" s="421">
        <f>修补数量统计!CO49</f>
        <v>0</v>
      </c>
      <c r="U62" s="421">
        <f>修补数量统计!CT49</f>
        <v>0</v>
      </c>
      <c r="V62" s="421">
        <f>修补数量统计!CY49</f>
        <v>0</v>
      </c>
      <c r="W62" s="421">
        <f>修补数量统计!DD49</f>
        <v>0</v>
      </c>
      <c r="X62" s="421">
        <f>修补数量统计!DI49</f>
        <v>0</v>
      </c>
      <c r="Y62" s="421">
        <f>修补数量统计!DN49</f>
        <v>0</v>
      </c>
      <c r="Z62" s="421">
        <f>修补数量统计!DS49</f>
        <v>0</v>
      </c>
      <c r="AA62" s="421">
        <f>修补数量统计!DX49</f>
        <v>0</v>
      </c>
      <c r="AB62" s="421">
        <f>修补数量统计!EC49</f>
        <v>0</v>
      </c>
      <c r="AC62" s="421">
        <f>修补数量统计!EH49</f>
        <v>0</v>
      </c>
      <c r="AD62" s="421">
        <f>修补数量统计!EM49</f>
        <v>0</v>
      </c>
      <c r="AE62" s="421">
        <f>修补数量统计!ER49</f>
        <v>0</v>
      </c>
      <c r="AF62" s="421">
        <f>修补数量统计!EW49</f>
        <v>0</v>
      </c>
      <c r="AG62" s="421">
        <f>修补数量统计!FB49</f>
        <v>0</v>
      </c>
      <c r="AH62" s="421">
        <f t="shared" si="6"/>
        <v>0</v>
      </c>
      <c r="AI62" s="479">
        <v>0.133</v>
      </c>
      <c r="AJ62" s="478"/>
      <c r="AK62" s="479">
        <v>0.133</v>
      </c>
      <c r="AL62" s="355"/>
    </row>
    <row r="63" s="360" customFormat="1" ht="15" customHeight="1" spans="1:38">
      <c r="A63" s="422"/>
      <c r="B63" s="420" t="s">
        <v>11</v>
      </c>
      <c r="C63" s="421">
        <f>VLOOKUP(B63,修补数量统计!D49:FW58,5,0)</f>
        <v>0</v>
      </c>
      <c r="D63" s="421">
        <f>VLOOKUP(B63,修补数量统计!D49:FW58,10,0)</f>
        <v>0</v>
      </c>
      <c r="E63" s="421">
        <f>VLOOKUP(B63,修补数量统计!D49:FW58,15,0)</f>
        <v>0</v>
      </c>
      <c r="F63" s="421">
        <f>VLOOKUP(B63,修补数量统计!D49:FW58,20,0)</f>
        <v>0</v>
      </c>
      <c r="G63" s="421">
        <f>VLOOKUP(B63,修补数量统计!D49:FW58,25,0)</f>
        <v>0</v>
      </c>
      <c r="H63" s="421">
        <f>VLOOKUP(B63,修补数量统计!D49:FW58,30,0)</f>
        <v>0</v>
      </c>
      <c r="I63" s="421">
        <f>VLOOKUP(B63,修补数量统计!D49:FW58,35,0)</f>
        <v>0</v>
      </c>
      <c r="J63" s="421">
        <f>VLOOKUP(B63,修补数量统计!D49:FW58,40,0)</f>
        <v>0</v>
      </c>
      <c r="K63" s="421">
        <f>VLOOKUP(B63,修补数量统计!D49:FW58,45,0)</f>
        <v>0</v>
      </c>
      <c r="L63" s="421">
        <f>VLOOKUP(B63,修补数量统计!D49:FW58,50,0)</f>
        <v>0</v>
      </c>
      <c r="M63" s="421">
        <f>修补数量统计!BF50</f>
        <v>0</v>
      </c>
      <c r="N63" s="421">
        <f>修补数量统计!BK50</f>
        <v>0</v>
      </c>
      <c r="O63" s="421">
        <f>修补数量统计!BP50</f>
        <v>0</v>
      </c>
      <c r="P63" s="421">
        <f>修补数量统计!BU50</f>
        <v>0</v>
      </c>
      <c r="Q63" s="421">
        <f>修补数量统计!BZ50</f>
        <v>0</v>
      </c>
      <c r="R63" s="421">
        <f>修补数量统计!CE50</f>
        <v>0</v>
      </c>
      <c r="S63" s="421">
        <f>修补数量统计!CJ50</f>
        <v>0</v>
      </c>
      <c r="T63" s="421">
        <f>修补数量统计!CO50</f>
        <v>0</v>
      </c>
      <c r="U63" s="421">
        <f>修补数量统计!CT50</f>
        <v>0</v>
      </c>
      <c r="V63" s="421">
        <f>修补数量统计!CY50</f>
        <v>0</v>
      </c>
      <c r="W63" s="421">
        <f>修补数量统计!DD50</f>
        <v>0</v>
      </c>
      <c r="X63" s="421">
        <f>修补数量统计!DI50</f>
        <v>0</v>
      </c>
      <c r="Y63" s="421">
        <f>修补数量统计!DN50</f>
        <v>0</v>
      </c>
      <c r="Z63" s="421">
        <f>修补数量统计!DS50</f>
        <v>0</v>
      </c>
      <c r="AA63" s="421">
        <f>修补数量统计!DX50</f>
        <v>0</v>
      </c>
      <c r="AB63" s="421">
        <f>修补数量统计!EC50</f>
        <v>0</v>
      </c>
      <c r="AC63" s="421">
        <f>修补数量统计!EH50</f>
        <v>0</v>
      </c>
      <c r="AD63" s="421">
        <f>修补数量统计!EM50</f>
        <v>0</v>
      </c>
      <c r="AE63" s="421">
        <f>修补数量统计!ER50</f>
        <v>0</v>
      </c>
      <c r="AF63" s="421">
        <f>修补数量统计!EW50</f>
        <v>100</v>
      </c>
      <c r="AG63" s="421">
        <f>修补数量统计!FB50</f>
        <v>0</v>
      </c>
      <c r="AH63" s="421">
        <f t="shared" si="6"/>
        <v>100</v>
      </c>
      <c r="AI63" s="479">
        <v>0.23</v>
      </c>
      <c r="AJ63" s="478"/>
      <c r="AK63" s="479">
        <v>0.23</v>
      </c>
      <c r="AL63" s="355"/>
    </row>
    <row r="64" s="360" customFormat="1" ht="15" customHeight="1" spans="1:38">
      <c r="A64" s="422"/>
      <c r="B64" s="420" t="s">
        <v>12</v>
      </c>
      <c r="C64" s="421">
        <f>VLOOKUP(B64,修补数量统计!D50:FW59,5,0)</f>
        <v>0</v>
      </c>
      <c r="D64" s="421">
        <f>VLOOKUP(B64,修补数量统计!D50:FW59,10,0)</f>
        <v>0</v>
      </c>
      <c r="E64" s="421">
        <f>VLOOKUP(B64,修补数量统计!D50:FW59,15,0)</f>
        <v>0</v>
      </c>
      <c r="F64" s="421">
        <f>VLOOKUP(B64,修补数量统计!D50:FW59,20,0)</f>
        <v>0</v>
      </c>
      <c r="G64" s="421">
        <f>VLOOKUP(B64,修补数量统计!D50:FW59,25,0)</f>
        <v>0</v>
      </c>
      <c r="H64" s="421">
        <f>VLOOKUP(B64,修补数量统计!D50:FW59,30,0)</f>
        <v>0</v>
      </c>
      <c r="I64" s="421">
        <f>VLOOKUP(B64,修补数量统计!D50:FW59,35,0)</f>
        <v>0</v>
      </c>
      <c r="J64" s="421">
        <f>VLOOKUP(B64,修补数量统计!D50:FW59,40,0)</f>
        <v>0</v>
      </c>
      <c r="K64" s="421">
        <f>VLOOKUP(B64,修补数量统计!D50:FW59,45,0)</f>
        <v>0</v>
      </c>
      <c r="L64" s="421">
        <f>VLOOKUP(B64,修补数量统计!D50:FW59,50,0)</f>
        <v>0</v>
      </c>
      <c r="M64" s="421">
        <f>修补数量统计!BF51</f>
        <v>0</v>
      </c>
      <c r="N64" s="421">
        <f>修补数量统计!BK51</f>
        <v>0</v>
      </c>
      <c r="O64" s="421">
        <f>修补数量统计!BP51</f>
        <v>0</v>
      </c>
      <c r="P64" s="421">
        <f>修补数量统计!BU51</f>
        <v>0</v>
      </c>
      <c r="Q64" s="421">
        <f>修补数量统计!BZ51</f>
        <v>0</v>
      </c>
      <c r="R64" s="421">
        <f>修补数量统计!CE51</f>
        <v>0</v>
      </c>
      <c r="S64" s="421">
        <f>修补数量统计!CJ51</f>
        <v>0</v>
      </c>
      <c r="T64" s="421">
        <f>修补数量统计!CO51</f>
        <v>0</v>
      </c>
      <c r="U64" s="421">
        <f>修补数量统计!CT51</f>
        <v>0</v>
      </c>
      <c r="V64" s="421">
        <f>修补数量统计!CY51</f>
        <v>0</v>
      </c>
      <c r="W64" s="421">
        <f>修补数量统计!DD51</f>
        <v>0</v>
      </c>
      <c r="X64" s="421">
        <f>修补数量统计!DI51</f>
        <v>0</v>
      </c>
      <c r="Y64" s="421">
        <f>修补数量统计!DN51</f>
        <v>0</v>
      </c>
      <c r="Z64" s="421">
        <f>修补数量统计!DS51</f>
        <v>0</v>
      </c>
      <c r="AA64" s="421">
        <f>修补数量统计!DX51</f>
        <v>0</v>
      </c>
      <c r="AB64" s="421">
        <f>修补数量统计!EC51</f>
        <v>0</v>
      </c>
      <c r="AC64" s="421">
        <f>修补数量统计!EH51</f>
        <v>0</v>
      </c>
      <c r="AD64" s="421">
        <f>修补数量统计!EM51</f>
        <v>0</v>
      </c>
      <c r="AE64" s="421">
        <f>修补数量统计!ER51</f>
        <v>0</v>
      </c>
      <c r="AF64" s="421">
        <f>修补数量统计!EW51</f>
        <v>0</v>
      </c>
      <c r="AG64" s="421">
        <f>修补数量统计!FB51</f>
        <v>0</v>
      </c>
      <c r="AH64" s="421">
        <f t="shared" si="6"/>
        <v>0</v>
      </c>
      <c r="AI64" s="479">
        <v>0.25</v>
      </c>
      <c r="AJ64" s="478"/>
      <c r="AK64" s="479">
        <v>0.25</v>
      </c>
      <c r="AL64" s="355"/>
    </row>
    <row r="65" s="360" customFormat="1" ht="15" customHeight="1" spans="1:38">
      <c r="A65" s="422"/>
      <c r="B65" s="420" t="s">
        <v>13</v>
      </c>
      <c r="C65" s="421">
        <v>0</v>
      </c>
      <c r="D65" s="421">
        <v>0</v>
      </c>
      <c r="E65" s="421">
        <v>0</v>
      </c>
      <c r="F65" s="421">
        <v>0</v>
      </c>
      <c r="G65" s="421">
        <v>0</v>
      </c>
      <c r="H65" s="421">
        <v>0</v>
      </c>
      <c r="I65" s="421">
        <v>0</v>
      </c>
      <c r="J65" s="421">
        <v>0</v>
      </c>
      <c r="K65" s="421">
        <v>0</v>
      </c>
      <c r="L65" s="421">
        <v>0</v>
      </c>
      <c r="M65" s="421">
        <f>修补数量统计!BF52</f>
        <v>0</v>
      </c>
      <c r="N65" s="421">
        <f>修补数量统计!BK52</f>
        <v>0</v>
      </c>
      <c r="O65" s="421">
        <f>修补数量统计!BP52</f>
        <v>0</v>
      </c>
      <c r="P65" s="421">
        <f>修补数量统计!BU52</f>
        <v>0</v>
      </c>
      <c r="Q65" s="421">
        <f>修补数量统计!BZ52</f>
        <v>0</v>
      </c>
      <c r="R65" s="421">
        <f>修补数量统计!CE52</f>
        <v>0</v>
      </c>
      <c r="S65" s="421">
        <f>修补数量统计!CJ52</f>
        <v>0</v>
      </c>
      <c r="T65" s="421">
        <f>修补数量统计!CO52</f>
        <v>0</v>
      </c>
      <c r="U65" s="421">
        <f>修补数量统计!CT52</f>
        <v>0</v>
      </c>
      <c r="V65" s="421">
        <f>修补数量统计!CY52</f>
        <v>0</v>
      </c>
      <c r="W65" s="421">
        <f>修补数量统计!DD52</f>
        <v>0</v>
      </c>
      <c r="X65" s="421">
        <f>修补数量统计!DI52</f>
        <v>0</v>
      </c>
      <c r="Y65" s="421">
        <f>修补数量统计!DN52</f>
        <v>0</v>
      </c>
      <c r="Z65" s="421">
        <f>修补数量统计!DS52</f>
        <v>0</v>
      </c>
      <c r="AA65" s="421">
        <f>修补数量统计!DX52</f>
        <v>0</v>
      </c>
      <c r="AB65" s="421">
        <f>修补数量统计!EC52</f>
        <v>0</v>
      </c>
      <c r="AC65" s="421">
        <f>修补数量统计!EH52</f>
        <v>0</v>
      </c>
      <c r="AD65" s="421">
        <f>修补数量统计!EM52</f>
        <v>0</v>
      </c>
      <c r="AE65" s="421">
        <f>修补数量统计!ER52</f>
        <v>0</v>
      </c>
      <c r="AF65" s="421">
        <f>修补数量统计!EW52</f>
        <v>0</v>
      </c>
      <c r="AG65" s="421">
        <f>修补数量统计!FB52</f>
        <v>0</v>
      </c>
      <c r="AH65" s="421">
        <f t="shared" si="6"/>
        <v>0</v>
      </c>
      <c r="AI65" s="479">
        <v>0.373</v>
      </c>
      <c r="AJ65" s="478"/>
      <c r="AK65" s="479">
        <v>0.373</v>
      </c>
      <c r="AL65" s="355"/>
    </row>
    <row r="66" s="360" customFormat="1" ht="15" customHeight="1" spans="1:38">
      <c r="A66" s="422"/>
      <c r="B66" s="420" t="s">
        <v>14</v>
      </c>
      <c r="C66" s="421">
        <v>0</v>
      </c>
      <c r="D66" s="421">
        <v>0</v>
      </c>
      <c r="E66" s="421">
        <v>0</v>
      </c>
      <c r="F66" s="421">
        <v>0</v>
      </c>
      <c r="G66" s="421">
        <v>0</v>
      </c>
      <c r="H66" s="421">
        <v>0</v>
      </c>
      <c r="I66" s="421">
        <v>0</v>
      </c>
      <c r="J66" s="421">
        <v>0</v>
      </c>
      <c r="K66" s="421">
        <v>0</v>
      </c>
      <c r="L66" s="421">
        <v>0</v>
      </c>
      <c r="M66" s="421">
        <f>修补数量统计!BF53</f>
        <v>0</v>
      </c>
      <c r="N66" s="421">
        <f>修补数量统计!BK53</f>
        <v>0</v>
      </c>
      <c r="O66" s="421">
        <f>修补数量统计!BP53</f>
        <v>0</v>
      </c>
      <c r="P66" s="421">
        <f>修补数量统计!BU53</f>
        <v>0</v>
      </c>
      <c r="Q66" s="421">
        <f>修补数量统计!BZ53</f>
        <v>0</v>
      </c>
      <c r="R66" s="421">
        <f>修补数量统计!CE53</f>
        <v>0</v>
      </c>
      <c r="S66" s="421">
        <f>修补数量统计!CJ53</f>
        <v>0</v>
      </c>
      <c r="T66" s="421">
        <f>修补数量统计!CO53</f>
        <v>0</v>
      </c>
      <c r="U66" s="421">
        <f>修补数量统计!CT53</f>
        <v>0</v>
      </c>
      <c r="V66" s="421">
        <f>修补数量统计!CY53</f>
        <v>0</v>
      </c>
      <c r="W66" s="421">
        <f>修补数量统计!DD53</f>
        <v>0</v>
      </c>
      <c r="X66" s="421">
        <f>修补数量统计!DI53</f>
        <v>0</v>
      </c>
      <c r="Y66" s="421">
        <f>修补数量统计!DN53</f>
        <v>0</v>
      </c>
      <c r="Z66" s="421">
        <f>修补数量统计!DS53</f>
        <v>0</v>
      </c>
      <c r="AA66" s="421">
        <f>修补数量统计!DX53</f>
        <v>0</v>
      </c>
      <c r="AB66" s="421">
        <f>修补数量统计!EC53</f>
        <v>0</v>
      </c>
      <c r="AC66" s="421">
        <f>修补数量统计!EH53</f>
        <v>0</v>
      </c>
      <c r="AD66" s="421">
        <f>修补数量统计!EM53</f>
        <v>0</v>
      </c>
      <c r="AE66" s="421">
        <f>修补数量统计!ER53</f>
        <v>0</v>
      </c>
      <c r="AF66" s="421">
        <f>修补数量统计!EW53</f>
        <v>0</v>
      </c>
      <c r="AG66" s="421">
        <f>修补数量统计!FB53</f>
        <v>0</v>
      </c>
      <c r="AH66" s="421">
        <f t="shared" si="6"/>
        <v>0</v>
      </c>
      <c r="AI66" s="479">
        <v>0.373</v>
      </c>
      <c r="AJ66" s="478"/>
      <c r="AK66" s="479">
        <v>0.373</v>
      </c>
      <c r="AL66" s="355"/>
    </row>
    <row r="67" s="360" customFormat="1" ht="15" customHeight="1" spans="1:38">
      <c r="A67" s="422"/>
      <c r="B67" s="420" t="s">
        <v>15</v>
      </c>
      <c r="C67" s="421">
        <f>VLOOKUP(B67,修补数量统计!D53:FW62,5,0)</f>
        <v>0</v>
      </c>
      <c r="D67" s="421">
        <f>VLOOKUP(B67,修补数量统计!D53:FW62,10,0)</f>
        <v>0</v>
      </c>
      <c r="E67" s="421">
        <f>VLOOKUP(B67,修补数量统计!D53:FW62,15,0)</f>
        <v>0</v>
      </c>
      <c r="F67" s="421">
        <f>VLOOKUP(B67,修补数量统计!D53:FW62,20,0)</f>
        <v>0</v>
      </c>
      <c r="G67" s="421">
        <v>0</v>
      </c>
      <c r="H67" s="421">
        <f>VLOOKUP(B67,修补数量统计!D53:FW62,30,0)</f>
        <v>0</v>
      </c>
      <c r="I67" s="421">
        <f>VLOOKUP(B67,修补数量统计!D53:FW62,35,0)</f>
        <v>0</v>
      </c>
      <c r="J67" s="421">
        <f>VLOOKUP(B67,修补数量统计!D53:FW62,40,0)</f>
        <v>0</v>
      </c>
      <c r="K67" s="421">
        <f>VLOOKUP(B67,修补数量统计!D53:FW62,45,0)</f>
        <v>0</v>
      </c>
      <c r="L67" s="421">
        <f>VLOOKUP(B67,修补数量统计!D53:FW62,50,0)</f>
        <v>0</v>
      </c>
      <c r="M67" s="421">
        <f>修补数量统计!BF54</f>
        <v>0</v>
      </c>
      <c r="N67" s="421">
        <f>修补数量统计!BK54</f>
        <v>0</v>
      </c>
      <c r="O67" s="421">
        <f>修补数量统计!BP54</f>
        <v>0</v>
      </c>
      <c r="P67" s="421">
        <f>修补数量统计!BU54</f>
        <v>0</v>
      </c>
      <c r="Q67" s="421">
        <f>修补数量统计!BZ54</f>
        <v>0</v>
      </c>
      <c r="R67" s="421">
        <f>修补数量统计!CE54</f>
        <v>0</v>
      </c>
      <c r="S67" s="421">
        <f>修补数量统计!CJ54</f>
        <v>0</v>
      </c>
      <c r="T67" s="421">
        <f>修补数量统计!CO54</f>
        <v>0</v>
      </c>
      <c r="U67" s="421">
        <f>修补数量统计!CT54</f>
        <v>0</v>
      </c>
      <c r="V67" s="421">
        <f>修补数量统计!CY54</f>
        <v>0</v>
      </c>
      <c r="W67" s="421">
        <f>修补数量统计!DD54</f>
        <v>0</v>
      </c>
      <c r="X67" s="421">
        <f>修补数量统计!DI54</f>
        <v>0</v>
      </c>
      <c r="Y67" s="421">
        <f>修补数量统计!DN54</f>
        <v>0</v>
      </c>
      <c r="Z67" s="421">
        <f>修补数量统计!DS54</f>
        <v>0</v>
      </c>
      <c r="AA67" s="421">
        <f>修补数量统计!DX54</f>
        <v>0</v>
      </c>
      <c r="AB67" s="421">
        <f>修补数量统计!EC54</f>
        <v>0</v>
      </c>
      <c r="AC67" s="421">
        <f>修补数量统计!EH54</f>
        <v>0</v>
      </c>
      <c r="AD67" s="421">
        <f>修补数量统计!EM54</f>
        <v>0</v>
      </c>
      <c r="AE67" s="421">
        <f>修补数量统计!ER54</f>
        <v>0</v>
      </c>
      <c r="AF67" s="421">
        <f>修补数量统计!EW54</f>
        <v>0</v>
      </c>
      <c r="AG67" s="421">
        <f>修补数量统计!FB54</f>
        <v>0</v>
      </c>
      <c r="AH67" s="421">
        <f t="shared" si="6"/>
        <v>0</v>
      </c>
      <c r="AI67" s="479">
        <v>0.373</v>
      </c>
      <c r="AJ67" s="478"/>
      <c r="AK67" s="479">
        <v>0.373</v>
      </c>
      <c r="AL67" s="355"/>
    </row>
    <row r="68" s="360" customFormat="1" ht="15" customHeight="1" spans="1:38">
      <c r="A68" s="422"/>
      <c r="B68" s="420" t="s">
        <v>16</v>
      </c>
      <c r="C68" s="421">
        <f>VLOOKUP(B68,修补数量统计!D54:FW63,5,0)</f>
        <v>0</v>
      </c>
      <c r="D68" s="421">
        <f>VLOOKUP(B68,修补数量统计!D54:FW63,10,0)</f>
        <v>0</v>
      </c>
      <c r="E68" s="421">
        <f>VLOOKUP(B68,修补数量统计!D54:FW63,15,0)</f>
        <v>0</v>
      </c>
      <c r="F68" s="421">
        <f>VLOOKUP(B68,修补数量统计!D54:FW63,20,0)</f>
        <v>0</v>
      </c>
      <c r="G68" s="421">
        <f>VLOOKUP(B68,修补数量统计!D54:FW63,25,0)</f>
        <v>0</v>
      </c>
      <c r="H68" s="421">
        <f>VLOOKUP(B68,修补数量统计!D54:FW63,30,0)</f>
        <v>0</v>
      </c>
      <c r="I68" s="421">
        <f>VLOOKUP(B68,修补数量统计!D54:FW63,35,0)</f>
        <v>0</v>
      </c>
      <c r="J68" s="421">
        <f>VLOOKUP(B68,修补数量统计!D54:FW63,40,0)</f>
        <v>0</v>
      </c>
      <c r="K68" s="421">
        <f>VLOOKUP(B68,修补数量统计!D54:FW63,45,0)</f>
        <v>0</v>
      </c>
      <c r="L68" s="421">
        <f>VLOOKUP(B68,修补数量统计!D54:FW63,50,0)</f>
        <v>0</v>
      </c>
      <c r="M68" s="421">
        <f>修补数量统计!BF55</f>
        <v>0</v>
      </c>
      <c r="N68" s="421">
        <f>修补数量统计!BK55</f>
        <v>0</v>
      </c>
      <c r="O68" s="421">
        <f>修补数量统计!BP55</f>
        <v>0</v>
      </c>
      <c r="P68" s="421">
        <f>修补数量统计!BU55</f>
        <v>0</v>
      </c>
      <c r="Q68" s="421">
        <f>修补数量统计!BZ55</f>
        <v>0</v>
      </c>
      <c r="R68" s="421">
        <f>修补数量统计!CE55</f>
        <v>0</v>
      </c>
      <c r="S68" s="421">
        <f>修补数量统计!CJ55</f>
        <v>0</v>
      </c>
      <c r="T68" s="421">
        <f>修补数量统计!CO55</f>
        <v>0</v>
      </c>
      <c r="U68" s="421">
        <f>修补数量统计!CT55</f>
        <v>0</v>
      </c>
      <c r="V68" s="421">
        <f>修补数量统计!CY55</f>
        <v>0</v>
      </c>
      <c r="W68" s="421">
        <f>修补数量统计!DD55</f>
        <v>0</v>
      </c>
      <c r="X68" s="421">
        <f>修补数量统计!DI55</f>
        <v>0</v>
      </c>
      <c r="Y68" s="421">
        <f>修补数量统计!DN55</f>
        <v>0</v>
      </c>
      <c r="Z68" s="421">
        <f>修补数量统计!DS55</f>
        <v>0</v>
      </c>
      <c r="AA68" s="421">
        <f>修补数量统计!DX55</f>
        <v>0</v>
      </c>
      <c r="AB68" s="421">
        <f>修补数量统计!EC55</f>
        <v>0</v>
      </c>
      <c r="AC68" s="421">
        <f>修补数量统计!EH55</f>
        <v>0</v>
      </c>
      <c r="AD68" s="421">
        <f>修补数量统计!EM55</f>
        <v>0</v>
      </c>
      <c r="AE68" s="421">
        <f>修补数量统计!ER55</f>
        <v>0</v>
      </c>
      <c r="AF68" s="421">
        <f>修补数量统计!EW55</f>
        <v>0</v>
      </c>
      <c r="AG68" s="421">
        <f>修补数量统计!FB55</f>
        <v>0</v>
      </c>
      <c r="AH68" s="421">
        <f t="shared" si="6"/>
        <v>0</v>
      </c>
      <c r="AI68" s="479">
        <v>0.373</v>
      </c>
      <c r="AJ68" s="478"/>
      <c r="AK68" s="479">
        <v>0.373</v>
      </c>
      <c r="AL68" s="355"/>
    </row>
    <row r="69" s="360" customFormat="1" ht="15" customHeight="1" spans="1:38">
      <c r="A69" s="480"/>
      <c r="B69" s="420" t="s">
        <v>17</v>
      </c>
      <c r="C69" s="421">
        <f>VLOOKUP(B69,修补数量统计!D55:FW64,5,0)</f>
        <v>0</v>
      </c>
      <c r="D69" s="421">
        <f>VLOOKUP(B69,修补数量统计!D55:FW64,10,0)</f>
        <v>0</v>
      </c>
      <c r="E69" s="421">
        <f>VLOOKUP(B69,修补数量统计!D55:FW64,15,0)</f>
        <v>0</v>
      </c>
      <c r="F69" s="421">
        <f>VLOOKUP(B69,修补数量统计!D55:FW64,20,0)</f>
        <v>0</v>
      </c>
      <c r="G69" s="421">
        <f>VLOOKUP(B69,修补数量统计!D55:FW64,25,0)</f>
        <v>0</v>
      </c>
      <c r="H69" s="421">
        <f>VLOOKUP(B69,修补数量统计!D55:FW64,30,0)</f>
        <v>0</v>
      </c>
      <c r="I69" s="421">
        <f>VLOOKUP(B69,修补数量统计!D55:FW64,35,0)</f>
        <v>0</v>
      </c>
      <c r="J69" s="421">
        <f>VLOOKUP(B69,修补数量统计!D55:FW64,40,0)</f>
        <v>0</v>
      </c>
      <c r="K69" s="421">
        <f>VLOOKUP(B69,修补数量统计!D55:FW64,45,0)</f>
        <v>0</v>
      </c>
      <c r="L69" s="421">
        <f>VLOOKUP(B69,修补数量统计!D55:FW64,50,0)</f>
        <v>0</v>
      </c>
      <c r="M69" s="421">
        <f>修补数量统计!BF56</f>
        <v>0</v>
      </c>
      <c r="N69" s="421">
        <f>修补数量统计!BK56</f>
        <v>0</v>
      </c>
      <c r="O69" s="421">
        <f>修补数量统计!BP56</f>
        <v>0</v>
      </c>
      <c r="P69" s="421">
        <f>修补数量统计!BU56</f>
        <v>0</v>
      </c>
      <c r="Q69" s="421">
        <f>修补数量统计!BZ56</f>
        <v>0</v>
      </c>
      <c r="R69" s="421">
        <f>修补数量统计!CE56</f>
        <v>0</v>
      </c>
      <c r="S69" s="421">
        <f>修补数量统计!CJ56</f>
        <v>0</v>
      </c>
      <c r="T69" s="421">
        <f>修补数量统计!CO56</f>
        <v>0</v>
      </c>
      <c r="U69" s="421">
        <f>修补数量统计!CT56</f>
        <v>0</v>
      </c>
      <c r="V69" s="421">
        <f>修补数量统计!CY56</f>
        <v>0</v>
      </c>
      <c r="W69" s="421">
        <f>修补数量统计!DD56</f>
        <v>0</v>
      </c>
      <c r="X69" s="421">
        <f>修补数量统计!DI56</f>
        <v>0</v>
      </c>
      <c r="Y69" s="421">
        <f>修补数量统计!DN56</f>
        <v>0</v>
      </c>
      <c r="Z69" s="421">
        <f>修补数量统计!DS56</f>
        <v>0</v>
      </c>
      <c r="AA69" s="421">
        <f>修补数量统计!DX56</f>
        <v>0</v>
      </c>
      <c r="AB69" s="421">
        <f>修补数量统计!EC56</f>
        <v>0</v>
      </c>
      <c r="AC69" s="421">
        <f>修补数量统计!EH56</f>
        <v>0</v>
      </c>
      <c r="AD69" s="421">
        <f>修补数量统计!EM56</f>
        <v>0</v>
      </c>
      <c r="AE69" s="421">
        <f>修补数量统计!ER56</f>
        <v>0</v>
      </c>
      <c r="AF69" s="421">
        <f>修补数量统计!EW56</f>
        <v>0</v>
      </c>
      <c r="AG69" s="421">
        <f>修补数量统计!FB56</f>
        <v>0</v>
      </c>
      <c r="AH69" s="421">
        <f t="shared" si="6"/>
        <v>0</v>
      </c>
      <c r="AI69" s="499">
        <v>0.373</v>
      </c>
      <c r="AJ69" s="478"/>
      <c r="AK69" s="479">
        <v>0.373</v>
      </c>
      <c r="AL69" s="355"/>
    </row>
    <row r="70" s="361" customFormat="1" ht="15" customHeight="1" spans="1:38">
      <c r="A70" s="481" t="s">
        <v>30</v>
      </c>
      <c r="B70" s="482" t="s">
        <v>8</v>
      </c>
      <c r="C70" s="483">
        <f>VLOOKUP(B70,修补数量统计!D56:FW65,5,0)</f>
        <v>349</v>
      </c>
      <c r="D70" s="483">
        <f>VLOOKUP(B70,修补数量统计!D56:FW65,10,0)</f>
        <v>364</v>
      </c>
      <c r="E70" s="483">
        <f>VLOOKUP(B70,修补数量统计!D56:FW65,15,0)</f>
        <v>386</v>
      </c>
      <c r="F70" s="483">
        <f>VLOOKUP(B70,修补数量统计!D56:FW65,20,0)</f>
        <v>203</v>
      </c>
      <c r="G70" s="483">
        <f>VLOOKUP(B70,修补数量统计!D56:FW65,25,0)</f>
        <v>404</v>
      </c>
      <c r="H70" s="483">
        <f>VLOOKUP(B70,修补数量统计!D56:FW65,30,0)</f>
        <v>370</v>
      </c>
      <c r="I70" s="483">
        <f>VLOOKUP(B70,修补数量统计!D56:FW65,35,0)</f>
        <v>420</v>
      </c>
      <c r="J70" s="483">
        <f>VLOOKUP(B70,修补数量统计!D56:FW65,40,0)</f>
        <v>315</v>
      </c>
      <c r="K70" s="483">
        <f>VLOOKUP(B70,修补数量统计!D56:FW65,45,0)</f>
        <v>378</v>
      </c>
      <c r="L70" s="483">
        <f>VLOOKUP(B70,修补数量统计!D56:FW65,50,0)</f>
        <v>320</v>
      </c>
      <c r="M70" s="483">
        <f>修补数量统计!BF57</f>
        <v>302</v>
      </c>
      <c r="N70" s="483">
        <f>修补数量统计!BK57</f>
        <v>287</v>
      </c>
      <c r="O70" s="483">
        <f>修补数量统计!BP57</f>
        <v>295</v>
      </c>
      <c r="P70" s="483">
        <f>修补数量统计!BU57</f>
        <v>383</v>
      </c>
      <c r="Q70" s="483">
        <f>修补数量统计!BZ57</f>
        <v>263</v>
      </c>
      <c r="R70" s="483">
        <f>修补数量统计!CE57</f>
        <v>319</v>
      </c>
      <c r="S70" s="483">
        <f>修补数量统计!CJ57</f>
        <v>280</v>
      </c>
      <c r="T70" s="483">
        <f>修补数量统计!CO57</f>
        <v>350</v>
      </c>
      <c r="U70" s="483">
        <f>修补数量统计!CT57</f>
        <v>230</v>
      </c>
      <c r="V70" s="483">
        <f>修补数量统计!CY57</f>
        <v>155</v>
      </c>
      <c r="W70" s="483">
        <f>修补数量统计!DD57</f>
        <v>347</v>
      </c>
      <c r="X70" s="483">
        <f>修补数量统计!DI57</f>
        <v>277</v>
      </c>
      <c r="Y70" s="483">
        <f>修补数量统计!DN57</f>
        <v>346</v>
      </c>
      <c r="Z70" s="483">
        <f>修补数量统计!DS57</f>
        <v>295</v>
      </c>
      <c r="AA70" s="483">
        <f>修补数量统计!DX57</f>
        <v>376</v>
      </c>
      <c r="AB70" s="483">
        <f>修补数量统计!EC57</f>
        <v>306</v>
      </c>
      <c r="AC70" s="483">
        <f>修补数量统计!EH57</f>
        <v>388</v>
      </c>
      <c r="AD70" s="483">
        <f>修补数量统计!EM57</f>
        <v>317</v>
      </c>
      <c r="AE70" s="483">
        <f>修补数量统计!ER57</f>
        <v>377</v>
      </c>
      <c r="AF70" s="483">
        <f>修补数量统计!EW57</f>
        <v>207</v>
      </c>
      <c r="AG70" s="483">
        <f>修补数量统计!FB57</f>
        <v>0</v>
      </c>
      <c r="AH70" s="483">
        <f t="shared" si="5"/>
        <v>9609</v>
      </c>
      <c r="AI70" s="500">
        <v>0.4</v>
      </c>
      <c r="AJ70" s="501">
        <f>AH70*AI70+AH71*AI71+AH72*AI72+AH73*AI73+AH74*AI74+AH75*AI75+AH76*AI76+AH77*AI77+AH78*AI78+AH79*AI79</f>
        <v>3879.603</v>
      </c>
      <c r="AK70" s="500">
        <v>0.4</v>
      </c>
      <c r="AL70" s="355"/>
    </row>
    <row r="71" s="361" customFormat="1" ht="15" customHeight="1" spans="1:38">
      <c r="A71" s="484"/>
      <c r="B71" s="482" t="s">
        <v>9</v>
      </c>
      <c r="C71" s="483">
        <f>VLOOKUP(B71,修补数量统计!D57:FW66,5,0)</f>
        <v>0</v>
      </c>
      <c r="D71" s="483">
        <f>VLOOKUP(B71,修补数量统计!D57:FW66,10,0)</f>
        <v>0</v>
      </c>
      <c r="E71" s="483">
        <f>VLOOKUP(B71,修补数量统计!D57:FW66,15,0)</f>
        <v>0</v>
      </c>
      <c r="F71" s="483">
        <f>VLOOKUP(B71,修补数量统计!D57:FW66,20,0)</f>
        <v>0</v>
      </c>
      <c r="G71" s="483">
        <f>VLOOKUP(B71,修补数量统计!D57:FW66,25,0)</f>
        <v>0</v>
      </c>
      <c r="H71" s="483">
        <f>VLOOKUP(B71,修补数量统计!D57:FW66,30,0)</f>
        <v>0</v>
      </c>
      <c r="I71" s="483">
        <f>VLOOKUP(B71,修补数量统计!D57:FW66,35,0)</f>
        <v>0</v>
      </c>
      <c r="J71" s="483">
        <f>VLOOKUP(B71,修补数量统计!D57:FW66,40,0)</f>
        <v>0</v>
      </c>
      <c r="K71" s="483">
        <f>VLOOKUP(B71,修补数量统计!D57:FW66,45,0)</f>
        <v>0</v>
      </c>
      <c r="L71" s="483">
        <f>VLOOKUP(B71,修补数量统计!D57:FW66,50,0)</f>
        <v>0</v>
      </c>
      <c r="M71" s="483">
        <f>修补数量统计!BF58</f>
        <v>0</v>
      </c>
      <c r="N71" s="483">
        <f>修补数量统计!BK58</f>
        <v>0</v>
      </c>
      <c r="O71" s="483">
        <f>修补数量统计!BP58</f>
        <v>0</v>
      </c>
      <c r="P71" s="483">
        <f>修补数量统计!BU58</f>
        <v>0</v>
      </c>
      <c r="Q71" s="483">
        <f>修补数量统计!BZ58</f>
        <v>0</v>
      </c>
      <c r="R71" s="483">
        <f>修补数量统计!CE58</f>
        <v>0</v>
      </c>
      <c r="S71" s="483">
        <f>修补数量统计!CJ58</f>
        <v>0</v>
      </c>
      <c r="T71" s="483">
        <f>修补数量统计!CO58</f>
        <v>0</v>
      </c>
      <c r="U71" s="483">
        <f>修补数量统计!CT58</f>
        <v>0</v>
      </c>
      <c r="V71" s="483">
        <f>修补数量统计!CY58</f>
        <v>0</v>
      </c>
      <c r="W71" s="483">
        <f>修补数量统计!DD58</f>
        <v>0</v>
      </c>
      <c r="X71" s="483">
        <f>修补数量统计!DI58</f>
        <v>0</v>
      </c>
      <c r="Y71" s="483">
        <f>修补数量统计!DN58</f>
        <v>0</v>
      </c>
      <c r="Z71" s="483">
        <f>修补数量统计!DS58</f>
        <v>0</v>
      </c>
      <c r="AA71" s="483">
        <f>修补数量统计!DX58</f>
        <v>0</v>
      </c>
      <c r="AB71" s="483">
        <f>修补数量统计!EC58</f>
        <v>0</v>
      </c>
      <c r="AC71" s="483">
        <f>修补数量统计!EH58</f>
        <v>0</v>
      </c>
      <c r="AD71" s="483">
        <f>修补数量统计!EM58</f>
        <v>0</v>
      </c>
      <c r="AE71" s="483">
        <f>修补数量统计!ER58</f>
        <v>0</v>
      </c>
      <c r="AF71" s="483">
        <f>修补数量统计!EW58</f>
        <v>0</v>
      </c>
      <c r="AG71" s="483">
        <f>修补数量统计!FB58</f>
        <v>0</v>
      </c>
      <c r="AH71" s="483">
        <f t="shared" si="5"/>
        <v>0</v>
      </c>
      <c r="AI71" s="502">
        <v>0.133</v>
      </c>
      <c r="AJ71" s="501"/>
      <c r="AK71" s="502">
        <v>0.133</v>
      </c>
      <c r="AL71" s="355"/>
    </row>
    <row r="72" s="361" customFormat="1" ht="15" customHeight="1" spans="1:38">
      <c r="A72" s="484"/>
      <c r="B72" s="482" t="s">
        <v>10</v>
      </c>
      <c r="C72" s="483">
        <f>VLOOKUP(B72,修补数量统计!D58:FW66,5,0)</f>
        <v>0</v>
      </c>
      <c r="D72" s="483">
        <f>VLOOKUP(B72,修补数量统计!D58:FW66,10,0)</f>
        <v>0</v>
      </c>
      <c r="E72" s="483">
        <f>VLOOKUP(B72,修补数量统计!D58:FW66,15,0)</f>
        <v>0</v>
      </c>
      <c r="F72" s="483">
        <f>VLOOKUP(B72,修补数量统计!D58:FW66,20,0)</f>
        <v>0</v>
      </c>
      <c r="G72" s="483">
        <f>VLOOKUP(B72,修补数量统计!D58:FW66,25,0)</f>
        <v>0</v>
      </c>
      <c r="H72" s="483">
        <f>VLOOKUP(B72,修补数量统计!D58:FW66,30,0)</f>
        <v>0</v>
      </c>
      <c r="I72" s="483">
        <f>VLOOKUP(B72,修补数量统计!D58:FW66,35,0)</f>
        <v>0</v>
      </c>
      <c r="J72" s="483">
        <f>VLOOKUP(B72,修补数量统计!D58:FW66,40,0)</f>
        <v>0</v>
      </c>
      <c r="K72" s="483">
        <f>VLOOKUP(B72,修补数量统计!D58:FW66,45,0)</f>
        <v>0</v>
      </c>
      <c r="L72" s="483">
        <f>VLOOKUP(B72,修补数量统计!D58:FW66,50,0)</f>
        <v>0</v>
      </c>
      <c r="M72" s="483">
        <f>修补数量统计!BF59</f>
        <v>0</v>
      </c>
      <c r="N72" s="483">
        <f>修补数量统计!BK59</f>
        <v>0</v>
      </c>
      <c r="O72" s="483">
        <f>修补数量统计!BP59</f>
        <v>0</v>
      </c>
      <c r="P72" s="483">
        <f>修补数量统计!BU59</f>
        <v>0</v>
      </c>
      <c r="Q72" s="483">
        <f>修补数量统计!BZ59</f>
        <v>0</v>
      </c>
      <c r="R72" s="483">
        <f>修补数量统计!CE59</f>
        <v>0</v>
      </c>
      <c r="S72" s="483">
        <f>修补数量统计!CJ59</f>
        <v>0</v>
      </c>
      <c r="T72" s="483">
        <f>修补数量统计!CO59</f>
        <v>0</v>
      </c>
      <c r="U72" s="483">
        <f>修补数量统计!CT59</f>
        <v>0</v>
      </c>
      <c r="V72" s="483">
        <f>修补数量统计!CY59</f>
        <v>0</v>
      </c>
      <c r="W72" s="483">
        <f>修补数量统计!DD59</f>
        <v>0</v>
      </c>
      <c r="X72" s="483">
        <f>修补数量统计!DI59</f>
        <v>0</v>
      </c>
      <c r="Y72" s="483">
        <f>修补数量统计!DN59</f>
        <v>0</v>
      </c>
      <c r="Z72" s="483">
        <f>修补数量统计!DS59</f>
        <v>0</v>
      </c>
      <c r="AA72" s="483">
        <f>修补数量统计!DX59</f>
        <v>0</v>
      </c>
      <c r="AB72" s="483">
        <f>修补数量统计!EC59</f>
        <v>0</v>
      </c>
      <c r="AC72" s="483">
        <f>修补数量统计!EH59</f>
        <v>0</v>
      </c>
      <c r="AD72" s="483">
        <f>修补数量统计!EM59</f>
        <v>0</v>
      </c>
      <c r="AE72" s="483">
        <f>修补数量统计!ER59</f>
        <v>0</v>
      </c>
      <c r="AF72" s="483">
        <f>修补数量统计!EW59</f>
        <v>0</v>
      </c>
      <c r="AG72" s="483">
        <f>修补数量统计!FB59</f>
        <v>0</v>
      </c>
      <c r="AH72" s="483">
        <f t="shared" si="5"/>
        <v>0</v>
      </c>
      <c r="AI72" s="502">
        <v>0.133</v>
      </c>
      <c r="AJ72" s="501"/>
      <c r="AK72" s="502">
        <v>0.133</v>
      </c>
      <c r="AL72" s="355"/>
    </row>
    <row r="73" s="361" customFormat="1" ht="15" customHeight="1" spans="1:38">
      <c r="A73" s="484"/>
      <c r="B73" s="482" t="s">
        <v>11</v>
      </c>
      <c r="C73" s="483">
        <f>VLOOKUP(B73,修补数量统计!D59:FW66,5,0)</f>
        <v>0</v>
      </c>
      <c r="D73" s="483">
        <f>VLOOKUP(B73,修补数量统计!D59:FW66,10,0)</f>
        <v>0</v>
      </c>
      <c r="E73" s="483">
        <f>VLOOKUP(B73,修补数量统计!D59:FW66,15,0)</f>
        <v>0</v>
      </c>
      <c r="F73" s="483">
        <f>VLOOKUP(B73,修补数量统计!D59:FW66,20,0)</f>
        <v>0</v>
      </c>
      <c r="G73" s="483">
        <f>VLOOKUP(B73,修补数量统计!D59:FW66,25,0)</f>
        <v>0</v>
      </c>
      <c r="H73" s="483">
        <f>VLOOKUP(B73,修补数量统计!D59:FW66,30,0)</f>
        <v>0</v>
      </c>
      <c r="I73" s="483">
        <f>VLOOKUP(B73,修补数量统计!D59:FW66,35,0)</f>
        <v>0</v>
      </c>
      <c r="J73" s="483">
        <f>VLOOKUP(B73,修补数量统计!D59:FW66,40,0)</f>
        <v>0</v>
      </c>
      <c r="K73" s="483">
        <f>VLOOKUP(B73,修补数量统计!D59:FW66,45,0)</f>
        <v>0</v>
      </c>
      <c r="L73" s="483">
        <f>VLOOKUP(B73,修补数量统计!D59:FW66,50,0)</f>
        <v>0</v>
      </c>
      <c r="M73" s="483">
        <f>修补数量统计!BF60</f>
        <v>0</v>
      </c>
      <c r="N73" s="483">
        <f>修补数量统计!BK60</f>
        <v>0</v>
      </c>
      <c r="O73" s="483">
        <f>修补数量统计!BP60</f>
        <v>0</v>
      </c>
      <c r="P73" s="483">
        <f>修补数量统计!BU60</f>
        <v>0</v>
      </c>
      <c r="Q73" s="483">
        <f>修补数量统计!BZ60</f>
        <v>0</v>
      </c>
      <c r="R73" s="483">
        <f>修补数量统计!CE60</f>
        <v>0</v>
      </c>
      <c r="S73" s="483">
        <f>修补数量统计!CJ60</f>
        <v>0</v>
      </c>
      <c r="T73" s="483">
        <f>修补数量统计!CO60</f>
        <v>0</v>
      </c>
      <c r="U73" s="483">
        <f>修补数量统计!CT60</f>
        <v>0</v>
      </c>
      <c r="V73" s="483">
        <f>修补数量统计!CY60</f>
        <v>0</v>
      </c>
      <c r="W73" s="483">
        <f>修补数量统计!DD60</f>
        <v>0</v>
      </c>
      <c r="X73" s="483">
        <f>修补数量统计!DI60</f>
        <v>0</v>
      </c>
      <c r="Y73" s="483">
        <f>修补数量统计!DN60</f>
        <v>0</v>
      </c>
      <c r="Z73" s="483">
        <f>修补数量统计!DS60</f>
        <v>0</v>
      </c>
      <c r="AA73" s="483">
        <f>修补数量统计!DX60</f>
        <v>0</v>
      </c>
      <c r="AB73" s="483">
        <f>修补数量统计!EC60</f>
        <v>0</v>
      </c>
      <c r="AC73" s="483">
        <f>修补数量统计!EH60</f>
        <v>0</v>
      </c>
      <c r="AD73" s="483">
        <f>修补数量统计!EM60</f>
        <v>0</v>
      </c>
      <c r="AE73" s="483">
        <f>修补数量统计!ER60</f>
        <v>0</v>
      </c>
      <c r="AF73" s="483">
        <f>修补数量统计!EW60</f>
        <v>0</v>
      </c>
      <c r="AG73" s="483">
        <f>修补数量统计!FB60</f>
        <v>0</v>
      </c>
      <c r="AH73" s="483">
        <f t="shared" si="5"/>
        <v>0</v>
      </c>
      <c r="AI73" s="502">
        <v>0.23</v>
      </c>
      <c r="AJ73" s="501"/>
      <c r="AK73" s="502">
        <v>0.23</v>
      </c>
      <c r="AL73" s="355"/>
    </row>
    <row r="74" s="361" customFormat="1" ht="15" customHeight="1" spans="1:38">
      <c r="A74" s="484"/>
      <c r="B74" s="482" t="s">
        <v>12</v>
      </c>
      <c r="C74" s="483">
        <f>VLOOKUP(B74,修补数量统计!D60:FW66,5,0)</f>
        <v>0</v>
      </c>
      <c r="D74" s="483">
        <f>VLOOKUP(B74,修补数量统计!D60:FW66,10,0)</f>
        <v>0</v>
      </c>
      <c r="E74" s="483">
        <f>VLOOKUP(B74,修补数量统计!D60:FW66,15,0)</f>
        <v>0</v>
      </c>
      <c r="F74" s="483">
        <f>VLOOKUP(B74,修补数量统计!D60:FW66,20,0)</f>
        <v>0</v>
      </c>
      <c r="G74" s="483">
        <f>VLOOKUP(B74,修补数量统计!D60:FW66,25,0)</f>
        <v>0</v>
      </c>
      <c r="H74" s="483">
        <f>VLOOKUP(B74,修补数量统计!D60:FW66,30,0)</f>
        <v>0</v>
      </c>
      <c r="I74" s="483">
        <f>VLOOKUP(B74,修补数量统计!D60:FW66,35,0)</f>
        <v>0</v>
      </c>
      <c r="J74" s="483">
        <f>VLOOKUP(B74,修补数量统计!D60:FW66,40,0)</f>
        <v>0</v>
      </c>
      <c r="K74" s="483">
        <f>VLOOKUP(B74,修补数量统计!D60:FW66,45,0)</f>
        <v>0</v>
      </c>
      <c r="L74" s="483">
        <f>VLOOKUP(B74,修补数量统计!D60:FW66,50,0)</f>
        <v>0</v>
      </c>
      <c r="M74" s="483">
        <f>修补数量统计!BF61</f>
        <v>0</v>
      </c>
      <c r="N74" s="483">
        <f>修补数量统计!BK61</f>
        <v>0</v>
      </c>
      <c r="O74" s="483">
        <f>修补数量统计!BP61</f>
        <v>0</v>
      </c>
      <c r="P74" s="483">
        <f>修补数量统计!BU61</f>
        <v>0</v>
      </c>
      <c r="Q74" s="483">
        <f>修补数量统计!BZ61</f>
        <v>0</v>
      </c>
      <c r="R74" s="483">
        <f>修补数量统计!CE61</f>
        <v>0</v>
      </c>
      <c r="S74" s="483">
        <f>修补数量统计!CJ61</f>
        <v>0</v>
      </c>
      <c r="T74" s="483">
        <f>修补数量统计!CO61</f>
        <v>0</v>
      </c>
      <c r="U74" s="483">
        <f>修补数量统计!CT61</f>
        <v>0</v>
      </c>
      <c r="V74" s="483">
        <f>修补数量统计!CY61</f>
        <v>0</v>
      </c>
      <c r="W74" s="483">
        <f>修补数量统计!DD61</f>
        <v>0</v>
      </c>
      <c r="X74" s="483">
        <f>修补数量统计!DI61</f>
        <v>0</v>
      </c>
      <c r="Y74" s="483">
        <f>修补数量统计!DN61</f>
        <v>0</v>
      </c>
      <c r="Z74" s="483">
        <f>修补数量统计!DS61</f>
        <v>0</v>
      </c>
      <c r="AA74" s="483">
        <f>修补数量统计!DX61</f>
        <v>0</v>
      </c>
      <c r="AB74" s="483">
        <f>修补数量统计!EC61</f>
        <v>0</v>
      </c>
      <c r="AC74" s="483">
        <f>修补数量统计!EH61</f>
        <v>0</v>
      </c>
      <c r="AD74" s="483">
        <f>修补数量统计!EM61</f>
        <v>0</v>
      </c>
      <c r="AE74" s="483">
        <f>修补数量统计!ER61</f>
        <v>0</v>
      </c>
      <c r="AF74" s="483">
        <f>修补数量统计!EW61</f>
        <v>53</v>
      </c>
      <c r="AG74" s="483">
        <f>修补数量统计!FB61</f>
        <v>0</v>
      </c>
      <c r="AH74" s="483">
        <f t="shared" si="5"/>
        <v>53</v>
      </c>
      <c r="AI74" s="502">
        <v>0.25</v>
      </c>
      <c r="AJ74" s="501"/>
      <c r="AK74" s="502">
        <v>0.25</v>
      </c>
      <c r="AL74" s="355"/>
    </row>
    <row r="75" s="361" customFormat="1" ht="15" customHeight="1" spans="1:38">
      <c r="A75" s="484"/>
      <c r="B75" s="482" t="s">
        <v>13</v>
      </c>
      <c r="C75" s="483">
        <v>0</v>
      </c>
      <c r="D75" s="483">
        <v>0</v>
      </c>
      <c r="E75" s="483">
        <v>0</v>
      </c>
      <c r="F75" s="483">
        <v>0</v>
      </c>
      <c r="G75" s="483">
        <v>0</v>
      </c>
      <c r="H75" s="483">
        <v>0</v>
      </c>
      <c r="I75" s="483">
        <v>0</v>
      </c>
      <c r="J75" s="483">
        <v>0</v>
      </c>
      <c r="K75" s="483">
        <v>0</v>
      </c>
      <c r="L75" s="483">
        <v>0</v>
      </c>
      <c r="M75" s="483">
        <f>修补数量统计!BF62</f>
        <v>0</v>
      </c>
      <c r="N75" s="483">
        <f>修补数量统计!BK62</f>
        <v>0</v>
      </c>
      <c r="O75" s="483">
        <f>修补数量统计!BP62</f>
        <v>0</v>
      </c>
      <c r="P75" s="483">
        <f>修补数量统计!BU62</f>
        <v>0</v>
      </c>
      <c r="Q75" s="483">
        <f>修补数量统计!BZ62</f>
        <v>0</v>
      </c>
      <c r="R75" s="483">
        <f>修补数量统计!CE62</f>
        <v>0</v>
      </c>
      <c r="S75" s="483">
        <f>修补数量统计!CJ62</f>
        <v>0</v>
      </c>
      <c r="T75" s="483">
        <f>修补数量统计!CO62</f>
        <v>0</v>
      </c>
      <c r="U75" s="483">
        <f>修补数量统计!CT62</f>
        <v>0</v>
      </c>
      <c r="V75" s="483">
        <f>修补数量统计!CY62</f>
        <v>61</v>
      </c>
      <c r="W75" s="483">
        <f>修补数量统计!DD62</f>
        <v>0</v>
      </c>
      <c r="X75" s="483">
        <f>修补数量统计!DI62</f>
        <v>0</v>
      </c>
      <c r="Y75" s="483">
        <f>修补数量统计!DN62</f>
        <v>0</v>
      </c>
      <c r="Z75" s="483">
        <f>修补数量统计!DS62</f>
        <v>0</v>
      </c>
      <c r="AA75" s="483">
        <f>修补数量统计!DX62</f>
        <v>0</v>
      </c>
      <c r="AB75" s="483">
        <f>修补数量统计!EC62</f>
        <v>0</v>
      </c>
      <c r="AC75" s="483">
        <f>修补数量统计!EH62</f>
        <v>0</v>
      </c>
      <c r="AD75" s="483">
        <f>修补数量统计!EM62</f>
        <v>0</v>
      </c>
      <c r="AE75" s="483">
        <f>修补数量统计!ER62</f>
        <v>0</v>
      </c>
      <c r="AF75" s="483">
        <f>修补数量统计!EW62</f>
        <v>0</v>
      </c>
      <c r="AG75" s="483">
        <f>修补数量统计!FB62</f>
        <v>0</v>
      </c>
      <c r="AH75" s="483">
        <f t="shared" si="5"/>
        <v>61</v>
      </c>
      <c r="AI75" s="502">
        <v>0.373</v>
      </c>
      <c r="AJ75" s="501"/>
      <c r="AK75" s="502">
        <v>0.373</v>
      </c>
      <c r="AL75" s="355"/>
    </row>
    <row r="76" s="361" customFormat="1" ht="15" customHeight="1" spans="1:38">
      <c r="A76" s="484"/>
      <c r="B76" s="482" t="s">
        <v>14</v>
      </c>
      <c r="C76" s="483">
        <v>0</v>
      </c>
      <c r="D76" s="483">
        <v>0</v>
      </c>
      <c r="E76" s="483">
        <v>0</v>
      </c>
      <c r="F76" s="483">
        <v>0</v>
      </c>
      <c r="G76" s="483">
        <v>0</v>
      </c>
      <c r="H76" s="483">
        <v>0</v>
      </c>
      <c r="I76" s="483">
        <v>0</v>
      </c>
      <c r="J76" s="483">
        <v>0</v>
      </c>
      <c r="K76" s="483">
        <v>0</v>
      </c>
      <c r="L76" s="483">
        <v>0</v>
      </c>
      <c r="M76" s="483">
        <f>修补数量统计!BF63</f>
        <v>0</v>
      </c>
      <c r="N76" s="483">
        <f>修补数量统计!BK63</f>
        <v>0</v>
      </c>
      <c r="O76" s="483">
        <f>修补数量统计!BP63</f>
        <v>0</v>
      </c>
      <c r="P76" s="483">
        <f>修补数量统计!BU63</f>
        <v>0</v>
      </c>
      <c r="Q76" s="483">
        <f>修补数量统计!BZ63</f>
        <v>0</v>
      </c>
      <c r="R76" s="483">
        <f>修补数量统计!CE63</f>
        <v>0</v>
      </c>
      <c r="S76" s="483">
        <f>修补数量统计!CJ63</f>
        <v>0</v>
      </c>
      <c r="T76" s="483">
        <f>修补数量统计!CO63</f>
        <v>0</v>
      </c>
      <c r="U76" s="483">
        <f>修补数量统计!CT63</f>
        <v>0</v>
      </c>
      <c r="V76" s="483">
        <f>修补数量统计!CY63</f>
        <v>0</v>
      </c>
      <c r="W76" s="483">
        <f>修补数量统计!DD63</f>
        <v>0</v>
      </c>
      <c r="X76" s="483">
        <f>修补数量统计!DI63</f>
        <v>0</v>
      </c>
      <c r="Y76" s="483">
        <f>修补数量统计!DN63</f>
        <v>0</v>
      </c>
      <c r="Z76" s="483">
        <f>修补数量统计!DS63</f>
        <v>0</v>
      </c>
      <c r="AA76" s="483">
        <f>修补数量统计!DX63</f>
        <v>0</v>
      </c>
      <c r="AB76" s="483">
        <f>修补数量统计!EC63</f>
        <v>0</v>
      </c>
      <c r="AC76" s="483">
        <f>修补数量统计!EH63</f>
        <v>0</v>
      </c>
      <c r="AD76" s="483">
        <f>修补数量统计!EM63</f>
        <v>0</v>
      </c>
      <c r="AE76" s="483">
        <f>修补数量统计!ER63</f>
        <v>0</v>
      </c>
      <c r="AF76" s="483">
        <f>修补数量统计!EW63</f>
        <v>0</v>
      </c>
      <c r="AG76" s="483">
        <f>修补数量统计!FB63</f>
        <v>0</v>
      </c>
      <c r="AH76" s="483">
        <f t="shared" si="5"/>
        <v>0</v>
      </c>
      <c r="AI76" s="502">
        <v>0.373</v>
      </c>
      <c r="AJ76" s="501"/>
      <c r="AK76" s="502">
        <v>0.373</v>
      </c>
      <c r="AL76" s="355"/>
    </row>
    <row r="77" s="361" customFormat="1" ht="15" customHeight="1" spans="1:38">
      <c r="A77" s="484"/>
      <c r="B77" s="482" t="s">
        <v>15</v>
      </c>
      <c r="C77" s="483">
        <f>VLOOKUP(B77,修补数量统计!D63:FW66,5,0)</f>
        <v>0</v>
      </c>
      <c r="D77" s="483">
        <f>VLOOKUP(B77,修补数量统计!D63:FW66,10,0)</f>
        <v>0</v>
      </c>
      <c r="E77" s="483">
        <f>VLOOKUP(B77,修补数量统计!D63:FW66,15,0)</f>
        <v>0</v>
      </c>
      <c r="F77" s="483">
        <f>VLOOKUP(B77,修补数量统计!D63:FW66,20,0)</f>
        <v>0</v>
      </c>
      <c r="G77" s="483">
        <v>0</v>
      </c>
      <c r="H77" s="483">
        <f>VLOOKUP(B77,修补数量统计!D63:FW66,30,0)</f>
        <v>0</v>
      </c>
      <c r="I77" s="483">
        <f>VLOOKUP(B77,修补数量统计!D63:FW66,35,0)</f>
        <v>0</v>
      </c>
      <c r="J77" s="483">
        <f>VLOOKUP(B77,修补数量统计!D63:FW66,40,0)</f>
        <v>0</v>
      </c>
      <c r="K77" s="483">
        <f>VLOOKUP(B77,修补数量统计!D63:FW66,45,0)</f>
        <v>0</v>
      </c>
      <c r="L77" s="483">
        <f>VLOOKUP(B77,修补数量统计!D63:FW66,50,0)</f>
        <v>0</v>
      </c>
      <c r="M77" s="483">
        <f>修补数量统计!BF64</f>
        <v>0</v>
      </c>
      <c r="N77" s="483">
        <f>修补数量统计!BK64</f>
        <v>0</v>
      </c>
      <c r="O77" s="483">
        <f>修补数量统计!BP64</f>
        <v>0</v>
      </c>
      <c r="P77" s="483">
        <f>修补数量统计!BU64</f>
        <v>0</v>
      </c>
      <c r="Q77" s="483">
        <f>修补数量统计!BZ64</f>
        <v>0</v>
      </c>
      <c r="R77" s="483">
        <f>修补数量统计!CE64</f>
        <v>0</v>
      </c>
      <c r="S77" s="483">
        <f>修补数量统计!CJ64</f>
        <v>0</v>
      </c>
      <c r="T77" s="483">
        <f>修补数量统计!CO64</f>
        <v>0</v>
      </c>
      <c r="U77" s="483">
        <f>修补数量统计!CT64</f>
        <v>0</v>
      </c>
      <c r="V77" s="483">
        <f>修补数量统计!CY64</f>
        <v>0</v>
      </c>
      <c r="W77" s="483">
        <f>修补数量统计!DD64</f>
        <v>0</v>
      </c>
      <c r="X77" s="483">
        <f>修补数量统计!DI64</f>
        <v>0</v>
      </c>
      <c r="Y77" s="483">
        <f>修补数量统计!DN64</f>
        <v>0</v>
      </c>
      <c r="Z77" s="483">
        <f>修补数量统计!DS64</f>
        <v>0</v>
      </c>
      <c r="AA77" s="483">
        <f>修补数量统计!DX64</f>
        <v>0</v>
      </c>
      <c r="AB77" s="483">
        <f>修补数量统计!EC64</f>
        <v>0</v>
      </c>
      <c r="AC77" s="483">
        <f>修补数量统计!EH64</f>
        <v>0</v>
      </c>
      <c r="AD77" s="483">
        <f>修补数量统计!EM64</f>
        <v>0</v>
      </c>
      <c r="AE77" s="483">
        <f>修补数量统计!ER64</f>
        <v>0</v>
      </c>
      <c r="AF77" s="483">
        <f>修补数量统计!EW64</f>
        <v>0</v>
      </c>
      <c r="AG77" s="483">
        <f>修补数量统计!FB64</f>
        <v>0</v>
      </c>
      <c r="AH77" s="483">
        <f t="shared" si="5"/>
        <v>0</v>
      </c>
      <c r="AI77" s="502">
        <v>0.373</v>
      </c>
      <c r="AJ77" s="501"/>
      <c r="AK77" s="502">
        <v>0.373</v>
      </c>
      <c r="AL77" s="355"/>
    </row>
    <row r="78" s="361" customFormat="1" ht="15" customHeight="1" spans="1:38">
      <c r="A78" s="484"/>
      <c r="B78" s="482" t="s">
        <v>16</v>
      </c>
      <c r="C78" s="483">
        <f>VLOOKUP(B78,修补数量统计!D64:FW66,5,0)</f>
        <v>0</v>
      </c>
      <c r="D78" s="483">
        <f>VLOOKUP(B78,修补数量统计!D64:FW66,10,0)</f>
        <v>0</v>
      </c>
      <c r="E78" s="483">
        <f>VLOOKUP(B78,修补数量统计!D64:FW66,15,0)</f>
        <v>0</v>
      </c>
      <c r="F78" s="483">
        <f>VLOOKUP(B78,修补数量统计!D64:FW66,20,0)</f>
        <v>0</v>
      </c>
      <c r="G78" s="483">
        <f>VLOOKUP(B78,修补数量统计!D64:FW66,25,0)</f>
        <v>0</v>
      </c>
      <c r="H78" s="483">
        <f>VLOOKUP(B78,修补数量统计!D64:FW66,30,0)</f>
        <v>0</v>
      </c>
      <c r="I78" s="483">
        <f>VLOOKUP(B78,修补数量统计!D64:FW66,35,0)</f>
        <v>0</v>
      </c>
      <c r="J78" s="483">
        <f>VLOOKUP(B78,修补数量统计!D64:FW66,40,0)</f>
        <v>0</v>
      </c>
      <c r="K78" s="483">
        <f>VLOOKUP(B78,修补数量统计!D64:FW66,45,0)</f>
        <v>0</v>
      </c>
      <c r="L78" s="483">
        <f>VLOOKUP(B78,修补数量统计!D64:FW66,50,0)</f>
        <v>0</v>
      </c>
      <c r="M78" s="483">
        <f>修补数量统计!BF65</f>
        <v>0</v>
      </c>
      <c r="N78" s="483">
        <f>修补数量统计!BK65</f>
        <v>0</v>
      </c>
      <c r="O78" s="483">
        <f>修补数量统计!BP65</f>
        <v>0</v>
      </c>
      <c r="P78" s="483">
        <f>修补数量统计!BU65</f>
        <v>0</v>
      </c>
      <c r="Q78" s="483">
        <f>修补数量统计!BZ65</f>
        <v>0</v>
      </c>
      <c r="R78" s="483">
        <f>修补数量统计!CE65</f>
        <v>0</v>
      </c>
      <c r="S78" s="483">
        <f>修补数量统计!CJ65</f>
        <v>0</v>
      </c>
      <c r="T78" s="483">
        <f>修补数量统计!CO65</f>
        <v>0</v>
      </c>
      <c r="U78" s="483">
        <f>修补数量统计!CT65</f>
        <v>0</v>
      </c>
      <c r="V78" s="483">
        <f>修补数量统计!CY65</f>
        <v>0</v>
      </c>
      <c r="W78" s="483">
        <f>修补数量统计!DD65</f>
        <v>0</v>
      </c>
      <c r="X78" s="483">
        <f>修补数量统计!DI65</f>
        <v>0</v>
      </c>
      <c r="Y78" s="483">
        <f>修补数量统计!DN65</f>
        <v>0</v>
      </c>
      <c r="Z78" s="483">
        <f>修补数量统计!DS65</f>
        <v>0</v>
      </c>
      <c r="AA78" s="483">
        <f>修补数量统计!DX65</f>
        <v>0</v>
      </c>
      <c r="AB78" s="483">
        <f>修补数量统计!EC65</f>
        <v>0</v>
      </c>
      <c r="AC78" s="483">
        <f>修补数量统计!EH65</f>
        <v>0</v>
      </c>
      <c r="AD78" s="483">
        <f>修补数量统计!EM65</f>
        <v>0</v>
      </c>
      <c r="AE78" s="483">
        <f>修补数量统计!ER65</f>
        <v>0</v>
      </c>
      <c r="AF78" s="483">
        <f>修补数量统计!EW65</f>
        <v>0</v>
      </c>
      <c r="AG78" s="483">
        <f>修补数量统计!FB65</f>
        <v>0</v>
      </c>
      <c r="AH78" s="483">
        <f t="shared" si="5"/>
        <v>0</v>
      </c>
      <c r="AI78" s="502">
        <v>0.373</v>
      </c>
      <c r="AJ78" s="501"/>
      <c r="AK78" s="502">
        <v>0.373</v>
      </c>
      <c r="AL78" s="355"/>
    </row>
    <row r="79" s="361" customFormat="1" ht="15" customHeight="1" spans="1:38">
      <c r="A79" s="485"/>
      <c r="B79" s="482" t="s">
        <v>17</v>
      </c>
      <c r="C79" s="483">
        <f>VLOOKUP(B79,修补数量统计!D65:FW66,5,0)</f>
        <v>0</v>
      </c>
      <c r="D79" s="483">
        <f>VLOOKUP(B79,修补数量统计!D65:FW66,10,0)</f>
        <v>0</v>
      </c>
      <c r="E79" s="483">
        <f>VLOOKUP(B79,修补数量统计!D65:FW66,15,0)</f>
        <v>0</v>
      </c>
      <c r="F79" s="483">
        <f>VLOOKUP(B79,修补数量统计!D65:FW66,20,0)</f>
        <v>0</v>
      </c>
      <c r="G79" s="483">
        <f>VLOOKUP(B79,修补数量统计!D65:FW66,25,0)</f>
        <v>0</v>
      </c>
      <c r="H79" s="483">
        <f>VLOOKUP(B79,修补数量统计!D65:FW66,30,0)</f>
        <v>0</v>
      </c>
      <c r="I79" s="483">
        <f>VLOOKUP(B79,修补数量统计!D65:FW66,35,0)</f>
        <v>0</v>
      </c>
      <c r="J79" s="483">
        <f>VLOOKUP(B79,修补数量统计!D65:FW66,40,0)</f>
        <v>0</v>
      </c>
      <c r="K79" s="483">
        <f>VLOOKUP(B79,修补数量统计!D65:FW66,45,0)</f>
        <v>0</v>
      </c>
      <c r="L79" s="483">
        <f>VLOOKUP(B79,修补数量统计!D65:FW66,50,0)</f>
        <v>0</v>
      </c>
      <c r="M79" s="483">
        <f>修补数量统计!BF66</f>
        <v>0</v>
      </c>
      <c r="N79" s="483">
        <f>修补数量统计!BK66</f>
        <v>0</v>
      </c>
      <c r="O79" s="483">
        <f>修补数量统计!BP66</f>
        <v>0</v>
      </c>
      <c r="P79" s="483">
        <f>修补数量统计!BU66</f>
        <v>0</v>
      </c>
      <c r="Q79" s="483">
        <f>修补数量统计!BZ66</f>
        <v>0</v>
      </c>
      <c r="R79" s="483">
        <f>修补数量统计!CE66</f>
        <v>0</v>
      </c>
      <c r="S79" s="483">
        <f>修补数量统计!CJ66</f>
        <v>0</v>
      </c>
      <c r="T79" s="483">
        <f>修补数量统计!CO66</f>
        <v>0</v>
      </c>
      <c r="U79" s="483">
        <f>修补数量统计!CT66</f>
        <v>0</v>
      </c>
      <c r="V79" s="483">
        <f>修补数量统计!CY66</f>
        <v>0</v>
      </c>
      <c r="W79" s="483">
        <f>修补数量统计!DD66</f>
        <v>0</v>
      </c>
      <c r="X79" s="483">
        <f>修补数量统计!DI66</f>
        <v>0</v>
      </c>
      <c r="Y79" s="483">
        <f>修补数量统计!DN66</f>
        <v>0</v>
      </c>
      <c r="Z79" s="483">
        <f>修补数量统计!DS66</f>
        <v>0</v>
      </c>
      <c r="AA79" s="483">
        <f>修补数量统计!DX66</f>
        <v>0</v>
      </c>
      <c r="AB79" s="483">
        <f>修补数量统计!EC66</f>
        <v>0</v>
      </c>
      <c r="AC79" s="483">
        <f>修补数量统计!EH66</f>
        <v>0</v>
      </c>
      <c r="AD79" s="483">
        <f>修补数量统计!EM66</f>
        <v>0</v>
      </c>
      <c r="AE79" s="483">
        <f>修补数量统计!ER66</f>
        <v>0</v>
      </c>
      <c r="AF79" s="483">
        <f>修补数量统计!EW66</f>
        <v>0</v>
      </c>
      <c r="AG79" s="483">
        <f>修补数量统计!FB66</f>
        <v>0</v>
      </c>
      <c r="AH79" s="483">
        <f t="shared" si="5"/>
        <v>0</v>
      </c>
      <c r="AI79" s="503">
        <v>0.373</v>
      </c>
      <c r="AJ79" s="501"/>
      <c r="AK79" s="502">
        <v>0.373</v>
      </c>
      <c r="AL79" s="355"/>
    </row>
    <row r="80" s="362" customFormat="1" ht="15" customHeight="1" spans="1:37">
      <c r="A80" s="264" t="s">
        <v>31</v>
      </c>
      <c r="B80" s="266" t="s">
        <v>8</v>
      </c>
      <c r="C80" s="486">
        <f>VLOOKUP(B80,修补数量统计!D67:FW75,5,0)</f>
        <v>0</v>
      </c>
      <c r="D80" s="486">
        <f>VLOOKUP(B80,修补数量统计!D67:FW75,10,0)</f>
        <v>235</v>
      </c>
      <c r="E80" s="486">
        <f>VLOOKUP(B80,修补数量统计!D67:FW75,15,0)</f>
        <v>117</v>
      </c>
      <c r="F80" s="486">
        <f>VLOOKUP(B80,修补数量统计!D67:FW75,20,0)</f>
        <v>0</v>
      </c>
      <c r="G80" s="486">
        <f>VLOOKUP(B80,修补数量统计!D67:FW75,25,0)</f>
        <v>0</v>
      </c>
      <c r="H80" s="486">
        <f>VLOOKUP(B80,修补数量统计!D67:FW75,30,0)</f>
        <v>0</v>
      </c>
      <c r="I80" s="486">
        <f>VLOOKUP(B80,修补数量统计!D67:FW75,35,0)</f>
        <v>0</v>
      </c>
      <c r="J80" s="486">
        <f>VLOOKUP(B80,修补数量统计!D67:FW75,40,0)</f>
        <v>0</v>
      </c>
      <c r="K80" s="486">
        <f>VLOOKUP(B80,修补数量统计!D67:FW75,45,0)</f>
        <v>0</v>
      </c>
      <c r="L80" s="486">
        <f>VLOOKUP(B80,修补数量统计!D67:FW75,50,0)</f>
        <v>0</v>
      </c>
      <c r="M80" s="486">
        <f>修补数量统计!BF67</f>
        <v>0</v>
      </c>
      <c r="N80" s="486">
        <f>修补数量统计!BK67</f>
        <v>0</v>
      </c>
      <c r="O80" s="486">
        <f>修补数量统计!BP67</f>
        <v>0</v>
      </c>
      <c r="P80" s="486">
        <f>修补数量统计!BU67</f>
        <v>0</v>
      </c>
      <c r="Q80" s="486">
        <f>修补数量统计!BZ67</f>
        <v>0</v>
      </c>
      <c r="R80" s="486">
        <f>修补数量统计!CE67</f>
        <v>0</v>
      </c>
      <c r="S80" s="486">
        <f>修补数量统计!CJ67</f>
        <v>0</v>
      </c>
      <c r="T80" s="486">
        <f>修补数量统计!CO67</f>
        <v>0</v>
      </c>
      <c r="U80" s="486">
        <f>修补数量统计!CT67</f>
        <v>0</v>
      </c>
      <c r="V80" s="486">
        <f>修补数量统计!CY67</f>
        <v>30</v>
      </c>
      <c r="W80" s="486">
        <f>修补数量统计!DD67</f>
        <v>0</v>
      </c>
      <c r="X80" s="486">
        <f>修补数量统计!DI67</f>
        <v>0</v>
      </c>
      <c r="Y80" s="486">
        <f>修补数量统计!DN67</f>
        <v>0</v>
      </c>
      <c r="Z80" s="486">
        <f>修补数量统计!DS67</f>
        <v>0</v>
      </c>
      <c r="AA80" s="486">
        <f>修补数量统计!DX67</f>
        <v>0</v>
      </c>
      <c r="AB80" s="486">
        <f>修补数量统计!EC67</f>
        <v>0</v>
      </c>
      <c r="AC80" s="486">
        <f>修补数量统计!EH67</f>
        <v>0</v>
      </c>
      <c r="AD80" s="486">
        <f>修补数量统计!EM67</f>
        <v>0</v>
      </c>
      <c r="AE80" s="486">
        <f>修补数量统计!ER67</f>
        <v>0</v>
      </c>
      <c r="AF80" s="486">
        <f>修补数量统计!EW67</f>
        <v>210</v>
      </c>
      <c r="AG80" s="486">
        <f>修补数量统计!FB67</f>
        <v>0</v>
      </c>
      <c r="AH80" s="486">
        <f t="shared" si="5"/>
        <v>592</v>
      </c>
      <c r="AI80" s="267">
        <v>0.4</v>
      </c>
      <c r="AJ80" s="504">
        <f>AH80*AI80+AH81*AI81+AH82*AI82+AH83*AI83+AH84*AI84+AH85*AI85+AH86*AI86+AH87*AI87+AH88*AI88+AH89*AI89</f>
        <v>4561.9</v>
      </c>
      <c r="AK80" s="267">
        <v>0.4</v>
      </c>
    </row>
    <row r="81" s="362" customFormat="1" ht="15" customHeight="1" spans="1:37">
      <c r="A81" s="270"/>
      <c r="B81" s="266" t="s">
        <v>9</v>
      </c>
      <c r="C81" s="486">
        <f>VLOOKUP(B81,修补数量统计!D67:FW76,5,0)</f>
        <v>0</v>
      </c>
      <c r="D81" s="486">
        <f>VLOOKUP(B81,修补数量统计!D67:FW76,10,0)</f>
        <v>0</v>
      </c>
      <c r="E81" s="486">
        <f>VLOOKUP(B81,修补数量统计!D67:FW76,15,0)</f>
        <v>0</v>
      </c>
      <c r="F81" s="486">
        <f>VLOOKUP(B81,修补数量统计!D67:FW76,20,0)</f>
        <v>0</v>
      </c>
      <c r="G81" s="486">
        <f>VLOOKUP(B81,修补数量统计!D67:FW76,25,0)</f>
        <v>0</v>
      </c>
      <c r="H81" s="486">
        <f>VLOOKUP(B81,修补数量统计!D67:FW76,30,0)</f>
        <v>0</v>
      </c>
      <c r="I81" s="486">
        <f>VLOOKUP(B81,修补数量统计!D67:FW76,35,0)</f>
        <v>0</v>
      </c>
      <c r="J81" s="486">
        <f>VLOOKUP(B81,修补数量统计!D67:FW76,40,0)</f>
        <v>0</v>
      </c>
      <c r="K81" s="486">
        <f>VLOOKUP(B81,修补数量统计!D67:FW76,45,0)</f>
        <v>0</v>
      </c>
      <c r="L81" s="486">
        <f>VLOOKUP(B81,修补数量统计!D67:FW76,50,0)</f>
        <v>0</v>
      </c>
      <c r="M81" s="486">
        <f>修补数量统计!BF68</f>
        <v>0</v>
      </c>
      <c r="N81" s="486">
        <f>修补数量统计!BK68</f>
        <v>0</v>
      </c>
      <c r="O81" s="486">
        <f>修补数量统计!BP68</f>
        <v>0</v>
      </c>
      <c r="P81" s="486">
        <f>修补数量统计!BU68</f>
        <v>0</v>
      </c>
      <c r="Q81" s="486">
        <f>修补数量统计!BZ68</f>
        <v>0</v>
      </c>
      <c r="R81" s="486">
        <f>修补数量统计!CE68</f>
        <v>0</v>
      </c>
      <c r="S81" s="486">
        <f>修补数量统计!CJ68</f>
        <v>0</v>
      </c>
      <c r="T81" s="486">
        <f>修补数量统计!CO68</f>
        <v>0</v>
      </c>
      <c r="U81" s="486">
        <f>修补数量统计!CT68</f>
        <v>0</v>
      </c>
      <c r="V81" s="486">
        <f>修补数量统计!CY68</f>
        <v>0</v>
      </c>
      <c r="W81" s="486">
        <f>修补数量统计!DD68</f>
        <v>0</v>
      </c>
      <c r="X81" s="486">
        <f>修补数量统计!DI68</f>
        <v>0</v>
      </c>
      <c r="Y81" s="486">
        <f>修补数量统计!DN68</f>
        <v>0</v>
      </c>
      <c r="Z81" s="486">
        <f>修补数量统计!DS68</f>
        <v>0</v>
      </c>
      <c r="AA81" s="486">
        <f>修补数量统计!DX68</f>
        <v>0</v>
      </c>
      <c r="AB81" s="486">
        <f>修补数量统计!EC68</f>
        <v>0</v>
      </c>
      <c r="AC81" s="486">
        <f>修补数量统计!EH68</f>
        <v>0</v>
      </c>
      <c r="AD81" s="486">
        <f>修补数量统计!EM68</f>
        <v>0</v>
      </c>
      <c r="AE81" s="486">
        <f>修补数量统计!ER68</f>
        <v>0</v>
      </c>
      <c r="AF81" s="486">
        <f>修补数量统计!EW68</f>
        <v>0</v>
      </c>
      <c r="AG81" s="486">
        <f>修补数量统计!FB68</f>
        <v>0</v>
      </c>
      <c r="AH81" s="486">
        <f t="shared" si="5"/>
        <v>0</v>
      </c>
      <c r="AI81" s="271">
        <v>0.133</v>
      </c>
      <c r="AJ81" s="504"/>
      <c r="AK81" s="271">
        <v>0.133</v>
      </c>
    </row>
    <row r="82" s="362" customFormat="1" ht="15" customHeight="1" spans="1:37">
      <c r="A82" s="270"/>
      <c r="B82" s="266" t="s">
        <v>10</v>
      </c>
      <c r="C82" s="486">
        <f>VLOOKUP(B82,修补数量统计!D68:FW76,5,0)</f>
        <v>0</v>
      </c>
      <c r="D82" s="486">
        <f>VLOOKUP(B82,修补数量统计!D68:FW76,10,0)</f>
        <v>0</v>
      </c>
      <c r="E82" s="486">
        <f>VLOOKUP(B82,修补数量统计!D68:FW76,15,0)</f>
        <v>0</v>
      </c>
      <c r="F82" s="486">
        <f>VLOOKUP(B82,修补数量统计!D68:FW76,20,0)</f>
        <v>0</v>
      </c>
      <c r="G82" s="486">
        <f>VLOOKUP(B82,修补数量统计!D68:FW76,25,0)</f>
        <v>0</v>
      </c>
      <c r="H82" s="486">
        <f>VLOOKUP(B82,修补数量统计!D68:FW76,30,0)</f>
        <v>0</v>
      </c>
      <c r="I82" s="486">
        <f>VLOOKUP(B82,修补数量统计!D68:FW76,35,0)</f>
        <v>0</v>
      </c>
      <c r="J82" s="486">
        <f>VLOOKUP(B82,修补数量统计!D68:FW76,40,0)</f>
        <v>0</v>
      </c>
      <c r="K82" s="486">
        <f>VLOOKUP(B82,修补数量统计!D68:FW76,45,0)</f>
        <v>0</v>
      </c>
      <c r="L82" s="486">
        <f>VLOOKUP(B82,修补数量统计!D68:FW76,50,0)</f>
        <v>0</v>
      </c>
      <c r="M82" s="486">
        <f>修补数量统计!BF69</f>
        <v>0</v>
      </c>
      <c r="N82" s="486">
        <f>修补数量统计!BK69</f>
        <v>0</v>
      </c>
      <c r="O82" s="486">
        <f>修补数量统计!BP69</f>
        <v>0</v>
      </c>
      <c r="P82" s="486">
        <f>修补数量统计!BU69</f>
        <v>0</v>
      </c>
      <c r="Q82" s="486">
        <f>修补数量统计!BZ69</f>
        <v>0</v>
      </c>
      <c r="R82" s="486">
        <f>修补数量统计!CE69</f>
        <v>0</v>
      </c>
      <c r="S82" s="486">
        <f>修补数量统计!CJ69</f>
        <v>0</v>
      </c>
      <c r="T82" s="486">
        <f>修补数量统计!CO69</f>
        <v>0</v>
      </c>
      <c r="U82" s="486">
        <f>修补数量统计!CT69</f>
        <v>0</v>
      </c>
      <c r="V82" s="486">
        <f>修补数量统计!CY69</f>
        <v>0</v>
      </c>
      <c r="W82" s="486">
        <f>修补数量统计!DD69</f>
        <v>0</v>
      </c>
      <c r="X82" s="486">
        <f>修补数量统计!DI69</f>
        <v>0</v>
      </c>
      <c r="Y82" s="486">
        <f>修补数量统计!DN69</f>
        <v>0</v>
      </c>
      <c r="Z82" s="486">
        <f>修补数量统计!DS69</f>
        <v>0</v>
      </c>
      <c r="AA82" s="486">
        <f>修补数量统计!DX69</f>
        <v>0</v>
      </c>
      <c r="AB82" s="486">
        <f>修补数量统计!EC69</f>
        <v>0</v>
      </c>
      <c r="AC82" s="486">
        <f>修补数量统计!EH69</f>
        <v>0</v>
      </c>
      <c r="AD82" s="486">
        <f>修补数量统计!EM69</f>
        <v>0</v>
      </c>
      <c r="AE82" s="486">
        <f>修补数量统计!ER69</f>
        <v>0</v>
      </c>
      <c r="AF82" s="486">
        <f>修补数量统计!EW69</f>
        <v>0</v>
      </c>
      <c r="AG82" s="486">
        <f>修补数量统计!FB69</f>
        <v>0</v>
      </c>
      <c r="AH82" s="486">
        <f t="shared" si="5"/>
        <v>0</v>
      </c>
      <c r="AI82" s="271">
        <v>0.133</v>
      </c>
      <c r="AJ82" s="504"/>
      <c r="AK82" s="271">
        <v>0.133</v>
      </c>
    </row>
    <row r="83" s="362" customFormat="1" ht="15" customHeight="1" spans="1:37">
      <c r="A83" s="270"/>
      <c r="B83" s="266" t="s">
        <v>11</v>
      </c>
      <c r="C83" s="486">
        <f>VLOOKUP(B83,修补数量统计!D69:FW76,5,0)</f>
        <v>0</v>
      </c>
      <c r="D83" s="486">
        <f>VLOOKUP(B83,修补数量统计!D69:FW76,10,0)</f>
        <v>0</v>
      </c>
      <c r="E83" s="486">
        <f>VLOOKUP(B83,修补数量统计!D69:FW76,15,0)</f>
        <v>0</v>
      </c>
      <c r="F83" s="486">
        <f>VLOOKUP(B83,修补数量统计!D69:FW76,20,0)</f>
        <v>0</v>
      </c>
      <c r="G83" s="486">
        <f>VLOOKUP(B83,修补数量统计!D69:FW76,25,0)</f>
        <v>0</v>
      </c>
      <c r="H83" s="486">
        <f>VLOOKUP(B83,修补数量统计!D69:FW76,30,0)</f>
        <v>0</v>
      </c>
      <c r="I83" s="486">
        <f>VLOOKUP(B83,修补数量统计!D69:FW76,35,0)</f>
        <v>0</v>
      </c>
      <c r="J83" s="486">
        <f>VLOOKUP(B83,修补数量统计!D69:FW76,40,0)</f>
        <v>0</v>
      </c>
      <c r="K83" s="486">
        <f>VLOOKUP(B83,修补数量统计!D69:FW76,45,0)</f>
        <v>0</v>
      </c>
      <c r="L83" s="486">
        <f>VLOOKUP(B83,修补数量统计!D69:FW76,50,0)</f>
        <v>0</v>
      </c>
      <c r="M83" s="486">
        <f>修补数量统计!BF70</f>
        <v>0</v>
      </c>
      <c r="N83" s="486">
        <f>修补数量统计!BK70</f>
        <v>0</v>
      </c>
      <c r="O83" s="486">
        <f>修补数量统计!BP70</f>
        <v>0</v>
      </c>
      <c r="P83" s="486">
        <f>修补数量统计!BU70</f>
        <v>0</v>
      </c>
      <c r="Q83" s="486">
        <f>修补数量统计!BZ70</f>
        <v>0</v>
      </c>
      <c r="R83" s="486">
        <f>修补数量统计!CE70</f>
        <v>0</v>
      </c>
      <c r="S83" s="486">
        <f>修补数量统计!CJ70</f>
        <v>0</v>
      </c>
      <c r="T83" s="486">
        <f>修补数量统计!CO70</f>
        <v>0</v>
      </c>
      <c r="U83" s="486">
        <f>修补数量统计!CT70</f>
        <v>0</v>
      </c>
      <c r="V83" s="486">
        <f>修补数量统计!CY70</f>
        <v>0</v>
      </c>
      <c r="W83" s="486">
        <f>修补数量统计!DD70</f>
        <v>0</v>
      </c>
      <c r="X83" s="486">
        <f>修补数量统计!DI70</f>
        <v>0</v>
      </c>
      <c r="Y83" s="486">
        <f>修补数量统计!DN70</f>
        <v>0</v>
      </c>
      <c r="Z83" s="486">
        <f>修补数量统计!DS70</f>
        <v>0</v>
      </c>
      <c r="AA83" s="486">
        <f>修补数量统计!DX70</f>
        <v>0</v>
      </c>
      <c r="AB83" s="486">
        <f>修补数量统计!EC70</f>
        <v>0</v>
      </c>
      <c r="AC83" s="486">
        <f>修补数量统计!EH70</f>
        <v>0</v>
      </c>
      <c r="AD83" s="486">
        <f>修补数量统计!EM70</f>
        <v>0</v>
      </c>
      <c r="AE83" s="486">
        <f>修补数量统计!ER70</f>
        <v>0</v>
      </c>
      <c r="AF83" s="486">
        <f>修补数量统计!EW70</f>
        <v>0</v>
      </c>
      <c r="AG83" s="486">
        <f>修补数量统计!FB70</f>
        <v>0</v>
      </c>
      <c r="AH83" s="486">
        <f t="shared" si="5"/>
        <v>0</v>
      </c>
      <c r="AI83" s="271">
        <v>0.23</v>
      </c>
      <c r="AJ83" s="504"/>
      <c r="AK83" s="271">
        <v>0.23</v>
      </c>
    </row>
    <row r="84" s="362" customFormat="1" ht="15" customHeight="1" spans="1:37">
      <c r="A84" s="270"/>
      <c r="B84" s="266" t="s">
        <v>12</v>
      </c>
      <c r="C84" s="486">
        <f>VLOOKUP(B84,修补数量统计!D70:FW76,5,0)</f>
        <v>0</v>
      </c>
      <c r="D84" s="486">
        <f>VLOOKUP(B84,修补数量统计!D70:FW76,10,0)</f>
        <v>0</v>
      </c>
      <c r="E84" s="486">
        <f>VLOOKUP(B84,修补数量统计!D70:FW76,15,0)</f>
        <v>0</v>
      </c>
      <c r="F84" s="486">
        <f>VLOOKUP(B84,修补数量统计!D70:FW76,20,0)</f>
        <v>0</v>
      </c>
      <c r="G84" s="486">
        <f>VLOOKUP(B84,修补数量统计!D70:FW76,25,0)</f>
        <v>0</v>
      </c>
      <c r="H84" s="486">
        <f>VLOOKUP(B84,修补数量统计!D70:FW76,30,0)</f>
        <v>0</v>
      </c>
      <c r="I84" s="486">
        <f>VLOOKUP(B84,修补数量统计!D70:FW76,35,0)</f>
        <v>0</v>
      </c>
      <c r="J84" s="486">
        <f>VLOOKUP(B84,修补数量统计!D70:FW76,40,0)</f>
        <v>0</v>
      </c>
      <c r="K84" s="486">
        <f>VLOOKUP(B84,修补数量统计!D70:FW76,45,0)</f>
        <v>0</v>
      </c>
      <c r="L84" s="486">
        <f>VLOOKUP(B84,修补数量统计!D70:FW76,50,0)</f>
        <v>0</v>
      </c>
      <c r="M84" s="486">
        <f>修补数量统计!BF71</f>
        <v>0</v>
      </c>
      <c r="N84" s="486">
        <f>修补数量统计!BK71</f>
        <v>0</v>
      </c>
      <c r="O84" s="486">
        <f>修补数量统计!BP71</f>
        <v>0</v>
      </c>
      <c r="P84" s="486">
        <f>修补数量统计!BU71</f>
        <v>0</v>
      </c>
      <c r="Q84" s="486">
        <f>修补数量统计!BZ71</f>
        <v>0</v>
      </c>
      <c r="R84" s="486">
        <f>修补数量统计!CE71</f>
        <v>0</v>
      </c>
      <c r="S84" s="486">
        <f>修补数量统计!CJ71</f>
        <v>0</v>
      </c>
      <c r="T84" s="486">
        <f>修补数量统计!CO71</f>
        <v>0</v>
      </c>
      <c r="U84" s="486">
        <f>修补数量统计!CT71</f>
        <v>0</v>
      </c>
      <c r="V84" s="486">
        <f>修补数量统计!CY71</f>
        <v>15</v>
      </c>
      <c r="W84" s="486">
        <f>修补数量统计!DD71</f>
        <v>0</v>
      </c>
      <c r="X84" s="486">
        <f>修补数量统计!DI71</f>
        <v>0</v>
      </c>
      <c r="Y84" s="486">
        <f>修补数量统计!DN71</f>
        <v>0</v>
      </c>
      <c r="Z84" s="486">
        <f>修补数量统计!DS71</f>
        <v>0</v>
      </c>
      <c r="AA84" s="486">
        <f>修补数量统计!DX71</f>
        <v>0</v>
      </c>
      <c r="AB84" s="486">
        <f>修补数量统计!EC71</f>
        <v>0</v>
      </c>
      <c r="AC84" s="486">
        <f>修补数量统计!EH71</f>
        <v>0</v>
      </c>
      <c r="AD84" s="486">
        <f>修补数量统计!EM71</f>
        <v>0</v>
      </c>
      <c r="AE84" s="486">
        <f>修补数量统计!ER71</f>
        <v>0</v>
      </c>
      <c r="AF84" s="486">
        <f>修补数量统计!EW71</f>
        <v>0</v>
      </c>
      <c r="AG84" s="486">
        <f>修补数量统计!FB71</f>
        <v>0</v>
      </c>
      <c r="AH84" s="486">
        <f t="shared" si="5"/>
        <v>15</v>
      </c>
      <c r="AI84" s="271">
        <v>0.25</v>
      </c>
      <c r="AJ84" s="504"/>
      <c r="AK84" s="271">
        <v>0.25</v>
      </c>
    </row>
    <row r="85" s="362" customFormat="1" ht="15" customHeight="1" spans="1:37">
      <c r="A85" s="270"/>
      <c r="B85" s="266" t="s">
        <v>13</v>
      </c>
      <c r="C85" s="486">
        <v>0</v>
      </c>
      <c r="D85" s="486">
        <v>0</v>
      </c>
      <c r="E85" s="486">
        <f>修补数量统计!R72</f>
        <v>100</v>
      </c>
      <c r="F85" s="486">
        <f>修补数量统计!W72</f>
        <v>0</v>
      </c>
      <c r="G85" s="486">
        <f>修补数量统计!AG72</f>
        <v>0</v>
      </c>
      <c r="H85" s="486">
        <f>修补数量统计!AL72</f>
        <v>0</v>
      </c>
      <c r="I85" s="486">
        <f>修补数量统计!AQ72</f>
        <v>100</v>
      </c>
      <c r="J85" s="486">
        <v>0</v>
      </c>
      <c r="K85" s="486">
        <v>0</v>
      </c>
      <c r="L85" s="486">
        <v>0</v>
      </c>
      <c r="M85" s="486">
        <f>修补数量统计!BF72</f>
        <v>341</v>
      </c>
      <c r="N85" s="486">
        <f>修补数量统计!BK72</f>
        <v>279</v>
      </c>
      <c r="O85" s="486">
        <f>修补数量统计!BP72</f>
        <v>323</v>
      </c>
      <c r="P85" s="486">
        <f>修补数量统计!BU72</f>
        <v>388</v>
      </c>
      <c r="Q85" s="486">
        <f>修补数量统计!BZ72</f>
        <v>259</v>
      </c>
      <c r="R85" s="486">
        <f>修补数量统计!CE72</f>
        <v>288</v>
      </c>
      <c r="S85" s="486">
        <f>修补数量统计!CJ72</f>
        <v>306</v>
      </c>
      <c r="T85" s="486">
        <f>修补数量统计!CO72</f>
        <v>381</v>
      </c>
      <c r="U85" s="486">
        <f>修补数量统计!CT72</f>
        <v>197</v>
      </c>
      <c r="V85" s="486">
        <f>修补数量统计!CY72</f>
        <v>4</v>
      </c>
      <c r="W85" s="486">
        <f>修补数量统计!DD72</f>
        <v>333</v>
      </c>
      <c r="X85" s="486">
        <f>修补数量统计!DI72</f>
        <v>299</v>
      </c>
      <c r="Y85" s="486">
        <f>修补数量统计!DN72</f>
        <v>370</v>
      </c>
      <c r="Z85" s="486">
        <f>修补数量统计!DS72</f>
        <v>289</v>
      </c>
      <c r="AA85" s="486">
        <f>修补数量统计!DX72</f>
        <v>381</v>
      </c>
      <c r="AB85" s="486">
        <f>修补数量统计!EC72</f>
        <v>304</v>
      </c>
      <c r="AC85" s="486">
        <f>修补数量统计!EH72</f>
        <v>326</v>
      </c>
      <c r="AD85" s="486">
        <f>修补数量统计!EM72</f>
        <v>316</v>
      </c>
      <c r="AE85" s="486">
        <f>修补数量统计!ER72</f>
        <v>326</v>
      </c>
      <c r="AF85" s="486">
        <f>修补数量统计!EW72</f>
        <v>61</v>
      </c>
      <c r="AG85" s="486">
        <f>修补数量统计!FB72</f>
        <v>0</v>
      </c>
      <c r="AH85" s="486">
        <f t="shared" si="5"/>
        <v>5971</v>
      </c>
      <c r="AI85" s="271">
        <v>0.67</v>
      </c>
      <c r="AJ85" s="504"/>
      <c r="AK85" s="271">
        <v>0.373</v>
      </c>
    </row>
    <row r="86" s="362" customFormat="1" ht="15" customHeight="1" spans="1:37">
      <c r="A86" s="270"/>
      <c r="B86" s="266" t="s">
        <v>14</v>
      </c>
      <c r="C86" s="486">
        <v>0</v>
      </c>
      <c r="D86" s="486">
        <v>0</v>
      </c>
      <c r="E86" s="486">
        <v>0</v>
      </c>
      <c r="F86" s="486">
        <v>0</v>
      </c>
      <c r="G86" s="486">
        <v>0</v>
      </c>
      <c r="H86" s="486">
        <v>0</v>
      </c>
      <c r="I86" s="486">
        <v>0</v>
      </c>
      <c r="J86" s="486">
        <v>0</v>
      </c>
      <c r="K86" s="486">
        <v>0</v>
      </c>
      <c r="L86" s="486">
        <v>0</v>
      </c>
      <c r="M86" s="486">
        <f>修补数量统计!BF73</f>
        <v>0</v>
      </c>
      <c r="N86" s="486">
        <f>修补数量统计!BK73</f>
        <v>0</v>
      </c>
      <c r="O86" s="486">
        <f>修补数量统计!BP73</f>
        <v>0</v>
      </c>
      <c r="P86" s="486">
        <f>修补数量统计!BU73</f>
        <v>0</v>
      </c>
      <c r="Q86" s="486">
        <f>修补数量统计!BZ73</f>
        <v>0</v>
      </c>
      <c r="R86" s="486">
        <f>修补数量统计!CE73</f>
        <v>0</v>
      </c>
      <c r="S86" s="486">
        <f>修补数量统计!CJ73</f>
        <v>0</v>
      </c>
      <c r="T86" s="486">
        <f>修补数量统计!CO73</f>
        <v>0</v>
      </c>
      <c r="U86" s="486">
        <f>修补数量统计!CT73</f>
        <v>0</v>
      </c>
      <c r="V86" s="486">
        <f>修补数量统计!CY73</f>
        <v>0</v>
      </c>
      <c r="W86" s="486">
        <f>修补数量统计!DD73</f>
        <v>0</v>
      </c>
      <c r="X86" s="486">
        <f>修补数量统计!DI73</f>
        <v>0</v>
      </c>
      <c r="Y86" s="486">
        <f>修补数量统计!DN73</f>
        <v>0</v>
      </c>
      <c r="Z86" s="486">
        <f>修补数量统计!DS73</f>
        <v>0</v>
      </c>
      <c r="AA86" s="486">
        <f>修补数量统计!DX73</f>
        <v>0</v>
      </c>
      <c r="AB86" s="486">
        <f>修补数量统计!EC73</f>
        <v>0</v>
      </c>
      <c r="AC86" s="486">
        <f>修补数量统计!EH73</f>
        <v>0</v>
      </c>
      <c r="AD86" s="486">
        <f>修补数量统计!EM73</f>
        <v>0</v>
      </c>
      <c r="AE86" s="486">
        <f>修补数量统计!ER73</f>
        <v>0</v>
      </c>
      <c r="AF86" s="486">
        <f>修补数量统计!EW73</f>
        <v>0</v>
      </c>
      <c r="AG86" s="486">
        <f>修补数量统计!FB73</f>
        <v>0</v>
      </c>
      <c r="AH86" s="486">
        <f t="shared" si="5"/>
        <v>0</v>
      </c>
      <c r="AI86" s="271">
        <v>0.373</v>
      </c>
      <c r="AJ86" s="504"/>
      <c r="AK86" s="271">
        <v>0.373</v>
      </c>
    </row>
    <row r="87" s="362" customFormat="1" ht="15" customHeight="1" spans="1:37">
      <c r="A87" s="270"/>
      <c r="B87" s="266" t="s">
        <v>15</v>
      </c>
      <c r="C87" s="486">
        <f>VLOOKUP(B87,修补数量统计!D73:FW76,5,0)</f>
        <v>0</v>
      </c>
      <c r="D87" s="486">
        <f>VLOOKUP(B87,修补数量统计!D73:FW76,10,0)</f>
        <v>0</v>
      </c>
      <c r="E87" s="486">
        <f>VLOOKUP(B87,修补数量统计!D73:FW76,15,0)</f>
        <v>0</v>
      </c>
      <c r="F87" s="486">
        <f>VLOOKUP(B87,修补数量统计!D73:FW76,20,0)</f>
        <v>0</v>
      </c>
      <c r="G87" s="486">
        <v>0</v>
      </c>
      <c r="H87" s="486">
        <f>VLOOKUP(B87,修补数量统计!D73:FW76,30,0)</f>
        <v>83</v>
      </c>
      <c r="I87" s="486">
        <f>VLOOKUP(B87,修补数量统计!D73:FW76,35,0)</f>
        <v>132</v>
      </c>
      <c r="J87" s="486">
        <f>VLOOKUP(B87,修补数量统计!D73:FW76,40,0)</f>
        <v>44</v>
      </c>
      <c r="K87" s="486">
        <f>VLOOKUP(B87,修补数量统计!D73:FW76,45,0)</f>
        <v>0</v>
      </c>
      <c r="L87" s="486">
        <f>VLOOKUP(B87,修补数量统计!D73:FW76,50,0)</f>
        <v>0</v>
      </c>
      <c r="M87" s="486">
        <f>修补数量统计!BF74</f>
        <v>0</v>
      </c>
      <c r="N87" s="486">
        <f>修补数量统计!BK74</f>
        <v>0</v>
      </c>
      <c r="O87" s="486">
        <f>修补数量统计!BP74</f>
        <v>0</v>
      </c>
      <c r="P87" s="486">
        <f>修补数量统计!BU74</f>
        <v>0</v>
      </c>
      <c r="Q87" s="486">
        <f>修补数量统计!BZ74</f>
        <v>0</v>
      </c>
      <c r="R87" s="486">
        <f>修补数量统计!CE74</f>
        <v>0</v>
      </c>
      <c r="S87" s="486">
        <f>修补数量统计!CJ74</f>
        <v>0</v>
      </c>
      <c r="T87" s="486">
        <f>修补数量统计!CO74</f>
        <v>0</v>
      </c>
      <c r="U87" s="486">
        <f>修补数量统计!CT74</f>
        <v>57</v>
      </c>
      <c r="V87" s="486">
        <f>修补数量统计!CY74</f>
        <v>0</v>
      </c>
      <c r="W87" s="486">
        <f>修补数量统计!DD74</f>
        <v>10</v>
      </c>
      <c r="X87" s="486">
        <f>修补数量统计!DI74</f>
        <v>15</v>
      </c>
      <c r="Y87" s="486">
        <f>修补数量统计!DN74</f>
        <v>0</v>
      </c>
      <c r="Z87" s="486">
        <f>修补数量统计!DS74</f>
        <v>0</v>
      </c>
      <c r="AA87" s="486">
        <f>修补数量统计!DX74</f>
        <v>0</v>
      </c>
      <c r="AB87" s="486">
        <f>修补数量统计!EC74</f>
        <v>0</v>
      </c>
      <c r="AC87" s="486">
        <f>修补数量统计!EH74</f>
        <v>0</v>
      </c>
      <c r="AD87" s="486">
        <f>修补数量统计!EM74</f>
        <v>0</v>
      </c>
      <c r="AE87" s="486">
        <f>修补数量统计!ER74</f>
        <v>0</v>
      </c>
      <c r="AF87" s="486">
        <f>修补数量统计!EW74</f>
        <v>0</v>
      </c>
      <c r="AG87" s="486">
        <f>修补数量统计!FB74</f>
        <v>0</v>
      </c>
      <c r="AH87" s="486">
        <f t="shared" si="5"/>
        <v>341</v>
      </c>
      <c r="AI87" s="271">
        <v>0.373</v>
      </c>
      <c r="AJ87" s="504"/>
      <c r="AK87" s="271">
        <v>0.373</v>
      </c>
    </row>
    <row r="88" s="362" customFormat="1" ht="15" customHeight="1" spans="1:37">
      <c r="A88" s="270"/>
      <c r="B88" s="266" t="s">
        <v>16</v>
      </c>
      <c r="C88" s="486">
        <f>VLOOKUP(B88,修补数量统计!D74:FW76,5,0)</f>
        <v>0</v>
      </c>
      <c r="D88" s="486">
        <f>VLOOKUP(B88,修补数量统计!D74:FW76,10,0)</f>
        <v>0</v>
      </c>
      <c r="E88" s="486">
        <f>VLOOKUP(B88,修补数量统计!D74:FW76,15,0)</f>
        <v>0</v>
      </c>
      <c r="F88" s="486">
        <f>VLOOKUP(B88,修补数量统计!D74:FW76,20,0)</f>
        <v>0</v>
      </c>
      <c r="G88" s="486">
        <f>VLOOKUP(B88,修补数量统计!D74:FW76,25,0)</f>
        <v>117</v>
      </c>
      <c r="H88" s="486">
        <f>VLOOKUP(B88,修补数量统计!D74:FW76,30,0)</f>
        <v>123</v>
      </c>
      <c r="I88" s="486">
        <f>VLOOKUP(B88,修补数量统计!D74:FW76,35,0)</f>
        <v>67</v>
      </c>
      <c r="J88" s="486">
        <f>VLOOKUP(B88,修补数量统计!D74:FW76,40,0)</f>
        <v>50</v>
      </c>
      <c r="K88" s="486">
        <f>VLOOKUP(B88,修补数量统计!D74:FW76,45,0)</f>
        <v>0</v>
      </c>
      <c r="L88" s="486">
        <f>VLOOKUP(B88,修补数量统计!D74:FW76,50,0)</f>
        <v>0</v>
      </c>
      <c r="M88" s="486">
        <f>修补数量统计!BF75</f>
        <v>0</v>
      </c>
      <c r="N88" s="486">
        <f>修补数量统计!BK75</f>
        <v>0</v>
      </c>
      <c r="O88" s="486">
        <f>修补数量统计!BP75</f>
        <v>0</v>
      </c>
      <c r="P88" s="486">
        <f>修补数量统计!BU75</f>
        <v>0</v>
      </c>
      <c r="Q88" s="486">
        <f>修补数量统计!BZ75</f>
        <v>0</v>
      </c>
      <c r="R88" s="486">
        <f>修补数量统计!CE75</f>
        <v>0</v>
      </c>
      <c r="S88" s="486">
        <f>修补数量统计!CJ75</f>
        <v>20</v>
      </c>
      <c r="T88" s="486">
        <f>修补数量统计!CO75</f>
        <v>0</v>
      </c>
      <c r="U88" s="486">
        <f>修补数量统计!CT75</f>
        <v>0</v>
      </c>
      <c r="V88" s="486">
        <f>修补数量统计!CY75</f>
        <v>112</v>
      </c>
      <c r="W88" s="486">
        <f>修补数量统计!DD75</f>
        <v>0</v>
      </c>
      <c r="X88" s="486">
        <f>修补数量统计!DI75</f>
        <v>0</v>
      </c>
      <c r="Y88" s="486">
        <f>修补数量统计!DN75</f>
        <v>0</v>
      </c>
      <c r="Z88" s="486">
        <f>修补数量统计!DS75</f>
        <v>0</v>
      </c>
      <c r="AA88" s="486">
        <f>修补数量统计!DX75</f>
        <v>30</v>
      </c>
      <c r="AB88" s="486">
        <f>修补数量统计!EC75</f>
        <v>0</v>
      </c>
      <c r="AC88" s="486">
        <f>修补数量统计!EH75</f>
        <v>0</v>
      </c>
      <c r="AD88" s="486">
        <f>修补数量统计!EM75</f>
        <v>0</v>
      </c>
      <c r="AE88" s="486">
        <f>修补数量统计!ER75</f>
        <v>0</v>
      </c>
      <c r="AF88" s="486">
        <f>修补数量统计!EW75</f>
        <v>0</v>
      </c>
      <c r="AG88" s="486">
        <f>修补数量统计!FB75</f>
        <v>0</v>
      </c>
      <c r="AH88" s="486">
        <f t="shared" si="5"/>
        <v>519</v>
      </c>
      <c r="AI88" s="271">
        <v>0.373</v>
      </c>
      <c r="AJ88" s="504"/>
      <c r="AK88" s="271">
        <v>0.373</v>
      </c>
    </row>
    <row r="89" s="362" customFormat="1" ht="15" customHeight="1" spans="1:37">
      <c r="A89" s="272"/>
      <c r="B89" s="266" t="s">
        <v>17</v>
      </c>
      <c r="C89" s="486">
        <f>VLOOKUP(B89,修补数量统计!D75:FW76,5,0)</f>
        <v>0</v>
      </c>
      <c r="D89" s="486">
        <f>VLOOKUP(B89,修补数量统计!D75:FW76,10,0)</f>
        <v>0</v>
      </c>
      <c r="E89" s="486">
        <f>VLOOKUP(B89,修补数量统计!D75:FW76,15,0)</f>
        <v>0</v>
      </c>
      <c r="F89" s="486">
        <f>VLOOKUP(B89,修补数量统计!D75:FW76,20,0)</f>
        <v>0</v>
      </c>
      <c r="G89" s="486">
        <f>VLOOKUP(B89,修补数量统计!D75:FW76,25,0)</f>
        <v>0</v>
      </c>
      <c r="H89" s="486">
        <f>VLOOKUP(B89,修补数量统计!D75:FW76,30,0)</f>
        <v>0</v>
      </c>
      <c r="I89" s="486">
        <f>VLOOKUP(B89,修补数量统计!D75:FW76,35,0)</f>
        <v>0</v>
      </c>
      <c r="J89" s="486">
        <f>VLOOKUP(B89,修补数量统计!D75:FW76,40,0)</f>
        <v>0</v>
      </c>
      <c r="K89" s="486">
        <f>VLOOKUP(B89,修补数量统计!D75:FW76,45,0)</f>
        <v>0</v>
      </c>
      <c r="L89" s="486">
        <f>VLOOKUP(B89,修补数量统计!D75:FW76,50,0)</f>
        <v>0</v>
      </c>
      <c r="M89" s="486">
        <f>修补数量统计!BF76</f>
        <v>0</v>
      </c>
      <c r="N89" s="486">
        <f>修补数量统计!BK76</f>
        <v>0</v>
      </c>
      <c r="O89" s="486">
        <f>修补数量统计!BP76</f>
        <v>0</v>
      </c>
      <c r="P89" s="486">
        <f>修补数量统计!BU76</f>
        <v>0</v>
      </c>
      <c r="Q89" s="486">
        <f>修补数量统计!BZ76</f>
        <v>0</v>
      </c>
      <c r="R89" s="486">
        <f>修补数量统计!CE76</f>
        <v>0</v>
      </c>
      <c r="S89" s="486">
        <f>修补数量统计!CJ76</f>
        <v>0</v>
      </c>
      <c r="T89" s="486">
        <f>修补数量统计!CO76</f>
        <v>0</v>
      </c>
      <c r="U89" s="486">
        <f>修补数量统计!CT76</f>
        <v>0</v>
      </c>
      <c r="V89" s="486">
        <f>修补数量统计!CY76</f>
        <v>0</v>
      </c>
      <c r="W89" s="486">
        <f>修补数量统计!DD76</f>
        <v>0</v>
      </c>
      <c r="X89" s="486">
        <f>修补数量统计!DI76</f>
        <v>0</v>
      </c>
      <c r="Y89" s="486">
        <f>修补数量统计!DN76</f>
        <v>0</v>
      </c>
      <c r="Z89" s="486">
        <f>修补数量统计!DS76</f>
        <v>0</v>
      </c>
      <c r="AA89" s="486">
        <f>修补数量统计!DX76</f>
        <v>0</v>
      </c>
      <c r="AB89" s="486">
        <f>修补数量统计!EC76</f>
        <v>0</v>
      </c>
      <c r="AC89" s="486">
        <f>修补数量统计!EH76</f>
        <v>0</v>
      </c>
      <c r="AD89" s="486">
        <f>修补数量统计!EM76</f>
        <v>0</v>
      </c>
      <c r="AE89" s="486">
        <f>修补数量统计!ER76</f>
        <v>0</v>
      </c>
      <c r="AF89" s="486">
        <f>修补数量统计!EW76</f>
        <v>0</v>
      </c>
      <c r="AG89" s="486">
        <f>修补数量统计!FB76</f>
        <v>0</v>
      </c>
      <c r="AH89" s="486">
        <f t="shared" si="5"/>
        <v>0</v>
      </c>
      <c r="AI89" s="505">
        <v>0.373</v>
      </c>
      <c r="AJ89" s="504"/>
      <c r="AK89" s="271">
        <v>0.373</v>
      </c>
    </row>
    <row r="90" s="363" customFormat="1" ht="15" customHeight="1" spans="1:37">
      <c r="A90" s="487" t="s">
        <v>32</v>
      </c>
      <c r="B90" s="488" t="s">
        <v>8</v>
      </c>
      <c r="C90" s="489">
        <f>VLOOKUP(B90,修补数量统计!D77:FW85,5,0)</f>
        <v>0</v>
      </c>
      <c r="D90" s="489">
        <f>VLOOKUP(B90,修补数量统计!D77:FW85,10,0)</f>
        <v>150</v>
      </c>
      <c r="E90" s="489">
        <f>VLOOKUP(B90,修补数量统计!D77:FW85,15,0)</f>
        <v>0</v>
      </c>
      <c r="F90" s="489">
        <f>VLOOKUP(B90,修补数量统计!D77:FW85,20,0)</f>
        <v>0</v>
      </c>
      <c r="G90" s="489">
        <f>VLOOKUP(B90,修补数量统计!D77:FW85,25,0)</f>
        <v>0</v>
      </c>
      <c r="H90" s="489">
        <f>VLOOKUP(B90,修补数量统计!D77:FW85,30,0)</f>
        <v>0</v>
      </c>
      <c r="I90" s="489">
        <f>VLOOKUP(B90,修补数量统计!D77:FW85,35,0)</f>
        <v>0</v>
      </c>
      <c r="J90" s="489">
        <f>VLOOKUP(B90,修补数量统计!D77:FW85,40,0)</f>
        <v>0</v>
      </c>
      <c r="K90" s="489">
        <f>VLOOKUP(B90,修补数量统计!D77:FW85,45,0)</f>
        <v>0</v>
      </c>
      <c r="L90" s="489">
        <f>VLOOKUP(B90,修补数量统计!D77:FW85,50,0)</f>
        <v>0</v>
      </c>
      <c r="M90" s="489">
        <f>修补数量统计!BF77</f>
        <v>0</v>
      </c>
      <c r="N90" s="489">
        <f>修补数量统计!BK77</f>
        <v>0</v>
      </c>
      <c r="O90" s="489">
        <f>修补数量统计!BP77</f>
        <v>0</v>
      </c>
      <c r="P90" s="489">
        <f>修补数量统计!BU77</f>
        <v>0</v>
      </c>
      <c r="Q90" s="489">
        <f>修补数量统计!BZ77</f>
        <v>0</v>
      </c>
      <c r="R90" s="489">
        <f>修补数量统计!CE77</f>
        <v>0</v>
      </c>
      <c r="S90" s="489">
        <f>修补数量统计!CJ77</f>
        <v>0</v>
      </c>
      <c r="T90" s="489">
        <f>修补数量统计!CO77</f>
        <v>0</v>
      </c>
      <c r="U90" s="489">
        <f>修补数量统计!CT77</f>
        <v>194</v>
      </c>
      <c r="V90" s="489">
        <f>修补数量统计!CY77</f>
        <v>0</v>
      </c>
      <c r="W90" s="489">
        <f>修补数量统计!DD77</f>
        <v>0</v>
      </c>
      <c r="X90" s="489">
        <f>修补数量统计!DI77</f>
        <v>25</v>
      </c>
      <c r="Y90" s="489">
        <f>修补数量统计!DN77</f>
        <v>252</v>
      </c>
      <c r="Z90" s="489">
        <f>修补数量统计!DS77</f>
        <v>246</v>
      </c>
      <c r="AA90" s="489">
        <f>修补数量统计!DX77</f>
        <v>235</v>
      </c>
      <c r="AB90" s="489">
        <f>修补数量统计!EC77</f>
        <v>248</v>
      </c>
      <c r="AC90" s="489">
        <f>修补数量统计!EH77</f>
        <v>134</v>
      </c>
      <c r="AD90" s="489">
        <f>修补数量统计!EM77</f>
        <v>256</v>
      </c>
      <c r="AE90" s="489">
        <f>修补数量统计!ER77</f>
        <v>0</v>
      </c>
      <c r="AF90" s="489">
        <f>修补数量统计!EW77</f>
        <v>186</v>
      </c>
      <c r="AG90" s="489">
        <f>修补数量统计!FB77</f>
        <v>0</v>
      </c>
      <c r="AH90" s="489">
        <f t="shared" ref="AH90:AH99" si="7">C90+D90+E90+F90+G90+H90+I90+J90+K90+L90+M90+N90+O90+P90+Q90+R90+S90+T90+U90+V90+W90+X90+Y90+Z90+AA90+AB90+AC90+AD90+AE90+AF90+AG90</f>
        <v>1926</v>
      </c>
      <c r="AI90" s="506">
        <v>0.4</v>
      </c>
      <c r="AJ90" s="507">
        <f>AH90*AI90+AH91*AI91+AH92*AI92+AH93*AI93+AH94*AI94+AH95*AI95+AH96*AI96+AH97*AI97+AH98*AI98+AH99*AI99</f>
        <v>2754.362</v>
      </c>
      <c r="AK90" s="506">
        <v>0.4</v>
      </c>
    </row>
    <row r="91" s="363" customFormat="1" ht="15" customHeight="1" spans="1:37">
      <c r="A91" s="490"/>
      <c r="B91" s="488" t="s">
        <v>9</v>
      </c>
      <c r="C91" s="489">
        <f>VLOOKUP(B91,修补数量统计!D77:FW86,5,0)</f>
        <v>0</v>
      </c>
      <c r="D91" s="489">
        <f>VLOOKUP(B91,修补数量统计!D77:FW86,10,0)</f>
        <v>0</v>
      </c>
      <c r="E91" s="489">
        <f>VLOOKUP(B91,修补数量统计!D77:FW86,15,0)</f>
        <v>0</v>
      </c>
      <c r="F91" s="489">
        <f>VLOOKUP(B91,修补数量统计!D77:FW86,20,0)</f>
        <v>251</v>
      </c>
      <c r="G91" s="489">
        <f>VLOOKUP(B91,修补数量统计!D77:FW86,25,0)</f>
        <v>365</v>
      </c>
      <c r="H91" s="489">
        <f>VLOOKUP(B91,修补数量统计!D77:FW86,30,0)</f>
        <v>305</v>
      </c>
      <c r="I91" s="489">
        <f>VLOOKUP(B91,修补数量统计!D77:FW86,35,0)</f>
        <v>303</v>
      </c>
      <c r="J91" s="489">
        <f>VLOOKUP(B91,修补数量统计!D77:FW86,40,0)</f>
        <v>58</v>
      </c>
      <c r="K91" s="489">
        <f>VLOOKUP(B91,修补数量统计!D77:FW86,45,0)</f>
        <v>164</v>
      </c>
      <c r="L91" s="489">
        <f>VLOOKUP(B91,修补数量统计!D77:FW86,50,0)</f>
        <v>191</v>
      </c>
      <c r="M91" s="489">
        <f>修补数量统计!BF78</f>
        <v>176</v>
      </c>
      <c r="N91" s="489">
        <f>修补数量统计!BK78</f>
        <v>188</v>
      </c>
      <c r="O91" s="489">
        <f>修补数量统计!BP78</f>
        <v>175</v>
      </c>
      <c r="P91" s="489">
        <f>修补数量统计!BU78</f>
        <v>146</v>
      </c>
      <c r="Q91" s="489">
        <f>修补数量统计!BZ78</f>
        <v>0</v>
      </c>
      <c r="R91" s="489">
        <f>修补数量统计!CE78</f>
        <v>155</v>
      </c>
      <c r="S91" s="489">
        <f>修补数量统计!CJ78</f>
        <v>250</v>
      </c>
      <c r="T91" s="489">
        <f>修补数量统计!CO78</f>
        <v>262</v>
      </c>
      <c r="U91" s="489">
        <f>修补数量统计!CT78</f>
        <v>0</v>
      </c>
      <c r="V91" s="489">
        <f>修补数量统计!CY78</f>
        <v>0</v>
      </c>
      <c r="W91" s="489">
        <f>修补数量统计!DD78</f>
        <v>234</v>
      </c>
      <c r="X91" s="489">
        <f>修补数量统计!DI78</f>
        <v>0</v>
      </c>
      <c r="Y91" s="489">
        <f>修补数量统计!DN78</f>
        <v>0</v>
      </c>
      <c r="Z91" s="489">
        <f>修补数量统计!DS78</f>
        <v>0</v>
      </c>
      <c r="AA91" s="489">
        <f>修补数量统计!DX78</f>
        <v>0</v>
      </c>
      <c r="AB91" s="489">
        <f>修补数量统计!EC78</f>
        <v>0</v>
      </c>
      <c r="AC91" s="489">
        <f>修补数量统计!EH78</f>
        <v>0</v>
      </c>
      <c r="AD91" s="489">
        <f>修补数量统计!EM78</f>
        <v>0</v>
      </c>
      <c r="AE91" s="489">
        <f>修补数量统计!ER78</f>
        <v>0</v>
      </c>
      <c r="AF91" s="489">
        <f>修补数量统计!EW78</f>
        <v>0</v>
      </c>
      <c r="AG91" s="489">
        <f>修补数量统计!FB78</f>
        <v>0</v>
      </c>
      <c r="AH91" s="489">
        <f t="shared" si="7"/>
        <v>3223</v>
      </c>
      <c r="AI91" s="508">
        <v>0.133</v>
      </c>
      <c r="AJ91" s="507"/>
      <c r="AK91" s="508">
        <v>0.133</v>
      </c>
    </row>
    <row r="92" s="363" customFormat="1" ht="15" customHeight="1" spans="1:37">
      <c r="A92" s="490"/>
      <c r="B92" s="488" t="s">
        <v>10</v>
      </c>
      <c r="C92" s="489">
        <f>VLOOKUP(B92,修补数量统计!D78:FW86,5,0)</f>
        <v>0</v>
      </c>
      <c r="D92" s="489">
        <f>VLOOKUP(B92,修补数量统计!D78:FW86,10,0)</f>
        <v>0</v>
      </c>
      <c r="E92" s="489">
        <f>VLOOKUP(B92,修补数量统计!D78:FW86,15,0)</f>
        <v>0</v>
      </c>
      <c r="F92" s="489">
        <f>VLOOKUP(B92,修补数量统计!D78:FW86,20,0)</f>
        <v>0</v>
      </c>
      <c r="G92" s="489">
        <f>VLOOKUP(B92,修补数量统计!D78:FW86,25,0)</f>
        <v>0</v>
      </c>
      <c r="H92" s="489">
        <f>VLOOKUP(B92,修补数量统计!D78:FW86,30,0)</f>
        <v>0</v>
      </c>
      <c r="I92" s="489">
        <f>VLOOKUP(B92,修补数量统计!D78:FW86,35,0)</f>
        <v>0</v>
      </c>
      <c r="J92" s="489">
        <f>VLOOKUP(B92,修补数量统计!D78:FW86,40,0)</f>
        <v>0</v>
      </c>
      <c r="K92" s="489">
        <f>VLOOKUP(B92,修补数量统计!D78:FW86,45,0)</f>
        <v>0</v>
      </c>
      <c r="L92" s="489">
        <f>VLOOKUP(B92,修补数量统计!D78:FW86,50,0)</f>
        <v>0</v>
      </c>
      <c r="M92" s="489">
        <f>修补数量统计!BF79</f>
        <v>0</v>
      </c>
      <c r="N92" s="489">
        <f>修补数量统计!BK79</f>
        <v>0</v>
      </c>
      <c r="O92" s="489">
        <f>修补数量统计!BP79</f>
        <v>0</v>
      </c>
      <c r="P92" s="489">
        <f>修补数量统计!BU79</f>
        <v>0</v>
      </c>
      <c r="Q92" s="489">
        <f>修补数量统计!BZ79</f>
        <v>0</v>
      </c>
      <c r="R92" s="489">
        <f>修补数量统计!CE79</f>
        <v>0</v>
      </c>
      <c r="S92" s="489">
        <f>修补数量统计!CJ79</f>
        <v>0</v>
      </c>
      <c r="T92" s="489">
        <f>修补数量统计!CO79</f>
        <v>0</v>
      </c>
      <c r="U92" s="489">
        <f>修补数量统计!CT79</f>
        <v>0</v>
      </c>
      <c r="V92" s="489">
        <f>修补数量统计!CY79</f>
        <v>0</v>
      </c>
      <c r="W92" s="489">
        <f>修补数量统计!DD79</f>
        <v>0</v>
      </c>
      <c r="X92" s="489">
        <f>修补数量统计!DI79</f>
        <v>0</v>
      </c>
      <c r="Y92" s="489">
        <f>修补数量统计!DN79</f>
        <v>0</v>
      </c>
      <c r="Z92" s="489">
        <f>修补数量统计!DS79</f>
        <v>0</v>
      </c>
      <c r="AA92" s="489">
        <f>修补数量统计!DX79</f>
        <v>0</v>
      </c>
      <c r="AB92" s="489">
        <f>修补数量统计!EC79</f>
        <v>0</v>
      </c>
      <c r="AC92" s="489">
        <f>修补数量统计!EH79</f>
        <v>0</v>
      </c>
      <c r="AD92" s="489">
        <f>修补数量统计!EM79</f>
        <v>0</v>
      </c>
      <c r="AE92" s="489">
        <f>修补数量统计!ER79</f>
        <v>0</v>
      </c>
      <c r="AF92" s="489">
        <f>修补数量统计!EW79</f>
        <v>0</v>
      </c>
      <c r="AG92" s="489">
        <f>修补数量统计!FB79</f>
        <v>0</v>
      </c>
      <c r="AH92" s="489">
        <f t="shared" si="7"/>
        <v>0</v>
      </c>
      <c r="AI92" s="508">
        <v>0.133</v>
      </c>
      <c r="AJ92" s="507"/>
      <c r="AK92" s="508">
        <v>0.133</v>
      </c>
    </row>
    <row r="93" s="363" customFormat="1" ht="15" customHeight="1" spans="1:37">
      <c r="A93" s="490"/>
      <c r="B93" s="488" t="s">
        <v>11</v>
      </c>
      <c r="C93" s="489">
        <f>VLOOKUP(B93,修补数量统计!D79:FW86,5,0)</f>
        <v>293</v>
      </c>
      <c r="D93" s="489">
        <f>VLOOKUP(B93,修补数量统计!D79:FW86,10,0)</f>
        <v>316</v>
      </c>
      <c r="E93" s="489">
        <f>VLOOKUP(B93,修补数量统计!D79:FW86,15,0)</f>
        <v>66</v>
      </c>
      <c r="F93" s="489">
        <f>VLOOKUP(B93,修补数量统计!D79:FW86,20,0)</f>
        <v>171</v>
      </c>
      <c r="G93" s="489">
        <f>VLOOKUP(B93,修补数量统计!D79:FW86,25,0)</f>
        <v>123</v>
      </c>
      <c r="H93" s="489">
        <f>VLOOKUP(B93,修补数量统计!D79:FW86,30,0)</f>
        <v>118</v>
      </c>
      <c r="I93" s="489">
        <f>VLOOKUP(B93,修补数量统计!D79:FW86,35,0)</f>
        <v>125</v>
      </c>
      <c r="J93" s="489">
        <f>VLOOKUP(B93,修补数量统计!D79:FW86,40,0)</f>
        <v>58</v>
      </c>
      <c r="K93" s="489">
        <f>VLOOKUP(B93,修补数量统计!D79:FW86,45,0)</f>
        <v>123</v>
      </c>
      <c r="L93" s="489">
        <f>VLOOKUP(B93,修补数量统计!D79:FW86,50,0)</f>
        <v>118</v>
      </c>
      <c r="M93" s="489">
        <f>修补数量统计!BF80</f>
        <v>119</v>
      </c>
      <c r="N93" s="489">
        <f>修补数量统计!BK80</f>
        <v>127</v>
      </c>
      <c r="O93" s="489">
        <f>修补数量统计!BP80</f>
        <v>114</v>
      </c>
      <c r="P93" s="489">
        <f>修补数量统计!BU80</f>
        <v>99</v>
      </c>
      <c r="Q93" s="489">
        <f>修补数量统计!BZ80</f>
        <v>125</v>
      </c>
      <c r="R93" s="489">
        <f>修补数量统计!CE80</f>
        <v>111</v>
      </c>
      <c r="S93" s="489">
        <f>修补数量统计!CJ80</f>
        <v>122</v>
      </c>
      <c r="T93" s="489">
        <f>修补数量统计!CO80</f>
        <v>131</v>
      </c>
      <c r="U93" s="489">
        <f>修补数量统计!CT80</f>
        <v>73</v>
      </c>
      <c r="V93" s="489">
        <f>修补数量统计!CY80</f>
        <v>0</v>
      </c>
      <c r="W93" s="489">
        <f>修补数量统计!DD80</f>
        <v>124</v>
      </c>
      <c r="X93" s="489">
        <f>修补数量统计!DI80</f>
        <v>152</v>
      </c>
      <c r="Y93" s="489">
        <f>修补数量统计!DN80</f>
        <v>0</v>
      </c>
      <c r="Z93" s="489">
        <f>修补数量统计!DS80</f>
        <v>60</v>
      </c>
      <c r="AA93" s="489">
        <f>修补数量统计!DX80</f>
        <v>0</v>
      </c>
      <c r="AB93" s="489">
        <f>修补数量统计!EC80</f>
        <v>0</v>
      </c>
      <c r="AC93" s="489">
        <f>修补数量统计!EH80</f>
        <v>0</v>
      </c>
      <c r="AD93" s="489">
        <f>修补数量统计!EM80</f>
        <v>0</v>
      </c>
      <c r="AE93" s="489">
        <f>修补数量统计!ER80</f>
        <v>0</v>
      </c>
      <c r="AF93" s="489">
        <f>修补数量统计!EW80</f>
        <v>0</v>
      </c>
      <c r="AG93" s="489">
        <f>修补数量统计!FB80</f>
        <v>0</v>
      </c>
      <c r="AH93" s="489">
        <f t="shared" si="7"/>
        <v>2868</v>
      </c>
      <c r="AI93" s="508">
        <v>0.23</v>
      </c>
      <c r="AJ93" s="507"/>
      <c r="AK93" s="508">
        <v>0.23</v>
      </c>
    </row>
    <row r="94" s="363" customFormat="1" ht="15" customHeight="1" spans="1:37">
      <c r="A94" s="490"/>
      <c r="B94" s="488" t="s">
        <v>12</v>
      </c>
      <c r="C94" s="489">
        <f>VLOOKUP(B94,修补数量统计!D80:FW86,5,0)</f>
        <v>276</v>
      </c>
      <c r="D94" s="489">
        <f>VLOOKUP(B94,修补数量统计!D80:FW86,10,0)</f>
        <v>243</v>
      </c>
      <c r="E94" s="489">
        <f>VLOOKUP(B94,修补数量统计!D80:FW86,15,0)</f>
        <v>77</v>
      </c>
      <c r="F94" s="489">
        <f>VLOOKUP(B94,修补数量统计!D80:FW86,20,0)</f>
        <v>136</v>
      </c>
      <c r="G94" s="489">
        <f>VLOOKUP(B94,修补数量统计!D80:FW86,25,0)</f>
        <v>123</v>
      </c>
      <c r="H94" s="489">
        <f>VLOOKUP(B94,修补数量统计!D80:FW86,30,0)</f>
        <v>118</v>
      </c>
      <c r="I94" s="489">
        <f>VLOOKUP(B94,修补数量统计!D80:FW86,35,0)</f>
        <v>121</v>
      </c>
      <c r="J94" s="489">
        <f>VLOOKUP(B94,修补数量统计!D80:FW86,40,0)</f>
        <v>94</v>
      </c>
      <c r="K94" s="489">
        <f>VLOOKUP(B94,修补数量统计!D80:FW86,45,0)</f>
        <v>121</v>
      </c>
      <c r="L94" s="489">
        <f>VLOOKUP(B94,修补数量统计!D80:FW86,50,0)</f>
        <v>116</v>
      </c>
      <c r="M94" s="489">
        <f>修补数量统计!BF81</f>
        <v>120</v>
      </c>
      <c r="N94" s="489">
        <f>修补数量统计!BK81</f>
        <v>124</v>
      </c>
      <c r="O94" s="489">
        <f>修补数量统计!BP81</f>
        <v>114</v>
      </c>
      <c r="P94" s="489">
        <f>修补数量统计!BU81</f>
        <v>100</v>
      </c>
      <c r="Q94" s="489">
        <f>修补数量统计!BZ81</f>
        <v>123</v>
      </c>
      <c r="R94" s="489">
        <f>修补数量统计!CE81</f>
        <v>109</v>
      </c>
      <c r="S94" s="489">
        <f>修补数量统计!CJ81</f>
        <v>228</v>
      </c>
      <c r="T94" s="489">
        <f>修补数量统计!CO81</f>
        <v>114</v>
      </c>
      <c r="U94" s="489">
        <f>修补数量统计!CT81</f>
        <v>72</v>
      </c>
      <c r="V94" s="489">
        <f>修补数量统计!CY81</f>
        <v>0</v>
      </c>
      <c r="W94" s="489">
        <f>修补数量统计!DD81</f>
        <v>124</v>
      </c>
      <c r="X94" s="489">
        <f>修补数量统计!DI81</f>
        <v>150</v>
      </c>
      <c r="Y94" s="489">
        <f>修补数量统计!DN81</f>
        <v>0</v>
      </c>
      <c r="Z94" s="489">
        <f>修补数量统计!DS81</f>
        <v>62</v>
      </c>
      <c r="AA94" s="489">
        <f>修补数量统计!DX81</f>
        <v>0</v>
      </c>
      <c r="AB94" s="489">
        <f>修补数量统计!EC81</f>
        <v>0</v>
      </c>
      <c r="AC94" s="489">
        <f>修补数量统计!EH81</f>
        <v>0</v>
      </c>
      <c r="AD94" s="489">
        <f>修补数量统计!EM81</f>
        <v>0</v>
      </c>
      <c r="AE94" s="489">
        <f>修补数量统计!ER81</f>
        <v>0</v>
      </c>
      <c r="AF94" s="489">
        <f>修补数量统计!EW81</f>
        <v>0</v>
      </c>
      <c r="AG94" s="489">
        <f>修补数量统计!FB81</f>
        <v>0</v>
      </c>
      <c r="AH94" s="489">
        <f t="shared" si="7"/>
        <v>2865</v>
      </c>
      <c r="AI94" s="508">
        <v>0.25</v>
      </c>
      <c r="AJ94" s="507"/>
      <c r="AK94" s="508">
        <v>0.25</v>
      </c>
    </row>
    <row r="95" s="363" customFormat="1" ht="15" customHeight="1" spans="1:37">
      <c r="A95" s="490"/>
      <c r="B95" s="488" t="s">
        <v>13</v>
      </c>
      <c r="C95" s="489">
        <v>0</v>
      </c>
      <c r="D95" s="489">
        <v>0</v>
      </c>
      <c r="E95" s="489">
        <v>0</v>
      </c>
      <c r="F95" s="489">
        <v>0</v>
      </c>
      <c r="G95" s="489">
        <v>0</v>
      </c>
      <c r="H95" s="489">
        <v>0</v>
      </c>
      <c r="I95" s="489">
        <v>0</v>
      </c>
      <c r="J95" s="489">
        <v>0</v>
      </c>
      <c r="K95" s="489">
        <v>0</v>
      </c>
      <c r="L95" s="489">
        <v>0</v>
      </c>
      <c r="M95" s="489">
        <f>修补数量统计!BF82</f>
        <v>0</v>
      </c>
      <c r="N95" s="489">
        <f>修补数量统计!BK82</f>
        <v>0</v>
      </c>
      <c r="O95" s="489">
        <f>修补数量统计!BP82</f>
        <v>0</v>
      </c>
      <c r="P95" s="489">
        <f>修补数量统计!BU82</f>
        <v>0</v>
      </c>
      <c r="Q95" s="489">
        <f>修补数量统计!BZ82</f>
        <v>0</v>
      </c>
      <c r="R95" s="489">
        <f>修补数量统计!CE82</f>
        <v>0</v>
      </c>
      <c r="S95" s="489">
        <f>修补数量统计!CJ82</f>
        <v>0</v>
      </c>
      <c r="T95" s="489">
        <f>修补数量统计!CO82</f>
        <v>0</v>
      </c>
      <c r="U95" s="489">
        <f>修补数量统计!CT82</f>
        <v>0</v>
      </c>
      <c r="V95" s="489">
        <f>修补数量统计!CY82</f>
        <v>0</v>
      </c>
      <c r="W95" s="489">
        <f>修补数量统计!DD82</f>
        <v>0</v>
      </c>
      <c r="X95" s="489">
        <f>修补数量统计!DI82</f>
        <v>0</v>
      </c>
      <c r="Y95" s="489">
        <f>修补数量统计!DN82</f>
        <v>0</v>
      </c>
      <c r="Z95" s="489">
        <f>修补数量统计!DS82</f>
        <v>0</v>
      </c>
      <c r="AA95" s="489">
        <f>修补数量统计!DX82</f>
        <v>0</v>
      </c>
      <c r="AB95" s="489">
        <f>修补数量统计!EC82</f>
        <v>0</v>
      </c>
      <c r="AC95" s="489">
        <f>修补数量统计!EH82</f>
        <v>65</v>
      </c>
      <c r="AD95" s="489">
        <f>修补数量统计!EM82</f>
        <v>66</v>
      </c>
      <c r="AE95" s="489">
        <f>修补数量统计!ER82</f>
        <v>274</v>
      </c>
      <c r="AF95" s="489">
        <f>修补数量统计!EW82</f>
        <v>0</v>
      </c>
      <c r="AG95" s="489">
        <f>修补数量统计!FB82</f>
        <v>0</v>
      </c>
      <c r="AH95" s="489">
        <f t="shared" si="7"/>
        <v>405</v>
      </c>
      <c r="AI95" s="508">
        <v>0.373</v>
      </c>
      <c r="AJ95" s="507"/>
      <c r="AK95" s="508">
        <v>0.373</v>
      </c>
    </row>
    <row r="96" s="363" customFormat="1" ht="15" customHeight="1" spans="1:37">
      <c r="A96" s="490"/>
      <c r="B96" s="488" t="s">
        <v>14</v>
      </c>
      <c r="C96" s="489">
        <v>0</v>
      </c>
      <c r="D96" s="489">
        <v>0</v>
      </c>
      <c r="E96" s="489">
        <v>0</v>
      </c>
      <c r="F96" s="489">
        <v>0</v>
      </c>
      <c r="G96" s="489">
        <v>0</v>
      </c>
      <c r="H96" s="489">
        <v>0</v>
      </c>
      <c r="I96" s="489">
        <v>0</v>
      </c>
      <c r="J96" s="489">
        <v>0</v>
      </c>
      <c r="K96" s="489">
        <v>0</v>
      </c>
      <c r="L96" s="489">
        <v>0</v>
      </c>
      <c r="M96" s="489">
        <f>修补数量统计!BF83</f>
        <v>0</v>
      </c>
      <c r="N96" s="489">
        <f>修补数量统计!BK83</f>
        <v>0</v>
      </c>
      <c r="O96" s="489">
        <f>修补数量统计!BP83</f>
        <v>0</v>
      </c>
      <c r="P96" s="489">
        <f>修补数量统计!BU83</f>
        <v>0</v>
      </c>
      <c r="Q96" s="489">
        <f>修补数量统计!BZ83</f>
        <v>0</v>
      </c>
      <c r="R96" s="489">
        <f>修补数量统计!CE83</f>
        <v>0</v>
      </c>
      <c r="S96" s="489">
        <f>修补数量统计!CJ83</f>
        <v>0</v>
      </c>
      <c r="T96" s="489">
        <f>修补数量统计!CO83</f>
        <v>0</v>
      </c>
      <c r="U96" s="489">
        <f>修补数量统计!CT83</f>
        <v>0</v>
      </c>
      <c r="V96" s="489">
        <f>修补数量统计!CY83</f>
        <v>0</v>
      </c>
      <c r="W96" s="489">
        <f>修补数量统计!DD83</f>
        <v>0</v>
      </c>
      <c r="X96" s="489">
        <f>修补数量统计!DI83</f>
        <v>0</v>
      </c>
      <c r="Y96" s="489">
        <f>修补数量统计!DN83</f>
        <v>0</v>
      </c>
      <c r="Z96" s="489">
        <f>修补数量统计!DS83</f>
        <v>0</v>
      </c>
      <c r="AA96" s="489">
        <f>修补数量统计!DX83</f>
        <v>0</v>
      </c>
      <c r="AB96" s="489">
        <f>修补数量统计!EC83</f>
        <v>0</v>
      </c>
      <c r="AC96" s="489">
        <f>修补数量统计!EH83</f>
        <v>0</v>
      </c>
      <c r="AD96" s="489">
        <f>修补数量统计!EM83</f>
        <v>0</v>
      </c>
      <c r="AE96" s="489">
        <f>修补数量统计!ER83</f>
        <v>0</v>
      </c>
      <c r="AF96" s="489">
        <f>修补数量统计!EW83</f>
        <v>0</v>
      </c>
      <c r="AG96" s="489">
        <f>修补数量统计!FB83</f>
        <v>0</v>
      </c>
      <c r="AH96" s="489">
        <f t="shared" si="7"/>
        <v>0</v>
      </c>
      <c r="AI96" s="508">
        <v>0.373</v>
      </c>
      <c r="AJ96" s="507"/>
      <c r="AK96" s="508">
        <v>0.373</v>
      </c>
    </row>
    <row r="97" s="363" customFormat="1" ht="15" customHeight="1" spans="1:37">
      <c r="A97" s="490"/>
      <c r="B97" s="488" t="s">
        <v>15</v>
      </c>
      <c r="C97" s="489">
        <f>VLOOKUP(B97,修补数量统计!D83:FW86,5,0)</f>
        <v>0</v>
      </c>
      <c r="D97" s="489">
        <f>VLOOKUP(B97,修补数量统计!D83:FW86,10,0)</f>
        <v>0</v>
      </c>
      <c r="E97" s="489">
        <f>VLOOKUP(B97,修补数量统计!D83:FW86,15,0)</f>
        <v>0</v>
      </c>
      <c r="F97" s="489">
        <f>VLOOKUP(B97,修补数量统计!D83:FW86,20,0)</f>
        <v>0</v>
      </c>
      <c r="G97" s="489">
        <v>0</v>
      </c>
      <c r="H97" s="489">
        <f>VLOOKUP(B97,修补数量统计!D83:FW86,30,0)</f>
        <v>0</v>
      </c>
      <c r="I97" s="489">
        <f>VLOOKUP(B97,修补数量统计!D83:FW86,35,0)</f>
        <v>0</v>
      </c>
      <c r="J97" s="489">
        <f>VLOOKUP(B97,修补数量统计!D83:FW86,40,0)</f>
        <v>0</v>
      </c>
      <c r="K97" s="489">
        <f>VLOOKUP(B97,修补数量统计!D83:FW86,45,0)</f>
        <v>0</v>
      </c>
      <c r="L97" s="489">
        <f>VLOOKUP(B97,修补数量统计!D83:FW86,50,0)</f>
        <v>0</v>
      </c>
      <c r="M97" s="489">
        <f>修补数量统计!BF84</f>
        <v>0</v>
      </c>
      <c r="N97" s="489">
        <f>修补数量统计!BK84</f>
        <v>0</v>
      </c>
      <c r="O97" s="489">
        <f>修补数量统计!BP84</f>
        <v>0</v>
      </c>
      <c r="P97" s="489">
        <f>修补数量统计!BU84</f>
        <v>56</v>
      </c>
      <c r="Q97" s="489">
        <f>修补数量统计!BZ84</f>
        <v>20</v>
      </c>
      <c r="R97" s="489">
        <f>修补数量统计!CE84</f>
        <v>0</v>
      </c>
      <c r="S97" s="489">
        <f>修补数量统计!CJ84</f>
        <v>0</v>
      </c>
      <c r="T97" s="489">
        <f>修补数量统计!CO84</f>
        <v>0</v>
      </c>
      <c r="U97" s="489">
        <f>修补数量统计!CT84</f>
        <v>0</v>
      </c>
      <c r="V97" s="489">
        <f>修补数量统计!CY84</f>
        <v>0</v>
      </c>
      <c r="W97" s="489">
        <f>修补数量统计!DD84</f>
        <v>0</v>
      </c>
      <c r="X97" s="489">
        <f>修补数量统计!DI84</f>
        <v>0</v>
      </c>
      <c r="Y97" s="489">
        <f>修补数量统计!DN84</f>
        <v>0</v>
      </c>
      <c r="Z97" s="489">
        <f>修补数量统计!DS84</f>
        <v>0</v>
      </c>
      <c r="AA97" s="489">
        <f>修补数量统计!DX84</f>
        <v>0</v>
      </c>
      <c r="AB97" s="489">
        <f>修补数量统计!EC84</f>
        <v>0</v>
      </c>
      <c r="AC97" s="489">
        <f>修补数量统计!EH84</f>
        <v>0</v>
      </c>
      <c r="AD97" s="489">
        <f>修补数量统计!EM84</f>
        <v>0</v>
      </c>
      <c r="AE97" s="489">
        <f>修补数量统计!ER84</f>
        <v>0</v>
      </c>
      <c r="AF97" s="489">
        <f>修补数量统计!EW84</f>
        <v>0</v>
      </c>
      <c r="AG97" s="489">
        <f>修补数量统计!FB84</f>
        <v>0</v>
      </c>
      <c r="AH97" s="489">
        <f t="shared" si="7"/>
        <v>76</v>
      </c>
      <c r="AI97" s="508">
        <v>0.373</v>
      </c>
      <c r="AJ97" s="507"/>
      <c r="AK97" s="508">
        <v>0.373</v>
      </c>
    </row>
    <row r="98" s="363" customFormat="1" ht="15" customHeight="1" spans="1:37">
      <c r="A98" s="490"/>
      <c r="B98" s="488" t="s">
        <v>16</v>
      </c>
      <c r="C98" s="489">
        <f>VLOOKUP(B98,修补数量统计!D84:FW86,5,0)</f>
        <v>0</v>
      </c>
      <c r="D98" s="489">
        <f>VLOOKUP(B98,修补数量统计!D84:FW86,10,0)</f>
        <v>0</v>
      </c>
      <c r="E98" s="489">
        <f>VLOOKUP(B98,修补数量统计!D84:FW86,15,0)</f>
        <v>0</v>
      </c>
      <c r="F98" s="489">
        <f>VLOOKUP(B98,修补数量统计!D84:FW86,20,0)</f>
        <v>0</v>
      </c>
      <c r="G98" s="489">
        <f>VLOOKUP(B98,修补数量统计!D84:FW86,25,0)</f>
        <v>0</v>
      </c>
      <c r="H98" s="489">
        <f>VLOOKUP(B98,修补数量统计!D84:FW86,30,0)</f>
        <v>0</v>
      </c>
      <c r="I98" s="489">
        <f>VLOOKUP(B98,修补数量统计!D84:FW86,35,0)</f>
        <v>0</v>
      </c>
      <c r="J98" s="489">
        <f>VLOOKUP(B98,修补数量统计!D84:FW86,40,0)</f>
        <v>0</v>
      </c>
      <c r="K98" s="489">
        <f>VLOOKUP(B98,修补数量统计!D84:FW86,45,0)</f>
        <v>0</v>
      </c>
      <c r="L98" s="489">
        <f>VLOOKUP(B98,修补数量统计!D84:FW86,50,0)</f>
        <v>0</v>
      </c>
      <c r="M98" s="489">
        <f>修补数量统计!BF85</f>
        <v>0</v>
      </c>
      <c r="N98" s="489">
        <f>修补数量统计!BK85</f>
        <v>0</v>
      </c>
      <c r="O98" s="489">
        <f>修补数量统计!BP85</f>
        <v>0</v>
      </c>
      <c r="P98" s="489">
        <f>修补数量统计!BU85</f>
        <v>0</v>
      </c>
      <c r="Q98" s="489">
        <f>修补数量统计!BZ85</f>
        <v>0</v>
      </c>
      <c r="R98" s="489">
        <f>修补数量统计!CE85</f>
        <v>0</v>
      </c>
      <c r="S98" s="489">
        <f>修补数量统计!CJ85</f>
        <v>0</v>
      </c>
      <c r="T98" s="489">
        <f>修补数量统计!CO85</f>
        <v>0</v>
      </c>
      <c r="U98" s="489">
        <f>修补数量统计!CT85</f>
        <v>0</v>
      </c>
      <c r="V98" s="489">
        <f>修补数量统计!CY85</f>
        <v>0</v>
      </c>
      <c r="W98" s="489">
        <f>修补数量统计!DD85</f>
        <v>0</v>
      </c>
      <c r="X98" s="489">
        <f>修补数量统计!DI85</f>
        <v>0</v>
      </c>
      <c r="Y98" s="489">
        <f>修补数量统计!DN85</f>
        <v>0</v>
      </c>
      <c r="Z98" s="489">
        <f>修补数量统计!DS85</f>
        <v>0</v>
      </c>
      <c r="AA98" s="489">
        <f>修补数量统计!DX85</f>
        <v>0</v>
      </c>
      <c r="AB98" s="489">
        <f>修补数量统计!EC85</f>
        <v>0</v>
      </c>
      <c r="AC98" s="489">
        <f>修补数量统计!EH85</f>
        <v>0</v>
      </c>
      <c r="AD98" s="489">
        <f>修补数量统计!EM85</f>
        <v>0</v>
      </c>
      <c r="AE98" s="489">
        <f>修补数量统计!ER85</f>
        <v>0</v>
      </c>
      <c r="AF98" s="489">
        <f>修补数量统计!EW85</f>
        <v>0</v>
      </c>
      <c r="AG98" s="489">
        <f>修补数量统计!FB85</f>
        <v>0</v>
      </c>
      <c r="AH98" s="489">
        <f t="shared" si="7"/>
        <v>0</v>
      </c>
      <c r="AI98" s="508">
        <v>0.373</v>
      </c>
      <c r="AJ98" s="507"/>
      <c r="AK98" s="508">
        <v>0.373</v>
      </c>
    </row>
    <row r="99" s="363" customFormat="1" ht="14.1" customHeight="1" spans="1:37">
      <c r="A99" s="491"/>
      <c r="B99" s="488" t="s">
        <v>17</v>
      </c>
      <c r="C99" s="489">
        <f>VLOOKUP(B99,修补数量统计!D85:FW86,5,0)</f>
        <v>0</v>
      </c>
      <c r="D99" s="489">
        <f>VLOOKUP(B99,修补数量统计!D85:FW86,10,0)</f>
        <v>0</v>
      </c>
      <c r="E99" s="489">
        <f>VLOOKUP(B99,修补数量统计!D85:FW86,15,0)</f>
        <v>0</v>
      </c>
      <c r="F99" s="489">
        <f>VLOOKUP(B99,修补数量统计!D85:FW86,20,0)</f>
        <v>0</v>
      </c>
      <c r="G99" s="489">
        <f>VLOOKUP(B99,修补数量统计!D85:FW86,25,0)</f>
        <v>0</v>
      </c>
      <c r="H99" s="489">
        <f>VLOOKUP(B99,修补数量统计!D85:FW86,30,0)</f>
        <v>0</v>
      </c>
      <c r="I99" s="489">
        <f>VLOOKUP(B99,修补数量统计!D85:FW86,35,0)</f>
        <v>0</v>
      </c>
      <c r="J99" s="489">
        <f>VLOOKUP(B99,修补数量统计!D85:FW86,40,0)</f>
        <v>0</v>
      </c>
      <c r="K99" s="489">
        <f>VLOOKUP(B99,修补数量统计!D85:FW86,45,0)</f>
        <v>0</v>
      </c>
      <c r="L99" s="489">
        <f>VLOOKUP(B99,修补数量统计!D85:FW86,50,0)</f>
        <v>0</v>
      </c>
      <c r="M99" s="489">
        <f>修补数量统计!BF86</f>
        <v>0</v>
      </c>
      <c r="N99" s="489">
        <f>修补数量统计!BK86</f>
        <v>0</v>
      </c>
      <c r="O99" s="489">
        <f>修补数量统计!BP86</f>
        <v>0</v>
      </c>
      <c r="P99" s="489">
        <f>修补数量统计!BU86</f>
        <v>0</v>
      </c>
      <c r="Q99" s="489">
        <f>修补数量统计!BZ86</f>
        <v>0</v>
      </c>
      <c r="R99" s="489">
        <f>修补数量统计!CE86</f>
        <v>0</v>
      </c>
      <c r="S99" s="489">
        <f>修补数量统计!CJ86</f>
        <v>0</v>
      </c>
      <c r="T99" s="489">
        <f>修补数量统计!CO86</f>
        <v>0</v>
      </c>
      <c r="U99" s="489">
        <f>修补数量统计!CT86</f>
        <v>0</v>
      </c>
      <c r="V99" s="489">
        <f>修补数量统计!CY86</f>
        <v>0</v>
      </c>
      <c r="W99" s="489">
        <f>修补数量统计!DD86</f>
        <v>0</v>
      </c>
      <c r="X99" s="489">
        <f>修补数量统计!DI86</f>
        <v>0</v>
      </c>
      <c r="Y99" s="489">
        <f>修补数量统计!DN86</f>
        <v>0</v>
      </c>
      <c r="Z99" s="489">
        <f>修补数量统计!DS86</f>
        <v>0</v>
      </c>
      <c r="AA99" s="489">
        <f>修补数量统计!DX86</f>
        <v>0</v>
      </c>
      <c r="AB99" s="489">
        <f>修补数量统计!EC86</f>
        <v>0</v>
      </c>
      <c r="AC99" s="489">
        <f>修补数量统计!EH86</f>
        <v>0</v>
      </c>
      <c r="AD99" s="489">
        <f>修补数量统计!EM86</f>
        <v>0</v>
      </c>
      <c r="AE99" s="489">
        <f>修补数量统计!ER86</f>
        <v>0</v>
      </c>
      <c r="AF99" s="489">
        <f>修补数量统计!EW86</f>
        <v>0</v>
      </c>
      <c r="AG99" s="489">
        <f>修补数量统计!FB86</f>
        <v>0</v>
      </c>
      <c r="AH99" s="489">
        <f t="shared" si="7"/>
        <v>0</v>
      </c>
      <c r="AI99" s="509">
        <v>0.373</v>
      </c>
      <c r="AJ99" s="507"/>
      <c r="AK99" s="508">
        <v>0.373</v>
      </c>
    </row>
    <row r="100" s="358" customFormat="1" ht="15" hidden="1" customHeight="1" spans="1:38">
      <c r="A100" s="492"/>
      <c r="B100" s="488" t="s">
        <v>8</v>
      </c>
      <c r="C100" s="489">
        <f>VLOOKUP(B100,修补数量统计!D87:FW95,5,0)</f>
        <v>110</v>
      </c>
      <c r="D100" s="489">
        <f>VLOOKUP(B100,修补数量统计!D87:FW95,10,0)</f>
        <v>117</v>
      </c>
      <c r="E100" s="489">
        <f>VLOOKUP(B100,修补数量统计!D87:FW95,15,0)</f>
        <v>229</v>
      </c>
      <c r="F100" s="489">
        <f>VLOOKUP(B100,修补数量统计!D87:FW95,20,0)</f>
        <v>0</v>
      </c>
      <c r="G100" s="489">
        <f>VLOOKUP(B100,修补数量统计!D87:FW95,25,0)</f>
        <v>101</v>
      </c>
      <c r="H100" s="489">
        <f>VLOOKUP(B100,修补数量统计!D87:FW95,30,0)</f>
        <v>116</v>
      </c>
      <c r="I100" s="489">
        <f>VLOOKUP(B100,修补数量统计!D87:FW95,35,0)</f>
        <v>119</v>
      </c>
      <c r="J100" s="489">
        <f>VLOOKUP(B100,修补数量统计!D87:FW95,40,0)</f>
        <v>92</v>
      </c>
      <c r="K100" s="489">
        <f>VLOOKUP(B100,修补数量统计!D87:FW95,45,0)</f>
        <v>110</v>
      </c>
      <c r="L100" s="489">
        <f>VLOOKUP(B100,修补数量统计!D87:FW95,50,0)</f>
        <v>105</v>
      </c>
      <c r="M100" s="489">
        <f>修补数量统计!BF87</f>
        <v>115</v>
      </c>
      <c r="N100" s="489">
        <f>修补数量统计!BK87</f>
        <v>95</v>
      </c>
      <c r="O100" s="489">
        <f>修补数量统计!BP87</f>
        <v>102</v>
      </c>
      <c r="P100" s="489">
        <f>修补数量统计!BU87</f>
        <v>121</v>
      </c>
      <c r="Q100" s="489">
        <f>修补数量统计!BZ87</f>
        <v>87</v>
      </c>
      <c r="R100" s="489">
        <f>修补数量统计!CE87</f>
        <v>102</v>
      </c>
      <c r="S100" s="489">
        <f>修补数量统计!CJ87</f>
        <v>92</v>
      </c>
      <c r="T100" s="489">
        <f>修补数量统计!CO87</f>
        <v>112</v>
      </c>
      <c r="U100" s="489">
        <f>修补数量统计!CT87</f>
        <v>49</v>
      </c>
      <c r="V100" s="489">
        <f>修补数量统计!CY87</f>
        <v>30</v>
      </c>
      <c r="W100" s="489">
        <f>修补数量统计!DD87</f>
        <v>116</v>
      </c>
      <c r="X100" s="489">
        <f>修补数量统计!DI87</f>
        <v>95</v>
      </c>
      <c r="Y100" s="489">
        <f>修补数量统计!DN87</f>
        <v>116</v>
      </c>
      <c r="Z100" s="489">
        <f>修补数量统计!DS87</f>
        <v>104</v>
      </c>
      <c r="AA100" s="489">
        <f>修补数量统计!DX87</f>
        <v>128</v>
      </c>
      <c r="AB100" s="489">
        <f>修补数量统计!EC87</f>
        <v>115</v>
      </c>
      <c r="AC100" s="489">
        <f>修补数量统计!EH87</f>
        <v>115</v>
      </c>
      <c r="AD100" s="489">
        <f>修补数量统计!EM87</f>
        <v>125</v>
      </c>
      <c r="AE100" s="489">
        <f>修补数量统计!ER87</f>
        <v>122</v>
      </c>
      <c r="AF100" s="489">
        <f>修补数量统计!EW87</f>
        <v>182</v>
      </c>
      <c r="AG100" s="489">
        <f>修补数量统计!FB87</f>
        <v>0</v>
      </c>
      <c r="AH100" s="489">
        <f t="shared" ref="AH100:AH111" si="8">C100+D100+E100+F100+G100+H100+I100+J100+K100+L100+M100+N100+O100+P100+Q100+R100+S100+T100+U100+V100+W100+X100+Y100+Z100+AA100+AB100+AC100+AD100+AE100+AF100+AG100</f>
        <v>3222</v>
      </c>
      <c r="AI100" s="510">
        <v>0.4074</v>
      </c>
      <c r="AJ100" s="507">
        <f>AH101*AI101+AH102*AI102+AH103*AI103+AH104*AI104+AH105*AI105+AH106*AI106+AH107*AI107+AH108*AI108+AH109*AI109+AH110*AI110</f>
        <v>2973.336</v>
      </c>
      <c r="AK100" s="472">
        <v>0.373</v>
      </c>
      <c r="AL100" s="355"/>
    </row>
    <row r="101" s="359" customFormat="1" ht="15" customHeight="1" spans="1:37">
      <c r="A101" s="493" t="s">
        <v>33</v>
      </c>
      <c r="B101" s="482" t="s">
        <v>8</v>
      </c>
      <c r="C101" s="489">
        <f>修补数量统计!H87</f>
        <v>110</v>
      </c>
      <c r="D101" s="489">
        <f>修补数量统计!I87</f>
        <v>0</v>
      </c>
      <c r="E101" s="489">
        <f>VLOOKUP(B101,修补数量统计!D87:FW96,15,0)</f>
        <v>229</v>
      </c>
      <c r="F101" s="489">
        <f>VLOOKUP(B101,修补数量统计!D87:FW96,20,0)</f>
        <v>0</v>
      </c>
      <c r="G101" s="489">
        <f>VLOOKUP(B101,修补数量统计!D87:FW96,25,0)</f>
        <v>101</v>
      </c>
      <c r="H101" s="489">
        <f>VLOOKUP(B101,修补数量统计!D87:FW96,30,0)</f>
        <v>116</v>
      </c>
      <c r="I101" s="489">
        <f>VLOOKUP(B101,修补数量统计!D87:FW96,35,0)</f>
        <v>119</v>
      </c>
      <c r="J101" s="489">
        <f>VLOOKUP(B101,修补数量统计!D87:FW96,40,0)</f>
        <v>92</v>
      </c>
      <c r="K101" s="489">
        <f>VLOOKUP(B101,修补数量统计!D87:FW96,45,0)</f>
        <v>110</v>
      </c>
      <c r="L101" s="489">
        <f>VLOOKUP(B101,修补数量统计!D87:FW96,50,0)</f>
        <v>105</v>
      </c>
      <c r="M101" s="489">
        <f>修补数量统计!BF87</f>
        <v>115</v>
      </c>
      <c r="N101" s="489">
        <f>修补数量统计!BK87</f>
        <v>95</v>
      </c>
      <c r="O101" s="489">
        <f>修补数量统计!BP87</f>
        <v>102</v>
      </c>
      <c r="P101" s="489">
        <f>修补数量统计!BU87</f>
        <v>121</v>
      </c>
      <c r="Q101" s="489">
        <f>修补数量统计!BZ87</f>
        <v>87</v>
      </c>
      <c r="R101" s="489">
        <f>修补数量统计!CE87</f>
        <v>102</v>
      </c>
      <c r="S101" s="489">
        <f>修补数量统计!CJ87</f>
        <v>92</v>
      </c>
      <c r="T101" s="489">
        <f>修补数量统计!CO87</f>
        <v>112</v>
      </c>
      <c r="U101" s="489">
        <f>修补数量统计!CT87</f>
        <v>49</v>
      </c>
      <c r="V101" s="489">
        <f>修补数量统计!CY87</f>
        <v>30</v>
      </c>
      <c r="W101" s="489">
        <f>修补数量统计!DD87</f>
        <v>116</v>
      </c>
      <c r="X101" s="489">
        <f>修补数量统计!DI87</f>
        <v>95</v>
      </c>
      <c r="Y101" s="489">
        <f>修补数量统计!DN87</f>
        <v>116</v>
      </c>
      <c r="Z101" s="489">
        <f>修补数量统计!DS87</f>
        <v>104</v>
      </c>
      <c r="AA101" s="489">
        <f>修补数量统计!DX87</f>
        <v>128</v>
      </c>
      <c r="AB101" s="489">
        <f>修补数量统计!EC87</f>
        <v>115</v>
      </c>
      <c r="AC101" s="489">
        <f>修补数量统计!EH87</f>
        <v>115</v>
      </c>
      <c r="AD101" s="489">
        <f>修补数量统计!EM87</f>
        <v>125</v>
      </c>
      <c r="AE101" s="489">
        <f>修补数量统计!ER87</f>
        <v>122</v>
      </c>
      <c r="AF101" s="489">
        <f>修补数量统计!EW87</f>
        <v>182</v>
      </c>
      <c r="AG101" s="489">
        <f>修补数量统计!FB87</f>
        <v>0</v>
      </c>
      <c r="AH101" s="489">
        <f t="shared" si="8"/>
        <v>3105</v>
      </c>
      <c r="AI101" s="275">
        <v>0.4</v>
      </c>
      <c r="AJ101" s="507"/>
      <c r="AK101" s="275">
        <f t="shared" ref="AK101:AK110" si="9">AI101*AH101</f>
        <v>1242</v>
      </c>
    </row>
    <row r="102" s="359" customFormat="1" ht="15" customHeight="1" spans="1:37">
      <c r="A102" s="494"/>
      <c r="B102" s="482" t="s">
        <v>9</v>
      </c>
      <c r="C102" s="489">
        <f>修补数量统计!H88</f>
        <v>132</v>
      </c>
      <c r="D102" s="489">
        <f>修补数量统计!I88</f>
        <v>0</v>
      </c>
      <c r="E102" s="489">
        <f>VLOOKUP(B102,修补数量统计!D88:FW97,15,0)</f>
        <v>0</v>
      </c>
      <c r="F102" s="489">
        <f>VLOOKUP(B102,修补数量统计!D88:FW97,20,0)</f>
        <v>0</v>
      </c>
      <c r="G102" s="489">
        <f>VLOOKUP(B102,修补数量统计!D88:FW97,25,0)</f>
        <v>0</v>
      </c>
      <c r="H102" s="489">
        <f>VLOOKUP(B102,修补数量统计!D88:FW97,30,0)</f>
        <v>0</v>
      </c>
      <c r="I102" s="489">
        <f>VLOOKUP(B102,修补数量统计!D88:FW97,35,0)</f>
        <v>0</v>
      </c>
      <c r="J102" s="489">
        <f>VLOOKUP(B102,修补数量统计!D88:FW97,40,0)</f>
        <v>0</v>
      </c>
      <c r="K102" s="489">
        <f>VLOOKUP(B102,修补数量统计!D88:FW97,45,0)</f>
        <v>0</v>
      </c>
      <c r="L102" s="489">
        <f>VLOOKUP(B102,修补数量统计!D88:FW97,50,0)</f>
        <v>0</v>
      </c>
      <c r="M102" s="489">
        <f>修补数量统计!BF88</f>
        <v>0</v>
      </c>
      <c r="N102" s="489">
        <f>修补数量统计!BK88</f>
        <v>0</v>
      </c>
      <c r="O102" s="489">
        <f>修补数量统计!BP88</f>
        <v>0</v>
      </c>
      <c r="P102" s="489">
        <f>修补数量统计!BU88</f>
        <v>0</v>
      </c>
      <c r="Q102" s="489">
        <f>修补数量统计!BZ88</f>
        <v>0</v>
      </c>
      <c r="R102" s="489">
        <f>修补数量统计!CE88</f>
        <v>0</v>
      </c>
      <c r="S102" s="489">
        <f>修补数量统计!CJ88</f>
        <v>0</v>
      </c>
      <c r="T102" s="489">
        <f>修补数量统计!CO88</f>
        <v>0</v>
      </c>
      <c r="U102" s="489">
        <f>修补数量统计!CT88</f>
        <v>0</v>
      </c>
      <c r="V102" s="489">
        <f>修补数量统计!CY88</f>
        <v>0</v>
      </c>
      <c r="W102" s="489">
        <f>修补数量统计!DD88</f>
        <v>0</v>
      </c>
      <c r="X102" s="489">
        <f>修补数量统计!DI88</f>
        <v>0</v>
      </c>
      <c r="Y102" s="489">
        <f>修补数量统计!DN88</f>
        <v>0</v>
      </c>
      <c r="Z102" s="489">
        <f>修补数量统计!DS88</f>
        <v>0</v>
      </c>
      <c r="AA102" s="489">
        <f>修补数量统计!DX88</f>
        <v>0</v>
      </c>
      <c r="AB102" s="489">
        <f>修补数量统计!EC88</f>
        <v>0</v>
      </c>
      <c r="AC102" s="489">
        <f>修补数量统计!EH88</f>
        <v>0</v>
      </c>
      <c r="AD102" s="489">
        <f>修补数量统计!EM88</f>
        <v>0</v>
      </c>
      <c r="AE102" s="489">
        <f>修补数量统计!ER88</f>
        <v>0</v>
      </c>
      <c r="AF102" s="489">
        <f>修补数量统计!EW88</f>
        <v>0</v>
      </c>
      <c r="AG102" s="489">
        <f>修补数量统计!FB88</f>
        <v>0</v>
      </c>
      <c r="AH102" s="489">
        <f t="shared" si="8"/>
        <v>132</v>
      </c>
      <c r="AI102" s="279">
        <v>0.133</v>
      </c>
      <c r="AJ102" s="507"/>
      <c r="AK102" s="275">
        <f t="shared" si="9"/>
        <v>17.556</v>
      </c>
    </row>
    <row r="103" s="359" customFormat="1" ht="15" customHeight="1" spans="1:37">
      <c r="A103" s="494"/>
      <c r="B103" s="482" t="s">
        <v>10</v>
      </c>
      <c r="C103" s="489">
        <f>修补数量统计!H89</f>
        <v>0</v>
      </c>
      <c r="D103" s="489">
        <f>修补数量统计!I89</f>
        <v>0</v>
      </c>
      <c r="E103" s="489">
        <f>VLOOKUP(B103,修补数量统计!D89:FW98,15,0)</f>
        <v>0</v>
      </c>
      <c r="F103" s="489">
        <f>VLOOKUP(B103,修补数量统计!D89:FW98,20,0)</f>
        <v>0</v>
      </c>
      <c r="G103" s="489">
        <f>VLOOKUP(B103,修补数量统计!D89:FW98,25,0)</f>
        <v>0</v>
      </c>
      <c r="H103" s="489">
        <f>VLOOKUP(B103,修补数量统计!D89:FW98,30,0)</f>
        <v>0</v>
      </c>
      <c r="I103" s="489">
        <f>VLOOKUP(B103,修补数量统计!D89:FW98,35,0)</f>
        <v>0</v>
      </c>
      <c r="J103" s="489">
        <f>VLOOKUP(B103,修补数量统计!D89:FW98,40,0)</f>
        <v>0</v>
      </c>
      <c r="K103" s="489">
        <f>VLOOKUP(B103,修补数量统计!D89:FW98,45,0)</f>
        <v>0</v>
      </c>
      <c r="L103" s="489">
        <f>VLOOKUP(B103,修补数量统计!D89:FW98,50,0)</f>
        <v>0</v>
      </c>
      <c r="M103" s="489">
        <f>修补数量统计!BF89</f>
        <v>0</v>
      </c>
      <c r="N103" s="489">
        <f>修补数量统计!BK89</f>
        <v>0</v>
      </c>
      <c r="O103" s="489">
        <f>修补数量统计!BP89</f>
        <v>0</v>
      </c>
      <c r="P103" s="489">
        <f>修补数量统计!BU89</f>
        <v>0</v>
      </c>
      <c r="Q103" s="489">
        <f>修补数量统计!BZ89</f>
        <v>0</v>
      </c>
      <c r="R103" s="489">
        <f>修补数量统计!CE89</f>
        <v>0</v>
      </c>
      <c r="S103" s="489">
        <f>修补数量统计!CJ89</f>
        <v>0</v>
      </c>
      <c r="T103" s="489">
        <f>修补数量统计!CO89</f>
        <v>0</v>
      </c>
      <c r="U103" s="489">
        <f>修补数量统计!CT89</f>
        <v>0</v>
      </c>
      <c r="V103" s="489">
        <f>修补数量统计!CY89</f>
        <v>0</v>
      </c>
      <c r="W103" s="489">
        <f>修补数量统计!DD89</f>
        <v>0</v>
      </c>
      <c r="X103" s="489">
        <f>修补数量统计!DI89</f>
        <v>0</v>
      </c>
      <c r="Y103" s="489">
        <f>修补数量统计!DN89</f>
        <v>0</v>
      </c>
      <c r="Z103" s="489">
        <f>修补数量统计!DS89</f>
        <v>0</v>
      </c>
      <c r="AA103" s="489">
        <f>修补数量统计!DX89</f>
        <v>0</v>
      </c>
      <c r="AB103" s="489">
        <f>修补数量统计!EC89</f>
        <v>0</v>
      </c>
      <c r="AC103" s="489">
        <f>修补数量统计!EH89</f>
        <v>0</v>
      </c>
      <c r="AD103" s="489">
        <f>修补数量统计!EM89</f>
        <v>0</v>
      </c>
      <c r="AE103" s="489">
        <f>修补数量统计!ER89</f>
        <v>0</v>
      </c>
      <c r="AF103" s="489">
        <f>修补数量统计!EW89</f>
        <v>0</v>
      </c>
      <c r="AG103" s="489">
        <f>修补数量统计!FB89</f>
        <v>0</v>
      </c>
      <c r="AH103" s="489">
        <f t="shared" si="8"/>
        <v>0</v>
      </c>
      <c r="AI103" s="279">
        <v>0.133</v>
      </c>
      <c r="AJ103" s="507"/>
      <c r="AK103" s="275">
        <f t="shared" si="9"/>
        <v>0</v>
      </c>
    </row>
    <row r="104" s="359" customFormat="1" ht="15" customHeight="1" spans="1:37">
      <c r="A104" s="494"/>
      <c r="B104" s="482" t="s">
        <v>11</v>
      </c>
      <c r="C104" s="489">
        <f>修补数量统计!H90</f>
        <v>166</v>
      </c>
      <c r="D104" s="489">
        <f>修补数量统计!I90</f>
        <v>0</v>
      </c>
      <c r="E104" s="489">
        <f>VLOOKUP(B104,修补数量统计!D90:FW99,15,0)</f>
        <v>39</v>
      </c>
      <c r="F104" s="489">
        <f>VLOOKUP(B104,修补数量统计!D90:FW99,20,0)</f>
        <v>0</v>
      </c>
      <c r="G104" s="489">
        <f>VLOOKUP(B104,修补数量统计!D90:FW99,25,0)</f>
        <v>111</v>
      </c>
      <c r="H104" s="489">
        <f>VLOOKUP(B104,修补数量统计!D90:FW99,30,0)</f>
        <v>123</v>
      </c>
      <c r="I104" s="489">
        <f>VLOOKUP(B104,修补数量统计!D90:FW99,35,0)</f>
        <v>132</v>
      </c>
      <c r="J104" s="489">
        <f>VLOOKUP(B104,修补数量统计!D90:FW99,40,0)</f>
        <v>99</v>
      </c>
      <c r="K104" s="489">
        <f>VLOOKUP(B104,修补数量统计!D90:FW99,45,0)</f>
        <v>113</v>
      </c>
      <c r="L104" s="489">
        <f>VLOOKUP(B104,修补数量统计!D90:FW99,50,0)</f>
        <v>170</v>
      </c>
      <c r="M104" s="489">
        <f>修补数量统计!BF90</f>
        <v>156</v>
      </c>
      <c r="N104" s="489">
        <f>修补数量统计!BK90</f>
        <v>160</v>
      </c>
      <c r="O104" s="489">
        <f>修补数量统计!BP90</f>
        <v>163</v>
      </c>
      <c r="P104" s="489">
        <f>修补数量统计!BU90</f>
        <v>171</v>
      </c>
      <c r="Q104" s="489">
        <f>修补数量统计!BZ90</f>
        <v>129</v>
      </c>
      <c r="R104" s="489">
        <f>修补数量统计!CE90</f>
        <v>178</v>
      </c>
      <c r="S104" s="489">
        <f>修补数量统计!CJ90</f>
        <v>158</v>
      </c>
      <c r="T104" s="489">
        <f>修补数量统计!CO90</f>
        <v>146</v>
      </c>
      <c r="U104" s="489">
        <f>修补数量统计!CT90</f>
        <v>49</v>
      </c>
      <c r="V104" s="489">
        <f>修补数量统计!CY90</f>
        <v>15</v>
      </c>
      <c r="W104" s="489">
        <f>修补数量统计!DD90</f>
        <v>129</v>
      </c>
      <c r="X104" s="489">
        <f>修补数量统计!DI90</f>
        <v>106</v>
      </c>
      <c r="Y104" s="489">
        <f>修补数量统计!DN90</f>
        <v>131</v>
      </c>
      <c r="Z104" s="489">
        <f>修补数量统计!DS90</f>
        <v>103</v>
      </c>
      <c r="AA104" s="489">
        <f>修补数量统计!DX90</f>
        <v>132</v>
      </c>
      <c r="AB104" s="489">
        <f>修补数量统计!EC90</f>
        <v>126</v>
      </c>
      <c r="AC104" s="489">
        <f>修补数量统计!EH90</f>
        <v>132</v>
      </c>
      <c r="AD104" s="489">
        <f>修补数量统计!EM90</f>
        <v>132</v>
      </c>
      <c r="AE104" s="489">
        <f>修补数量统计!ER90</f>
        <v>217</v>
      </c>
      <c r="AF104" s="489">
        <f>修补数量统计!EW90</f>
        <v>0</v>
      </c>
      <c r="AG104" s="489">
        <f>修补数量统计!FB90</f>
        <v>0</v>
      </c>
      <c r="AH104" s="489">
        <f t="shared" si="8"/>
        <v>3486</v>
      </c>
      <c r="AI104" s="279">
        <v>0.23</v>
      </c>
      <c r="AJ104" s="507"/>
      <c r="AK104" s="275">
        <f t="shared" si="9"/>
        <v>801.78</v>
      </c>
    </row>
    <row r="105" s="359" customFormat="1" ht="15" customHeight="1" spans="1:37">
      <c r="A105" s="494"/>
      <c r="B105" s="482" t="s">
        <v>12</v>
      </c>
      <c r="C105" s="489">
        <f>修补数量统计!H91</f>
        <v>165</v>
      </c>
      <c r="D105" s="489">
        <f>修补数量统计!I91</f>
        <v>0</v>
      </c>
      <c r="E105" s="489">
        <f>VLOOKUP(B105,修补数量统计!D91:FW100,15,0)</f>
        <v>39</v>
      </c>
      <c r="F105" s="489">
        <f>VLOOKUP(B105,修补数量统计!D91:FW100,20,0)</f>
        <v>0</v>
      </c>
      <c r="G105" s="489">
        <f>VLOOKUP(B105,修补数量统计!D91:FW100,25,0)</f>
        <v>109</v>
      </c>
      <c r="H105" s="489">
        <f>VLOOKUP(B105,修补数量统计!D91:FW100,30,0)</f>
        <v>120</v>
      </c>
      <c r="I105" s="489">
        <f>VLOOKUP(B105,修补数量统计!D91:FW100,35,0)</f>
        <v>132</v>
      </c>
      <c r="J105" s="489">
        <f>VLOOKUP(B105,修补数量统计!D91:FW100,40,0)</f>
        <v>102</v>
      </c>
      <c r="K105" s="489">
        <f>VLOOKUP(B105,修补数量统计!D91:FW100,45,0)</f>
        <v>109</v>
      </c>
      <c r="L105" s="489">
        <f>VLOOKUP(B105,修补数量统计!D91:FW100,50,0)</f>
        <v>177</v>
      </c>
      <c r="M105" s="489">
        <f>修补数量统计!BF91</f>
        <v>188</v>
      </c>
      <c r="N105" s="489">
        <f>修补数量统计!BK91</f>
        <v>158</v>
      </c>
      <c r="O105" s="489">
        <f>修补数量统计!BP91</f>
        <v>172</v>
      </c>
      <c r="P105" s="489">
        <f>修补数量统计!BU91</f>
        <v>196</v>
      </c>
      <c r="Q105" s="489">
        <f>修补数量统计!BZ91</f>
        <v>141</v>
      </c>
      <c r="R105" s="489">
        <f>修补数量统计!CE91</f>
        <v>177</v>
      </c>
      <c r="S105" s="489">
        <f>修补数量统计!CJ91</f>
        <v>159</v>
      </c>
      <c r="T105" s="489">
        <f>修补数量统计!CO91</f>
        <v>138</v>
      </c>
      <c r="U105" s="489">
        <f>修补数量统计!CT91</f>
        <v>49</v>
      </c>
      <c r="V105" s="489">
        <f>修补数量统计!CY91</f>
        <v>125</v>
      </c>
      <c r="W105" s="489">
        <f>修补数量统计!DD91</f>
        <v>130</v>
      </c>
      <c r="X105" s="489">
        <f>修补数量统计!DI91</f>
        <v>105</v>
      </c>
      <c r="Y105" s="489">
        <f>修补数量统计!DN91</f>
        <v>131</v>
      </c>
      <c r="Z105" s="489">
        <f>修补数量统计!DS91</f>
        <v>102</v>
      </c>
      <c r="AA105" s="489">
        <f>修补数量统计!DX91</f>
        <v>131</v>
      </c>
      <c r="AB105" s="489">
        <f>修补数量统计!EC91</f>
        <v>123</v>
      </c>
      <c r="AC105" s="489">
        <f>修补数量统计!EH91</f>
        <v>132</v>
      </c>
      <c r="AD105" s="489">
        <f>修补数量统计!EM91</f>
        <v>132</v>
      </c>
      <c r="AE105" s="489">
        <f>修补数量统计!ER91</f>
        <v>129</v>
      </c>
      <c r="AF105" s="489">
        <f>修补数量统计!EW91</f>
        <v>77</v>
      </c>
      <c r="AG105" s="489">
        <f>修补数量统计!FB91</f>
        <v>0</v>
      </c>
      <c r="AH105" s="489">
        <f t="shared" si="8"/>
        <v>3648</v>
      </c>
      <c r="AI105" s="279">
        <v>0.25</v>
      </c>
      <c r="AJ105" s="507"/>
      <c r="AK105" s="275">
        <f t="shared" si="9"/>
        <v>912</v>
      </c>
    </row>
    <row r="106" s="359" customFormat="1" ht="15" customHeight="1" spans="1:37">
      <c r="A106" s="494"/>
      <c r="B106" s="482" t="s">
        <v>13</v>
      </c>
      <c r="C106" s="489">
        <f>修补数量统计!H92</f>
        <v>0</v>
      </c>
      <c r="D106" s="489">
        <f>修补数量统计!I92</f>
        <v>0</v>
      </c>
      <c r="E106" s="489">
        <v>0</v>
      </c>
      <c r="F106" s="489">
        <v>0</v>
      </c>
      <c r="G106" s="489">
        <v>0</v>
      </c>
      <c r="H106" s="489">
        <v>0</v>
      </c>
      <c r="I106" s="489">
        <v>0</v>
      </c>
      <c r="J106" s="489">
        <v>0</v>
      </c>
      <c r="K106" s="489">
        <v>0</v>
      </c>
      <c r="L106" s="489">
        <v>0</v>
      </c>
      <c r="M106" s="489">
        <f>修补数量统计!BF92</f>
        <v>0</v>
      </c>
      <c r="N106" s="489">
        <f>修补数量统计!BK92</f>
        <v>0</v>
      </c>
      <c r="O106" s="489">
        <f>修补数量统计!BP92</f>
        <v>0</v>
      </c>
      <c r="P106" s="489">
        <f>修补数量统计!BU92</f>
        <v>0</v>
      </c>
      <c r="Q106" s="489">
        <f>修补数量统计!BZ92</f>
        <v>0</v>
      </c>
      <c r="R106" s="489">
        <f>修补数量统计!CE92</f>
        <v>0</v>
      </c>
      <c r="S106" s="489">
        <f>修补数量统计!CJ92</f>
        <v>0</v>
      </c>
      <c r="T106" s="489">
        <f>修补数量统计!CO92</f>
        <v>0</v>
      </c>
      <c r="U106" s="489">
        <f>修补数量统计!CT92</f>
        <v>0</v>
      </c>
      <c r="V106" s="489">
        <f>修补数量统计!CY92</f>
        <v>0</v>
      </c>
      <c r="W106" s="489">
        <f>修补数量统计!DD92</f>
        <v>0</v>
      </c>
      <c r="X106" s="489">
        <f>修补数量统计!DI92</f>
        <v>0</v>
      </c>
      <c r="Y106" s="489">
        <f>修补数量统计!DN92</f>
        <v>0</v>
      </c>
      <c r="Z106" s="489">
        <f>修补数量统计!DS92</f>
        <v>0</v>
      </c>
      <c r="AA106" s="489">
        <f>修补数量统计!DX92</f>
        <v>0</v>
      </c>
      <c r="AB106" s="489">
        <f>修补数量统计!EC92</f>
        <v>0</v>
      </c>
      <c r="AC106" s="489">
        <f>修补数量统计!EH92</f>
        <v>0</v>
      </c>
      <c r="AD106" s="489">
        <f>修补数量统计!EM92</f>
        <v>0</v>
      </c>
      <c r="AE106" s="489">
        <f>修补数量统计!ER92</f>
        <v>0</v>
      </c>
      <c r="AF106" s="489">
        <f>修补数量统计!EW92</f>
        <v>0</v>
      </c>
      <c r="AG106" s="489">
        <f>修补数量统计!FB92</f>
        <v>0</v>
      </c>
      <c r="AH106" s="489">
        <f t="shared" si="8"/>
        <v>0</v>
      </c>
      <c r="AI106" s="279">
        <v>0.373</v>
      </c>
      <c r="AJ106" s="507"/>
      <c r="AK106" s="275">
        <f t="shared" si="9"/>
        <v>0</v>
      </c>
    </row>
    <row r="107" s="359" customFormat="1" ht="15" customHeight="1" spans="1:37">
      <c r="A107" s="494"/>
      <c r="B107" s="482" t="s">
        <v>14</v>
      </c>
      <c r="C107" s="489">
        <f>修补数量统计!H93</f>
        <v>0</v>
      </c>
      <c r="D107" s="489">
        <f>修补数量统计!I93</f>
        <v>0</v>
      </c>
      <c r="E107" s="489">
        <f>VLOOKUP(B107,修补数量统计!D93:FW102,15,0)</f>
        <v>0</v>
      </c>
      <c r="F107" s="489">
        <f>VLOOKUP(B107,修补数量统计!D93:FW102,20,0)</f>
        <v>0</v>
      </c>
      <c r="G107" s="489">
        <f>VLOOKUP(B107,修补数量统计!D93:FW102,25,0)</f>
        <v>0</v>
      </c>
      <c r="H107" s="489">
        <f>VLOOKUP(B107,修补数量统计!D93:FW102,30,0)</f>
        <v>0</v>
      </c>
      <c r="I107" s="489">
        <f>VLOOKUP(B107,修补数量统计!D93:FW102,35,0)</f>
        <v>0</v>
      </c>
      <c r="J107" s="489">
        <f>VLOOKUP(B107,修补数量统计!D93:FW102,40,0)</f>
        <v>0</v>
      </c>
      <c r="K107" s="489">
        <f>VLOOKUP(B107,修补数量统计!D93:FW102,45,0)</f>
        <v>0</v>
      </c>
      <c r="L107" s="489">
        <f>VLOOKUP(B107,修补数量统计!D93:FW102,50,0)</f>
        <v>0</v>
      </c>
      <c r="M107" s="489">
        <f>修补数量统计!BF93</f>
        <v>0</v>
      </c>
      <c r="N107" s="489">
        <f>修补数量统计!BK93</f>
        <v>0</v>
      </c>
      <c r="O107" s="489">
        <f>修补数量统计!BP93</f>
        <v>0</v>
      </c>
      <c r="P107" s="489">
        <f>修补数量统计!BU93</f>
        <v>0</v>
      </c>
      <c r="Q107" s="489">
        <f>修补数量统计!BZ93</f>
        <v>0</v>
      </c>
      <c r="R107" s="489">
        <f>修补数量统计!CE93</f>
        <v>0</v>
      </c>
      <c r="S107" s="489">
        <f>修补数量统计!CJ93</f>
        <v>0</v>
      </c>
      <c r="T107" s="489">
        <f>修补数量统计!CO93</f>
        <v>0</v>
      </c>
      <c r="U107" s="489">
        <f>修补数量统计!CT93</f>
        <v>0</v>
      </c>
      <c r="V107" s="489">
        <f>修补数量统计!CY93</f>
        <v>0</v>
      </c>
      <c r="W107" s="489">
        <f>修补数量统计!DD93</f>
        <v>0</v>
      </c>
      <c r="X107" s="489">
        <f>修补数量统计!DI93</f>
        <v>0</v>
      </c>
      <c r="Y107" s="489">
        <f>修补数量统计!DN93</f>
        <v>0</v>
      </c>
      <c r="Z107" s="489">
        <f>修补数量统计!DS93</f>
        <v>0</v>
      </c>
      <c r="AA107" s="489">
        <f>修补数量统计!DX93</f>
        <v>0</v>
      </c>
      <c r="AB107" s="489">
        <f>修补数量统计!EC93</f>
        <v>0</v>
      </c>
      <c r="AC107" s="489">
        <f>修补数量统计!EH93</f>
        <v>0</v>
      </c>
      <c r="AD107" s="489">
        <f>修补数量统计!EM93</f>
        <v>0</v>
      </c>
      <c r="AE107" s="489">
        <f>修补数量统计!ER93</f>
        <v>0</v>
      </c>
      <c r="AF107" s="489">
        <f>修补数量统计!EW93</f>
        <v>0</v>
      </c>
      <c r="AG107" s="489">
        <f>修补数量统计!FB93</f>
        <v>0</v>
      </c>
      <c r="AH107" s="489">
        <f t="shared" si="8"/>
        <v>0</v>
      </c>
      <c r="AI107" s="279">
        <v>0.373</v>
      </c>
      <c r="AJ107" s="507"/>
      <c r="AK107" s="275">
        <f t="shared" si="9"/>
        <v>0</v>
      </c>
    </row>
    <row r="108" s="359" customFormat="1" ht="15" customHeight="1" spans="1:37">
      <c r="A108" s="494"/>
      <c r="B108" s="482" t="s">
        <v>15</v>
      </c>
      <c r="C108" s="489">
        <f>修补数量统计!H94</f>
        <v>0</v>
      </c>
      <c r="D108" s="489">
        <f>修补数量统计!I94</f>
        <v>0</v>
      </c>
      <c r="E108" s="489">
        <f>VLOOKUP(B108,修补数量统计!D94:FW103,15,0)</f>
        <v>0</v>
      </c>
      <c r="F108" s="489">
        <f>VLOOKUP(B108,修补数量统计!D94:FW103,20,0)</f>
        <v>0</v>
      </c>
      <c r="G108" s="489">
        <f>VLOOKUP(B108,修补数量统计!D94:FW103,25,0)</f>
        <v>0</v>
      </c>
      <c r="H108" s="489">
        <f>VLOOKUP(B108,修补数量统计!D94:FW103,30,0)</f>
        <v>0</v>
      </c>
      <c r="I108" s="489">
        <f>VLOOKUP(B108,修补数量统计!D94:FW103,35,0)</f>
        <v>0</v>
      </c>
      <c r="J108" s="489">
        <f>VLOOKUP(B108,修补数量统计!D94:FW103,40,0)</f>
        <v>0</v>
      </c>
      <c r="K108" s="489">
        <f>VLOOKUP(B108,修补数量统计!D94:FW103,45,0)</f>
        <v>0</v>
      </c>
      <c r="L108" s="489">
        <f>VLOOKUP(B108,修补数量统计!D94:FW103,50,0)</f>
        <v>0</v>
      </c>
      <c r="M108" s="489">
        <f>修补数量统计!BF94</f>
        <v>0</v>
      </c>
      <c r="N108" s="489">
        <f>修补数量统计!BK94</f>
        <v>0</v>
      </c>
      <c r="O108" s="489">
        <f>修补数量统计!BP94</f>
        <v>0</v>
      </c>
      <c r="P108" s="489">
        <f>修补数量统计!BU94</f>
        <v>0</v>
      </c>
      <c r="Q108" s="489">
        <f>修补数量统计!BZ94</f>
        <v>0</v>
      </c>
      <c r="R108" s="489">
        <f>修补数量统计!CE94</f>
        <v>0</v>
      </c>
      <c r="S108" s="489">
        <f>修补数量统计!CJ94</f>
        <v>0</v>
      </c>
      <c r="T108" s="489">
        <f>修补数量统计!CO94</f>
        <v>0</v>
      </c>
      <c r="U108" s="489">
        <f>修补数量统计!CT94</f>
        <v>0</v>
      </c>
      <c r="V108" s="489">
        <f>修补数量统计!CY94</f>
        <v>0</v>
      </c>
      <c r="W108" s="489">
        <f>修补数量统计!DD94</f>
        <v>0</v>
      </c>
      <c r="X108" s="489">
        <f>修补数量统计!DI94</f>
        <v>0</v>
      </c>
      <c r="Y108" s="489">
        <f>修补数量统计!DN94</f>
        <v>0</v>
      </c>
      <c r="Z108" s="489">
        <f>修补数量统计!DS94</f>
        <v>0</v>
      </c>
      <c r="AA108" s="489">
        <f>修补数量统计!DX94</f>
        <v>0</v>
      </c>
      <c r="AB108" s="489">
        <f>修补数量统计!EC94</f>
        <v>0</v>
      </c>
      <c r="AC108" s="489">
        <f>修补数量统计!EH94</f>
        <v>0</v>
      </c>
      <c r="AD108" s="489">
        <f>修补数量统计!EM94</f>
        <v>0</v>
      </c>
      <c r="AE108" s="489">
        <f>修补数量统计!ER94</f>
        <v>0</v>
      </c>
      <c r="AF108" s="489">
        <f>修补数量统计!EW94</f>
        <v>0</v>
      </c>
      <c r="AG108" s="489">
        <f>修补数量统计!FB94</f>
        <v>0</v>
      </c>
      <c r="AH108" s="489">
        <f t="shared" si="8"/>
        <v>0</v>
      </c>
      <c r="AI108" s="279">
        <v>0.373</v>
      </c>
      <c r="AJ108" s="507"/>
      <c r="AK108" s="275">
        <f t="shared" si="9"/>
        <v>0</v>
      </c>
    </row>
    <row r="109" s="359" customFormat="1" ht="15" customHeight="1" spans="1:37">
      <c r="A109" s="494"/>
      <c r="B109" s="482" t="s">
        <v>16</v>
      </c>
      <c r="C109" s="489">
        <f>修补数量统计!H95</f>
        <v>0</v>
      </c>
      <c r="D109" s="489">
        <f>修补数量统计!I95</f>
        <v>0</v>
      </c>
      <c r="E109" s="489">
        <f>VLOOKUP(B109,修补数量统计!D95:FW104,15,0)</f>
        <v>0</v>
      </c>
      <c r="F109" s="489">
        <f>VLOOKUP(B109,修补数量统计!D95:FW104,20,0)</f>
        <v>0</v>
      </c>
      <c r="G109" s="489">
        <f>VLOOKUP(B109,修补数量统计!D95:FW104,25,0)</f>
        <v>0</v>
      </c>
      <c r="H109" s="489">
        <f>VLOOKUP(B109,修补数量统计!D95:FW104,30,0)</f>
        <v>0</v>
      </c>
      <c r="I109" s="489">
        <f>VLOOKUP(B109,修补数量统计!D95:FW104,35,0)</f>
        <v>0</v>
      </c>
      <c r="J109" s="489">
        <f>VLOOKUP(B109,修补数量统计!D95:FW104,40,0)</f>
        <v>0</v>
      </c>
      <c r="K109" s="489">
        <f>VLOOKUP(B109,修补数量统计!D95:FW104,45,0)</f>
        <v>0</v>
      </c>
      <c r="L109" s="489">
        <f>VLOOKUP(B109,修补数量统计!D95:FW104,50,0)</f>
        <v>0</v>
      </c>
      <c r="M109" s="489">
        <f>修补数量统计!BF95</f>
        <v>0</v>
      </c>
      <c r="N109" s="489">
        <f>修补数量统计!BK95</f>
        <v>0</v>
      </c>
      <c r="O109" s="489">
        <f>修补数量统计!BP95</f>
        <v>0</v>
      </c>
      <c r="P109" s="489">
        <f>修补数量统计!BU95</f>
        <v>0</v>
      </c>
      <c r="Q109" s="489">
        <f>修补数量统计!BZ95</f>
        <v>0</v>
      </c>
      <c r="R109" s="489">
        <f>修补数量统计!CE95</f>
        <v>0</v>
      </c>
      <c r="S109" s="489">
        <f>修补数量统计!CJ95</f>
        <v>0</v>
      </c>
      <c r="T109" s="489">
        <f>修补数量统计!CO95</f>
        <v>0</v>
      </c>
      <c r="U109" s="489">
        <f>修补数量统计!CT95</f>
        <v>0</v>
      </c>
      <c r="V109" s="489">
        <f>修补数量统计!CY95</f>
        <v>0</v>
      </c>
      <c r="W109" s="489">
        <f>修补数量统计!DD95</f>
        <v>0</v>
      </c>
      <c r="X109" s="489">
        <f>修补数量统计!DI95</f>
        <v>0</v>
      </c>
      <c r="Y109" s="489">
        <f>修补数量统计!DN95</f>
        <v>0</v>
      </c>
      <c r="Z109" s="489">
        <f>修补数量统计!DS95</f>
        <v>0</v>
      </c>
      <c r="AA109" s="489">
        <f>修补数量统计!DX95</f>
        <v>0</v>
      </c>
      <c r="AB109" s="489">
        <f>修补数量统计!EC95</f>
        <v>0</v>
      </c>
      <c r="AC109" s="489">
        <f>修补数量统计!EH95</f>
        <v>0</v>
      </c>
      <c r="AD109" s="489">
        <f>修补数量统计!EM95</f>
        <v>0</v>
      </c>
      <c r="AE109" s="489">
        <f>修补数量统计!ER95</f>
        <v>0</v>
      </c>
      <c r="AF109" s="489">
        <f>修补数量统计!EW95</f>
        <v>0</v>
      </c>
      <c r="AG109" s="489">
        <f>修补数量统计!FB95</f>
        <v>0</v>
      </c>
      <c r="AH109" s="489">
        <f t="shared" si="8"/>
        <v>0</v>
      </c>
      <c r="AI109" s="279">
        <v>0.373</v>
      </c>
      <c r="AJ109" s="507"/>
      <c r="AK109" s="275">
        <f t="shared" si="9"/>
        <v>0</v>
      </c>
    </row>
    <row r="110" s="359" customFormat="1" ht="15" customHeight="1" spans="1:37">
      <c r="A110" s="495"/>
      <c r="B110" s="482" t="s">
        <v>17</v>
      </c>
      <c r="C110" s="489">
        <f>修补数量统计!H96</f>
        <v>0</v>
      </c>
      <c r="D110" s="489">
        <f>修补数量统计!I96</f>
        <v>0</v>
      </c>
      <c r="E110" s="489">
        <f>VLOOKUP(B110,修补数量统计!D96:FW105,15,0)</f>
        <v>0</v>
      </c>
      <c r="F110" s="489">
        <f>VLOOKUP(B110,修补数量统计!D96:FW105,20,0)</f>
        <v>0</v>
      </c>
      <c r="G110" s="489">
        <f>VLOOKUP(B110,修补数量统计!D96:FW105,25,0)</f>
        <v>0</v>
      </c>
      <c r="H110" s="489">
        <f>VLOOKUP(B110,修补数量统计!D96:FW105,30,0)</f>
        <v>0</v>
      </c>
      <c r="I110" s="489">
        <f>VLOOKUP(B110,修补数量统计!D96:FW105,35,0)</f>
        <v>0</v>
      </c>
      <c r="J110" s="489">
        <f>VLOOKUP(B110,修补数量统计!D96:FW105,40,0)</f>
        <v>0</v>
      </c>
      <c r="K110" s="489">
        <f>VLOOKUP(B110,修补数量统计!D96:FW105,45,0)</f>
        <v>0</v>
      </c>
      <c r="L110" s="489">
        <f>VLOOKUP(B110,修补数量统计!D96:FW105,50,0)</f>
        <v>0</v>
      </c>
      <c r="M110" s="489">
        <f>修补数量统计!BF96</f>
        <v>0</v>
      </c>
      <c r="N110" s="489">
        <f>修补数量统计!BK96</f>
        <v>0</v>
      </c>
      <c r="O110" s="489">
        <f>修补数量统计!BP96</f>
        <v>0</v>
      </c>
      <c r="P110" s="489">
        <f>修补数量统计!BU96</f>
        <v>0</v>
      </c>
      <c r="Q110" s="489">
        <f>修补数量统计!BZ96</f>
        <v>0</v>
      </c>
      <c r="R110" s="489">
        <f>修补数量统计!CE96</f>
        <v>0</v>
      </c>
      <c r="S110" s="489">
        <f>修补数量统计!CJ96</f>
        <v>0</v>
      </c>
      <c r="T110" s="489">
        <f>修补数量统计!CO96</f>
        <v>0</v>
      </c>
      <c r="U110" s="489">
        <f>修补数量统计!CT96</f>
        <v>0</v>
      </c>
      <c r="V110" s="489">
        <f>修补数量统计!CY96</f>
        <v>0</v>
      </c>
      <c r="W110" s="489">
        <f>修补数量统计!DD96</f>
        <v>0</v>
      </c>
      <c r="X110" s="489">
        <f>修补数量统计!DI96</f>
        <v>0</v>
      </c>
      <c r="Y110" s="489">
        <f>修补数量统计!DN96</f>
        <v>0</v>
      </c>
      <c r="Z110" s="489">
        <f>修补数量统计!DS96</f>
        <v>0</v>
      </c>
      <c r="AA110" s="489">
        <f>修补数量统计!DX96</f>
        <v>0</v>
      </c>
      <c r="AB110" s="489">
        <f>修补数量统计!EC96</f>
        <v>0</v>
      </c>
      <c r="AC110" s="489">
        <f>修补数量统计!EH96</f>
        <v>0</v>
      </c>
      <c r="AD110" s="489">
        <f>修补数量统计!EM96</f>
        <v>0</v>
      </c>
      <c r="AE110" s="489">
        <f>修补数量统计!ER96</f>
        <v>0</v>
      </c>
      <c r="AF110" s="489">
        <f>修补数量统计!EW96</f>
        <v>0</v>
      </c>
      <c r="AG110" s="489">
        <f>修补数量统计!FB96</f>
        <v>0</v>
      </c>
      <c r="AH110" s="489">
        <f t="shared" si="8"/>
        <v>0</v>
      </c>
      <c r="AI110" s="511">
        <v>0.373</v>
      </c>
      <c r="AJ110" s="512"/>
      <c r="AK110" s="275">
        <f t="shared" si="9"/>
        <v>0</v>
      </c>
    </row>
    <row r="111" s="362" customFormat="1" ht="15" customHeight="1" spans="1:37">
      <c r="A111" s="264" t="s">
        <v>34</v>
      </c>
      <c r="B111" s="266" t="s">
        <v>8</v>
      </c>
      <c r="C111" s="489">
        <f>修补数量统计!H97</f>
        <v>0</v>
      </c>
      <c r="D111" s="489">
        <f>修补数量统计!I97</f>
        <v>0</v>
      </c>
      <c r="E111" s="489">
        <f>VLOOKUP(B111,修补数量统计!D97:FW106,15,0)</f>
        <v>0</v>
      </c>
      <c r="F111" s="489">
        <f>VLOOKUP(B111,修补数量统计!D97:FW106,20,0)</f>
        <v>0</v>
      </c>
      <c r="G111" s="489">
        <f>VLOOKUP(B111,修补数量统计!D97:FW106,25,0)</f>
        <v>0</v>
      </c>
      <c r="H111" s="489">
        <f>VLOOKUP(B111,修补数量统计!D97:FW106,30,0)</f>
        <v>0</v>
      </c>
      <c r="I111" s="489">
        <f>VLOOKUP(B111,修补数量统计!D97:FW106,35,0)</f>
        <v>0</v>
      </c>
      <c r="J111" s="489">
        <f>VLOOKUP(B111,修补数量统计!D97:FW106,40,0)</f>
        <v>0</v>
      </c>
      <c r="K111" s="489">
        <f>VLOOKUP(B111,修补数量统计!D97:FW106,45,0)</f>
        <v>0</v>
      </c>
      <c r="L111" s="489">
        <f>VLOOKUP(B111,修补数量统计!D97:FW106,50,0)</f>
        <v>0</v>
      </c>
      <c r="M111" s="489">
        <f>修补数量统计!BF97</f>
        <v>0</v>
      </c>
      <c r="N111" s="489">
        <f>修补数量统计!BK97</f>
        <v>0</v>
      </c>
      <c r="O111" s="489">
        <f>修补数量统计!BP97</f>
        <v>0</v>
      </c>
      <c r="P111" s="489">
        <f>修补数量统计!BU97</f>
        <v>0</v>
      </c>
      <c r="Q111" s="489">
        <f>修补数量统计!BZ97</f>
        <v>0</v>
      </c>
      <c r="R111" s="489">
        <f>修补数量统计!CE97</f>
        <v>0</v>
      </c>
      <c r="S111" s="489">
        <f>修补数量统计!CJ97</f>
        <v>0</v>
      </c>
      <c r="T111" s="489">
        <f>修补数量统计!CO97</f>
        <v>0</v>
      </c>
      <c r="U111" s="489">
        <f>修补数量统计!CT97</f>
        <v>0</v>
      </c>
      <c r="V111" s="489">
        <f>修补数量统计!CY97</f>
        <v>0</v>
      </c>
      <c r="W111" s="489">
        <f>修补数量统计!DD97</f>
        <v>0</v>
      </c>
      <c r="X111" s="489">
        <f>修补数量统计!DI97</f>
        <v>0</v>
      </c>
      <c r="Y111" s="489">
        <f>修补数量统计!DN97</f>
        <v>0</v>
      </c>
      <c r="Z111" s="489">
        <f>修补数量统计!DS97</f>
        <v>0</v>
      </c>
      <c r="AA111" s="489">
        <f>修补数量统计!DX97</f>
        <v>0</v>
      </c>
      <c r="AB111" s="489">
        <f>修补数量统计!EC97</f>
        <v>0</v>
      </c>
      <c r="AC111" s="489">
        <f>修补数量统计!EH97</f>
        <v>0</v>
      </c>
      <c r="AD111" s="489">
        <f>修补数量统计!EM97</f>
        <v>0</v>
      </c>
      <c r="AE111" s="489">
        <f>修补数量统计!ER97</f>
        <v>0</v>
      </c>
      <c r="AF111" s="489">
        <f>修补数量统计!EW97</f>
        <v>0</v>
      </c>
      <c r="AG111" s="489">
        <f>修补数量统计!FB98</f>
        <v>0</v>
      </c>
      <c r="AH111" s="486">
        <f t="shared" si="8"/>
        <v>0</v>
      </c>
      <c r="AI111" s="267">
        <v>0.4</v>
      </c>
      <c r="AJ111" s="507">
        <f>AH111*AI111+AH112*AI112+AH113*AI113+AH114*AI114+AH115*AI115+AH116*AI116+AH117*AI117+AH118*AI118+AH119*AI119+AH120*AI120</f>
        <v>0</v>
      </c>
      <c r="AK111" s="267">
        <v>0.4</v>
      </c>
    </row>
    <row r="112" s="362" customFormat="1" ht="15" customHeight="1" spans="1:37">
      <c r="A112" s="270"/>
      <c r="B112" s="266" t="s">
        <v>9</v>
      </c>
      <c r="C112" s="489">
        <f>修补数量统计!H98</f>
        <v>0</v>
      </c>
      <c r="D112" s="489">
        <f>修补数量统计!I98</f>
        <v>0</v>
      </c>
      <c r="E112" s="489">
        <f>VLOOKUP(B112,修补数量统计!D98:FW107,15,0)</f>
        <v>0</v>
      </c>
      <c r="F112" s="489">
        <f>VLOOKUP(B112,修补数量统计!D98:FW107,20,0)</f>
        <v>0</v>
      </c>
      <c r="G112" s="489">
        <f>VLOOKUP(B112,修补数量统计!D98:FW107,25,0)</f>
        <v>0</v>
      </c>
      <c r="H112" s="489">
        <f>VLOOKUP(B112,修补数量统计!D98:FW107,30,0)</f>
        <v>0</v>
      </c>
      <c r="I112" s="489">
        <f>VLOOKUP(B112,修补数量统计!D98:FW107,35,0)</f>
        <v>0</v>
      </c>
      <c r="J112" s="489">
        <f>VLOOKUP(B112,修补数量统计!D98:FW107,40,0)</f>
        <v>0</v>
      </c>
      <c r="K112" s="489">
        <f>VLOOKUP(B112,修补数量统计!D98:FW107,45,0)</f>
        <v>0</v>
      </c>
      <c r="L112" s="489">
        <f>VLOOKUP(B112,修补数量统计!D98:FW107,50,0)</f>
        <v>0</v>
      </c>
      <c r="M112" s="489">
        <f>修补数量统计!BF98</f>
        <v>0</v>
      </c>
      <c r="N112" s="489">
        <f>修补数量统计!BK98</f>
        <v>0</v>
      </c>
      <c r="O112" s="489">
        <f>修补数量统计!BP98</f>
        <v>0</v>
      </c>
      <c r="P112" s="489">
        <f>修补数量统计!BU98</f>
        <v>0</v>
      </c>
      <c r="Q112" s="489">
        <f>修补数量统计!BZ98</f>
        <v>0</v>
      </c>
      <c r="R112" s="489">
        <f>修补数量统计!CE98</f>
        <v>0</v>
      </c>
      <c r="S112" s="489">
        <f>修补数量统计!CJ98</f>
        <v>0</v>
      </c>
      <c r="T112" s="489">
        <f>修补数量统计!CO98</f>
        <v>0</v>
      </c>
      <c r="U112" s="489">
        <f>修补数量统计!CT98</f>
        <v>0</v>
      </c>
      <c r="V112" s="489">
        <f>修补数量统计!CY98</f>
        <v>0</v>
      </c>
      <c r="W112" s="489">
        <f>修补数量统计!DD98</f>
        <v>0</v>
      </c>
      <c r="X112" s="489">
        <f>修补数量统计!DI98</f>
        <v>0</v>
      </c>
      <c r="Y112" s="489">
        <f>修补数量统计!DN98</f>
        <v>0</v>
      </c>
      <c r="Z112" s="489">
        <f>修补数量统计!DS98</f>
        <v>0</v>
      </c>
      <c r="AA112" s="489">
        <f>修补数量统计!DX98</f>
        <v>0</v>
      </c>
      <c r="AB112" s="489">
        <f>修补数量统计!EC98</f>
        <v>0</v>
      </c>
      <c r="AC112" s="489">
        <f>修补数量统计!EH98</f>
        <v>0</v>
      </c>
      <c r="AD112" s="489">
        <f>修补数量统计!EM98</f>
        <v>0</v>
      </c>
      <c r="AE112" s="489">
        <f>修补数量统计!ER98</f>
        <v>0</v>
      </c>
      <c r="AF112" s="489">
        <f>修补数量统计!EW98</f>
        <v>0</v>
      </c>
      <c r="AG112" s="489">
        <f>修补数量统计!FB99</f>
        <v>0</v>
      </c>
      <c r="AH112" s="486">
        <f t="shared" ref="AH112:AH120" si="10">C112+D112+E112+F112+G112+H112+I112+J112+K112+L112+M112+N112+O112+P112+Q112+R112+S112+T112+U112+V112+W112+X112+Y112+Z112+AA112+AB112+AC112+AD112+AE112+AF112+AG112</f>
        <v>0</v>
      </c>
      <c r="AI112" s="271">
        <v>0.133</v>
      </c>
      <c r="AJ112" s="507"/>
      <c r="AK112" s="271">
        <v>0.133</v>
      </c>
    </row>
    <row r="113" s="362" customFormat="1" ht="15" customHeight="1" spans="1:37">
      <c r="A113" s="270"/>
      <c r="B113" s="266" t="s">
        <v>10</v>
      </c>
      <c r="C113" s="489">
        <f>修补数量统计!H99</f>
        <v>0</v>
      </c>
      <c r="D113" s="489">
        <f>修补数量统计!I99</f>
        <v>0</v>
      </c>
      <c r="E113" s="489">
        <f>VLOOKUP(B113,修补数量统计!D99:FW108,15,0)</f>
        <v>0</v>
      </c>
      <c r="F113" s="489">
        <f>VLOOKUP(B113,修补数量统计!D99:FW108,20,0)</f>
        <v>0</v>
      </c>
      <c r="G113" s="489">
        <f>VLOOKUP(B113,修补数量统计!D99:FW108,25,0)</f>
        <v>0</v>
      </c>
      <c r="H113" s="489">
        <f>VLOOKUP(B113,修补数量统计!D99:FW108,30,0)</f>
        <v>0</v>
      </c>
      <c r="I113" s="489">
        <f>VLOOKUP(B113,修补数量统计!D99:FW108,35,0)</f>
        <v>0</v>
      </c>
      <c r="J113" s="489">
        <f>VLOOKUP(B113,修补数量统计!D99:FW108,40,0)</f>
        <v>0</v>
      </c>
      <c r="K113" s="489">
        <f>VLOOKUP(B113,修补数量统计!D99:FW108,45,0)</f>
        <v>0</v>
      </c>
      <c r="L113" s="489">
        <f>VLOOKUP(B113,修补数量统计!D99:FW108,50,0)</f>
        <v>0</v>
      </c>
      <c r="M113" s="489">
        <f>修补数量统计!BF99</f>
        <v>0</v>
      </c>
      <c r="N113" s="489">
        <f>修补数量统计!BK99</f>
        <v>0</v>
      </c>
      <c r="O113" s="489">
        <f>修补数量统计!BP99</f>
        <v>0</v>
      </c>
      <c r="P113" s="489">
        <f>修补数量统计!BU99</f>
        <v>0</v>
      </c>
      <c r="Q113" s="489">
        <f>修补数量统计!BZ99</f>
        <v>0</v>
      </c>
      <c r="R113" s="489">
        <f>修补数量统计!CE99</f>
        <v>0</v>
      </c>
      <c r="S113" s="489">
        <f>修补数量统计!CJ99</f>
        <v>0</v>
      </c>
      <c r="T113" s="489">
        <f>修补数量统计!CO99</f>
        <v>0</v>
      </c>
      <c r="U113" s="489">
        <f>修补数量统计!CT99</f>
        <v>0</v>
      </c>
      <c r="V113" s="489">
        <f>修补数量统计!CY99</f>
        <v>0</v>
      </c>
      <c r="W113" s="489">
        <f>修补数量统计!DD99</f>
        <v>0</v>
      </c>
      <c r="X113" s="489">
        <f>修补数量统计!DI99</f>
        <v>0</v>
      </c>
      <c r="Y113" s="489">
        <f>修补数量统计!DN99</f>
        <v>0</v>
      </c>
      <c r="Z113" s="489">
        <f>修补数量统计!DS99</f>
        <v>0</v>
      </c>
      <c r="AA113" s="489">
        <f>修补数量统计!DX99</f>
        <v>0</v>
      </c>
      <c r="AB113" s="489">
        <f>修补数量统计!EC99</f>
        <v>0</v>
      </c>
      <c r="AC113" s="489">
        <f>修补数量统计!EH99</f>
        <v>0</v>
      </c>
      <c r="AD113" s="489">
        <f>修补数量统计!EM99</f>
        <v>0</v>
      </c>
      <c r="AE113" s="489">
        <f>修补数量统计!ER99</f>
        <v>0</v>
      </c>
      <c r="AF113" s="489">
        <f>修补数量统计!EW99</f>
        <v>0</v>
      </c>
      <c r="AG113" s="489">
        <f>修补数量统计!FB100</f>
        <v>0</v>
      </c>
      <c r="AH113" s="486">
        <f t="shared" si="10"/>
        <v>0</v>
      </c>
      <c r="AI113" s="271">
        <v>0.133</v>
      </c>
      <c r="AJ113" s="507"/>
      <c r="AK113" s="271">
        <v>0.133</v>
      </c>
    </row>
    <row r="114" s="362" customFormat="1" ht="15" customHeight="1" spans="1:37">
      <c r="A114" s="270"/>
      <c r="B114" s="266" t="s">
        <v>11</v>
      </c>
      <c r="C114" s="489">
        <f>修补数量统计!H100</f>
        <v>0</v>
      </c>
      <c r="D114" s="489">
        <f>修补数量统计!M100</f>
        <v>0</v>
      </c>
      <c r="E114" s="489">
        <f>VLOOKUP(B114,修补数量统计!D100:FW109,15,0)</f>
        <v>0</v>
      </c>
      <c r="F114" s="489">
        <f>VLOOKUP(B114,修补数量统计!D100:FW109,20,0)</f>
        <v>0</v>
      </c>
      <c r="G114" s="489">
        <f>VLOOKUP(B114,修补数量统计!D100:FW109,25,0)</f>
        <v>0</v>
      </c>
      <c r="H114" s="489">
        <f>VLOOKUP(B114,修补数量统计!D100:FW109,30,0)</f>
        <v>0</v>
      </c>
      <c r="I114" s="489">
        <f>VLOOKUP(B114,修补数量统计!D100:FW109,35,0)</f>
        <v>0</v>
      </c>
      <c r="J114" s="489">
        <f>VLOOKUP(B114,修补数量统计!D100:FW109,40,0)</f>
        <v>0</v>
      </c>
      <c r="K114" s="489">
        <f>VLOOKUP(B114,修补数量统计!D100:FW109,45,0)</f>
        <v>0</v>
      </c>
      <c r="L114" s="489">
        <f>VLOOKUP(B114,修补数量统计!D100:FW109,50,0)</f>
        <v>0</v>
      </c>
      <c r="M114" s="489">
        <f>修补数量统计!BF100</f>
        <v>0</v>
      </c>
      <c r="N114" s="489">
        <f>修补数量统计!BK100</f>
        <v>0</v>
      </c>
      <c r="O114" s="489">
        <f>修补数量统计!BP100</f>
        <v>0</v>
      </c>
      <c r="P114" s="489">
        <f>修补数量统计!BU100</f>
        <v>0</v>
      </c>
      <c r="Q114" s="489">
        <f>修补数量统计!BZ100</f>
        <v>0</v>
      </c>
      <c r="R114" s="489">
        <f>修补数量统计!CE100</f>
        <v>0</v>
      </c>
      <c r="S114" s="489">
        <f>修补数量统计!CJ100</f>
        <v>0</v>
      </c>
      <c r="T114" s="489">
        <f>修补数量统计!CO100</f>
        <v>0</v>
      </c>
      <c r="U114" s="489">
        <f>修补数量统计!CT100</f>
        <v>0</v>
      </c>
      <c r="V114" s="489">
        <f>修补数量统计!CY100</f>
        <v>0</v>
      </c>
      <c r="W114" s="489">
        <f>修补数量统计!DD100</f>
        <v>0</v>
      </c>
      <c r="X114" s="489">
        <f>修补数量统计!DI100</f>
        <v>0</v>
      </c>
      <c r="Y114" s="489">
        <f>修补数量统计!DN100</f>
        <v>0</v>
      </c>
      <c r="Z114" s="489">
        <f>修补数量统计!DS100</f>
        <v>0</v>
      </c>
      <c r="AA114" s="489">
        <f>修补数量统计!DX100</f>
        <v>0</v>
      </c>
      <c r="AB114" s="489">
        <f>修补数量统计!EC100</f>
        <v>0</v>
      </c>
      <c r="AC114" s="489">
        <f>修补数量统计!EH100</f>
        <v>0</v>
      </c>
      <c r="AD114" s="489">
        <f>修补数量统计!EM100</f>
        <v>0</v>
      </c>
      <c r="AE114" s="489">
        <f>修补数量统计!ER100</f>
        <v>0</v>
      </c>
      <c r="AF114" s="489">
        <f>修补数量统计!EW100</f>
        <v>0</v>
      </c>
      <c r="AG114" s="489">
        <f>修补数量统计!FB101</f>
        <v>0</v>
      </c>
      <c r="AH114" s="486">
        <f t="shared" si="10"/>
        <v>0</v>
      </c>
      <c r="AI114" s="271">
        <v>0.23</v>
      </c>
      <c r="AJ114" s="507"/>
      <c r="AK114" s="271">
        <v>0.23</v>
      </c>
    </row>
    <row r="115" s="362" customFormat="1" ht="15" customHeight="1" spans="1:37">
      <c r="A115" s="270"/>
      <c r="B115" s="266" t="s">
        <v>12</v>
      </c>
      <c r="C115" s="489">
        <f>修补数量统计!H101</f>
        <v>0</v>
      </c>
      <c r="D115" s="489">
        <f>修补数量统计!M101</f>
        <v>0</v>
      </c>
      <c r="E115" s="489">
        <f>VLOOKUP(B115,修补数量统计!D101:FW110,15,0)</f>
        <v>0</v>
      </c>
      <c r="F115" s="489">
        <f>VLOOKUP(B115,修补数量统计!D101:FW110,20,0)</f>
        <v>0</v>
      </c>
      <c r="G115" s="489">
        <f>VLOOKUP(B115,修补数量统计!D101:FW110,25,0)</f>
        <v>0</v>
      </c>
      <c r="H115" s="489">
        <f>VLOOKUP(B115,修补数量统计!D101:FW110,30,0)</f>
        <v>0</v>
      </c>
      <c r="I115" s="489">
        <f>VLOOKUP(B115,修补数量统计!D101:FW110,35,0)</f>
        <v>0</v>
      </c>
      <c r="J115" s="489">
        <f>VLOOKUP(B115,修补数量统计!D101:FW110,40,0)</f>
        <v>0</v>
      </c>
      <c r="K115" s="489">
        <f>VLOOKUP(B115,修补数量统计!D101:FW110,45,0)</f>
        <v>0</v>
      </c>
      <c r="L115" s="489">
        <f>VLOOKUP(B115,修补数量统计!D101:FW110,50,0)</f>
        <v>0</v>
      </c>
      <c r="M115" s="489">
        <f>修补数量统计!BF101</f>
        <v>0</v>
      </c>
      <c r="N115" s="489">
        <f>修补数量统计!BK101</f>
        <v>0</v>
      </c>
      <c r="O115" s="489">
        <f>修补数量统计!BP101</f>
        <v>0</v>
      </c>
      <c r="P115" s="489">
        <f>修补数量统计!BU101</f>
        <v>0</v>
      </c>
      <c r="Q115" s="489">
        <f>修补数量统计!BZ101</f>
        <v>0</v>
      </c>
      <c r="R115" s="489">
        <f>修补数量统计!CE101</f>
        <v>0</v>
      </c>
      <c r="S115" s="489">
        <f>修补数量统计!CJ101</f>
        <v>0</v>
      </c>
      <c r="T115" s="489">
        <f>修补数量统计!CO101</f>
        <v>0</v>
      </c>
      <c r="U115" s="489">
        <f>修补数量统计!CT101</f>
        <v>0</v>
      </c>
      <c r="V115" s="489">
        <f>修补数量统计!CY101</f>
        <v>0</v>
      </c>
      <c r="W115" s="489">
        <f>修补数量统计!DD101</f>
        <v>0</v>
      </c>
      <c r="X115" s="489">
        <f>修补数量统计!DI101</f>
        <v>0</v>
      </c>
      <c r="Y115" s="489">
        <f>修补数量统计!DN101</f>
        <v>0</v>
      </c>
      <c r="Z115" s="489">
        <f>修补数量统计!DS101</f>
        <v>0</v>
      </c>
      <c r="AA115" s="489">
        <f>修补数量统计!DX101</f>
        <v>0</v>
      </c>
      <c r="AB115" s="489">
        <f>修补数量统计!EC101</f>
        <v>0</v>
      </c>
      <c r="AC115" s="489">
        <f>修补数量统计!EH101</f>
        <v>0</v>
      </c>
      <c r="AD115" s="489">
        <f>修补数量统计!EM101</f>
        <v>0</v>
      </c>
      <c r="AE115" s="489">
        <f>修补数量统计!ER101</f>
        <v>0</v>
      </c>
      <c r="AF115" s="489">
        <f>修补数量统计!EW101</f>
        <v>0</v>
      </c>
      <c r="AG115" s="489">
        <f>修补数量统计!FB102</f>
        <v>0</v>
      </c>
      <c r="AH115" s="486">
        <f t="shared" si="10"/>
        <v>0</v>
      </c>
      <c r="AI115" s="271">
        <v>0.25</v>
      </c>
      <c r="AJ115" s="507"/>
      <c r="AK115" s="271">
        <v>0.25</v>
      </c>
    </row>
    <row r="116" s="362" customFormat="1" ht="15" customHeight="1" spans="1:37">
      <c r="A116" s="270"/>
      <c r="B116" s="266" t="s">
        <v>13</v>
      </c>
      <c r="C116" s="489">
        <f>修补数量统计!H102</f>
        <v>0</v>
      </c>
      <c r="D116" s="489">
        <f>修补数量统计!I102</f>
        <v>0</v>
      </c>
      <c r="E116" s="489">
        <v>0</v>
      </c>
      <c r="F116" s="489">
        <v>0</v>
      </c>
      <c r="G116" s="489">
        <v>0</v>
      </c>
      <c r="H116" s="489">
        <v>0</v>
      </c>
      <c r="I116" s="489">
        <v>0</v>
      </c>
      <c r="J116" s="489">
        <v>0</v>
      </c>
      <c r="K116" s="489">
        <v>0</v>
      </c>
      <c r="L116" s="489">
        <v>0</v>
      </c>
      <c r="M116" s="489">
        <f>修补数量统计!BF102</f>
        <v>0</v>
      </c>
      <c r="N116" s="489">
        <f>修补数量统计!BK102</f>
        <v>0</v>
      </c>
      <c r="O116" s="489">
        <f>修补数量统计!BP102</f>
        <v>0</v>
      </c>
      <c r="P116" s="489">
        <f>修补数量统计!BU102</f>
        <v>0</v>
      </c>
      <c r="Q116" s="489">
        <f>修补数量统计!BZ102</f>
        <v>0</v>
      </c>
      <c r="R116" s="489">
        <f>修补数量统计!CE102</f>
        <v>0</v>
      </c>
      <c r="S116" s="489">
        <f>修补数量统计!CJ102</f>
        <v>0</v>
      </c>
      <c r="T116" s="489">
        <f>修补数量统计!CO102</f>
        <v>0</v>
      </c>
      <c r="U116" s="489">
        <f>修补数量统计!CT102</f>
        <v>0</v>
      </c>
      <c r="V116" s="489">
        <f>修补数量统计!CY102</f>
        <v>0</v>
      </c>
      <c r="W116" s="489">
        <f>修补数量统计!DD102</f>
        <v>0</v>
      </c>
      <c r="X116" s="489">
        <f>修补数量统计!DI102</f>
        <v>0</v>
      </c>
      <c r="Y116" s="489">
        <f>修补数量统计!DN102</f>
        <v>0</v>
      </c>
      <c r="Z116" s="489">
        <f>修补数量统计!DS102</f>
        <v>0</v>
      </c>
      <c r="AA116" s="489">
        <f>修补数量统计!DX102</f>
        <v>0</v>
      </c>
      <c r="AB116" s="489">
        <f>修补数量统计!EC102</f>
        <v>0</v>
      </c>
      <c r="AC116" s="489">
        <f>修补数量统计!EH102</f>
        <v>0</v>
      </c>
      <c r="AD116" s="489">
        <f>修补数量统计!EM102</f>
        <v>0</v>
      </c>
      <c r="AE116" s="489">
        <f>修补数量统计!ER102</f>
        <v>0</v>
      </c>
      <c r="AF116" s="489">
        <f>修补数量统计!EW102</f>
        <v>0</v>
      </c>
      <c r="AG116" s="489">
        <f>修补数量统计!FB103</f>
        <v>0</v>
      </c>
      <c r="AH116" s="486">
        <f t="shared" si="10"/>
        <v>0</v>
      </c>
      <c r="AI116" s="271">
        <v>0.373</v>
      </c>
      <c r="AJ116" s="507"/>
      <c r="AK116" s="271">
        <v>0.373</v>
      </c>
    </row>
    <row r="117" s="362" customFormat="1" ht="15" customHeight="1" spans="1:37">
      <c r="A117" s="270"/>
      <c r="B117" s="266" t="s">
        <v>14</v>
      </c>
      <c r="C117" s="489">
        <f>修补数量统计!H103</f>
        <v>0</v>
      </c>
      <c r="D117" s="489">
        <f>修补数量统计!I103</f>
        <v>0</v>
      </c>
      <c r="E117" s="489">
        <f>VLOOKUP(B117,修补数量统计!D103:FW112,15,0)</f>
        <v>0</v>
      </c>
      <c r="F117" s="489">
        <f>VLOOKUP(B117,修补数量统计!D103:FW112,20,0)</f>
        <v>0</v>
      </c>
      <c r="G117" s="489">
        <f>VLOOKUP(B117,修补数量统计!D103:FW112,25,0)</f>
        <v>0</v>
      </c>
      <c r="H117" s="489">
        <f>VLOOKUP(B117,修补数量统计!D103:FW112,30,0)</f>
        <v>0</v>
      </c>
      <c r="I117" s="489">
        <f>VLOOKUP(B117,修补数量统计!D103:FW112,35,0)</f>
        <v>0</v>
      </c>
      <c r="J117" s="489">
        <f>VLOOKUP(B117,修补数量统计!D103:FW112,40,0)</f>
        <v>0</v>
      </c>
      <c r="K117" s="489">
        <f>VLOOKUP(B117,修补数量统计!D103:FW112,45,0)</f>
        <v>0</v>
      </c>
      <c r="L117" s="489">
        <f>VLOOKUP(B117,修补数量统计!D103:FW112,50,0)</f>
        <v>0</v>
      </c>
      <c r="M117" s="489">
        <f>修补数量统计!BF103</f>
        <v>0</v>
      </c>
      <c r="N117" s="489">
        <f>修补数量统计!BK103</f>
        <v>0</v>
      </c>
      <c r="O117" s="489">
        <f>修补数量统计!BP103</f>
        <v>0</v>
      </c>
      <c r="P117" s="489">
        <f>修补数量统计!BU103</f>
        <v>0</v>
      </c>
      <c r="Q117" s="489">
        <f>修补数量统计!BZ103</f>
        <v>0</v>
      </c>
      <c r="R117" s="489">
        <f>修补数量统计!CE103</f>
        <v>0</v>
      </c>
      <c r="S117" s="489">
        <f>修补数量统计!CJ103</f>
        <v>0</v>
      </c>
      <c r="T117" s="489">
        <f>修补数量统计!CO103</f>
        <v>0</v>
      </c>
      <c r="U117" s="489">
        <f>修补数量统计!CT103</f>
        <v>0</v>
      </c>
      <c r="V117" s="489">
        <f>修补数量统计!CY103</f>
        <v>0</v>
      </c>
      <c r="W117" s="489">
        <f>修补数量统计!DD103</f>
        <v>0</v>
      </c>
      <c r="X117" s="489">
        <f>修补数量统计!DI103</f>
        <v>0</v>
      </c>
      <c r="Y117" s="489">
        <f>修补数量统计!DN103</f>
        <v>0</v>
      </c>
      <c r="Z117" s="489">
        <f>修补数量统计!DS103</f>
        <v>0</v>
      </c>
      <c r="AA117" s="489">
        <f>修补数量统计!DX103</f>
        <v>0</v>
      </c>
      <c r="AB117" s="489">
        <f>修补数量统计!EC103</f>
        <v>0</v>
      </c>
      <c r="AC117" s="489">
        <f>修补数量统计!EH103</f>
        <v>0</v>
      </c>
      <c r="AD117" s="489">
        <f>修补数量统计!EM103</f>
        <v>0</v>
      </c>
      <c r="AE117" s="489">
        <f>修补数量统计!ER103</f>
        <v>0</v>
      </c>
      <c r="AF117" s="489">
        <f>修补数量统计!EW103</f>
        <v>0</v>
      </c>
      <c r="AG117" s="489">
        <f>修补数量统计!FB104</f>
        <v>0</v>
      </c>
      <c r="AH117" s="486">
        <f t="shared" si="10"/>
        <v>0</v>
      </c>
      <c r="AI117" s="271">
        <v>0.373</v>
      </c>
      <c r="AJ117" s="507"/>
      <c r="AK117" s="271">
        <v>0.373</v>
      </c>
    </row>
    <row r="118" s="362" customFormat="1" ht="15" customHeight="1" spans="1:37">
      <c r="A118" s="270"/>
      <c r="B118" s="266" t="s">
        <v>15</v>
      </c>
      <c r="C118" s="489">
        <f>修补数量统计!H104</f>
        <v>0</v>
      </c>
      <c r="D118" s="489">
        <f>修补数量统计!I104</f>
        <v>0</v>
      </c>
      <c r="E118" s="489">
        <f>VLOOKUP(B118,修补数量统计!D104:FW113,15,0)</f>
        <v>0</v>
      </c>
      <c r="F118" s="489">
        <f>VLOOKUP(B118,修补数量统计!D104:FW113,20,0)</f>
        <v>0</v>
      </c>
      <c r="G118" s="489">
        <f>VLOOKUP(B118,修补数量统计!D104:FW113,25,0)</f>
        <v>0</v>
      </c>
      <c r="H118" s="489">
        <f>VLOOKUP(B118,修补数量统计!D104:FW113,30,0)</f>
        <v>0</v>
      </c>
      <c r="I118" s="489">
        <f>VLOOKUP(B118,修补数量统计!D104:FW113,35,0)</f>
        <v>0</v>
      </c>
      <c r="J118" s="489">
        <f>VLOOKUP(B118,修补数量统计!D104:FW113,40,0)</f>
        <v>0</v>
      </c>
      <c r="K118" s="489">
        <f>VLOOKUP(B118,修补数量统计!D104:FW113,45,0)</f>
        <v>0</v>
      </c>
      <c r="L118" s="489">
        <f>VLOOKUP(B118,修补数量统计!D104:FW113,50,0)</f>
        <v>0</v>
      </c>
      <c r="M118" s="489">
        <f>修补数量统计!BF104</f>
        <v>0</v>
      </c>
      <c r="N118" s="489">
        <f>修补数量统计!BK104</f>
        <v>0</v>
      </c>
      <c r="O118" s="489">
        <f>修补数量统计!BP104</f>
        <v>0</v>
      </c>
      <c r="P118" s="489">
        <f>修补数量统计!BU104</f>
        <v>0</v>
      </c>
      <c r="Q118" s="489">
        <f>修补数量统计!BZ104</f>
        <v>0</v>
      </c>
      <c r="R118" s="489">
        <f>修补数量统计!CE104</f>
        <v>0</v>
      </c>
      <c r="S118" s="489">
        <f>修补数量统计!CJ104</f>
        <v>0</v>
      </c>
      <c r="T118" s="489">
        <f>修补数量统计!CO104</f>
        <v>0</v>
      </c>
      <c r="U118" s="489">
        <f>修补数量统计!CT104</f>
        <v>0</v>
      </c>
      <c r="V118" s="489">
        <f>修补数量统计!CY104</f>
        <v>0</v>
      </c>
      <c r="W118" s="489">
        <f>修补数量统计!DD104</f>
        <v>0</v>
      </c>
      <c r="X118" s="489">
        <f>修补数量统计!DI104</f>
        <v>0</v>
      </c>
      <c r="Y118" s="489">
        <f>修补数量统计!DN104</f>
        <v>0</v>
      </c>
      <c r="Z118" s="489">
        <f>修补数量统计!DS104</f>
        <v>0</v>
      </c>
      <c r="AA118" s="489">
        <f>修补数量统计!DX104</f>
        <v>0</v>
      </c>
      <c r="AB118" s="489">
        <f>修补数量统计!EC104</f>
        <v>0</v>
      </c>
      <c r="AC118" s="489">
        <f>修补数量统计!EH104</f>
        <v>0</v>
      </c>
      <c r="AD118" s="489">
        <f>修补数量统计!EM104</f>
        <v>0</v>
      </c>
      <c r="AE118" s="489">
        <f>修补数量统计!ER104</f>
        <v>0</v>
      </c>
      <c r="AF118" s="489">
        <f>修补数量统计!EW104</f>
        <v>0</v>
      </c>
      <c r="AG118" s="489">
        <f>修补数量统计!FB105</f>
        <v>0</v>
      </c>
      <c r="AH118" s="486">
        <f t="shared" si="10"/>
        <v>0</v>
      </c>
      <c r="AI118" s="271">
        <v>0.67</v>
      </c>
      <c r="AJ118" s="507"/>
      <c r="AK118" s="271">
        <v>0.373</v>
      </c>
    </row>
    <row r="119" s="362" customFormat="1" ht="18" customHeight="1" spans="1:37">
      <c r="A119" s="270"/>
      <c r="B119" s="266" t="s">
        <v>16</v>
      </c>
      <c r="C119" s="489">
        <f>修补数量统计!H105</f>
        <v>0</v>
      </c>
      <c r="D119" s="489">
        <f>修补数量统计!I105</f>
        <v>0</v>
      </c>
      <c r="E119" s="489">
        <f>VLOOKUP(B119,修补数量统计!D105:FW114,15,0)</f>
        <v>0</v>
      </c>
      <c r="F119" s="489">
        <f>VLOOKUP(B119,修补数量统计!D105:FW114,20,0)</f>
        <v>0</v>
      </c>
      <c r="G119" s="489">
        <f>VLOOKUP(B119,修补数量统计!D105:FW114,25,0)</f>
        <v>0</v>
      </c>
      <c r="H119" s="489">
        <f>VLOOKUP(B119,修补数量统计!D105:FW114,30,0)</f>
        <v>0</v>
      </c>
      <c r="I119" s="489">
        <f>VLOOKUP(B119,修补数量统计!D105:FW114,35,0)</f>
        <v>0</v>
      </c>
      <c r="J119" s="489">
        <f>VLOOKUP(B119,修补数量统计!D105:FW114,40,0)</f>
        <v>0</v>
      </c>
      <c r="K119" s="489">
        <f>VLOOKUP(B119,修补数量统计!D105:FW114,45,0)</f>
        <v>0</v>
      </c>
      <c r="L119" s="489">
        <f>VLOOKUP(B119,修补数量统计!D105:FW114,50,0)</f>
        <v>0</v>
      </c>
      <c r="M119" s="489">
        <f>修补数量统计!BF105</f>
        <v>0</v>
      </c>
      <c r="N119" s="489">
        <f>修补数量统计!BK105</f>
        <v>0</v>
      </c>
      <c r="O119" s="489">
        <f>修补数量统计!BP105</f>
        <v>0</v>
      </c>
      <c r="P119" s="489">
        <f>修补数量统计!BU105</f>
        <v>0</v>
      </c>
      <c r="Q119" s="489">
        <f>修补数量统计!BZ105</f>
        <v>0</v>
      </c>
      <c r="R119" s="489">
        <f>修补数量统计!CE105</f>
        <v>0</v>
      </c>
      <c r="S119" s="489">
        <f>修补数量统计!CJ105</f>
        <v>0</v>
      </c>
      <c r="T119" s="489">
        <f>修补数量统计!CO105</f>
        <v>0</v>
      </c>
      <c r="U119" s="489">
        <f>修补数量统计!CT105</f>
        <v>0</v>
      </c>
      <c r="V119" s="489">
        <f>修补数量统计!CY105</f>
        <v>0</v>
      </c>
      <c r="W119" s="489">
        <f>修补数量统计!DD105</f>
        <v>0</v>
      </c>
      <c r="X119" s="489">
        <f>修补数量统计!DI105</f>
        <v>0</v>
      </c>
      <c r="Y119" s="489">
        <f>修补数量统计!DN105</f>
        <v>0</v>
      </c>
      <c r="Z119" s="489">
        <f>修补数量统计!DS105</f>
        <v>0</v>
      </c>
      <c r="AA119" s="489">
        <f>修补数量统计!DX105</f>
        <v>0</v>
      </c>
      <c r="AB119" s="489">
        <f>修补数量统计!EC105</f>
        <v>0</v>
      </c>
      <c r="AC119" s="489">
        <f>修补数量统计!EH105</f>
        <v>0</v>
      </c>
      <c r="AD119" s="489">
        <f>修补数量统计!EM105</f>
        <v>0</v>
      </c>
      <c r="AE119" s="489">
        <f>修补数量统计!ER105</f>
        <v>0</v>
      </c>
      <c r="AF119" s="489">
        <f>修补数量统计!EW105</f>
        <v>0</v>
      </c>
      <c r="AG119" s="489">
        <f>修补数量统计!FB106</f>
        <v>0</v>
      </c>
      <c r="AH119" s="486">
        <f t="shared" si="10"/>
        <v>0</v>
      </c>
      <c r="AI119" s="271">
        <v>0.67</v>
      </c>
      <c r="AJ119" s="507"/>
      <c r="AK119" s="271">
        <v>0.373</v>
      </c>
    </row>
    <row r="120" s="362" customFormat="1" ht="21" customHeight="1" spans="1:37">
      <c r="A120" s="272"/>
      <c r="B120" s="266" t="s">
        <v>17</v>
      </c>
      <c r="C120" s="489">
        <f>修补数量统计!H106</f>
        <v>0</v>
      </c>
      <c r="D120" s="489">
        <f>修补数量统计!I106</f>
        <v>0</v>
      </c>
      <c r="E120" s="489">
        <f>VLOOKUP(B120,修补数量统计!D106:FW115,15,0)</f>
        <v>0</v>
      </c>
      <c r="F120" s="489">
        <f>VLOOKUP(B120,修补数量统计!D106:FW115,20,0)</f>
        <v>0</v>
      </c>
      <c r="G120" s="489">
        <f>VLOOKUP(B120,修补数量统计!D106:FW115,25,0)</f>
        <v>0</v>
      </c>
      <c r="H120" s="489">
        <f>VLOOKUP(B120,修补数量统计!D106:FW115,30,0)</f>
        <v>0</v>
      </c>
      <c r="I120" s="489">
        <f>VLOOKUP(B120,修补数量统计!D106:FW115,35,0)</f>
        <v>0</v>
      </c>
      <c r="J120" s="489">
        <f>VLOOKUP(B120,修补数量统计!D106:FW115,40,0)</f>
        <v>0</v>
      </c>
      <c r="K120" s="489">
        <f>VLOOKUP(B120,修补数量统计!D106:FW115,45,0)</f>
        <v>0</v>
      </c>
      <c r="L120" s="489">
        <f>VLOOKUP(B120,修补数量统计!D106:FW115,50,0)</f>
        <v>0</v>
      </c>
      <c r="M120" s="489">
        <f>修补数量统计!BF106</f>
        <v>0</v>
      </c>
      <c r="N120" s="489">
        <f>修补数量统计!BK106</f>
        <v>0</v>
      </c>
      <c r="O120" s="489">
        <f>修补数量统计!BP106</f>
        <v>0</v>
      </c>
      <c r="P120" s="489">
        <f>修补数量统计!BU106</f>
        <v>0</v>
      </c>
      <c r="Q120" s="489">
        <f>修补数量统计!BZ106</f>
        <v>0</v>
      </c>
      <c r="R120" s="489">
        <f>修补数量统计!CE106</f>
        <v>0</v>
      </c>
      <c r="S120" s="489">
        <f>修补数量统计!CJ106</f>
        <v>0</v>
      </c>
      <c r="T120" s="489">
        <f>修补数量统计!CO106</f>
        <v>0</v>
      </c>
      <c r="U120" s="489">
        <f>修补数量统计!CT106</f>
        <v>0</v>
      </c>
      <c r="V120" s="489">
        <f>修补数量统计!CY106</f>
        <v>0</v>
      </c>
      <c r="W120" s="489">
        <f>修补数量统计!DD106</f>
        <v>0</v>
      </c>
      <c r="X120" s="489">
        <f>修补数量统计!DI106</f>
        <v>0</v>
      </c>
      <c r="Y120" s="489">
        <f>修补数量统计!DN106</f>
        <v>0</v>
      </c>
      <c r="Z120" s="489">
        <f>修补数量统计!DS106</f>
        <v>0</v>
      </c>
      <c r="AA120" s="489">
        <f>修补数量统计!DX106</f>
        <v>0</v>
      </c>
      <c r="AB120" s="489">
        <f>修补数量统计!EC106</f>
        <v>0</v>
      </c>
      <c r="AC120" s="489">
        <f>修补数量统计!EH106</f>
        <v>0</v>
      </c>
      <c r="AD120" s="489">
        <f>修补数量统计!EM106</f>
        <v>0</v>
      </c>
      <c r="AE120" s="489">
        <f>修补数量统计!ER106</f>
        <v>0</v>
      </c>
      <c r="AF120" s="489">
        <f>修补数量统计!EW106</f>
        <v>0</v>
      </c>
      <c r="AG120" s="489">
        <f>修补数量统计!FB107</f>
        <v>0</v>
      </c>
      <c r="AH120" s="486">
        <f t="shared" si="10"/>
        <v>0</v>
      </c>
      <c r="AI120" s="505">
        <v>0.373</v>
      </c>
      <c r="AJ120" s="507"/>
      <c r="AK120" s="271">
        <v>0.373</v>
      </c>
    </row>
    <row r="121" s="364" customFormat="1" ht="15" customHeight="1" spans="1:37">
      <c r="A121" s="496" t="s">
        <v>35</v>
      </c>
      <c r="B121" s="497" t="s">
        <v>8</v>
      </c>
      <c r="C121" s="489">
        <f>修补数量统计!H107</f>
        <v>0</v>
      </c>
      <c r="D121" s="489">
        <f>修补数量统计!I107</f>
        <v>0</v>
      </c>
      <c r="E121" s="489">
        <f>VLOOKUP(B121,修补数量统计!D107:FW116,15,0)</f>
        <v>0</v>
      </c>
      <c r="F121" s="489">
        <f>VLOOKUP(B121,修补数量统计!D107:FW116,20,0)</f>
        <v>0</v>
      </c>
      <c r="G121" s="489">
        <f>VLOOKUP(B121,修补数量统计!D107:FW116,25,0)</f>
        <v>309</v>
      </c>
      <c r="H121" s="489">
        <f>VLOOKUP(B121,修补数量统计!D107:FW116,30,0)</f>
        <v>0</v>
      </c>
      <c r="I121" s="489">
        <f>VLOOKUP(B121,修补数量统计!D107:FW116,35,0)</f>
        <v>0</v>
      </c>
      <c r="J121" s="489">
        <f>VLOOKUP(B121,修补数量统计!D107:FW116,40,0)</f>
        <v>0</v>
      </c>
      <c r="K121" s="489">
        <f>VLOOKUP(B121,修补数量统计!D107:FW116,45,0)</f>
        <v>0</v>
      </c>
      <c r="L121" s="489">
        <f>VLOOKUP(B121,修补数量统计!D107:FW116,50,0)</f>
        <v>0</v>
      </c>
      <c r="M121" s="489">
        <f>修补数量统计!BF107</f>
        <v>0</v>
      </c>
      <c r="N121" s="489">
        <f>修补数量统计!BK107</f>
        <v>0</v>
      </c>
      <c r="O121" s="489">
        <f>修补数量统计!BP107</f>
        <v>0</v>
      </c>
      <c r="P121" s="489">
        <f>修补数量统计!BU107</f>
        <v>0</v>
      </c>
      <c r="Q121" s="489">
        <f>修补数量统计!BZ107</f>
        <v>0</v>
      </c>
      <c r="R121" s="489">
        <f>修补数量统计!CE107</f>
        <v>0</v>
      </c>
      <c r="S121" s="489">
        <f>修补数量统计!CJ107</f>
        <v>0</v>
      </c>
      <c r="T121" s="489">
        <f>修补数量统计!CO107</f>
        <v>0</v>
      </c>
      <c r="U121" s="489">
        <f>修补数量统计!CT107</f>
        <v>0</v>
      </c>
      <c r="V121" s="489">
        <f>修补数量统计!CY107</f>
        <v>60</v>
      </c>
      <c r="W121" s="489">
        <f>修补数量统计!DD107</f>
        <v>0</v>
      </c>
      <c r="X121" s="489">
        <f>修补数量统计!DI107</f>
        <v>0</v>
      </c>
      <c r="Y121" s="489">
        <f>修补数量统计!DN107</f>
        <v>0</v>
      </c>
      <c r="Z121" s="489">
        <f>修补数量统计!DS107</f>
        <v>70</v>
      </c>
      <c r="AA121" s="489">
        <f>修补数量统计!DX107</f>
        <v>0</v>
      </c>
      <c r="AB121" s="489">
        <f>修补数量统计!EC107</f>
        <v>0</v>
      </c>
      <c r="AC121" s="489">
        <f>修补数量统计!EH107</f>
        <v>0</v>
      </c>
      <c r="AD121" s="489">
        <f>修补数量统计!EM107</f>
        <v>0</v>
      </c>
      <c r="AE121" s="489">
        <f>修补数量统计!ER107</f>
        <v>0</v>
      </c>
      <c r="AF121" s="489">
        <f>修补数量统计!EW107</f>
        <v>175</v>
      </c>
      <c r="AG121" s="489">
        <f>修补数量统计!FB108</f>
        <v>0</v>
      </c>
      <c r="AH121" s="513">
        <f t="shared" ref="AH112:AH121" si="11">C121+D121+E121+F121+G121+H121+I121+J121+K121+L121+M121+N121+O121+P121+Q121+R121+S121+T121+U121+V121+W121+X121+Y121+Z121+AA121+AB121+AC121+AD121+AE121+AF121+AG121</f>
        <v>614</v>
      </c>
      <c r="AI121" s="514">
        <v>0.4</v>
      </c>
      <c r="AJ121" s="515">
        <f>AH121*AI121+AH122*AI122+AH123*AI123+AH124*AI124+AH125*AI125+AH126*AI126+AH127*AI127+AH128*AI128+AH129*AI129+AH130*AI130</f>
        <v>2434.841</v>
      </c>
      <c r="AK121" s="514">
        <v>0.4</v>
      </c>
    </row>
    <row r="122" s="364" customFormat="1" ht="15" customHeight="1" spans="1:37">
      <c r="A122" s="498"/>
      <c r="B122" s="497" t="s">
        <v>9</v>
      </c>
      <c r="C122" s="489">
        <f>修补数量统计!H108</f>
        <v>0</v>
      </c>
      <c r="D122" s="489">
        <f>修补数量统计!I108</f>
        <v>0</v>
      </c>
      <c r="E122" s="489">
        <f>VLOOKUP(B122,修补数量统计!D108:FW117,15,0)</f>
        <v>0</v>
      </c>
      <c r="F122" s="489">
        <f>VLOOKUP(B122,修补数量统计!D108:FW117,20,0)</f>
        <v>0</v>
      </c>
      <c r="G122" s="489">
        <f>VLOOKUP(B122,修补数量统计!D108:FW117,25,0)</f>
        <v>0</v>
      </c>
      <c r="H122" s="489">
        <f>VLOOKUP(B122,修补数量统计!D108:FW117,30,0)</f>
        <v>0</v>
      </c>
      <c r="I122" s="489">
        <f>VLOOKUP(B122,修补数量统计!D108:FW117,35,0)</f>
        <v>0</v>
      </c>
      <c r="J122" s="489">
        <f>VLOOKUP(B122,修补数量统计!D108:FW117,40,0)</f>
        <v>0</v>
      </c>
      <c r="K122" s="489">
        <f>VLOOKUP(B122,修补数量统计!D108:FW117,45,0)</f>
        <v>0</v>
      </c>
      <c r="L122" s="489">
        <f>VLOOKUP(B122,修补数量统计!D108:FW117,50,0)</f>
        <v>0</v>
      </c>
      <c r="M122" s="489">
        <f>修补数量统计!BF108</f>
        <v>0</v>
      </c>
      <c r="N122" s="489">
        <f>修补数量统计!BK108</f>
        <v>0</v>
      </c>
      <c r="O122" s="489">
        <f>修补数量统计!BP108</f>
        <v>0</v>
      </c>
      <c r="P122" s="489">
        <f>修补数量统计!BU108</f>
        <v>0</v>
      </c>
      <c r="Q122" s="489">
        <f>修补数量统计!BZ108</f>
        <v>0</v>
      </c>
      <c r="R122" s="489">
        <f>修补数量统计!CE108</f>
        <v>0</v>
      </c>
      <c r="S122" s="489">
        <f>修补数量统计!CJ108</f>
        <v>0</v>
      </c>
      <c r="T122" s="489">
        <f>修补数量统计!CO108</f>
        <v>0</v>
      </c>
      <c r="U122" s="489">
        <f>修补数量统计!CT108</f>
        <v>0</v>
      </c>
      <c r="V122" s="489">
        <f>修补数量统计!CY108</f>
        <v>0</v>
      </c>
      <c r="W122" s="489">
        <f>修补数量统计!DD108</f>
        <v>0</v>
      </c>
      <c r="X122" s="489">
        <f>修补数量统计!DI108</f>
        <v>0</v>
      </c>
      <c r="Y122" s="489">
        <f>修补数量统计!DN108</f>
        <v>0</v>
      </c>
      <c r="Z122" s="489">
        <f>修补数量统计!DS108</f>
        <v>0</v>
      </c>
      <c r="AA122" s="489">
        <f>修补数量统计!DX108</f>
        <v>0</v>
      </c>
      <c r="AB122" s="489">
        <f>修补数量统计!EC108</f>
        <v>0</v>
      </c>
      <c r="AC122" s="489">
        <f>修补数量统计!EH108</f>
        <v>0</v>
      </c>
      <c r="AD122" s="489">
        <f>修补数量统计!EM108</f>
        <v>0</v>
      </c>
      <c r="AE122" s="489">
        <f>修补数量统计!ER108</f>
        <v>0</v>
      </c>
      <c r="AF122" s="489">
        <f>修补数量统计!EW108</f>
        <v>0</v>
      </c>
      <c r="AG122" s="489">
        <f>修补数量统计!FB109</f>
        <v>0</v>
      </c>
      <c r="AH122" s="513">
        <f t="shared" ref="AH122:AH130" si="12">C122+D122+E122+F122+G122+H122+I122+J122+K122+L122+M122+N122+O122+P122+Q122+R122+S122+T122+U122+V122+W122+X122+Y122+Z122+AA122+AB122+AC122+AD122+AE122+AF122+AG122</f>
        <v>0</v>
      </c>
      <c r="AI122" s="516">
        <v>0.133</v>
      </c>
      <c r="AJ122" s="515"/>
      <c r="AK122" s="516">
        <v>0.133</v>
      </c>
    </row>
    <row r="123" s="364" customFormat="1" ht="15" customHeight="1" spans="1:37">
      <c r="A123" s="498"/>
      <c r="B123" s="497" t="s">
        <v>10</v>
      </c>
      <c r="C123" s="489">
        <f>修补数量统计!H109</f>
        <v>0</v>
      </c>
      <c r="D123" s="489">
        <f>修补数量统计!I109</f>
        <v>0</v>
      </c>
      <c r="E123" s="489">
        <f>VLOOKUP(B123,修补数量统计!D109:FW118,15,0)</f>
        <v>0</v>
      </c>
      <c r="F123" s="489">
        <f>VLOOKUP(B123,修补数量统计!D109:FW118,20,0)</f>
        <v>0</v>
      </c>
      <c r="G123" s="489">
        <f>VLOOKUP(B123,修补数量统计!D109:FW118,25,0)</f>
        <v>0</v>
      </c>
      <c r="H123" s="489">
        <f>VLOOKUP(B123,修补数量统计!D109:FW118,30,0)</f>
        <v>0</v>
      </c>
      <c r="I123" s="489">
        <f>VLOOKUP(B123,修补数量统计!D109:FW118,35,0)</f>
        <v>0</v>
      </c>
      <c r="J123" s="489">
        <f>VLOOKUP(B123,修补数量统计!D109:FW118,40,0)</f>
        <v>0</v>
      </c>
      <c r="K123" s="489">
        <f>VLOOKUP(B123,修补数量统计!D109:FW118,45,0)</f>
        <v>0</v>
      </c>
      <c r="L123" s="489">
        <f>VLOOKUP(B123,修补数量统计!D109:FW118,50,0)</f>
        <v>0</v>
      </c>
      <c r="M123" s="489">
        <f>修补数量统计!BF109</f>
        <v>0</v>
      </c>
      <c r="N123" s="489">
        <f>修补数量统计!BK109</f>
        <v>0</v>
      </c>
      <c r="O123" s="489">
        <f>修补数量统计!BP109</f>
        <v>0</v>
      </c>
      <c r="P123" s="489">
        <f>修补数量统计!BU109</f>
        <v>0</v>
      </c>
      <c r="Q123" s="489">
        <f>修补数量统计!BZ109</f>
        <v>0</v>
      </c>
      <c r="R123" s="489">
        <f>修补数量统计!CE109</f>
        <v>0</v>
      </c>
      <c r="S123" s="489">
        <f>修补数量统计!CJ109</f>
        <v>0</v>
      </c>
      <c r="T123" s="489">
        <f>修补数量统计!CO109</f>
        <v>0</v>
      </c>
      <c r="U123" s="489">
        <f>修补数量统计!CT109</f>
        <v>0</v>
      </c>
      <c r="V123" s="489">
        <f>修补数量统计!CY109</f>
        <v>0</v>
      </c>
      <c r="W123" s="489">
        <f>修补数量统计!DD109</f>
        <v>0</v>
      </c>
      <c r="X123" s="489">
        <f>修补数量统计!DI109</f>
        <v>0</v>
      </c>
      <c r="Y123" s="489">
        <f>修补数量统计!DN109</f>
        <v>0</v>
      </c>
      <c r="Z123" s="489">
        <f>修补数量统计!DS109</f>
        <v>0</v>
      </c>
      <c r="AA123" s="489">
        <f>修补数量统计!DX109</f>
        <v>0</v>
      </c>
      <c r="AB123" s="489">
        <f>修补数量统计!EC109</f>
        <v>0</v>
      </c>
      <c r="AC123" s="489">
        <f>修补数量统计!EH109</f>
        <v>0</v>
      </c>
      <c r="AD123" s="489">
        <f>修补数量统计!EM109</f>
        <v>0</v>
      </c>
      <c r="AE123" s="489">
        <f>修补数量统计!ER109</f>
        <v>0</v>
      </c>
      <c r="AF123" s="489">
        <f>修补数量统计!EW109</f>
        <v>0</v>
      </c>
      <c r="AG123" s="489">
        <v>0</v>
      </c>
      <c r="AH123" s="513">
        <f t="shared" si="12"/>
        <v>0</v>
      </c>
      <c r="AI123" s="516">
        <v>0.133</v>
      </c>
      <c r="AJ123" s="515"/>
      <c r="AK123" s="516">
        <v>0.133</v>
      </c>
    </row>
    <row r="124" s="364" customFormat="1" ht="15" customHeight="1" spans="1:37">
      <c r="A124" s="498"/>
      <c r="B124" s="497" t="s">
        <v>11</v>
      </c>
      <c r="C124" s="489">
        <f>修补数量统计!H110</f>
        <v>0</v>
      </c>
      <c r="D124" s="489">
        <f>修补数量统计!I110</f>
        <v>0</v>
      </c>
      <c r="E124" s="489">
        <f>VLOOKUP(B124,修补数量统计!D110:FW119,15,0)</f>
        <v>0</v>
      </c>
      <c r="F124" s="489">
        <f>VLOOKUP(B124,修补数量统计!D110:FW119,20,0)</f>
        <v>0</v>
      </c>
      <c r="G124" s="489">
        <f>VLOOKUP(B124,修补数量统计!D110:FW119,25,0)</f>
        <v>0</v>
      </c>
      <c r="H124" s="489">
        <f>VLOOKUP(B124,修补数量统计!D110:FW119,30,0)</f>
        <v>0</v>
      </c>
      <c r="I124" s="489">
        <f>VLOOKUP(B124,修补数量统计!D110:FW119,35,0)</f>
        <v>0</v>
      </c>
      <c r="J124" s="489">
        <f>VLOOKUP(B124,修补数量统计!D110:FW119,40,0)</f>
        <v>0</v>
      </c>
      <c r="K124" s="489">
        <f>VLOOKUP(B124,修补数量统计!D110:FW119,45,0)</f>
        <v>0</v>
      </c>
      <c r="L124" s="489">
        <f>VLOOKUP(B124,修补数量统计!D110:FW119,50,0)</f>
        <v>0</v>
      </c>
      <c r="M124" s="489">
        <f>修补数量统计!BF110</f>
        <v>407</v>
      </c>
      <c r="N124" s="489">
        <f>修补数量统计!BK110</f>
        <v>300</v>
      </c>
      <c r="O124" s="489">
        <f>修补数量统计!BP110</f>
        <v>378</v>
      </c>
      <c r="P124" s="489">
        <f>修补数量统计!BU110</f>
        <v>442</v>
      </c>
      <c r="Q124" s="489">
        <f>修补数量统计!BZ110</f>
        <v>328</v>
      </c>
      <c r="R124" s="489">
        <f>修补数量统计!CE110</f>
        <v>339</v>
      </c>
      <c r="S124" s="489">
        <f>修补数量统计!CJ110</f>
        <v>320</v>
      </c>
      <c r="T124" s="489">
        <f>修补数量统计!CO110</f>
        <v>371</v>
      </c>
      <c r="U124" s="489">
        <f>修补数量统计!CT110</f>
        <v>225</v>
      </c>
      <c r="V124" s="489">
        <f>修补数量统计!CY110</f>
        <v>0</v>
      </c>
      <c r="W124" s="489">
        <f>修补数量统计!DD110</f>
        <v>0</v>
      </c>
      <c r="X124" s="489">
        <f>修补数量统计!DI110</f>
        <v>0</v>
      </c>
      <c r="Y124" s="489">
        <f>修补数量统计!DN110</f>
        <v>0</v>
      </c>
      <c r="Z124" s="489">
        <f>修补数量统计!DS110</f>
        <v>0</v>
      </c>
      <c r="AA124" s="489">
        <f>修补数量统计!DX110</f>
        <v>0</v>
      </c>
      <c r="AB124" s="489">
        <f>修补数量统计!EC110</f>
        <v>0</v>
      </c>
      <c r="AC124" s="489">
        <f>修补数量统计!EH110</f>
        <v>0</v>
      </c>
      <c r="AD124" s="489">
        <f>修补数量统计!EM110</f>
        <v>0</v>
      </c>
      <c r="AE124" s="489">
        <f>修补数量统计!ER110</f>
        <v>0</v>
      </c>
      <c r="AF124" s="489">
        <f>修补数量统计!EW110</f>
        <v>0</v>
      </c>
      <c r="AG124" s="489">
        <f>修补数量统计!FB110</f>
        <v>0</v>
      </c>
      <c r="AH124" s="513">
        <f t="shared" si="12"/>
        <v>3110</v>
      </c>
      <c r="AI124" s="516">
        <v>0.23</v>
      </c>
      <c r="AJ124" s="515"/>
      <c r="AK124" s="516">
        <v>0.23</v>
      </c>
    </row>
    <row r="125" s="364" customFormat="1" ht="15" customHeight="1" spans="1:37">
      <c r="A125" s="498"/>
      <c r="B125" s="497" t="s">
        <v>12</v>
      </c>
      <c r="C125" s="489">
        <f>修补数量统计!H111</f>
        <v>0</v>
      </c>
      <c r="D125" s="489">
        <f>修补数量统计!I111</f>
        <v>0</v>
      </c>
      <c r="E125" s="489">
        <f>VLOOKUP(B125,修补数量统计!D111:FW120,15,0)</f>
        <v>0</v>
      </c>
      <c r="F125" s="489">
        <f>VLOOKUP(B125,修补数量统计!D111:FW120,20,0)</f>
        <v>0</v>
      </c>
      <c r="G125" s="489">
        <f>VLOOKUP(B125,修补数量统计!D111:FW120,25,0)</f>
        <v>0</v>
      </c>
      <c r="H125" s="489">
        <f>VLOOKUP(B125,修补数量统计!D111:FW120,30,0)</f>
        <v>0</v>
      </c>
      <c r="I125" s="489">
        <f>VLOOKUP(B125,修补数量统计!D111:FW120,35,0)</f>
        <v>0</v>
      </c>
      <c r="J125" s="489">
        <f>VLOOKUP(B125,修补数量统计!D111:FW120,40,0)</f>
        <v>0</v>
      </c>
      <c r="K125" s="489">
        <f>VLOOKUP(B125,修补数量统计!D111:FW120,45,0)</f>
        <v>0</v>
      </c>
      <c r="L125" s="489">
        <f>VLOOKUP(B125,修补数量统计!D111:FW120,50,0)</f>
        <v>0</v>
      </c>
      <c r="M125" s="489">
        <f>修补数量统计!BF111</f>
        <v>323</v>
      </c>
      <c r="N125" s="489">
        <f>修补数量统计!BK111</f>
        <v>302</v>
      </c>
      <c r="O125" s="489">
        <f>修补数量统计!BP111</f>
        <v>305</v>
      </c>
      <c r="P125" s="489">
        <f>修补数量统计!BU111</f>
        <v>385</v>
      </c>
      <c r="Q125" s="489">
        <f>修补数量统计!BZ111</f>
        <v>0</v>
      </c>
      <c r="R125" s="489">
        <f>修补数量统计!CE111</f>
        <v>389</v>
      </c>
      <c r="S125" s="489">
        <f>修补数量统计!CJ111</f>
        <v>290</v>
      </c>
      <c r="T125" s="489">
        <f>修补数量统计!CO111</f>
        <v>362</v>
      </c>
      <c r="U125" s="489">
        <f>修补数量统计!CT111</f>
        <v>232</v>
      </c>
      <c r="V125" s="489">
        <f>修补数量统计!CY111</f>
        <v>0</v>
      </c>
      <c r="W125" s="489">
        <f>修补数量统计!DD111</f>
        <v>0</v>
      </c>
      <c r="X125" s="489">
        <f>修补数量统计!DI111</f>
        <v>0</v>
      </c>
      <c r="Y125" s="489">
        <f>修补数量统计!DN111</f>
        <v>0</v>
      </c>
      <c r="Z125" s="489">
        <f>修补数量统计!DS111</f>
        <v>0</v>
      </c>
      <c r="AA125" s="489">
        <f>修补数量统计!DX111</f>
        <v>0</v>
      </c>
      <c r="AB125" s="489">
        <f>修补数量统计!EC111</f>
        <v>0</v>
      </c>
      <c r="AC125" s="489">
        <f>修补数量统计!EH111</f>
        <v>0</v>
      </c>
      <c r="AD125" s="489">
        <f>修补数量统计!EM111</f>
        <v>0</v>
      </c>
      <c r="AE125" s="489">
        <f>修补数量统计!ER111</f>
        <v>0</v>
      </c>
      <c r="AF125" s="489">
        <f>修补数量统计!EW111</f>
        <v>0</v>
      </c>
      <c r="AG125" s="489">
        <f>修补数量统计!FB111</f>
        <v>0</v>
      </c>
      <c r="AH125" s="513">
        <f t="shared" si="12"/>
        <v>2588</v>
      </c>
      <c r="AI125" s="516">
        <v>0.25</v>
      </c>
      <c r="AJ125" s="515"/>
      <c r="AK125" s="516">
        <v>0.25</v>
      </c>
    </row>
    <row r="126" s="364" customFormat="1" ht="15" customHeight="1" spans="1:37">
      <c r="A126" s="498"/>
      <c r="B126" s="497" t="s">
        <v>13</v>
      </c>
      <c r="C126" s="489">
        <f>修补数量统计!H112</f>
        <v>0</v>
      </c>
      <c r="D126" s="489">
        <f>修补数量统计!I112</f>
        <v>0</v>
      </c>
      <c r="E126" s="489">
        <v>0</v>
      </c>
      <c r="F126" s="489">
        <v>0</v>
      </c>
      <c r="G126" s="489">
        <v>0</v>
      </c>
      <c r="H126" s="489">
        <v>0</v>
      </c>
      <c r="I126" s="489">
        <v>0</v>
      </c>
      <c r="J126" s="489">
        <v>0</v>
      </c>
      <c r="K126" s="489">
        <v>0</v>
      </c>
      <c r="L126" s="489">
        <v>0</v>
      </c>
      <c r="M126" s="489">
        <f>修补数量统计!BF112</f>
        <v>0</v>
      </c>
      <c r="N126" s="489">
        <f>修补数量统计!BK112</f>
        <v>0</v>
      </c>
      <c r="O126" s="489">
        <f>修补数量统计!BP112</f>
        <v>0</v>
      </c>
      <c r="P126" s="489">
        <f>修补数量统计!BU112</f>
        <v>0</v>
      </c>
      <c r="Q126" s="489">
        <f>修补数量统计!BZ112</f>
        <v>0</v>
      </c>
      <c r="R126" s="489">
        <f>修补数量统计!CE112</f>
        <v>0</v>
      </c>
      <c r="S126" s="489">
        <f>修补数量统计!CJ112</f>
        <v>0</v>
      </c>
      <c r="T126" s="489">
        <f>修补数量统计!CO112</f>
        <v>0</v>
      </c>
      <c r="U126" s="489">
        <f>修补数量统计!CT112</f>
        <v>0</v>
      </c>
      <c r="V126" s="489">
        <f>修补数量统计!CY112</f>
        <v>73</v>
      </c>
      <c r="W126" s="489">
        <f>修补数量统计!DD112</f>
        <v>0</v>
      </c>
      <c r="X126" s="489">
        <f>修补数量统计!DI112</f>
        <v>0</v>
      </c>
      <c r="Y126" s="489">
        <f>修补数量统计!DN112</f>
        <v>0</v>
      </c>
      <c r="Z126" s="489">
        <f>修补数量统计!DS112</f>
        <v>0</v>
      </c>
      <c r="AA126" s="489">
        <f>修补数量统计!DX112</f>
        <v>0</v>
      </c>
      <c r="AB126" s="489">
        <f>修补数量统计!EC112</f>
        <v>0</v>
      </c>
      <c r="AC126" s="489">
        <f>修补数量统计!EH112</f>
        <v>0</v>
      </c>
      <c r="AD126" s="489">
        <f>修补数量统计!EM112</f>
        <v>0</v>
      </c>
      <c r="AE126" s="489">
        <f>修补数量统计!ER112</f>
        <v>0</v>
      </c>
      <c r="AF126" s="489">
        <f>修补数量统计!EW112</f>
        <v>50</v>
      </c>
      <c r="AG126" s="489">
        <f>修补数量统计!FB113</f>
        <v>0</v>
      </c>
      <c r="AH126" s="513">
        <f t="shared" si="12"/>
        <v>123</v>
      </c>
      <c r="AI126" s="516">
        <v>0.373</v>
      </c>
      <c r="AJ126" s="515"/>
      <c r="AK126" s="516">
        <v>0.373</v>
      </c>
    </row>
    <row r="127" s="364" customFormat="1" ht="15" customHeight="1" spans="1:37">
      <c r="A127" s="498"/>
      <c r="B127" s="497" t="s">
        <v>14</v>
      </c>
      <c r="C127" s="489">
        <f>修补数量统计!H113</f>
        <v>0</v>
      </c>
      <c r="D127" s="489">
        <f>修补数量统计!I113</f>
        <v>0</v>
      </c>
      <c r="E127" s="489">
        <f>VLOOKUP(B127,修补数量统计!D113:FW122,15,0)</f>
        <v>0</v>
      </c>
      <c r="F127" s="489">
        <f>VLOOKUP(B127,修补数量统计!D113:FW122,20,0)</f>
        <v>0</v>
      </c>
      <c r="G127" s="489">
        <f>VLOOKUP(B127,修补数量统计!D113:FW122,25,0)</f>
        <v>0</v>
      </c>
      <c r="H127" s="489">
        <f>VLOOKUP(B127,修补数量统计!D113:FW122,30,0)</f>
        <v>0</v>
      </c>
      <c r="I127" s="489">
        <f>VLOOKUP(B127,修补数量统计!D113:FW122,35,0)</f>
        <v>0</v>
      </c>
      <c r="J127" s="489">
        <f>VLOOKUP(B127,修补数量统计!D113:FW122,40,0)</f>
        <v>0</v>
      </c>
      <c r="K127" s="489">
        <f>VLOOKUP(B127,修补数量统计!D113:FW122,45,0)</f>
        <v>0</v>
      </c>
      <c r="L127" s="489">
        <f>VLOOKUP(B127,修补数量统计!D113:FW122,50,0)</f>
        <v>0</v>
      </c>
      <c r="M127" s="489">
        <f>修补数量统计!BF113</f>
        <v>0</v>
      </c>
      <c r="N127" s="489">
        <f>修补数量统计!BK113</f>
        <v>0</v>
      </c>
      <c r="O127" s="489">
        <f>修补数量统计!BP113</f>
        <v>0</v>
      </c>
      <c r="P127" s="489">
        <f>修补数量统计!BU113</f>
        <v>0</v>
      </c>
      <c r="Q127" s="489">
        <f>修补数量统计!BZ113</f>
        <v>0</v>
      </c>
      <c r="R127" s="489">
        <f>修补数量统计!CE113</f>
        <v>0</v>
      </c>
      <c r="S127" s="489">
        <f>修补数量统计!CJ113</f>
        <v>0</v>
      </c>
      <c r="T127" s="489">
        <f>修补数量统计!CO113</f>
        <v>0</v>
      </c>
      <c r="U127" s="489">
        <f>修补数量统计!CT113</f>
        <v>0</v>
      </c>
      <c r="V127" s="489">
        <f>修补数量统计!CY113</f>
        <v>0</v>
      </c>
      <c r="W127" s="489">
        <f>修补数量统计!DD113</f>
        <v>0</v>
      </c>
      <c r="X127" s="489">
        <f>修补数量统计!DI113</f>
        <v>0</v>
      </c>
      <c r="Y127" s="489">
        <f>修补数量统计!DN113</f>
        <v>0</v>
      </c>
      <c r="Z127" s="489">
        <f>修补数量统计!DS113</f>
        <v>0</v>
      </c>
      <c r="AA127" s="489">
        <f>修补数量统计!DX113</f>
        <v>0</v>
      </c>
      <c r="AB127" s="489">
        <f>修补数量统计!EC113</f>
        <v>0</v>
      </c>
      <c r="AC127" s="489">
        <f>修补数量统计!EH113</f>
        <v>0</v>
      </c>
      <c r="AD127" s="489">
        <f>修补数量统计!EM113</f>
        <v>0</v>
      </c>
      <c r="AE127" s="489">
        <f>修补数量统计!ER113</f>
        <v>0</v>
      </c>
      <c r="AF127" s="489">
        <f>修补数量统计!EW113</f>
        <v>0</v>
      </c>
      <c r="AG127" s="489">
        <f>修补数量统计!FB114</f>
        <v>0</v>
      </c>
      <c r="AH127" s="513">
        <f t="shared" si="12"/>
        <v>0</v>
      </c>
      <c r="AI127" s="516">
        <v>0.373</v>
      </c>
      <c r="AJ127" s="515"/>
      <c r="AK127" s="516">
        <v>0.373</v>
      </c>
    </row>
    <row r="128" s="364" customFormat="1" ht="15" customHeight="1" spans="1:37">
      <c r="A128" s="498"/>
      <c r="B128" s="497" t="s">
        <v>15</v>
      </c>
      <c r="C128" s="489">
        <f>修补数量统计!H114</f>
        <v>0</v>
      </c>
      <c r="D128" s="489">
        <f>修补数量统计!I114</f>
        <v>0</v>
      </c>
      <c r="E128" s="489">
        <f>VLOOKUP(B128,修补数量统计!D114:FW123,15,0)</f>
        <v>0</v>
      </c>
      <c r="F128" s="489">
        <f>VLOOKUP(B128,修补数量统计!D114:FW123,20,0)</f>
        <v>0</v>
      </c>
      <c r="G128" s="489">
        <f>VLOOKUP(B128,修补数量统计!D114:FW123,25,0)</f>
        <v>0</v>
      </c>
      <c r="H128" s="489">
        <f>VLOOKUP(B128,修补数量统计!D114:FW123,30,0)</f>
        <v>0</v>
      </c>
      <c r="I128" s="489">
        <f>VLOOKUP(B128,修补数量统计!D114:FW123,35,0)</f>
        <v>0</v>
      </c>
      <c r="J128" s="489">
        <f>VLOOKUP(B128,修补数量统计!D114:FW123,40,0)</f>
        <v>0</v>
      </c>
      <c r="K128" s="489">
        <f>VLOOKUP(B128,修补数量统计!D114:FW123,45,0)</f>
        <v>0</v>
      </c>
      <c r="L128" s="489">
        <f>VLOOKUP(B128,修补数量统计!D114:FW123,50,0)</f>
        <v>0</v>
      </c>
      <c r="M128" s="489">
        <f>修补数量统计!BF114</f>
        <v>0</v>
      </c>
      <c r="N128" s="489">
        <f>修补数量统计!BK114</f>
        <v>0</v>
      </c>
      <c r="O128" s="489">
        <f>修补数量统计!BP114</f>
        <v>0</v>
      </c>
      <c r="P128" s="489">
        <f>修补数量统计!BU114</f>
        <v>0</v>
      </c>
      <c r="Q128" s="489">
        <f>修补数量统计!BZ114</f>
        <v>0</v>
      </c>
      <c r="R128" s="489">
        <f>修补数量统计!CE114</f>
        <v>0</v>
      </c>
      <c r="S128" s="489">
        <f>修补数量统计!CJ114</f>
        <v>0</v>
      </c>
      <c r="T128" s="489">
        <f>修补数量统计!CO114</f>
        <v>0</v>
      </c>
      <c r="U128" s="489">
        <f>修补数量统计!CT114</f>
        <v>0</v>
      </c>
      <c r="V128" s="489">
        <f>修补数量统计!CY114</f>
        <v>0</v>
      </c>
      <c r="W128" s="489">
        <f>修补数量统计!DD114</f>
        <v>115</v>
      </c>
      <c r="X128" s="489">
        <f>修补数量统计!DI114</f>
        <v>92</v>
      </c>
      <c r="Y128" s="489">
        <f>修补数量统计!DN114</f>
        <v>133</v>
      </c>
      <c r="Z128" s="489">
        <f>修补数量统计!DS114</f>
        <v>81</v>
      </c>
      <c r="AA128" s="489">
        <f>修补数量统计!DX114</f>
        <v>124</v>
      </c>
      <c r="AB128" s="489">
        <f>修补数量统计!EC114</f>
        <v>120</v>
      </c>
      <c r="AC128" s="489">
        <f>修补数量统计!EH114</f>
        <v>137</v>
      </c>
      <c r="AD128" s="489">
        <f>修补数量统计!EM114</f>
        <v>124</v>
      </c>
      <c r="AE128" s="489">
        <f>修补数量统计!ER114</f>
        <v>127</v>
      </c>
      <c r="AF128" s="489">
        <f>修补数量统计!EW114</f>
        <v>0</v>
      </c>
      <c r="AG128" s="489">
        <f>修补数量统计!FB115</f>
        <v>0</v>
      </c>
      <c r="AH128" s="513">
        <f t="shared" si="12"/>
        <v>1053</v>
      </c>
      <c r="AI128" s="516">
        <v>0.373</v>
      </c>
      <c r="AJ128" s="515"/>
      <c r="AK128" s="516">
        <v>0.373</v>
      </c>
    </row>
    <row r="129" s="364" customFormat="1" ht="18.95" customHeight="1" spans="1:37">
      <c r="A129" s="498"/>
      <c r="B129" s="497" t="s">
        <v>16</v>
      </c>
      <c r="C129" s="489">
        <f>修补数量统计!H115</f>
        <v>0</v>
      </c>
      <c r="D129" s="489">
        <f>修补数量统计!I115</f>
        <v>0</v>
      </c>
      <c r="E129" s="489">
        <f>VLOOKUP(B129,修补数量统计!D115:FW124,15,0)</f>
        <v>0</v>
      </c>
      <c r="F129" s="489">
        <f>VLOOKUP(B129,修补数量统计!D115:FW124,20,0)</f>
        <v>0</v>
      </c>
      <c r="G129" s="489">
        <f>VLOOKUP(B129,修补数量统计!D115:FW124,25,0)</f>
        <v>0</v>
      </c>
      <c r="H129" s="489">
        <f>VLOOKUP(B129,修补数量统计!D115:FW124,30,0)</f>
        <v>0</v>
      </c>
      <c r="I129" s="489">
        <f>VLOOKUP(B129,修补数量统计!D115:FW124,35,0)</f>
        <v>0</v>
      </c>
      <c r="J129" s="489">
        <f>VLOOKUP(B129,修补数量统计!D115:FW124,40,0)</f>
        <v>0</v>
      </c>
      <c r="K129" s="489">
        <f>VLOOKUP(B129,修补数量统计!D115:FW124,45,0)</f>
        <v>0</v>
      </c>
      <c r="L129" s="489">
        <f>VLOOKUP(B129,修补数量统计!D115:FW124,50,0)</f>
        <v>0</v>
      </c>
      <c r="M129" s="489">
        <f>修补数量统计!BF115</f>
        <v>0</v>
      </c>
      <c r="N129" s="489">
        <f>修补数量统计!BK115</f>
        <v>0</v>
      </c>
      <c r="O129" s="489">
        <f>修补数量统计!BP115</f>
        <v>0</v>
      </c>
      <c r="P129" s="489">
        <f>修补数量统计!BU115</f>
        <v>0</v>
      </c>
      <c r="Q129" s="489">
        <f>修补数量统计!BZ115</f>
        <v>0</v>
      </c>
      <c r="R129" s="489">
        <f>修补数量统计!CE115</f>
        <v>0</v>
      </c>
      <c r="S129" s="489">
        <f>修补数量统计!CJ115</f>
        <v>0</v>
      </c>
      <c r="T129" s="489">
        <f>修补数量统计!CO115</f>
        <v>0</v>
      </c>
      <c r="U129" s="489">
        <f>修补数量统计!CT115</f>
        <v>0</v>
      </c>
      <c r="V129" s="489">
        <f>修补数量统计!CY115</f>
        <v>0</v>
      </c>
      <c r="W129" s="489">
        <f>修补数量统计!DD115</f>
        <v>120</v>
      </c>
      <c r="X129" s="489">
        <f>修补数量统计!DI115</f>
        <v>93</v>
      </c>
      <c r="Y129" s="489">
        <f>修补数量统计!DN115</f>
        <v>128</v>
      </c>
      <c r="Z129" s="489">
        <f>修补数量统计!DS115</f>
        <v>101</v>
      </c>
      <c r="AA129" s="489">
        <f>修补数量统计!DX115</f>
        <v>122</v>
      </c>
      <c r="AB129" s="489">
        <f>修补数量统计!EC115</f>
        <v>114</v>
      </c>
      <c r="AC129" s="489">
        <f>修补数量统计!EH115</f>
        <v>117</v>
      </c>
      <c r="AD129" s="489">
        <f>修补数量统计!EM115</f>
        <v>126</v>
      </c>
      <c r="AE129" s="489">
        <f>修补数量统计!ER115</f>
        <v>120</v>
      </c>
      <c r="AF129" s="489">
        <f>修补数量统计!EW115</f>
        <v>0</v>
      </c>
      <c r="AG129" s="489">
        <f>修补数量统计!FB116</f>
        <v>0</v>
      </c>
      <c r="AH129" s="513">
        <f t="shared" si="12"/>
        <v>1041</v>
      </c>
      <c r="AI129" s="516">
        <v>0.373</v>
      </c>
      <c r="AJ129" s="515"/>
      <c r="AK129" s="516">
        <v>0.373</v>
      </c>
    </row>
    <row r="130" s="364" customFormat="1" ht="17.1" customHeight="1" spans="1:37">
      <c r="A130" s="517"/>
      <c r="B130" s="497" t="s">
        <v>17</v>
      </c>
      <c r="C130" s="489">
        <f>修补数量统计!H116</f>
        <v>0</v>
      </c>
      <c r="D130" s="489">
        <f>修补数量统计!I116</f>
        <v>0</v>
      </c>
      <c r="E130" s="489">
        <f>VLOOKUP(B130,修补数量统计!D116:FW125,15,0)</f>
        <v>0</v>
      </c>
      <c r="F130" s="489">
        <f>VLOOKUP(B130,修补数量统计!D116:FW125,20,0)</f>
        <v>0</v>
      </c>
      <c r="G130" s="489">
        <f>VLOOKUP(B130,修补数量统计!D116:FW125,25,0)</f>
        <v>0</v>
      </c>
      <c r="H130" s="489">
        <f>VLOOKUP(B130,修补数量统计!D116:FW125,30,0)</f>
        <v>0</v>
      </c>
      <c r="I130" s="489">
        <f>VLOOKUP(B130,修补数量统计!D116:FW125,35,0)</f>
        <v>0</v>
      </c>
      <c r="J130" s="489">
        <f>VLOOKUP(B130,修补数量统计!D116:FW125,40,0)</f>
        <v>0</v>
      </c>
      <c r="K130" s="489">
        <f>VLOOKUP(B130,修补数量统计!D116:FW125,45,0)</f>
        <v>0</v>
      </c>
      <c r="L130" s="489">
        <f>VLOOKUP(B130,修补数量统计!D116:FW125,50,0)</f>
        <v>0</v>
      </c>
      <c r="M130" s="489">
        <f>修补数量统计!BF116</f>
        <v>0</v>
      </c>
      <c r="N130" s="489">
        <f>修补数量统计!BK116</f>
        <v>0</v>
      </c>
      <c r="O130" s="489">
        <f>修补数量统计!BP116</f>
        <v>0</v>
      </c>
      <c r="P130" s="489">
        <f>修补数量统计!BU116</f>
        <v>0</v>
      </c>
      <c r="Q130" s="489">
        <f>修补数量统计!BZ116</f>
        <v>0</v>
      </c>
      <c r="R130" s="489">
        <f>修补数量统计!CE116</f>
        <v>0</v>
      </c>
      <c r="S130" s="489">
        <f>修补数量统计!CJ116</f>
        <v>0</v>
      </c>
      <c r="T130" s="489">
        <f>修补数量统计!CO116</f>
        <v>0</v>
      </c>
      <c r="U130" s="489">
        <f>修补数量统计!CT116</f>
        <v>0</v>
      </c>
      <c r="V130" s="489">
        <f>修补数量统计!CY116</f>
        <v>0</v>
      </c>
      <c r="W130" s="489">
        <f>修补数量统计!DD116</f>
        <v>0</v>
      </c>
      <c r="X130" s="489">
        <f>修补数量统计!DI116</f>
        <v>0</v>
      </c>
      <c r="Y130" s="489">
        <f>修补数量统计!DN116</f>
        <v>0</v>
      </c>
      <c r="Z130" s="489">
        <f>修补数量统计!DS116</f>
        <v>0</v>
      </c>
      <c r="AA130" s="489">
        <f>修补数量统计!DX116</f>
        <v>0</v>
      </c>
      <c r="AB130" s="489">
        <f>修补数量统计!EC116</f>
        <v>0</v>
      </c>
      <c r="AC130" s="489">
        <f>修补数量统计!EH116</f>
        <v>0</v>
      </c>
      <c r="AD130" s="489">
        <f>修补数量统计!EM116</f>
        <v>0</v>
      </c>
      <c r="AE130" s="489">
        <f>修补数量统计!ER116</f>
        <v>0</v>
      </c>
      <c r="AF130" s="489">
        <f>修补数量统计!EW116</f>
        <v>0</v>
      </c>
      <c r="AG130" s="489">
        <f>修补数量统计!FB117</f>
        <v>0</v>
      </c>
      <c r="AH130" s="513">
        <f t="shared" si="12"/>
        <v>0</v>
      </c>
      <c r="AI130" s="522">
        <v>0.373</v>
      </c>
      <c r="AJ130" s="515"/>
      <c r="AK130" s="516">
        <v>0.373</v>
      </c>
    </row>
    <row r="131" s="365" customFormat="1" ht="15" customHeight="1" spans="1:37">
      <c r="A131" s="518" t="s">
        <v>36</v>
      </c>
      <c r="B131" s="519" t="s">
        <v>8</v>
      </c>
      <c r="C131" s="489">
        <f>修补数量统计!H117</f>
        <v>0</v>
      </c>
      <c r="D131" s="489">
        <f>修补数量统计!I117</f>
        <v>0</v>
      </c>
      <c r="E131" s="489">
        <f>VLOOKUP(B131,修补数量统计!D117:FW126,15,0)</f>
        <v>0</v>
      </c>
      <c r="F131" s="489">
        <f>VLOOKUP(B131,修补数量统计!D117:FW126,20,0)</f>
        <v>0</v>
      </c>
      <c r="G131" s="489">
        <f>VLOOKUP(B131,修补数量统计!D117:FW126,25,0)</f>
        <v>0</v>
      </c>
      <c r="H131" s="489">
        <f>VLOOKUP(B131,修补数量统计!D117:FW126,30,0)</f>
        <v>0</v>
      </c>
      <c r="I131" s="489">
        <f>VLOOKUP(B131,修补数量统计!D117:FW126,35,0)</f>
        <v>0</v>
      </c>
      <c r="J131" s="489">
        <f>VLOOKUP(B131,修补数量统计!D117:FW126,40,0)</f>
        <v>0</v>
      </c>
      <c r="K131" s="489">
        <f>VLOOKUP(B131,修补数量统计!D117:FW126,45,0)</f>
        <v>0</v>
      </c>
      <c r="L131" s="489">
        <f>VLOOKUP(B131,修补数量统计!D117:FW126,50,0)</f>
        <v>0</v>
      </c>
      <c r="M131" s="489">
        <f>修补数量统计!BF117</f>
        <v>0</v>
      </c>
      <c r="N131" s="489">
        <f>修补数量统计!BK117</f>
        <v>0</v>
      </c>
      <c r="O131" s="489">
        <f>修补数量统计!BP117</f>
        <v>0</v>
      </c>
      <c r="P131" s="489">
        <f>修补数量统计!BU117</f>
        <v>0</v>
      </c>
      <c r="Q131" s="489">
        <f>修补数量统计!BZ117</f>
        <v>0</v>
      </c>
      <c r="R131" s="489">
        <f>修补数量统计!CE117</f>
        <v>0</v>
      </c>
      <c r="S131" s="489">
        <f>修补数量统计!CJ117</f>
        <v>0</v>
      </c>
      <c r="T131" s="489">
        <f>修补数量统计!CO117</f>
        <v>0</v>
      </c>
      <c r="U131" s="489">
        <f>修补数量统计!CT117</f>
        <v>0</v>
      </c>
      <c r="V131" s="489">
        <f>修补数量统计!CY117</f>
        <v>30</v>
      </c>
      <c r="W131" s="489">
        <f>修补数量统计!DD117</f>
        <v>0</v>
      </c>
      <c r="X131" s="489">
        <f>修补数量统计!DI117</f>
        <v>0</v>
      </c>
      <c r="Y131" s="489">
        <f>修补数量统计!DN117</f>
        <v>0</v>
      </c>
      <c r="Z131" s="489">
        <f>修补数量统计!DS117</f>
        <v>0</v>
      </c>
      <c r="AA131" s="489">
        <f>修补数量统计!DX117</f>
        <v>0</v>
      </c>
      <c r="AB131" s="489">
        <f>修补数量统计!EC117</f>
        <v>0</v>
      </c>
      <c r="AC131" s="489">
        <f>修补数量统计!EH117</f>
        <v>0</v>
      </c>
      <c r="AD131" s="489">
        <f>修补数量统计!EM117</f>
        <v>0</v>
      </c>
      <c r="AE131" s="489">
        <f>修补数量统计!ER117</f>
        <v>0</v>
      </c>
      <c r="AF131" s="489">
        <f>修补数量统计!EW117</f>
        <v>0</v>
      </c>
      <c r="AG131" s="489">
        <f>修补数量统计!FB118</f>
        <v>0</v>
      </c>
      <c r="AH131" s="523">
        <f t="shared" ref="AH131:AH140" si="13">C131+D131+E131+F131+G131+H131+I131+J131+K131+L131+M131+N131+O131+P131+Q131+R131+S131+T131+U131+V131+W131+X131+Y131+Z131+AA131+AB131+AC131+AD131+AE131+AF131+AG131</f>
        <v>30</v>
      </c>
      <c r="AI131" s="524">
        <v>0.4</v>
      </c>
      <c r="AJ131" s="525">
        <f>AH131*AI131+AH132*AI132+AH133*AI133+AH134*AI134+AH135*AI135+AH136*AI136+AH137*AI137+AH138*AI138+AH139*AI139+AH140*AI140</f>
        <v>374.827</v>
      </c>
      <c r="AK131" s="524">
        <v>0.4</v>
      </c>
    </row>
    <row r="132" s="365" customFormat="1" ht="15" customHeight="1" spans="1:37">
      <c r="A132" s="520"/>
      <c r="B132" s="519" t="s">
        <v>9</v>
      </c>
      <c r="C132" s="489">
        <f>修补数量统计!H118</f>
        <v>305</v>
      </c>
      <c r="D132" s="489">
        <f>修补数量统计!I118</f>
        <v>0</v>
      </c>
      <c r="E132" s="489">
        <f>VLOOKUP(B132,修补数量统计!D118:FW126,15,0)</f>
        <v>0</v>
      </c>
      <c r="F132" s="489">
        <f>VLOOKUP(B132,修补数量统计!D118:FW126,20,0)</f>
        <v>0</v>
      </c>
      <c r="G132" s="489">
        <f>VLOOKUP(B132,修补数量统计!D118:FW126,25,0)</f>
        <v>0</v>
      </c>
      <c r="H132" s="489">
        <f>VLOOKUP(B132,修补数量统计!D118:FW126,30,0)</f>
        <v>0</v>
      </c>
      <c r="I132" s="489">
        <f>VLOOKUP(B132,修补数量统计!D118:FW126,35,0)</f>
        <v>0</v>
      </c>
      <c r="J132" s="489">
        <f>VLOOKUP(B132,修补数量统计!D118:FW126,40,0)</f>
        <v>0</v>
      </c>
      <c r="K132" s="489">
        <f>VLOOKUP(B132,修补数量统计!D118:FW126,45,0)</f>
        <v>0</v>
      </c>
      <c r="L132" s="489">
        <f>VLOOKUP(B132,修补数量统计!D118:FW126,50,0)</f>
        <v>0</v>
      </c>
      <c r="M132" s="489">
        <f>修补数量统计!BF118</f>
        <v>0</v>
      </c>
      <c r="N132" s="489">
        <f>修补数量统计!BK118</f>
        <v>0</v>
      </c>
      <c r="O132" s="489">
        <f>修补数量统计!BP118</f>
        <v>0</v>
      </c>
      <c r="P132" s="489">
        <f>修补数量统计!BU118</f>
        <v>0</v>
      </c>
      <c r="Q132" s="489">
        <f>修补数量统计!BZ118</f>
        <v>0</v>
      </c>
      <c r="R132" s="489">
        <f>修补数量统计!CE118</f>
        <v>0</v>
      </c>
      <c r="S132" s="489">
        <f>修补数量统计!CJ118</f>
        <v>544</v>
      </c>
      <c r="T132" s="489">
        <f>修补数量统计!CO118</f>
        <v>0</v>
      </c>
      <c r="U132" s="489">
        <f>修补数量统计!CT118</f>
        <v>0</v>
      </c>
      <c r="V132" s="489">
        <f>修补数量统计!CY118</f>
        <v>0</v>
      </c>
      <c r="W132" s="489">
        <f>修补数量统计!DD118</f>
        <v>0</v>
      </c>
      <c r="X132" s="489">
        <f>修补数量统计!DI118</f>
        <v>0</v>
      </c>
      <c r="Y132" s="489">
        <f>修补数量统计!DN118</f>
        <v>0</v>
      </c>
      <c r="Z132" s="489">
        <f>修补数量统计!DS118</f>
        <v>0</v>
      </c>
      <c r="AA132" s="489">
        <f>修补数量统计!DX118</f>
        <v>0</v>
      </c>
      <c r="AB132" s="489">
        <f>修补数量统计!EC118</f>
        <v>0</v>
      </c>
      <c r="AC132" s="489">
        <f>修补数量统计!EH118</f>
        <v>0</v>
      </c>
      <c r="AD132" s="489">
        <f>修补数量统计!EM118</f>
        <v>0</v>
      </c>
      <c r="AE132" s="489">
        <f>修补数量统计!ER118</f>
        <v>0</v>
      </c>
      <c r="AF132" s="489">
        <f>修补数量统计!EW118</f>
        <v>0</v>
      </c>
      <c r="AG132" s="489">
        <f>修补数量统计!FB119</f>
        <v>0</v>
      </c>
      <c r="AH132" s="523">
        <f t="shared" si="13"/>
        <v>849</v>
      </c>
      <c r="AI132" s="526">
        <v>0.133</v>
      </c>
      <c r="AJ132" s="525"/>
      <c r="AK132" s="526">
        <v>0.133</v>
      </c>
    </row>
    <row r="133" s="365" customFormat="1" ht="15" customHeight="1" spans="1:37">
      <c r="A133" s="520"/>
      <c r="B133" s="519" t="s">
        <v>10</v>
      </c>
      <c r="C133" s="489">
        <f>修补数量统计!H119</f>
        <v>0</v>
      </c>
      <c r="D133" s="489">
        <f>修补数量统计!I119</f>
        <v>0</v>
      </c>
      <c r="E133" s="489">
        <f>VLOOKUP(B133,修补数量统计!D119:FW126,15,0)</f>
        <v>0</v>
      </c>
      <c r="F133" s="489">
        <f>VLOOKUP(B133,修补数量统计!D119:FW126,20,0)</f>
        <v>0</v>
      </c>
      <c r="G133" s="489">
        <f>VLOOKUP(B133,修补数量统计!D119:FW126,25,0)</f>
        <v>0</v>
      </c>
      <c r="H133" s="489">
        <f>VLOOKUP(B133,修补数量统计!D119:FW126,30,0)</f>
        <v>0</v>
      </c>
      <c r="I133" s="489">
        <f>VLOOKUP(B133,修补数量统计!D119:FW126,35,0)</f>
        <v>0</v>
      </c>
      <c r="J133" s="489">
        <f>VLOOKUP(B133,修补数量统计!D119:FW126,40,0)</f>
        <v>0</v>
      </c>
      <c r="K133" s="489">
        <f>VLOOKUP(B133,修补数量统计!D119:FW126,45,0)</f>
        <v>0</v>
      </c>
      <c r="L133" s="489">
        <f>VLOOKUP(B133,修补数量统计!D119:FW126,50,0)</f>
        <v>0</v>
      </c>
      <c r="M133" s="489">
        <f>修补数量统计!BF119</f>
        <v>0</v>
      </c>
      <c r="N133" s="489">
        <f>修补数量统计!BK119</f>
        <v>0</v>
      </c>
      <c r="O133" s="489">
        <f>修补数量统计!BP119</f>
        <v>0</v>
      </c>
      <c r="P133" s="489">
        <f>修补数量统计!BU119</f>
        <v>0</v>
      </c>
      <c r="Q133" s="489">
        <f>修补数量统计!BZ119</f>
        <v>0</v>
      </c>
      <c r="R133" s="489">
        <f>修补数量统计!CE119</f>
        <v>0</v>
      </c>
      <c r="S133" s="489">
        <f>修补数量统计!CJ119</f>
        <v>0</v>
      </c>
      <c r="T133" s="489">
        <f>修补数量统计!CO119</f>
        <v>0</v>
      </c>
      <c r="U133" s="489">
        <f>修补数量统计!CT119</f>
        <v>0</v>
      </c>
      <c r="V133" s="489">
        <f>修补数量统计!CY119</f>
        <v>0</v>
      </c>
      <c r="W133" s="489">
        <f>修补数量统计!DD119</f>
        <v>0</v>
      </c>
      <c r="X133" s="489">
        <f>修补数量统计!DI119</f>
        <v>0</v>
      </c>
      <c r="Y133" s="489">
        <f>修补数量统计!DN119</f>
        <v>0</v>
      </c>
      <c r="Z133" s="489">
        <f>修补数量统计!DS119</f>
        <v>0</v>
      </c>
      <c r="AA133" s="489">
        <f>修补数量统计!DX119</f>
        <v>0</v>
      </c>
      <c r="AB133" s="489">
        <f>修补数量统计!EC119</f>
        <v>0</v>
      </c>
      <c r="AC133" s="489">
        <f>修补数量统计!EH119</f>
        <v>0</v>
      </c>
      <c r="AD133" s="489">
        <f>修补数量统计!EM119</f>
        <v>0</v>
      </c>
      <c r="AE133" s="489">
        <f>修补数量统计!ER119</f>
        <v>0</v>
      </c>
      <c r="AF133" s="489">
        <f>修补数量统计!EW119</f>
        <v>0</v>
      </c>
      <c r="AG133" s="489">
        <f>修补数量统计!FB120</f>
        <v>0</v>
      </c>
      <c r="AH133" s="523">
        <f t="shared" si="13"/>
        <v>0</v>
      </c>
      <c r="AI133" s="526">
        <v>0.133</v>
      </c>
      <c r="AJ133" s="525"/>
      <c r="AK133" s="526">
        <v>0.133</v>
      </c>
    </row>
    <row r="134" s="365" customFormat="1" ht="15" customHeight="1" spans="1:37">
      <c r="A134" s="520"/>
      <c r="B134" s="519" t="s">
        <v>11</v>
      </c>
      <c r="C134" s="489">
        <f>修补数量统计!H120</f>
        <v>0</v>
      </c>
      <c r="D134" s="489">
        <f>修补数量统计!I120</f>
        <v>0</v>
      </c>
      <c r="E134" s="489">
        <f>VLOOKUP(B134,修补数量统计!D120:FW126,15,0)</f>
        <v>0</v>
      </c>
      <c r="F134" s="489">
        <f>VLOOKUP(B134,修补数量统计!D120:FW126,20,0)</f>
        <v>0</v>
      </c>
      <c r="G134" s="489">
        <f>VLOOKUP(B134,修补数量统计!D120:FW126,25,0)</f>
        <v>0</v>
      </c>
      <c r="H134" s="489">
        <f>VLOOKUP(B134,修补数量统计!D120:FW126,30,0)</f>
        <v>0</v>
      </c>
      <c r="I134" s="489">
        <f>VLOOKUP(B134,修补数量统计!D120:FW126,35,0)</f>
        <v>0</v>
      </c>
      <c r="J134" s="489">
        <f>VLOOKUP(B134,修补数量统计!D120:FW126,40,0)</f>
        <v>0</v>
      </c>
      <c r="K134" s="489">
        <f>VLOOKUP(B134,修补数量统计!D120:FW126,45,0)</f>
        <v>0</v>
      </c>
      <c r="L134" s="489">
        <f>VLOOKUP(B134,修补数量统计!D120:FW126,50,0)</f>
        <v>0</v>
      </c>
      <c r="M134" s="489">
        <f>修补数量统计!BF120</f>
        <v>0</v>
      </c>
      <c r="N134" s="489">
        <f>修补数量统计!BK120</f>
        <v>0</v>
      </c>
      <c r="O134" s="489">
        <f>修补数量统计!BP120</f>
        <v>0</v>
      </c>
      <c r="P134" s="489">
        <f>修补数量统计!BU120</f>
        <v>0</v>
      </c>
      <c r="Q134" s="489">
        <f>修补数量统计!BZ120</f>
        <v>0</v>
      </c>
      <c r="R134" s="489">
        <f>修补数量统计!CE120</f>
        <v>0</v>
      </c>
      <c r="S134" s="489">
        <f>修补数量统计!CJ120</f>
        <v>0</v>
      </c>
      <c r="T134" s="489">
        <f>修补数量统计!CO120</f>
        <v>0</v>
      </c>
      <c r="U134" s="489">
        <f>修补数量统计!CT120</f>
        <v>0</v>
      </c>
      <c r="V134" s="489">
        <f>修补数量统计!CY120</f>
        <v>0</v>
      </c>
      <c r="W134" s="489">
        <f>修补数量统计!DD120</f>
        <v>0</v>
      </c>
      <c r="X134" s="489">
        <f>修补数量统计!DI120</f>
        <v>0</v>
      </c>
      <c r="Y134" s="489">
        <f>修补数量统计!DN120</f>
        <v>0</v>
      </c>
      <c r="Z134" s="489">
        <f>修补数量统计!DS120</f>
        <v>0</v>
      </c>
      <c r="AA134" s="489">
        <f>修补数量统计!DX120</f>
        <v>0</v>
      </c>
      <c r="AB134" s="489">
        <f>修补数量统计!EC120</f>
        <v>0</v>
      </c>
      <c r="AC134" s="489">
        <f>修补数量统计!EH120</f>
        <v>0</v>
      </c>
      <c r="AD134" s="489">
        <f>修补数量统计!EM120</f>
        <v>0</v>
      </c>
      <c r="AE134" s="489">
        <f>修补数量统计!ER120</f>
        <v>0</v>
      </c>
      <c r="AF134" s="489">
        <f>修补数量统计!EW120</f>
        <v>0</v>
      </c>
      <c r="AG134" s="489">
        <f>修补数量统计!FB121</f>
        <v>0</v>
      </c>
      <c r="AH134" s="523">
        <f t="shared" si="13"/>
        <v>0</v>
      </c>
      <c r="AI134" s="526">
        <v>0.23</v>
      </c>
      <c r="AJ134" s="525"/>
      <c r="AK134" s="526">
        <v>0.23</v>
      </c>
    </row>
    <row r="135" s="365" customFormat="1" ht="15" customHeight="1" spans="1:37">
      <c r="A135" s="520"/>
      <c r="B135" s="519" t="s">
        <v>12</v>
      </c>
      <c r="C135" s="489">
        <f>修补数量统计!H121</f>
        <v>0</v>
      </c>
      <c r="D135" s="489">
        <f>修补数量统计!I121</f>
        <v>0</v>
      </c>
      <c r="E135" s="489">
        <f>VLOOKUP(B135,修补数量统计!D121:FW126,15,0)</f>
        <v>0</v>
      </c>
      <c r="F135" s="489">
        <f>VLOOKUP(B135,修补数量统计!D121:FW126,20,0)</f>
        <v>0</v>
      </c>
      <c r="G135" s="489">
        <f>VLOOKUP(B135,修补数量统计!D121:FW126,25,0)</f>
        <v>0</v>
      </c>
      <c r="H135" s="489">
        <v>0</v>
      </c>
      <c r="I135" s="489">
        <f>VLOOKUP(B135,修补数量统计!D121:FW126,35,0)</f>
        <v>0</v>
      </c>
      <c r="J135" s="489">
        <v>0</v>
      </c>
      <c r="K135" s="489">
        <f>VLOOKUP(B135,修补数量统计!D121:FW126,45,0)</f>
        <v>0</v>
      </c>
      <c r="L135" s="489">
        <f>VLOOKUP(B135,修补数量统计!D121:FW126,50,0)</f>
        <v>0</v>
      </c>
      <c r="M135" s="489">
        <f>修补数量统计!BF121</f>
        <v>0</v>
      </c>
      <c r="N135" s="489">
        <f>修补数量统计!BK121</f>
        <v>0</v>
      </c>
      <c r="O135" s="489">
        <f>修补数量统计!BP121</f>
        <v>0</v>
      </c>
      <c r="P135" s="489">
        <f>修补数量统计!BU121</f>
        <v>0</v>
      </c>
      <c r="Q135" s="489">
        <f>修补数量统计!BZ121</f>
        <v>0</v>
      </c>
      <c r="R135" s="489">
        <f>修补数量统计!CE121</f>
        <v>0</v>
      </c>
      <c r="S135" s="489">
        <f>修补数量统计!CJ121</f>
        <v>0</v>
      </c>
      <c r="T135" s="489">
        <f>修补数量统计!CO121</f>
        <v>0</v>
      </c>
      <c r="U135" s="489">
        <f>修补数量统计!CT121</f>
        <v>0</v>
      </c>
      <c r="V135" s="489">
        <f>修补数量统计!CY121</f>
        <v>0</v>
      </c>
      <c r="W135" s="489">
        <f>修补数量统计!DD121</f>
        <v>0</v>
      </c>
      <c r="X135" s="489">
        <f>修补数量统计!DI121</f>
        <v>0</v>
      </c>
      <c r="Y135" s="489">
        <f>修补数量统计!DN121</f>
        <v>0</v>
      </c>
      <c r="Z135" s="489">
        <f>修补数量统计!DS121</f>
        <v>0</v>
      </c>
      <c r="AA135" s="489">
        <f>修补数量统计!DX121</f>
        <v>0</v>
      </c>
      <c r="AB135" s="489">
        <f>修补数量统计!EC121</f>
        <v>0</v>
      </c>
      <c r="AC135" s="489">
        <f>修补数量统计!EH121</f>
        <v>0</v>
      </c>
      <c r="AD135" s="489">
        <f>修补数量统计!EM121</f>
        <v>0</v>
      </c>
      <c r="AE135" s="489">
        <f>修补数量统计!ER121</f>
        <v>0</v>
      </c>
      <c r="AF135" s="489">
        <f>修补数量统计!EW121</f>
        <v>0</v>
      </c>
      <c r="AG135" s="489">
        <f>修补数量统计!FB122</f>
        <v>0</v>
      </c>
      <c r="AH135" s="523">
        <f t="shared" si="13"/>
        <v>0</v>
      </c>
      <c r="AI135" s="526">
        <v>0.25</v>
      </c>
      <c r="AJ135" s="525"/>
      <c r="AK135" s="526">
        <v>0.25</v>
      </c>
    </row>
    <row r="136" s="365" customFormat="1" ht="15" customHeight="1" spans="1:37">
      <c r="A136" s="520"/>
      <c r="B136" s="519" t="s">
        <v>13</v>
      </c>
      <c r="C136" s="489">
        <f>修补数量统计!H122</f>
        <v>62</v>
      </c>
      <c r="D136" s="489">
        <f>修补数量统计!I122</f>
        <v>0</v>
      </c>
      <c r="E136" s="489">
        <v>0</v>
      </c>
      <c r="F136" s="489">
        <v>0</v>
      </c>
      <c r="G136" s="489">
        <v>0</v>
      </c>
      <c r="H136" s="489">
        <v>0</v>
      </c>
      <c r="I136" s="489">
        <v>0</v>
      </c>
      <c r="J136" s="489">
        <v>0</v>
      </c>
      <c r="K136" s="489">
        <v>0</v>
      </c>
      <c r="L136" s="489">
        <v>0</v>
      </c>
      <c r="M136" s="489">
        <f>修补数量统计!BF122</f>
        <v>0</v>
      </c>
      <c r="N136" s="489">
        <f>修补数量统计!BK122</f>
        <v>0</v>
      </c>
      <c r="O136" s="489">
        <f>修补数量统计!BP122</f>
        <v>0</v>
      </c>
      <c r="P136" s="489">
        <f>修补数量统计!BU122</f>
        <v>0</v>
      </c>
      <c r="Q136" s="489">
        <f>修补数量统计!BZ122</f>
        <v>0</v>
      </c>
      <c r="R136" s="489">
        <f>修补数量统计!CE122</f>
        <v>0</v>
      </c>
      <c r="S136" s="489">
        <f>修补数量统计!CJ122</f>
        <v>0</v>
      </c>
      <c r="T136" s="489">
        <f>修补数量统计!CO122</f>
        <v>0</v>
      </c>
      <c r="U136" s="489">
        <f>修补数量统计!CT122</f>
        <v>0</v>
      </c>
      <c r="V136" s="489">
        <f>修补数量统计!CY122</f>
        <v>54</v>
      </c>
      <c r="W136" s="489">
        <f>修补数量统计!DD122</f>
        <v>0</v>
      </c>
      <c r="X136" s="489">
        <f>修补数量统计!DI122</f>
        <v>0</v>
      </c>
      <c r="Y136" s="489">
        <f>修补数量统计!DN122</f>
        <v>0</v>
      </c>
      <c r="Z136" s="489">
        <f>修补数量统计!DS122</f>
        <v>0</v>
      </c>
      <c r="AA136" s="489">
        <f>修补数量统计!DX122</f>
        <v>0</v>
      </c>
      <c r="AB136" s="489">
        <f>修补数量统计!EC122</f>
        <v>0</v>
      </c>
      <c r="AC136" s="489">
        <f>修补数量统计!EH122</f>
        <v>0</v>
      </c>
      <c r="AD136" s="489">
        <f>修补数量统计!EM122</f>
        <v>0</v>
      </c>
      <c r="AE136" s="489">
        <f>修补数量统计!ER122</f>
        <v>0</v>
      </c>
      <c r="AF136" s="489">
        <f>修补数量统计!EW122</f>
        <v>0</v>
      </c>
      <c r="AG136" s="489">
        <f>修补数量统计!FB123</f>
        <v>0</v>
      </c>
      <c r="AH136" s="523">
        <f t="shared" si="13"/>
        <v>116</v>
      </c>
      <c r="AI136" s="526">
        <v>0.67</v>
      </c>
      <c r="AJ136" s="525"/>
      <c r="AK136" s="526">
        <v>0.373</v>
      </c>
    </row>
    <row r="137" s="365" customFormat="1" ht="15" customHeight="1" spans="1:37">
      <c r="A137" s="520"/>
      <c r="B137" s="519" t="s">
        <v>14</v>
      </c>
      <c r="C137" s="489">
        <f>修补数量统计!H123</f>
        <v>0</v>
      </c>
      <c r="D137" s="489">
        <f>修补数量统计!I123</f>
        <v>0</v>
      </c>
      <c r="E137" s="489">
        <f>VLOOKUP(B137,修补数量统计!D123:FW126,15,0)</f>
        <v>0</v>
      </c>
      <c r="F137" s="489">
        <f>VLOOKUP(B137,修补数量统计!D123:FW126,20,0)</f>
        <v>0</v>
      </c>
      <c r="G137" s="489">
        <f>VLOOKUP(B137,修补数量统计!D123:FW126,25,0)</f>
        <v>0</v>
      </c>
      <c r="H137" s="489">
        <f>VLOOKUP(B137,修补数量统计!D123:FW126,30,0)</f>
        <v>0</v>
      </c>
      <c r="I137" s="489">
        <f>VLOOKUP(B137,修补数量统计!D123:FW126,35,0)</f>
        <v>0</v>
      </c>
      <c r="J137" s="489">
        <f>VLOOKUP(B137,修补数量统计!D123:FW126,40,0)</f>
        <v>0</v>
      </c>
      <c r="K137" s="489">
        <f>VLOOKUP(B137,修补数量统计!D123:FW126,45,0)</f>
        <v>0</v>
      </c>
      <c r="L137" s="489">
        <f>VLOOKUP(B137,修补数量统计!D123:FW126,50,0)</f>
        <v>0</v>
      </c>
      <c r="M137" s="489">
        <f>修补数量统计!BF123</f>
        <v>0</v>
      </c>
      <c r="N137" s="489">
        <f>修补数量统计!BK123</f>
        <v>0</v>
      </c>
      <c r="O137" s="489">
        <f>修补数量统计!BP123</f>
        <v>0</v>
      </c>
      <c r="P137" s="489">
        <f>修补数量统计!BU123</f>
        <v>0</v>
      </c>
      <c r="Q137" s="489">
        <f>修补数量统计!BZ123</f>
        <v>0</v>
      </c>
      <c r="R137" s="489">
        <f>修补数量统计!CE123</f>
        <v>0</v>
      </c>
      <c r="S137" s="489">
        <f>修补数量统计!CJ123</f>
        <v>0</v>
      </c>
      <c r="T137" s="489">
        <f>修补数量统计!CO123</f>
        <v>0</v>
      </c>
      <c r="U137" s="489">
        <f>修补数量统计!CT123</f>
        <v>0</v>
      </c>
      <c r="V137" s="489">
        <f>修补数量统计!CY123</f>
        <v>0</v>
      </c>
      <c r="W137" s="489">
        <f>修补数量统计!DD123</f>
        <v>0</v>
      </c>
      <c r="X137" s="489">
        <f>修补数量统计!DI123</f>
        <v>0</v>
      </c>
      <c r="Y137" s="489">
        <f>修补数量统计!DN123</f>
        <v>0</v>
      </c>
      <c r="Z137" s="489">
        <f>修补数量统计!DS123</f>
        <v>0</v>
      </c>
      <c r="AA137" s="489">
        <f>修补数量统计!DX123</f>
        <v>0</v>
      </c>
      <c r="AB137" s="489">
        <f>修补数量统计!EC123</f>
        <v>0</v>
      </c>
      <c r="AC137" s="489">
        <f>修补数量统计!EH123</f>
        <v>0</v>
      </c>
      <c r="AD137" s="489">
        <f>修补数量统计!EM123</f>
        <v>0</v>
      </c>
      <c r="AE137" s="489">
        <f>修补数量统计!ER123</f>
        <v>0</v>
      </c>
      <c r="AF137" s="489">
        <f>修补数量统计!EW123</f>
        <v>0</v>
      </c>
      <c r="AG137" s="489">
        <f>修补数量统计!FB124</f>
        <v>0</v>
      </c>
      <c r="AH137" s="523">
        <f t="shared" si="13"/>
        <v>0</v>
      </c>
      <c r="AI137" s="526">
        <v>0.373</v>
      </c>
      <c r="AJ137" s="525"/>
      <c r="AK137" s="526">
        <v>0.373</v>
      </c>
    </row>
    <row r="138" s="365" customFormat="1" ht="15" customHeight="1" spans="1:37">
      <c r="A138" s="520"/>
      <c r="B138" s="519" t="s">
        <v>15</v>
      </c>
      <c r="C138" s="489">
        <f>修补数量统计!H124</f>
        <v>0</v>
      </c>
      <c r="D138" s="489">
        <f>修补数量统计!I124</f>
        <v>0</v>
      </c>
      <c r="E138" s="489">
        <f>VLOOKUP(B138,修补数量统计!D124:FW126,15,0)</f>
        <v>0</v>
      </c>
      <c r="F138" s="489">
        <f>VLOOKUP(B138,修补数量统计!D124:FW126,20,0)</f>
        <v>46</v>
      </c>
      <c r="G138" s="489">
        <f>VLOOKUP(B138,修补数量统计!D124:FW126,25,0)</f>
        <v>95</v>
      </c>
      <c r="H138" s="489">
        <f>VLOOKUP(B138,修补数量统计!D124:FW126,30,0)</f>
        <v>0</v>
      </c>
      <c r="I138" s="489">
        <f>VLOOKUP(B138,修补数量统计!D124:FW126,35,0)</f>
        <v>0</v>
      </c>
      <c r="J138" s="489">
        <f>VLOOKUP(B138,修补数量统计!D124:FW126,40,0)</f>
        <v>0</v>
      </c>
      <c r="K138" s="489">
        <f>VLOOKUP(B138,修补数量统计!D124:FW126,45,0)</f>
        <v>0</v>
      </c>
      <c r="L138" s="489">
        <f>VLOOKUP(B138,修补数量统计!D124:FW126,50,0)</f>
        <v>0</v>
      </c>
      <c r="M138" s="489">
        <f>修补数量统计!BF124</f>
        <v>0</v>
      </c>
      <c r="N138" s="489">
        <f>修补数量统计!BK124</f>
        <v>0</v>
      </c>
      <c r="O138" s="489">
        <f>修补数量统计!BP124</f>
        <v>0</v>
      </c>
      <c r="P138" s="489">
        <f>修补数量统计!BU124</f>
        <v>0</v>
      </c>
      <c r="Q138" s="489">
        <f>修补数量统计!BZ124</f>
        <v>0</v>
      </c>
      <c r="R138" s="489">
        <f>修补数量统计!CE124</f>
        <v>0</v>
      </c>
      <c r="S138" s="489">
        <f>修补数量统计!CJ124</f>
        <v>0</v>
      </c>
      <c r="T138" s="489">
        <f>修补数量统计!CO124</f>
        <v>0</v>
      </c>
      <c r="U138" s="489">
        <f>修补数量统计!CT124</f>
        <v>0</v>
      </c>
      <c r="V138" s="489">
        <f>修补数量统计!CY124</f>
        <v>0</v>
      </c>
      <c r="W138" s="489">
        <f>修补数量统计!DD124</f>
        <v>0</v>
      </c>
      <c r="X138" s="489">
        <f>修补数量统计!DI124</f>
        <v>0</v>
      </c>
      <c r="Y138" s="489">
        <f>修补数量统计!DN124</f>
        <v>0</v>
      </c>
      <c r="Z138" s="489">
        <f>修补数量统计!DS124</f>
        <v>0</v>
      </c>
      <c r="AA138" s="489">
        <f>修补数量统计!DX124</f>
        <v>0</v>
      </c>
      <c r="AB138" s="489">
        <f>修补数量统计!EC124</f>
        <v>0</v>
      </c>
      <c r="AC138" s="489">
        <f>修补数量统计!EH124</f>
        <v>0</v>
      </c>
      <c r="AD138" s="489">
        <f>修补数量统计!EM124</f>
        <v>0</v>
      </c>
      <c r="AE138" s="489">
        <f>修补数量统计!ER124</f>
        <v>0</v>
      </c>
      <c r="AF138" s="489">
        <f>修补数量统计!EW124</f>
        <v>0</v>
      </c>
      <c r="AG138" s="489">
        <f>修补数量统计!FB125</f>
        <v>0</v>
      </c>
      <c r="AH138" s="523">
        <f t="shared" si="13"/>
        <v>141</v>
      </c>
      <c r="AI138" s="526">
        <v>0.67</v>
      </c>
      <c r="AJ138" s="525"/>
      <c r="AK138" s="526">
        <v>0.373</v>
      </c>
    </row>
    <row r="139" s="365" customFormat="1" ht="15" customHeight="1" spans="1:37">
      <c r="A139" s="520"/>
      <c r="B139" s="519" t="s">
        <v>16</v>
      </c>
      <c r="C139" s="489">
        <f>修补数量统计!H124</f>
        <v>0</v>
      </c>
      <c r="D139" s="489">
        <f>修补数量统计!I124</f>
        <v>0</v>
      </c>
      <c r="E139" s="489">
        <f>VLOOKUP(B139,修补数量统计!D125:FW126,15,0)</f>
        <v>0</v>
      </c>
      <c r="F139" s="489">
        <f>VLOOKUP(B139,修补数量统计!D125:FW126,20,0)</f>
        <v>53</v>
      </c>
      <c r="G139" s="489">
        <f>VLOOKUP(B139,修补数量统计!D125:FW126,25,0)</f>
        <v>63</v>
      </c>
      <c r="H139" s="489">
        <f>VLOOKUP(B139,修补数量统计!D125:FW126,30,0)</f>
        <v>0</v>
      </c>
      <c r="I139" s="489">
        <f>VLOOKUP(B139,修补数量统计!D125:FW126,35,0)</f>
        <v>0</v>
      </c>
      <c r="J139" s="489">
        <f>VLOOKUP(B139,修补数量统计!D125:FW126,40,0)</f>
        <v>0</v>
      </c>
      <c r="K139" s="489">
        <f>VLOOKUP(B139,修补数量统计!D125:FW126,45,0)</f>
        <v>0</v>
      </c>
      <c r="L139" s="489">
        <f>VLOOKUP(B139,修补数量统计!D125:FW126,50,0)</f>
        <v>0</v>
      </c>
      <c r="M139" s="489">
        <f>修补数量统计!BF125</f>
        <v>0</v>
      </c>
      <c r="N139" s="489">
        <f>修补数量统计!BK125</f>
        <v>0</v>
      </c>
      <c r="O139" s="489">
        <f>修补数量统计!BP125</f>
        <v>0</v>
      </c>
      <c r="P139" s="489">
        <f>修补数量统计!BU125</f>
        <v>0</v>
      </c>
      <c r="Q139" s="489">
        <f>修补数量统计!BZ125</f>
        <v>0</v>
      </c>
      <c r="R139" s="489">
        <f>修补数量统计!CE125</f>
        <v>0</v>
      </c>
      <c r="S139" s="489">
        <f>修补数量统计!CJ125</f>
        <v>0</v>
      </c>
      <c r="T139" s="489">
        <f>修补数量统计!CO125</f>
        <v>0</v>
      </c>
      <c r="U139" s="489">
        <f>修补数量统计!CT125</f>
        <v>0</v>
      </c>
      <c r="V139" s="489">
        <f>修补数量统计!CY125</f>
        <v>0</v>
      </c>
      <c r="W139" s="489">
        <f>修补数量统计!DD125</f>
        <v>0</v>
      </c>
      <c r="X139" s="489">
        <f>修补数量统计!DI125</f>
        <v>0</v>
      </c>
      <c r="Y139" s="489">
        <f>修补数量统计!DN125</f>
        <v>0</v>
      </c>
      <c r="Z139" s="489">
        <f>修补数量统计!DS125</f>
        <v>0</v>
      </c>
      <c r="AA139" s="489">
        <f>修补数量统计!DX125</f>
        <v>0</v>
      </c>
      <c r="AB139" s="489">
        <f>修补数量统计!EC125</f>
        <v>0</v>
      </c>
      <c r="AC139" s="489">
        <f>修补数量统计!EH125</f>
        <v>0</v>
      </c>
      <c r="AD139" s="489">
        <f>修补数量统计!EM125</f>
        <v>0</v>
      </c>
      <c r="AE139" s="489">
        <f>修补数量统计!ER125</f>
        <v>0</v>
      </c>
      <c r="AF139" s="489">
        <f>修补数量统计!EW125</f>
        <v>0</v>
      </c>
      <c r="AG139" s="489">
        <f>修补数量统计!FB126</f>
        <v>0</v>
      </c>
      <c r="AH139" s="523">
        <f t="shared" si="13"/>
        <v>116</v>
      </c>
      <c r="AI139" s="526">
        <v>0.67</v>
      </c>
      <c r="AJ139" s="525"/>
      <c r="AK139" s="526">
        <v>0.373</v>
      </c>
    </row>
    <row r="140" s="365" customFormat="1" ht="12" customHeight="1" spans="1:37">
      <c r="A140" s="521"/>
      <c r="B140" s="519" t="s">
        <v>17</v>
      </c>
      <c r="C140" s="489">
        <f>修补数量统计!H126</f>
        <v>0</v>
      </c>
      <c r="D140" s="489">
        <f>修补数量统计!I126</f>
        <v>0</v>
      </c>
      <c r="E140" s="489">
        <f>VLOOKUP(B140,修补数量统计!D126:FW126,15,0)</f>
        <v>0</v>
      </c>
      <c r="F140" s="489">
        <f>VLOOKUP(B140,修补数量统计!D126:FW126,20,0)</f>
        <v>0</v>
      </c>
      <c r="G140" s="489">
        <f>VLOOKUP(B140,修补数量统计!D126:FW126,25,0)</f>
        <v>0</v>
      </c>
      <c r="H140" s="489">
        <v>0</v>
      </c>
      <c r="I140" s="489">
        <f>VLOOKUP(B140,修补数量统计!D126:FW126,35,0)</f>
        <v>0</v>
      </c>
      <c r="J140" s="489">
        <v>0</v>
      </c>
      <c r="K140" s="489">
        <f>VLOOKUP(B140,修补数量统计!D126:FW126,45,0)</f>
        <v>0</v>
      </c>
      <c r="L140" s="489">
        <f>VLOOKUP(B140,修补数量统计!D126:FW126,50,0)</f>
        <v>0</v>
      </c>
      <c r="M140" s="489">
        <f>修补数量统计!BF126</f>
        <v>0</v>
      </c>
      <c r="N140" s="489">
        <f>修补数量统计!BK126</f>
        <v>0</v>
      </c>
      <c r="O140" s="489">
        <f>修补数量统计!BP126</f>
        <v>0</v>
      </c>
      <c r="P140" s="489">
        <f>修补数量统计!BU126</f>
        <v>0</v>
      </c>
      <c r="Q140" s="489">
        <f>修补数量统计!BZ126</f>
        <v>0</v>
      </c>
      <c r="R140" s="489">
        <f>修补数量统计!CE126</f>
        <v>0</v>
      </c>
      <c r="S140" s="489">
        <f>修补数量统计!CJ126</f>
        <v>0</v>
      </c>
      <c r="T140" s="489">
        <f>修补数量统计!CO126</f>
        <v>0</v>
      </c>
      <c r="U140" s="489">
        <f>修补数量统计!CT126</f>
        <v>0</v>
      </c>
      <c r="V140" s="489">
        <f>修补数量统计!CY126</f>
        <v>0</v>
      </c>
      <c r="W140" s="489">
        <f>修补数量统计!DD126</f>
        <v>0</v>
      </c>
      <c r="X140" s="489">
        <f>修补数量统计!DI126</f>
        <v>0</v>
      </c>
      <c r="Y140" s="489">
        <f>修补数量统计!DN126</f>
        <v>0</v>
      </c>
      <c r="Z140" s="489">
        <f>修补数量统计!DS126</f>
        <v>0</v>
      </c>
      <c r="AA140" s="489">
        <f>修补数量统计!DX126</f>
        <v>0</v>
      </c>
      <c r="AB140" s="489">
        <f>修补数量统计!EC126</f>
        <v>0</v>
      </c>
      <c r="AC140" s="489">
        <f>修补数量统计!EH126</f>
        <v>0</v>
      </c>
      <c r="AD140" s="489">
        <f>修补数量统计!EM126</f>
        <v>0</v>
      </c>
      <c r="AE140" s="489">
        <f>修补数量统计!ER126</f>
        <v>0</v>
      </c>
      <c r="AF140" s="489">
        <f>修补数量统计!EW126</f>
        <v>0</v>
      </c>
      <c r="AG140" s="489">
        <f>修补数量统计!FB127</f>
        <v>0</v>
      </c>
      <c r="AH140" s="523">
        <f t="shared" si="13"/>
        <v>0</v>
      </c>
      <c r="AI140" s="527">
        <v>0.373</v>
      </c>
      <c r="AJ140" s="525"/>
      <c r="AK140" s="526">
        <v>0.373</v>
      </c>
    </row>
  </sheetData>
  <mergeCells count="36">
    <mergeCell ref="A2:B2"/>
    <mergeCell ref="C2:AH2"/>
    <mergeCell ref="C3:AG3"/>
    <mergeCell ref="A3:A4"/>
    <mergeCell ref="A5:A14"/>
    <mergeCell ref="A15:A19"/>
    <mergeCell ref="A20:A24"/>
    <mergeCell ref="A25:A29"/>
    <mergeCell ref="A30:A39"/>
    <mergeCell ref="A40:A49"/>
    <mergeCell ref="A50:A59"/>
    <mergeCell ref="A60:A69"/>
    <mergeCell ref="A70:A79"/>
    <mergeCell ref="A80:A89"/>
    <mergeCell ref="A90:A99"/>
    <mergeCell ref="A101:A110"/>
    <mergeCell ref="A111:A120"/>
    <mergeCell ref="A121:A130"/>
    <mergeCell ref="A131:A140"/>
    <mergeCell ref="B3:B4"/>
    <mergeCell ref="AH3:AH4"/>
    <mergeCell ref="AI3:AI4"/>
    <mergeCell ref="AJ3:AJ4"/>
    <mergeCell ref="AJ5:AJ14"/>
    <mergeCell ref="AJ15:AJ24"/>
    <mergeCell ref="AJ30:AJ39"/>
    <mergeCell ref="AJ40:AJ49"/>
    <mergeCell ref="AJ50:AJ59"/>
    <mergeCell ref="AJ60:AJ69"/>
    <mergeCell ref="AJ70:AJ79"/>
    <mergeCell ref="AJ80:AJ89"/>
    <mergeCell ref="AJ90:AJ99"/>
    <mergeCell ref="AJ100:AJ109"/>
    <mergeCell ref="AJ111:AJ120"/>
    <mergeCell ref="AJ121:AJ130"/>
    <mergeCell ref="AJ131:AJ140"/>
  </mergeCells>
  <pageMargins left="0.275" right="0.156944444444444" top="0.354166666666667" bottom="0.236111111111111" header="0.275" footer="0.196527777777778"/>
  <pageSetup paperSize="9" scale="68" orientation="landscape"/>
  <headerFooter/>
  <ignoredErrors>
    <ignoredError sqref="AE69 O90:O99" emptyCellReference="1"/>
  </ignoredError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84"/>
  <sheetViews>
    <sheetView zoomScale="80" zoomScaleNormal="80" topLeftCell="A2" workbookViewId="0">
      <pane xSplit="7" ySplit="3" topLeftCell="AJ67" activePane="bottomRight" state="frozen"/>
      <selection/>
      <selection pane="topRight"/>
      <selection pane="bottomLeft"/>
      <selection pane="bottomRight" activeCell="C70" sqref="C70"/>
    </sheetView>
  </sheetViews>
  <sheetFormatPr defaultColWidth="9" defaultRowHeight="26.1" customHeight="1"/>
  <cols>
    <col min="1" max="1" width="6.5" style="1" customWidth="1"/>
    <col min="2" max="2" width="13.25" style="1" customWidth="1"/>
    <col min="3" max="3" width="10.75" style="1" customWidth="1"/>
    <col min="4" max="4" width="7.87962962962963" style="5" customWidth="1"/>
    <col min="5" max="5" width="7.5" style="5" customWidth="1"/>
    <col min="6" max="8" width="7" style="6" customWidth="1"/>
    <col min="9" max="9" width="7.62962962962963" style="1" customWidth="1"/>
    <col min="10" max="10" width="11.25" style="1" customWidth="1"/>
    <col min="11" max="11" width="7" style="1" customWidth="1"/>
    <col min="12" max="12" width="9.87962962962963" style="1" customWidth="1"/>
    <col min="13" max="13" width="7.12962962962963" style="1" customWidth="1"/>
    <col min="14" max="14" width="10" style="1" customWidth="1"/>
    <col min="15" max="15" width="6.37962962962963" style="1" customWidth="1"/>
    <col min="16" max="16" width="11.25" style="1" customWidth="1"/>
    <col min="17" max="17" width="5.12962962962963" style="1" customWidth="1"/>
    <col min="18" max="18" width="11.25" style="1" customWidth="1"/>
    <col min="19" max="19" width="8.62962962962963" style="1" customWidth="1"/>
    <col min="20" max="20" width="13.8796296296296" style="1" customWidth="1"/>
    <col min="21" max="21" width="14" style="1" customWidth="1"/>
    <col min="22" max="22" width="11.75" style="1" customWidth="1"/>
    <col min="23" max="23" width="12" style="1" customWidth="1"/>
    <col min="24" max="24" width="11.1296296296296" style="1" customWidth="1"/>
    <col min="25" max="25" width="11.25" style="7" customWidth="1"/>
    <col min="26" max="26" width="11.3796296296296" style="1" customWidth="1"/>
    <col min="27" max="27" width="12" style="1" customWidth="1"/>
    <col min="28" max="28" width="13.75" style="8" customWidth="1"/>
    <col min="29" max="29" width="5.87962962962963" style="1" hidden="1" customWidth="1"/>
    <col min="30" max="30" width="14.8796296296296" style="1" customWidth="1"/>
    <col min="31" max="32" width="15.8796296296296" style="9" customWidth="1"/>
    <col min="33" max="33" width="14.25" style="1" customWidth="1"/>
    <col min="34" max="16262" width="9" style="1"/>
    <col min="16263" max="16384" width="9" style="10"/>
  </cols>
  <sheetData>
    <row r="1" s="1" customFormat="1" ht="45" customHeight="1" spans="1:33">
      <c r="A1" s="11" t="s">
        <v>444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1" customFormat="1" ht="45.75" customHeight="1" spans="1:16295">
      <c r="A2" s="11"/>
      <c r="B2" s="11"/>
      <c r="C2" s="11">
        <v>1</v>
      </c>
      <c r="D2" s="11">
        <v>2</v>
      </c>
      <c r="E2" s="11">
        <v>3</v>
      </c>
      <c r="F2" s="11">
        <v>4</v>
      </c>
      <c r="G2" s="11">
        <v>5</v>
      </c>
      <c r="H2" s="11"/>
      <c r="I2" s="11">
        <v>4</v>
      </c>
      <c r="J2" s="11">
        <v>5</v>
      </c>
      <c r="K2" s="11">
        <v>6</v>
      </c>
      <c r="L2" s="11">
        <v>7</v>
      </c>
      <c r="M2" s="11">
        <v>8</v>
      </c>
      <c r="N2" s="11">
        <v>9</v>
      </c>
      <c r="O2" s="11">
        <v>10</v>
      </c>
      <c r="P2" s="11">
        <v>11</v>
      </c>
      <c r="Q2" s="11">
        <v>12</v>
      </c>
      <c r="R2" s="11">
        <v>13</v>
      </c>
      <c r="S2" s="11">
        <v>14</v>
      </c>
      <c r="T2" s="11">
        <v>15</v>
      </c>
      <c r="U2" s="11">
        <v>16</v>
      </c>
      <c r="V2" s="11">
        <v>17</v>
      </c>
      <c r="W2" s="11">
        <v>18</v>
      </c>
      <c r="X2" s="11">
        <v>19</v>
      </c>
      <c r="Y2" s="11">
        <v>20</v>
      </c>
      <c r="Z2" s="11">
        <v>21</v>
      </c>
      <c r="AA2" s="11">
        <v>22</v>
      </c>
      <c r="AB2" s="11">
        <v>23</v>
      </c>
      <c r="AC2" s="11">
        <v>24</v>
      </c>
      <c r="AD2" s="11">
        <v>25</v>
      </c>
      <c r="AE2" s="11">
        <v>26</v>
      </c>
      <c r="AF2" s="11">
        <v>27</v>
      </c>
      <c r="AG2" s="11">
        <v>28</v>
      </c>
      <c r="AH2" s="11">
        <v>29</v>
      </c>
      <c r="AI2" s="11">
        <v>30</v>
      </c>
      <c r="AJ2" s="11">
        <v>31</v>
      </c>
      <c r="AK2" s="11">
        <v>32</v>
      </c>
      <c r="AL2" s="11">
        <v>33</v>
      </c>
      <c r="AM2" s="11">
        <v>34</v>
      </c>
      <c r="AN2" s="11">
        <v>35</v>
      </c>
      <c r="AO2" s="11">
        <v>36</v>
      </c>
      <c r="AP2" s="11">
        <v>37</v>
      </c>
      <c r="AQ2" s="11">
        <v>38</v>
      </c>
      <c r="AR2" s="48">
        <v>39</v>
      </c>
      <c r="AS2" s="11">
        <v>40</v>
      </c>
      <c r="XBN2" s="10"/>
      <c r="XBO2" s="10"/>
      <c r="XBP2" s="10"/>
      <c r="XBQ2" s="10"/>
      <c r="XBR2" s="10"/>
      <c r="XBS2" s="10"/>
    </row>
    <row r="3" s="2" customFormat="1" ht="56.1" customHeight="1" spans="1:33">
      <c r="A3" s="12" t="s">
        <v>67</v>
      </c>
      <c r="B3" s="12" t="s">
        <v>445</v>
      </c>
      <c r="C3" s="13" t="s">
        <v>446</v>
      </c>
      <c r="D3" s="13" t="s">
        <v>447</v>
      </c>
      <c r="E3" s="13" t="s">
        <v>448</v>
      </c>
      <c r="F3" s="14" t="s">
        <v>449</v>
      </c>
      <c r="G3" s="15" t="s">
        <v>579</v>
      </c>
      <c r="H3" s="16" t="s">
        <v>580</v>
      </c>
      <c r="I3" s="13" t="s">
        <v>452</v>
      </c>
      <c r="J3" s="13"/>
      <c r="K3" s="13"/>
      <c r="L3" s="13"/>
      <c r="M3" s="13"/>
      <c r="N3" s="13"/>
      <c r="O3" s="13"/>
      <c r="P3" s="13"/>
      <c r="Q3" s="13"/>
      <c r="R3" s="13"/>
      <c r="S3" s="13" t="s">
        <v>453</v>
      </c>
      <c r="T3" s="13" t="s">
        <v>454</v>
      </c>
      <c r="U3" s="27" t="s">
        <v>455</v>
      </c>
      <c r="V3" s="28" t="s">
        <v>456</v>
      </c>
      <c r="W3" s="28" t="s">
        <v>457</v>
      </c>
      <c r="X3" s="29" t="s">
        <v>458</v>
      </c>
      <c r="Y3" s="32" t="s">
        <v>459</v>
      </c>
      <c r="Z3" s="33" t="s">
        <v>460</v>
      </c>
      <c r="AA3" s="34" t="s">
        <v>461</v>
      </c>
      <c r="AB3" s="34" t="s">
        <v>462</v>
      </c>
      <c r="AC3" s="34" t="s">
        <v>463</v>
      </c>
      <c r="AD3" s="35" t="s">
        <v>463</v>
      </c>
      <c r="AE3" s="34" t="s">
        <v>464</v>
      </c>
      <c r="AF3" s="29" t="s">
        <v>465</v>
      </c>
      <c r="AG3" s="29" t="s">
        <v>466</v>
      </c>
    </row>
    <row r="4" s="2" customFormat="1" ht="56.1" customHeight="1" spans="1:33">
      <c r="A4" s="12"/>
      <c r="B4" s="12"/>
      <c r="C4" s="13"/>
      <c r="D4" s="13"/>
      <c r="E4" s="13"/>
      <c r="F4" s="13"/>
      <c r="G4" s="13"/>
      <c r="H4" s="13"/>
      <c r="I4" s="13" t="s">
        <v>467</v>
      </c>
      <c r="J4" s="13" t="s">
        <v>468</v>
      </c>
      <c r="K4" s="13" t="s">
        <v>469</v>
      </c>
      <c r="L4" s="13" t="s">
        <v>470</v>
      </c>
      <c r="M4" s="13" t="s">
        <v>471</v>
      </c>
      <c r="N4" s="13" t="s">
        <v>472</v>
      </c>
      <c r="O4" s="13" t="s">
        <v>473</v>
      </c>
      <c r="P4" s="13" t="s">
        <v>474</v>
      </c>
      <c r="Q4" s="13" t="s">
        <v>475</v>
      </c>
      <c r="R4" s="13" t="s">
        <v>476</v>
      </c>
      <c r="S4" s="13"/>
      <c r="T4" s="13"/>
      <c r="U4" s="27"/>
      <c r="V4" s="27">
        <v>150</v>
      </c>
      <c r="W4" s="27">
        <v>500</v>
      </c>
      <c r="X4" s="28"/>
      <c r="Y4" s="36"/>
      <c r="Z4" s="37"/>
      <c r="AA4" s="38"/>
      <c r="AB4" s="13"/>
      <c r="AC4" s="13"/>
      <c r="AD4" s="13">
        <v>1600</v>
      </c>
      <c r="AE4" s="39"/>
      <c r="AF4" s="13"/>
      <c r="AG4" s="36"/>
    </row>
    <row r="5" s="3" customFormat="1" customHeight="1" spans="1:46">
      <c r="A5" s="17">
        <v>1</v>
      </c>
      <c r="B5" s="17"/>
      <c r="C5" s="18" t="s">
        <v>65</v>
      </c>
      <c r="D5" s="17">
        <v>26</v>
      </c>
      <c r="E5" s="19">
        <v>26.5</v>
      </c>
      <c r="F5" s="20">
        <f>VLOOKUP(C5,'[2]2025.9（定版）10.12'!$B$3:$BN$500,5,0)</f>
        <v>24.875</v>
      </c>
      <c r="G5" s="19">
        <f>I5+K5+M5+O5+Q5</f>
        <v>27</v>
      </c>
      <c r="H5" s="19">
        <f>E5-G5</f>
        <v>-0.5</v>
      </c>
      <c r="I5" s="25">
        <v>2</v>
      </c>
      <c r="J5" s="25">
        <v>99.23</v>
      </c>
      <c r="K5" s="25">
        <v>1</v>
      </c>
      <c r="L5" s="26">
        <v>109.23</v>
      </c>
      <c r="M5" s="25">
        <v>4</v>
      </c>
      <c r="N5" s="25">
        <v>119.23</v>
      </c>
      <c r="O5" s="25">
        <v>9</v>
      </c>
      <c r="P5" s="25">
        <v>129.23</v>
      </c>
      <c r="Q5" s="25">
        <v>11</v>
      </c>
      <c r="R5" s="25">
        <v>139.23</v>
      </c>
      <c r="S5" s="25">
        <f>+I5*J5+K5*L5+M5*N5+O5*P5+Q5*R5</f>
        <v>3479.21</v>
      </c>
      <c r="T5" s="25"/>
      <c r="U5" s="27">
        <f t="shared" ref="U5:U38" si="0">+E5/D5*1490</f>
        <v>1518.65384615385</v>
      </c>
      <c r="V5" s="27">
        <v>150</v>
      </c>
      <c r="W5" s="27"/>
      <c r="X5" s="27">
        <v>500</v>
      </c>
      <c r="Y5" s="40">
        <v>300</v>
      </c>
      <c r="Z5" s="32">
        <f t="shared" ref="Z5:Z68" si="1">8*E5</f>
        <v>212</v>
      </c>
      <c r="AA5" s="33"/>
      <c r="AB5" s="34">
        <f>E5*20</f>
        <v>530</v>
      </c>
      <c r="AC5" s="13"/>
      <c r="AD5" s="13">
        <v>0</v>
      </c>
      <c r="AE5" s="41">
        <v>0.99</v>
      </c>
      <c r="AF5" s="34"/>
      <c r="AG5" s="46"/>
      <c r="AT5" s="3" t="str">
        <f>VLOOKUP(C5,[3]一线员工!$C$15:$C$97,1,0)</f>
        <v>肖燕丹</v>
      </c>
    </row>
    <row r="6" s="4" customFormat="1" customHeight="1" spans="1:46">
      <c r="A6" s="17">
        <v>2</v>
      </c>
      <c r="B6" s="17" t="s">
        <v>477</v>
      </c>
      <c r="C6" s="21" t="s">
        <v>478</v>
      </c>
      <c r="D6" s="17">
        <v>26</v>
      </c>
      <c r="E6" s="19">
        <v>28</v>
      </c>
      <c r="F6" s="20">
        <f>VLOOKUP(C6,'[2]2025.9（定版）10.12'!$B$3:$BN$500,5,0)</f>
        <v>29</v>
      </c>
      <c r="G6" s="19">
        <f t="shared" ref="G6:G37" si="2">I6+K6+M6+O6+Q6</f>
        <v>28</v>
      </c>
      <c r="H6" s="17">
        <f t="shared" ref="H6:H37" si="3">E6-G6</f>
        <v>0</v>
      </c>
      <c r="I6" s="25">
        <v>2</v>
      </c>
      <c r="J6" s="25">
        <v>99.23</v>
      </c>
      <c r="K6" s="25">
        <v>2</v>
      </c>
      <c r="L6" s="26">
        <v>109.23</v>
      </c>
      <c r="M6" s="25">
        <v>4</v>
      </c>
      <c r="N6" s="25">
        <v>119.23</v>
      </c>
      <c r="O6" s="25">
        <v>9</v>
      </c>
      <c r="P6" s="25">
        <v>129.23</v>
      </c>
      <c r="Q6" s="25">
        <v>11</v>
      </c>
      <c r="R6" s="25">
        <v>139.23</v>
      </c>
      <c r="S6" s="25">
        <f t="shared" ref="S6:S9" si="4">+(I6*J6+K6*L6+M6*N6+O6*P6+Q6*R6)</f>
        <v>3588.44</v>
      </c>
      <c r="T6" s="25"/>
      <c r="U6" s="27">
        <f t="shared" si="0"/>
        <v>1604.61538461538</v>
      </c>
      <c r="V6" s="27">
        <v>150</v>
      </c>
      <c r="W6" s="27"/>
      <c r="X6" s="27">
        <v>500</v>
      </c>
      <c r="Y6" s="42">
        <v>300</v>
      </c>
      <c r="Z6" s="32">
        <f t="shared" si="1"/>
        <v>224</v>
      </c>
      <c r="AA6" s="43"/>
      <c r="AB6" s="34">
        <f>E6*20</f>
        <v>560</v>
      </c>
      <c r="AC6" s="44">
        <f t="shared" ref="AC6:AC8" si="5">+J6*20</f>
        <v>1984.6</v>
      </c>
      <c r="AD6" s="44">
        <v>0</v>
      </c>
      <c r="AE6" s="41">
        <v>0.988</v>
      </c>
      <c r="AF6" s="34">
        <f t="shared" ref="AF6:AF8" si="6">S6*AE6+T6+U6+V6+W6+X6+Y6+Z6+AA6+AB6+AD6</f>
        <v>6883.99410461538</v>
      </c>
      <c r="AG6" s="46"/>
      <c r="AT6" s="3" t="str">
        <f>VLOOKUP(C6,[3]一线员工!$C$15:$C$97,1,0)</f>
        <v>李需</v>
      </c>
    </row>
    <row r="7" s="1" customFormat="1" customHeight="1" spans="1:46">
      <c r="A7" s="17">
        <v>3</v>
      </c>
      <c r="B7" s="22" t="s">
        <v>479</v>
      </c>
      <c r="C7" s="21" t="s">
        <v>480</v>
      </c>
      <c r="D7" s="17">
        <v>26</v>
      </c>
      <c r="E7" s="19">
        <v>27</v>
      </c>
      <c r="F7" s="20">
        <f>VLOOKUP(C7,'[2]2025.9（定版）10.12'!$B$3:$BN$500,5,0)</f>
        <v>27</v>
      </c>
      <c r="G7" s="19">
        <f t="shared" si="2"/>
        <v>25</v>
      </c>
      <c r="H7" s="19">
        <f t="shared" si="3"/>
        <v>2</v>
      </c>
      <c r="I7" s="25">
        <v>0</v>
      </c>
      <c r="J7" s="25">
        <v>99.23</v>
      </c>
      <c r="K7" s="25">
        <v>1</v>
      </c>
      <c r="L7" s="26">
        <v>109.23</v>
      </c>
      <c r="M7" s="25">
        <v>4</v>
      </c>
      <c r="N7" s="25">
        <v>119.23</v>
      </c>
      <c r="O7" s="25">
        <v>9</v>
      </c>
      <c r="P7" s="25">
        <v>129.23</v>
      </c>
      <c r="Q7" s="25">
        <v>11</v>
      </c>
      <c r="R7" s="25">
        <v>139.23</v>
      </c>
      <c r="S7" s="25">
        <f t="shared" si="4"/>
        <v>3280.75</v>
      </c>
      <c r="T7" s="25"/>
      <c r="U7" s="27">
        <f>+E7/D22*1490</f>
        <v>1547.30769230769</v>
      </c>
      <c r="V7" s="27">
        <v>150</v>
      </c>
      <c r="W7" s="27"/>
      <c r="X7" s="27">
        <v>500</v>
      </c>
      <c r="Y7" s="30">
        <v>300</v>
      </c>
      <c r="Z7" s="32">
        <f t="shared" si="1"/>
        <v>216</v>
      </c>
      <c r="AA7" s="43">
        <v>500</v>
      </c>
      <c r="AB7" s="34">
        <f t="shared" ref="AB7:AB28" si="7">20*E7</f>
        <v>540</v>
      </c>
      <c r="AC7" s="44">
        <f t="shared" si="5"/>
        <v>1984.6</v>
      </c>
      <c r="AD7" s="44">
        <v>300</v>
      </c>
      <c r="AE7" s="41">
        <v>0.988</v>
      </c>
      <c r="AF7" s="34">
        <f t="shared" si="6"/>
        <v>7294.68869230769</v>
      </c>
      <c r="AG7" s="46"/>
      <c r="AT7" s="3" t="str">
        <f>VLOOKUP(C7,[3]一线员工!$C$15:$C$97,1,0)</f>
        <v>马凤</v>
      </c>
    </row>
    <row r="8" s="4" customFormat="1" customHeight="1" spans="1:46">
      <c r="A8" s="17">
        <v>4</v>
      </c>
      <c r="B8" s="22" t="s">
        <v>481</v>
      </c>
      <c r="C8" s="21" t="s">
        <v>482</v>
      </c>
      <c r="D8" s="17">
        <v>26</v>
      </c>
      <c r="E8" s="19">
        <v>30</v>
      </c>
      <c r="F8" s="20">
        <f>VLOOKUP(C8,'[2]2025.9（定版）10.12'!$B$3:$BN$500,5,0)</f>
        <v>29</v>
      </c>
      <c r="G8" s="17">
        <f t="shared" si="2"/>
        <v>27</v>
      </c>
      <c r="H8" s="19">
        <f t="shared" si="3"/>
        <v>3</v>
      </c>
      <c r="I8" s="25">
        <v>2</v>
      </c>
      <c r="J8" s="25">
        <v>99.23</v>
      </c>
      <c r="K8" s="25">
        <v>2</v>
      </c>
      <c r="L8" s="26">
        <v>109.23</v>
      </c>
      <c r="M8" s="25">
        <v>4</v>
      </c>
      <c r="N8" s="25">
        <v>119.23</v>
      </c>
      <c r="O8" s="25">
        <v>8</v>
      </c>
      <c r="P8" s="25">
        <v>129.23</v>
      </c>
      <c r="Q8" s="25">
        <v>11</v>
      </c>
      <c r="R8" s="25">
        <v>139.23</v>
      </c>
      <c r="S8" s="25">
        <f t="shared" si="4"/>
        <v>3459.21</v>
      </c>
      <c r="T8" s="25"/>
      <c r="U8" s="27">
        <f t="shared" si="0"/>
        <v>1719.23076923077</v>
      </c>
      <c r="V8" s="27">
        <v>150</v>
      </c>
      <c r="W8" s="27">
        <v>60</v>
      </c>
      <c r="X8" s="27">
        <v>200</v>
      </c>
      <c r="Y8" s="30">
        <v>200</v>
      </c>
      <c r="Z8" s="32">
        <f t="shared" si="1"/>
        <v>240</v>
      </c>
      <c r="AA8" s="43">
        <v>500</v>
      </c>
      <c r="AB8" s="34">
        <f t="shared" si="7"/>
        <v>600</v>
      </c>
      <c r="AC8" s="44">
        <f t="shared" si="5"/>
        <v>1984.6</v>
      </c>
      <c r="AD8" s="44">
        <v>0</v>
      </c>
      <c r="AE8" s="41">
        <v>0.988</v>
      </c>
      <c r="AF8" s="34">
        <f t="shared" si="6"/>
        <v>7086.93024923077</v>
      </c>
      <c r="AG8" s="46"/>
      <c r="AT8" s="3" t="str">
        <f>VLOOKUP(C8,[3]一线员工!$C$15:$C$97,1,0)</f>
        <v>左昌福</v>
      </c>
    </row>
    <row r="9" s="3" customFormat="1" customHeight="1" spans="1:46">
      <c r="A9" s="17">
        <v>5</v>
      </c>
      <c r="B9" s="17" t="s">
        <v>483</v>
      </c>
      <c r="C9" s="21" t="s">
        <v>484</v>
      </c>
      <c r="D9" s="17">
        <v>26</v>
      </c>
      <c r="E9" s="19">
        <v>29</v>
      </c>
      <c r="F9" s="20">
        <f>VLOOKUP(C9,'[2]2025.9（定版）10.12'!$B$3:$BN$500,5,0)</f>
        <v>29</v>
      </c>
      <c r="G9" s="17">
        <f t="shared" si="2"/>
        <v>28</v>
      </c>
      <c r="H9" s="19">
        <f t="shared" si="3"/>
        <v>1</v>
      </c>
      <c r="I9" s="25">
        <v>2</v>
      </c>
      <c r="J9" s="25">
        <v>99.23</v>
      </c>
      <c r="K9" s="25">
        <v>2</v>
      </c>
      <c r="L9" s="26">
        <v>109.23</v>
      </c>
      <c r="M9" s="25">
        <v>4</v>
      </c>
      <c r="N9" s="25">
        <v>119.23</v>
      </c>
      <c r="O9" s="25">
        <v>9</v>
      </c>
      <c r="P9" s="25">
        <v>129.23</v>
      </c>
      <c r="Q9" s="25">
        <v>11</v>
      </c>
      <c r="R9" s="25">
        <v>139.23</v>
      </c>
      <c r="S9" s="25">
        <f t="shared" si="4"/>
        <v>3588.44</v>
      </c>
      <c r="T9" s="25"/>
      <c r="U9" s="27">
        <f t="shared" si="0"/>
        <v>1661.92307692308</v>
      </c>
      <c r="V9" s="27">
        <v>151</v>
      </c>
      <c r="W9" s="27"/>
      <c r="X9" s="27">
        <f>500</f>
        <v>500</v>
      </c>
      <c r="Y9" s="30">
        <v>300</v>
      </c>
      <c r="Z9" s="32">
        <f t="shared" si="1"/>
        <v>232</v>
      </c>
      <c r="AA9" s="43"/>
      <c r="AB9" s="34">
        <f t="shared" si="7"/>
        <v>580</v>
      </c>
      <c r="AC9" s="44"/>
      <c r="AD9" s="44">
        <v>0</v>
      </c>
      <c r="AE9" s="41">
        <v>0.988</v>
      </c>
      <c r="AF9" s="34"/>
      <c r="AG9" s="46"/>
      <c r="AT9" s="3" t="e">
        <f>VLOOKUP(C9,[3]一线员工!$C$15:$C$97,1,0)</f>
        <v>#N/A</v>
      </c>
    </row>
    <row r="10" s="3" customFormat="1" customHeight="1" spans="1:46">
      <c r="A10" s="17">
        <v>6</v>
      </c>
      <c r="B10" s="17" t="s">
        <v>485</v>
      </c>
      <c r="C10" s="21" t="s">
        <v>486</v>
      </c>
      <c r="D10" s="17">
        <v>26</v>
      </c>
      <c r="E10" s="19">
        <v>28</v>
      </c>
      <c r="F10" s="20">
        <f>VLOOKUP(C10,'[2]2025.9（定版）10.12'!$B$3:$BN$500,5,0)</f>
        <v>28</v>
      </c>
      <c r="G10" s="17">
        <f t="shared" si="2"/>
        <v>28</v>
      </c>
      <c r="H10" s="17">
        <f t="shared" si="3"/>
        <v>0</v>
      </c>
      <c r="I10" s="25">
        <v>2</v>
      </c>
      <c r="J10" s="25">
        <v>99.23</v>
      </c>
      <c r="K10" s="25">
        <v>2</v>
      </c>
      <c r="L10" s="26">
        <v>109.23</v>
      </c>
      <c r="M10" s="25">
        <v>4</v>
      </c>
      <c r="N10" s="25">
        <v>119.23</v>
      </c>
      <c r="O10" s="25">
        <v>9</v>
      </c>
      <c r="P10" s="25">
        <v>129.23</v>
      </c>
      <c r="Q10" s="25">
        <v>11</v>
      </c>
      <c r="R10" s="25">
        <v>139.23</v>
      </c>
      <c r="S10" s="25">
        <f t="shared" ref="S10:S12" si="8">(+I10*J10+K10*L10+M10*N10+O10*P10+Q10*R10)-100</f>
        <v>3488.44</v>
      </c>
      <c r="T10" s="25"/>
      <c r="U10" s="27">
        <f t="shared" si="0"/>
        <v>1604.61538461538</v>
      </c>
      <c r="V10" s="27">
        <v>150</v>
      </c>
      <c r="W10" s="27"/>
      <c r="X10" s="27">
        <f>500</f>
        <v>500</v>
      </c>
      <c r="Y10" s="30">
        <v>150</v>
      </c>
      <c r="Z10" s="32">
        <f t="shared" si="1"/>
        <v>224</v>
      </c>
      <c r="AA10" s="43"/>
      <c r="AB10" s="34">
        <f t="shared" si="7"/>
        <v>560</v>
      </c>
      <c r="AC10" s="44">
        <f t="shared" ref="AC10:AC17" si="9">+J10*20</f>
        <v>1984.6</v>
      </c>
      <c r="AD10" s="44">
        <v>0</v>
      </c>
      <c r="AE10" s="41">
        <v>0.988</v>
      </c>
      <c r="AF10" s="34">
        <f t="shared" ref="AF10:AF30" si="10">S10*AE10+T10+U10+V10+W10+X10+Y10+Z10+AA10+AB10+AD10</f>
        <v>6635.19410461538</v>
      </c>
      <c r="AG10" s="46"/>
      <c r="AT10" s="3" t="str">
        <f>VLOOKUP(C10,[3]一线员工!$C$15:$C$97,1,0)</f>
        <v>李水平</v>
      </c>
    </row>
    <row r="11" s="3" customFormat="1" customHeight="1" spans="1:46">
      <c r="A11" s="17">
        <v>7</v>
      </c>
      <c r="B11" s="17" t="s">
        <v>485</v>
      </c>
      <c r="C11" s="21" t="s">
        <v>487</v>
      </c>
      <c r="D11" s="17">
        <v>26</v>
      </c>
      <c r="E11" s="19">
        <v>27</v>
      </c>
      <c r="F11" s="20">
        <f>VLOOKUP(C11,'[2]2025.9（定版）10.12'!$B$3:$BN$500,5,0)</f>
        <v>27</v>
      </c>
      <c r="G11" s="17">
        <f t="shared" si="2"/>
        <v>27</v>
      </c>
      <c r="H11" s="17">
        <f t="shared" si="3"/>
        <v>0</v>
      </c>
      <c r="I11" s="25">
        <v>1</v>
      </c>
      <c r="J11" s="25">
        <v>99.23</v>
      </c>
      <c r="K11" s="25">
        <v>2</v>
      </c>
      <c r="L11" s="26">
        <v>109.23</v>
      </c>
      <c r="M11" s="25">
        <v>4</v>
      </c>
      <c r="N11" s="25">
        <v>119.23</v>
      </c>
      <c r="O11" s="25">
        <v>9</v>
      </c>
      <c r="P11" s="25">
        <v>129.23</v>
      </c>
      <c r="Q11" s="25">
        <v>11</v>
      </c>
      <c r="R11" s="25">
        <v>139.23</v>
      </c>
      <c r="S11" s="25">
        <f t="shared" si="8"/>
        <v>3389.21</v>
      </c>
      <c r="T11" s="25"/>
      <c r="U11" s="27">
        <f t="shared" si="0"/>
        <v>1547.30769230769</v>
      </c>
      <c r="V11" s="27">
        <v>150</v>
      </c>
      <c r="W11" s="27"/>
      <c r="X11" s="27">
        <v>500</v>
      </c>
      <c r="Y11" s="30">
        <v>300</v>
      </c>
      <c r="Z11" s="32">
        <f t="shared" si="1"/>
        <v>216</v>
      </c>
      <c r="AA11" s="43"/>
      <c r="AB11" s="34">
        <f t="shared" si="7"/>
        <v>540</v>
      </c>
      <c r="AC11" s="44">
        <f t="shared" si="9"/>
        <v>1984.6</v>
      </c>
      <c r="AD11" s="44">
        <v>0</v>
      </c>
      <c r="AE11" s="41">
        <v>0.988</v>
      </c>
      <c r="AF11" s="34">
        <f t="shared" si="10"/>
        <v>6601.84717230769</v>
      </c>
      <c r="AG11" s="46"/>
      <c r="AT11" s="3" t="str">
        <f>VLOOKUP(C11,[3]一线员工!$C$15:$C$97,1,0)</f>
        <v>吴明贵</v>
      </c>
    </row>
    <row r="12" s="3" customFormat="1" customHeight="1" spans="1:46">
      <c r="A12" s="17">
        <v>8</v>
      </c>
      <c r="B12" s="17" t="s">
        <v>488</v>
      </c>
      <c r="C12" s="21" t="s">
        <v>489</v>
      </c>
      <c r="D12" s="17">
        <v>26</v>
      </c>
      <c r="E12" s="19">
        <v>27</v>
      </c>
      <c r="F12" s="20">
        <f>VLOOKUP(C12,'[2]2025.9（定版）10.12'!$B$3:$BN$500,5,0)</f>
        <v>27</v>
      </c>
      <c r="G12" s="17">
        <f t="shared" si="2"/>
        <v>27</v>
      </c>
      <c r="H12" s="17">
        <f t="shared" si="3"/>
        <v>0</v>
      </c>
      <c r="I12" s="17">
        <v>2</v>
      </c>
      <c r="J12" s="25">
        <v>99.23</v>
      </c>
      <c r="K12" s="17">
        <v>2</v>
      </c>
      <c r="L12" s="26">
        <v>109.23</v>
      </c>
      <c r="M12" s="25">
        <v>4</v>
      </c>
      <c r="N12" s="25">
        <v>119.23</v>
      </c>
      <c r="O12" s="25">
        <v>8</v>
      </c>
      <c r="P12" s="25">
        <v>129.23</v>
      </c>
      <c r="Q12" s="25">
        <v>11</v>
      </c>
      <c r="R12" s="25">
        <v>139.23</v>
      </c>
      <c r="S12" s="25">
        <f t="shared" si="8"/>
        <v>3359.21</v>
      </c>
      <c r="T12" s="25"/>
      <c r="U12" s="27">
        <f t="shared" si="0"/>
        <v>1547.30769230769</v>
      </c>
      <c r="V12" s="27">
        <v>150</v>
      </c>
      <c r="W12" s="27"/>
      <c r="X12" s="27">
        <v>700</v>
      </c>
      <c r="Y12" s="30">
        <v>300</v>
      </c>
      <c r="Z12" s="32">
        <f t="shared" si="1"/>
        <v>216</v>
      </c>
      <c r="AA12" s="43"/>
      <c r="AB12" s="34">
        <f t="shared" si="7"/>
        <v>540</v>
      </c>
      <c r="AC12" s="44">
        <f t="shared" si="9"/>
        <v>1984.6</v>
      </c>
      <c r="AD12" s="44">
        <v>300</v>
      </c>
      <c r="AE12" s="41">
        <v>0.988</v>
      </c>
      <c r="AF12" s="34">
        <f t="shared" si="10"/>
        <v>7072.20717230769</v>
      </c>
      <c r="AG12" s="46"/>
      <c r="AT12" s="3" t="str">
        <f>VLOOKUP(C12,[3]一线员工!$C$15:$C$97,1,0)</f>
        <v>吴国秋</v>
      </c>
    </row>
    <row r="13" s="3" customFormat="1" customHeight="1" spans="1:46">
      <c r="A13" s="17">
        <v>9</v>
      </c>
      <c r="B13" s="17" t="s">
        <v>488</v>
      </c>
      <c r="C13" s="21" t="s">
        <v>490</v>
      </c>
      <c r="D13" s="17">
        <v>26</v>
      </c>
      <c r="E13" s="19">
        <v>28</v>
      </c>
      <c r="F13" s="20">
        <f>VLOOKUP(C13,'[2]2025.9（定版）10.12'!$B$3:$BN$500,5,0)</f>
        <v>28</v>
      </c>
      <c r="G13" s="17">
        <f t="shared" si="2"/>
        <v>28</v>
      </c>
      <c r="H13" s="17">
        <f t="shared" si="3"/>
        <v>0</v>
      </c>
      <c r="I13" s="25">
        <v>2</v>
      </c>
      <c r="J13" s="25">
        <v>99.23</v>
      </c>
      <c r="K13" s="25">
        <v>2</v>
      </c>
      <c r="L13" s="26">
        <v>109.23</v>
      </c>
      <c r="M13" s="25">
        <v>4</v>
      </c>
      <c r="N13" s="25">
        <v>119.23</v>
      </c>
      <c r="O13" s="25">
        <v>9</v>
      </c>
      <c r="P13" s="25">
        <v>129.23</v>
      </c>
      <c r="Q13" s="25">
        <v>11</v>
      </c>
      <c r="R13" s="25">
        <v>139.23</v>
      </c>
      <c r="S13" s="25">
        <f t="shared" ref="S13:S23" si="11">+(I13*J13+K13*L13+M13*N13+O13*P13+Q13*R13)-100</f>
        <v>3488.44</v>
      </c>
      <c r="T13" s="25"/>
      <c r="U13" s="27">
        <f t="shared" si="0"/>
        <v>1604.61538461538</v>
      </c>
      <c r="V13" s="27">
        <v>150</v>
      </c>
      <c r="W13" s="27"/>
      <c r="X13" s="27">
        <v>700</v>
      </c>
      <c r="Y13" s="30">
        <v>0</v>
      </c>
      <c r="Z13" s="32">
        <f t="shared" si="1"/>
        <v>224</v>
      </c>
      <c r="AA13" s="43"/>
      <c r="AB13" s="34">
        <f t="shared" si="7"/>
        <v>560</v>
      </c>
      <c r="AC13" s="44">
        <f t="shared" si="9"/>
        <v>1984.6</v>
      </c>
      <c r="AD13" s="45">
        <v>0</v>
      </c>
      <c r="AE13" s="41">
        <v>0.988</v>
      </c>
      <c r="AF13" s="34">
        <f t="shared" si="10"/>
        <v>6685.19410461538</v>
      </c>
      <c r="AG13" s="46"/>
      <c r="AT13" s="3" t="str">
        <f>VLOOKUP(C13,[3]一线员工!$C$15:$C$97,1,0)</f>
        <v>蒋鹏</v>
      </c>
    </row>
    <row r="14" s="3" customFormat="1" customHeight="1" spans="1:46">
      <c r="A14" s="17">
        <v>10</v>
      </c>
      <c r="B14" s="17" t="s">
        <v>491</v>
      </c>
      <c r="C14" s="21" t="s">
        <v>492</v>
      </c>
      <c r="D14" s="17">
        <v>26</v>
      </c>
      <c r="E14" s="19">
        <v>28</v>
      </c>
      <c r="F14" s="20">
        <f>VLOOKUP(C14,'[2]2025.9（定版）10.12'!$B$3:$BN$500,5,0)</f>
        <v>28</v>
      </c>
      <c r="G14" s="17">
        <f t="shared" si="2"/>
        <v>28</v>
      </c>
      <c r="H14" s="17">
        <f t="shared" si="3"/>
        <v>0</v>
      </c>
      <c r="I14" s="25">
        <v>2</v>
      </c>
      <c r="J14" s="25">
        <v>99.23</v>
      </c>
      <c r="K14" s="25">
        <v>2</v>
      </c>
      <c r="L14" s="26">
        <v>109.23</v>
      </c>
      <c r="M14" s="25">
        <v>4</v>
      </c>
      <c r="N14" s="25">
        <v>119.23</v>
      </c>
      <c r="O14" s="25">
        <v>9</v>
      </c>
      <c r="P14" s="25">
        <v>129.23</v>
      </c>
      <c r="Q14" s="25">
        <v>11</v>
      </c>
      <c r="R14" s="25">
        <v>139.23</v>
      </c>
      <c r="S14" s="25">
        <f t="shared" si="11"/>
        <v>3488.44</v>
      </c>
      <c r="T14" s="25"/>
      <c r="U14" s="27">
        <f t="shared" si="0"/>
        <v>1604.61538461538</v>
      </c>
      <c r="V14" s="27">
        <v>150</v>
      </c>
      <c r="W14" s="27"/>
      <c r="X14" s="27">
        <v>700</v>
      </c>
      <c r="Y14" s="30">
        <v>300</v>
      </c>
      <c r="Z14" s="32">
        <f t="shared" si="1"/>
        <v>224</v>
      </c>
      <c r="AA14" s="43"/>
      <c r="AB14" s="34">
        <f t="shared" si="7"/>
        <v>560</v>
      </c>
      <c r="AC14" s="44">
        <f t="shared" si="9"/>
        <v>1984.6</v>
      </c>
      <c r="AD14" s="44">
        <v>0</v>
      </c>
      <c r="AE14" s="41">
        <v>0.988</v>
      </c>
      <c r="AF14" s="34">
        <f t="shared" si="10"/>
        <v>6985.19410461538</v>
      </c>
      <c r="AG14" s="46"/>
      <c r="AT14" s="3" t="e">
        <f>VLOOKUP(C14,[3]一线员工!$C$15:$C$97,1,0)</f>
        <v>#N/A</v>
      </c>
    </row>
    <row r="15" s="3" customFormat="1" customHeight="1" spans="1:46">
      <c r="A15" s="17">
        <v>11</v>
      </c>
      <c r="B15" s="17" t="s">
        <v>493</v>
      </c>
      <c r="C15" s="21" t="s">
        <v>494</v>
      </c>
      <c r="D15" s="17">
        <v>26</v>
      </c>
      <c r="E15" s="19">
        <v>30</v>
      </c>
      <c r="F15" s="20">
        <f>VLOOKUP(C15,'[2]2025.9（定版）10.12'!$B$3:$BN$500,5,0)</f>
        <v>30</v>
      </c>
      <c r="G15" s="17">
        <f t="shared" si="2"/>
        <v>28</v>
      </c>
      <c r="H15" s="19">
        <f t="shared" si="3"/>
        <v>2</v>
      </c>
      <c r="I15" s="25">
        <v>2</v>
      </c>
      <c r="J15" s="25">
        <v>99.23</v>
      </c>
      <c r="K15" s="25">
        <v>2</v>
      </c>
      <c r="L15" s="26">
        <v>109.23</v>
      </c>
      <c r="M15" s="25">
        <v>4</v>
      </c>
      <c r="N15" s="25">
        <v>119.23</v>
      </c>
      <c r="O15" s="25">
        <v>9</v>
      </c>
      <c r="P15" s="25">
        <v>129.23</v>
      </c>
      <c r="Q15" s="25">
        <v>11</v>
      </c>
      <c r="R15" s="25">
        <v>139.23</v>
      </c>
      <c r="S15" s="25">
        <f t="shared" si="11"/>
        <v>3488.44</v>
      </c>
      <c r="T15" s="25"/>
      <c r="U15" s="27">
        <f t="shared" si="0"/>
        <v>1719.23076923077</v>
      </c>
      <c r="V15" s="27">
        <v>150</v>
      </c>
      <c r="W15" s="27"/>
      <c r="X15" s="27">
        <v>800</v>
      </c>
      <c r="Y15" s="30">
        <v>300</v>
      </c>
      <c r="Z15" s="32">
        <f t="shared" si="1"/>
        <v>240</v>
      </c>
      <c r="AA15" s="43"/>
      <c r="AB15" s="34">
        <f t="shared" si="7"/>
        <v>600</v>
      </c>
      <c r="AC15" s="44">
        <f t="shared" si="9"/>
        <v>1984.6</v>
      </c>
      <c r="AD15" s="44">
        <v>150</v>
      </c>
      <c r="AE15" s="41">
        <v>0.988</v>
      </c>
      <c r="AF15" s="34">
        <f t="shared" si="10"/>
        <v>7405.80948923077</v>
      </c>
      <c r="AG15" s="46"/>
      <c r="AT15" s="3" t="str">
        <f>VLOOKUP(C15,[3]一线员工!$C$15:$C$97,1,0)</f>
        <v>唐亮</v>
      </c>
    </row>
    <row r="16" s="4" customFormat="1" customHeight="1" spans="1:46">
      <c r="A16" s="17">
        <v>12</v>
      </c>
      <c r="B16" s="22" t="s">
        <v>495</v>
      </c>
      <c r="C16" s="21" t="s">
        <v>496</v>
      </c>
      <c r="D16" s="17">
        <v>26</v>
      </c>
      <c r="E16" s="19">
        <v>2.5</v>
      </c>
      <c r="F16" s="20">
        <f>VLOOKUP(C16,'[2]2025.9（定版）10.12'!$B$3:$BN$500,5,0)</f>
        <v>2.5</v>
      </c>
      <c r="G16" s="17">
        <f t="shared" si="2"/>
        <v>2</v>
      </c>
      <c r="H16" s="19">
        <f t="shared" si="3"/>
        <v>0.5</v>
      </c>
      <c r="I16" s="25">
        <v>0</v>
      </c>
      <c r="J16" s="25">
        <v>99.23</v>
      </c>
      <c r="K16" s="25">
        <v>0</v>
      </c>
      <c r="L16" s="26">
        <v>109.23</v>
      </c>
      <c r="M16" s="25">
        <v>0</v>
      </c>
      <c r="N16" s="25">
        <v>119.23</v>
      </c>
      <c r="O16" s="25">
        <v>2</v>
      </c>
      <c r="P16" s="25">
        <v>129.23</v>
      </c>
      <c r="Q16" s="25">
        <v>0</v>
      </c>
      <c r="R16" s="25">
        <v>139.23</v>
      </c>
      <c r="S16" s="25">
        <f t="shared" si="11"/>
        <v>158.46</v>
      </c>
      <c r="T16" s="25"/>
      <c r="U16" s="27">
        <f t="shared" si="0"/>
        <v>143.269230769231</v>
      </c>
      <c r="V16" s="27">
        <v>150</v>
      </c>
      <c r="W16" s="27"/>
      <c r="X16" s="27">
        <v>300</v>
      </c>
      <c r="Y16" s="30">
        <v>0</v>
      </c>
      <c r="Z16" s="32">
        <f t="shared" si="1"/>
        <v>20</v>
      </c>
      <c r="AA16" s="43"/>
      <c r="AB16" s="34">
        <f t="shared" si="7"/>
        <v>50</v>
      </c>
      <c r="AC16" s="44">
        <f t="shared" si="9"/>
        <v>1984.6</v>
      </c>
      <c r="AD16" s="44">
        <v>0</v>
      </c>
      <c r="AE16" s="41">
        <v>0.988</v>
      </c>
      <c r="AF16" s="34">
        <f t="shared" si="10"/>
        <v>819.827710769231</v>
      </c>
      <c r="AG16" s="46"/>
      <c r="AT16" s="3" t="str">
        <f>VLOOKUP(C16,[3]一线员工!$C$15:$C$97,1,0)</f>
        <v>谭哲</v>
      </c>
    </row>
    <row r="17" s="3" customFormat="1" customHeight="1" spans="1:46">
      <c r="A17" s="17">
        <v>13</v>
      </c>
      <c r="B17" s="22" t="s">
        <v>495</v>
      </c>
      <c r="C17" s="21" t="s">
        <v>497</v>
      </c>
      <c r="D17" s="17">
        <v>26</v>
      </c>
      <c r="E17" s="19">
        <v>29</v>
      </c>
      <c r="F17" s="20">
        <f>VLOOKUP(C17,'[2]2025.9（定版）10.12'!$B$3:$BN$500,5,0)</f>
        <v>29</v>
      </c>
      <c r="G17" s="17">
        <f t="shared" si="2"/>
        <v>28</v>
      </c>
      <c r="H17" s="19">
        <f t="shared" si="3"/>
        <v>1</v>
      </c>
      <c r="I17" s="25">
        <v>2</v>
      </c>
      <c r="J17" s="25">
        <v>99.23</v>
      </c>
      <c r="K17" s="25">
        <v>2</v>
      </c>
      <c r="L17" s="26">
        <v>109.23</v>
      </c>
      <c r="M17" s="25">
        <v>4</v>
      </c>
      <c r="N17" s="25">
        <v>119.23</v>
      </c>
      <c r="O17" s="25">
        <v>9</v>
      </c>
      <c r="P17" s="25">
        <v>129.23</v>
      </c>
      <c r="Q17" s="25">
        <v>11</v>
      </c>
      <c r="R17" s="25">
        <v>139.23</v>
      </c>
      <c r="S17" s="25">
        <f t="shared" si="11"/>
        <v>3488.44</v>
      </c>
      <c r="T17" s="25"/>
      <c r="U17" s="27">
        <f t="shared" si="0"/>
        <v>1661.92307692308</v>
      </c>
      <c r="V17" s="27">
        <v>150</v>
      </c>
      <c r="W17" s="27"/>
      <c r="X17" s="27">
        <v>300</v>
      </c>
      <c r="Y17" s="30">
        <v>300</v>
      </c>
      <c r="Z17" s="32">
        <f t="shared" si="1"/>
        <v>232</v>
      </c>
      <c r="AA17" s="43"/>
      <c r="AB17" s="34">
        <f t="shared" si="7"/>
        <v>580</v>
      </c>
      <c r="AC17" s="44">
        <f t="shared" si="9"/>
        <v>1984.6</v>
      </c>
      <c r="AD17" s="44">
        <v>50</v>
      </c>
      <c r="AE17" s="41">
        <v>0.988</v>
      </c>
      <c r="AF17" s="34">
        <f t="shared" si="10"/>
        <v>6720.50179692308</v>
      </c>
      <c r="AG17" s="46"/>
      <c r="AT17" s="3" t="str">
        <f>VLOOKUP(C17,[3]一线员工!$C$15:$C$97,1,0)</f>
        <v>黄翠兰</v>
      </c>
    </row>
    <row r="18" s="1" customFormat="1" customHeight="1" spans="1:46">
      <c r="A18" s="17">
        <v>14</v>
      </c>
      <c r="B18" s="22" t="s">
        <v>495</v>
      </c>
      <c r="C18" s="21" t="s">
        <v>498</v>
      </c>
      <c r="D18" s="17">
        <v>26</v>
      </c>
      <c r="E18" s="19">
        <v>15</v>
      </c>
      <c r="F18" s="20">
        <f>VLOOKUP(C18,'[2]2025.9（定版）10.12'!$B$3:$BN$500,5,0)</f>
        <v>15</v>
      </c>
      <c r="G18" s="17">
        <f t="shared" si="2"/>
        <v>15</v>
      </c>
      <c r="H18" s="17">
        <f t="shared" si="3"/>
        <v>0</v>
      </c>
      <c r="I18" s="25">
        <v>0</v>
      </c>
      <c r="J18" s="25">
        <v>99.23</v>
      </c>
      <c r="K18" s="25">
        <v>2</v>
      </c>
      <c r="L18" s="26">
        <v>109.23</v>
      </c>
      <c r="M18" s="25">
        <v>3</v>
      </c>
      <c r="N18" s="25">
        <v>119.23</v>
      </c>
      <c r="O18" s="25">
        <v>4</v>
      </c>
      <c r="P18" s="25">
        <v>129.23</v>
      </c>
      <c r="Q18" s="25">
        <v>6</v>
      </c>
      <c r="R18" s="25">
        <v>139.23</v>
      </c>
      <c r="S18" s="25">
        <f t="shared" si="11"/>
        <v>1828.45</v>
      </c>
      <c r="T18" s="25"/>
      <c r="U18" s="27">
        <f t="shared" si="0"/>
        <v>859.615384615385</v>
      </c>
      <c r="V18" s="27">
        <v>150</v>
      </c>
      <c r="W18" s="27"/>
      <c r="X18" s="27">
        <v>300</v>
      </c>
      <c r="Y18" s="42">
        <v>100</v>
      </c>
      <c r="Z18" s="32">
        <f t="shared" si="1"/>
        <v>120</v>
      </c>
      <c r="AA18" s="43"/>
      <c r="AB18" s="34">
        <f t="shared" si="7"/>
        <v>300</v>
      </c>
      <c r="AC18" s="44"/>
      <c r="AD18" s="44">
        <v>0</v>
      </c>
      <c r="AE18" s="41">
        <v>0.988</v>
      </c>
      <c r="AF18" s="34">
        <f t="shared" si="10"/>
        <v>3636.12398461538</v>
      </c>
      <c r="AG18" s="46"/>
      <c r="AT18" s="3" t="str">
        <f>VLOOKUP(C18,[3]一线员工!$C$15:$C$97,1,0)</f>
        <v>陈连湘</v>
      </c>
    </row>
    <row r="19" s="1" customFormat="1" customHeight="1" spans="1:46">
      <c r="A19" s="17">
        <v>15</v>
      </c>
      <c r="B19" s="22" t="s">
        <v>495</v>
      </c>
      <c r="C19" s="21" t="s">
        <v>499</v>
      </c>
      <c r="D19" s="17">
        <v>26</v>
      </c>
      <c r="E19" s="19">
        <v>28</v>
      </c>
      <c r="F19" s="20">
        <f>VLOOKUP(C19,'[2]2025.9（定版）10.12'!$B$3:$BN$500,5,0)</f>
        <v>28</v>
      </c>
      <c r="G19" s="17">
        <f t="shared" si="2"/>
        <v>28</v>
      </c>
      <c r="H19" s="17">
        <f t="shared" si="3"/>
        <v>0</v>
      </c>
      <c r="I19" s="25">
        <v>2</v>
      </c>
      <c r="J19" s="25">
        <v>99.23</v>
      </c>
      <c r="K19" s="25">
        <v>2</v>
      </c>
      <c r="L19" s="26">
        <v>109.23</v>
      </c>
      <c r="M19" s="25">
        <v>4</v>
      </c>
      <c r="N19" s="25">
        <v>119.23</v>
      </c>
      <c r="O19" s="25">
        <v>9</v>
      </c>
      <c r="P19" s="25">
        <v>129.23</v>
      </c>
      <c r="Q19" s="25">
        <v>11</v>
      </c>
      <c r="R19" s="25">
        <v>139.23</v>
      </c>
      <c r="S19" s="25">
        <f t="shared" si="11"/>
        <v>3488.44</v>
      </c>
      <c r="T19" s="25"/>
      <c r="U19" s="27">
        <f t="shared" si="0"/>
        <v>1604.61538461538</v>
      </c>
      <c r="V19" s="27">
        <v>150</v>
      </c>
      <c r="W19" s="27"/>
      <c r="X19" s="27">
        <v>300</v>
      </c>
      <c r="Y19" s="42">
        <v>100</v>
      </c>
      <c r="Z19" s="32">
        <f t="shared" si="1"/>
        <v>224</v>
      </c>
      <c r="AA19" s="43"/>
      <c r="AB19" s="34">
        <f t="shared" si="7"/>
        <v>560</v>
      </c>
      <c r="AC19" s="44"/>
      <c r="AD19" s="44">
        <v>50</v>
      </c>
      <c r="AE19" s="41">
        <v>0.988</v>
      </c>
      <c r="AF19" s="34">
        <f t="shared" si="10"/>
        <v>6435.19410461538</v>
      </c>
      <c r="AG19" s="46"/>
      <c r="AT19" s="3" t="str">
        <f>VLOOKUP(C19,[3]一线员工!$C$15:$C$97,1,0)</f>
        <v>袁卫星</v>
      </c>
    </row>
    <row r="20" s="1" customFormat="1" customHeight="1" spans="1:46">
      <c r="A20" s="17">
        <v>16</v>
      </c>
      <c r="B20" s="22" t="s">
        <v>495</v>
      </c>
      <c r="C20" s="21" t="s">
        <v>500</v>
      </c>
      <c r="D20" s="17">
        <v>26</v>
      </c>
      <c r="E20" s="19">
        <v>28</v>
      </c>
      <c r="F20" s="20">
        <f>VLOOKUP(C20,'[2]2025.9（定版）10.12'!$B$3:$BN$500,5,0)</f>
        <v>28</v>
      </c>
      <c r="G20" s="17">
        <f t="shared" si="2"/>
        <v>28</v>
      </c>
      <c r="H20" s="17">
        <f t="shared" si="3"/>
        <v>0</v>
      </c>
      <c r="I20" s="25">
        <v>2</v>
      </c>
      <c r="J20" s="25">
        <v>99.23</v>
      </c>
      <c r="K20" s="25">
        <v>2</v>
      </c>
      <c r="L20" s="26">
        <v>109.23</v>
      </c>
      <c r="M20" s="25">
        <v>4</v>
      </c>
      <c r="N20" s="25">
        <v>119.23</v>
      </c>
      <c r="O20" s="25">
        <v>9</v>
      </c>
      <c r="P20" s="25">
        <v>129.23</v>
      </c>
      <c r="Q20" s="25">
        <v>11</v>
      </c>
      <c r="R20" s="25">
        <v>139.23</v>
      </c>
      <c r="S20" s="25">
        <f t="shared" si="11"/>
        <v>3488.44</v>
      </c>
      <c r="T20" s="25"/>
      <c r="U20" s="27">
        <f t="shared" si="0"/>
        <v>1604.61538461538</v>
      </c>
      <c r="V20" s="27">
        <v>150</v>
      </c>
      <c r="W20" s="27"/>
      <c r="X20" s="27">
        <v>300</v>
      </c>
      <c r="Y20" s="42">
        <v>300</v>
      </c>
      <c r="Z20" s="32">
        <f t="shared" si="1"/>
        <v>224</v>
      </c>
      <c r="AA20" s="43"/>
      <c r="AB20" s="34">
        <f t="shared" si="7"/>
        <v>560</v>
      </c>
      <c r="AC20" s="44"/>
      <c r="AD20" s="44">
        <v>0</v>
      </c>
      <c r="AE20" s="41">
        <v>0.988</v>
      </c>
      <c r="AF20" s="34">
        <f t="shared" si="10"/>
        <v>6585.19410461538</v>
      </c>
      <c r="AG20" s="46"/>
      <c r="AT20" s="3" t="str">
        <f>VLOOKUP(C20,[3]一线员工!$C$15:$C$97,1,0)</f>
        <v>郭正军</v>
      </c>
    </row>
    <row r="21" s="1" customFormat="1" customHeight="1" spans="1:46">
      <c r="A21" s="17">
        <v>17</v>
      </c>
      <c r="B21" s="22" t="s">
        <v>493</v>
      </c>
      <c r="C21" s="21" t="s">
        <v>501</v>
      </c>
      <c r="D21" s="17">
        <v>26</v>
      </c>
      <c r="E21" s="19">
        <v>26</v>
      </c>
      <c r="F21" s="20">
        <f>VLOOKUP(C21,'[2]2025.9（定版）10.12'!$B$3:$BN$500,5,0)</f>
        <v>26</v>
      </c>
      <c r="G21" s="17">
        <f t="shared" si="2"/>
        <v>25</v>
      </c>
      <c r="H21" s="19">
        <f t="shared" si="3"/>
        <v>1</v>
      </c>
      <c r="I21" s="25">
        <v>1</v>
      </c>
      <c r="J21" s="25">
        <v>99.23</v>
      </c>
      <c r="K21" s="25">
        <v>2</v>
      </c>
      <c r="L21" s="26">
        <v>109.23</v>
      </c>
      <c r="M21" s="25">
        <v>3</v>
      </c>
      <c r="N21" s="25">
        <v>119.23</v>
      </c>
      <c r="O21" s="25">
        <v>8</v>
      </c>
      <c r="P21" s="25">
        <v>129.23</v>
      </c>
      <c r="Q21" s="25">
        <v>11</v>
      </c>
      <c r="R21" s="25">
        <v>139.23</v>
      </c>
      <c r="S21" s="25">
        <f t="shared" si="11"/>
        <v>3140.75</v>
      </c>
      <c r="T21" s="25"/>
      <c r="U21" s="27">
        <f t="shared" si="0"/>
        <v>1490</v>
      </c>
      <c r="V21" s="27">
        <v>150</v>
      </c>
      <c r="W21" s="27"/>
      <c r="X21" s="27">
        <v>800</v>
      </c>
      <c r="Y21" s="42">
        <v>100</v>
      </c>
      <c r="Z21" s="32">
        <f t="shared" si="1"/>
        <v>208</v>
      </c>
      <c r="AA21" s="43"/>
      <c r="AB21" s="34">
        <f t="shared" si="7"/>
        <v>520</v>
      </c>
      <c r="AC21" s="44">
        <f t="shared" ref="AC21:AC41" si="12">+J21*20</f>
        <v>1984.6</v>
      </c>
      <c r="AD21" s="44">
        <v>50</v>
      </c>
      <c r="AE21" s="41">
        <v>0.988</v>
      </c>
      <c r="AF21" s="34">
        <f t="shared" si="10"/>
        <v>6421.061</v>
      </c>
      <c r="AG21" s="46"/>
      <c r="AT21" s="3" t="str">
        <f>VLOOKUP(C21,[3]一线员工!$C$15:$C$97,1,0)</f>
        <v>佘军</v>
      </c>
    </row>
    <row r="22" s="3" customFormat="1" customHeight="1" spans="1:46">
      <c r="A22" s="17">
        <v>18</v>
      </c>
      <c r="B22" s="22" t="s">
        <v>502</v>
      </c>
      <c r="C22" s="21" t="s">
        <v>503</v>
      </c>
      <c r="D22" s="17">
        <v>26</v>
      </c>
      <c r="E22" s="19">
        <v>17</v>
      </c>
      <c r="F22" s="20">
        <f>VLOOKUP(C22,'[2]2025.9（定版）10.12'!$B$3:$BN$500,5,0)</f>
        <v>16</v>
      </c>
      <c r="G22" s="17">
        <f t="shared" si="2"/>
        <v>17</v>
      </c>
      <c r="H22" s="17">
        <f t="shared" si="3"/>
        <v>0</v>
      </c>
      <c r="I22" s="17">
        <v>0</v>
      </c>
      <c r="J22" s="25">
        <v>99.23</v>
      </c>
      <c r="K22" s="17">
        <v>2</v>
      </c>
      <c r="L22" s="26">
        <v>109.23</v>
      </c>
      <c r="M22" s="25">
        <v>3</v>
      </c>
      <c r="N22" s="25">
        <v>119.23</v>
      </c>
      <c r="O22" s="25">
        <v>5</v>
      </c>
      <c r="P22" s="25">
        <v>129.23</v>
      </c>
      <c r="Q22" s="25">
        <v>7</v>
      </c>
      <c r="R22" s="25">
        <v>139.23</v>
      </c>
      <c r="S22" s="25">
        <f t="shared" si="11"/>
        <v>2096.91</v>
      </c>
      <c r="T22" s="25"/>
      <c r="U22" s="27">
        <f t="shared" si="0"/>
        <v>974.230769230769</v>
      </c>
      <c r="V22" s="27">
        <v>150</v>
      </c>
      <c r="W22" s="27"/>
      <c r="X22" s="27">
        <v>300</v>
      </c>
      <c r="Y22" s="30">
        <v>100</v>
      </c>
      <c r="Z22" s="32">
        <f t="shared" si="1"/>
        <v>136</v>
      </c>
      <c r="AA22" s="43"/>
      <c r="AB22" s="34">
        <f t="shared" si="7"/>
        <v>340</v>
      </c>
      <c r="AC22" s="44"/>
      <c r="AD22" s="44">
        <v>0</v>
      </c>
      <c r="AE22" s="41">
        <v>0.988</v>
      </c>
      <c r="AF22" s="34">
        <f t="shared" si="10"/>
        <v>4071.97784923077</v>
      </c>
      <c r="AG22" s="46"/>
      <c r="AT22" s="3" t="str">
        <f>VLOOKUP(C22,[3]一线员工!$C$15:$C$97,1,0)</f>
        <v>陈迪</v>
      </c>
    </row>
    <row r="23" s="3" customFormat="1" customHeight="1" spans="1:46">
      <c r="A23" s="17">
        <v>19</v>
      </c>
      <c r="B23" s="22" t="s">
        <v>502</v>
      </c>
      <c r="C23" s="21" t="s">
        <v>504</v>
      </c>
      <c r="D23" s="17">
        <v>26</v>
      </c>
      <c r="E23" s="19">
        <v>29</v>
      </c>
      <c r="F23" s="20">
        <f>VLOOKUP(C23,'[2]2025.9（定版）10.12'!$B$3:$BN$500,5,0)</f>
        <v>29</v>
      </c>
      <c r="G23" s="17">
        <f t="shared" si="2"/>
        <v>28</v>
      </c>
      <c r="H23" s="19">
        <f t="shared" si="3"/>
        <v>1</v>
      </c>
      <c r="I23" s="17">
        <v>2</v>
      </c>
      <c r="J23" s="25">
        <v>99.23</v>
      </c>
      <c r="K23" s="17">
        <v>2</v>
      </c>
      <c r="L23" s="26">
        <v>109.23</v>
      </c>
      <c r="M23" s="25">
        <v>4</v>
      </c>
      <c r="N23" s="25">
        <v>119.23</v>
      </c>
      <c r="O23" s="25">
        <v>9</v>
      </c>
      <c r="P23" s="25">
        <v>129.23</v>
      </c>
      <c r="Q23" s="25">
        <v>11</v>
      </c>
      <c r="R23" s="25">
        <v>139.23</v>
      </c>
      <c r="S23" s="25">
        <f t="shared" si="11"/>
        <v>3488.44</v>
      </c>
      <c r="T23" s="25"/>
      <c r="U23" s="27">
        <f t="shared" si="0"/>
        <v>1661.92307692308</v>
      </c>
      <c r="V23" s="27">
        <v>150</v>
      </c>
      <c r="W23" s="27"/>
      <c r="X23" s="27">
        <v>300</v>
      </c>
      <c r="Y23" s="30">
        <v>300</v>
      </c>
      <c r="Z23" s="32">
        <f t="shared" si="1"/>
        <v>232</v>
      </c>
      <c r="AA23" s="43"/>
      <c r="AB23" s="34">
        <f t="shared" si="7"/>
        <v>580</v>
      </c>
      <c r="AC23" s="44">
        <f t="shared" si="12"/>
        <v>1984.6</v>
      </c>
      <c r="AD23" s="44">
        <v>150</v>
      </c>
      <c r="AE23" s="41">
        <v>0.988</v>
      </c>
      <c r="AF23" s="34">
        <f t="shared" si="10"/>
        <v>6820.50179692308</v>
      </c>
      <c r="AG23" s="46"/>
      <c r="AT23" s="3" t="str">
        <f>VLOOKUP(C23,[3]一线员工!$C$15:$C$97,1,0)</f>
        <v>王西明</v>
      </c>
    </row>
    <row r="24" s="3" customFormat="1" customHeight="1" spans="1:46">
      <c r="A24" s="17">
        <v>20</v>
      </c>
      <c r="B24" s="17" t="s">
        <v>502</v>
      </c>
      <c r="C24" s="21" t="s">
        <v>505</v>
      </c>
      <c r="D24" s="17">
        <v>26</v>
      </c>
      <c r="E24" s="19">
        <v>28</v>
      </c>
      <c r="F24" s="20">
        <f>VLOOKUP(C24,'[2]2025.9（定版）10.12'!$B$3:$BN$500,5,0)</f>
        <v>28</v>
      </c>
      <c r="G24" s="17">
        <f t="shared" si="2"/>
        <v>28</v>
      </c>
      <c r="H24" s="17">
        <f t="shared" si="3"/>
        <v>0</v>
      </c>
      <c r="I24" s="25">
        <v>2</v>
      </c>
      <c r="J24" s="25">
        <v>99.23</v>
      </c>
      <c r="K24" s="25">
        <v>2</v>
      </c>
      <c r="L24" s="26">
        <v>109.23</v>
      </c>
      <c r="M24" s="25">
        <v>4</v>
      </c>
      <c r="N24" s="25">
        <v>119.23</v>
      </c>
      <c r="O24" s="25">
        <v>9</v>
      </c>
      <c r="P24" s="25">
        <v>129.23</v>
      </c>
      <c r="Q24" s="25">
        <v>11</v>
      </c>
      <c r="R24" s="25">
        <v>139.23</v>
      </c>
      <c r="S24" s="25">
        <f>(+I24*J24+K24*L24+M24*N24+O24*P24+Q24*R24)-100</f>
        <v>3488.44</v>
      </c>
      <c r="T24" s="25"/>
      <c r="U24" s="27">
        <f t="shared" si="0"/>
        <v>1604.61538461538</v>
      </c>
      <c r="V24" s="27">
        <v>150</v>
      </c>
      <c r="W24" s="27"/>
      <c r="X24" s="30">
        <v>300</v>
      </c>
      <c r="Y24" s="29">
        <v>150</v>
      </c>
      <c r="Z24" s="32">
        <f t="shared" si="1"/>
        <v>224</v>
      </c>
      <c r="AA24" s="33"/>
      <c r="AB24" s="34">
        <f t="shared" si="7"/>
        <v>560</v>
      </c>
      <c r="AC24" s="13"/>
      <c r="AD24" s="34">
        <v>50</v>
      </c>
      <c r="AE24" s="41">
        <v>0.988</v>
      </c>
      <c r="AF24" s="34">
        <f t="shared" si="10"/>
        <v>6485.19410461538</v>
      </c>
      <c r="AG24" s="46"/>
      <c r="AT24" s="3" t="str">
        <f>VLOOKUP(C24,[3]一线员工!$C$15:$C$97,1,0)</f>
        <v>李先文</v>
      </c>
    </row>
    <row r="25" s="3" customFormat="1" customHeight="1" spans="1:46">
      <c r="A25" s="17">
        <v>21</v>
      </c>
      <c r="B25" s="17" t="s">
        <v>502</v>
      </c>
      <c r="C25" s="21" t="s">
        <v>506</v>
      </c>
      <c r="D25" s="17">
        <v>26</v>
      </c>
      <c r="E25" s="19">
        <v>30</v>
      </c>
      <c r="F25" s="20">
        <f>VLOOKUP(C25,'[2]2025.9（定版）10.12'!$B$3:$BN$500,5,0)</f>
        <v>30</v>
      </c>
      <c r="G25" s="17">
        <f t="shared" si="2"/>
        <v>28</v>
      </c>
      <c r="H25" s="19">
        <f t="shared" si="3"/>
        <v>2</v>
      </c>
      <c r="I25" s="17">
        <v>2</v>
      </c>
      <c r="J25" s="25">
        <v>99.23</v>
      </c>
      <c r="K25" s="17">
        <v>2</v>
      </c>
      <c r="L25" s="26">
        <v>109.23</v>
      </c>
      <c r="M25" s="25">
        <v>4</v>
      </c>
      <c r="N25" s="25">
        <v>119.23</v>
      </c>
      <c r="O25" s="25">
        <v>9</v>
      </c>
      <c r="P25" s="25">
        <v>129.23</v>
      </c>
      <c r="Q25" s="25">
        <v>11</v>
      </c>
      <c r="R25" s="25">
        <v>139.23</v>
      </c>
      <c r="S25" s="25">
        <f>(+I25*J25+K25*L25+M25*N25+O25*P25+Q25*R25)-100</f>
        <v>3488.44</v>
      </c>
      <c r="T25" s="25"/>
      <c r="U25" s="27">
        <f t="shared" si="0"/>
        <v>1719.23076923077</v>
      </c>
      <c r="V25" s="27">
        <v>150</v>
      </c>
      <c r="W25" s="27"/>
      <c r="X25" s="27">
        <v>300</v>
      </c>
      <c r="Y25" s="30">
        <v>200</v>
      </c>
      <c r="Z25" s="32">
        <f t="shared" si="1"/>
        <v>240</v>
      </c>
      <c r="AA25" s="43"/>
      <c r="AB25" s="34">
        <f t="shared" si="7"/>
        <v>600</v>
      </c>
      <c r="AC25" s="44">
        <f t="shared" si="12"/>
        <v>1984.6</v>
      </c>
      <c r="AD25" s="44">
        <v>150</v>
      </c>
      <c r="AE25" s="41">
        <v>0.988</v>
      </c>
      <c r="AF25" s="34">
        <f t="shared" si="10"/>
        <v>6805.80948923077</v>
      </c>
      <c r="AG25" s="46"/>
      <c r="AT25" s="3" t="str">
        <f>VLOOKUP(C25,[3]一线员工!$C$15:$C$97,1,0)</f>
        <v>张波滔</v>
      </c>
    </row>
    <row r="26" s="3" customFormat="1" customHeight="1" spans="1:46">
      <c r="A26" s="17">
        <v>22</v>
      </c>
      <c r="B26" s="17" t="s">
        <v>502</v>
      </c>
      <c r="C26" s="21" t="s">
        <v>507</v>
      </c>
      <c r="D26" s="17">
        <v>26</v>
      </c>
      <c r="E26" s="19">
        <v>28.8</v>
      </c>
      <c r="F26" s="20">
        <f>VLOOKUP(C26,'[2]2025.9（定版）10.12'!$B$3:$BN$500,5,0)</f>
        <v>28.8</v>
      </c>
      <c r="G26" s="17">
        <f t="shared" si="2"/>
        <v>28</v>
      </c>
      <c r="H26" s="19">
        <f t="shared" si="3"/>
        <v>0.800000000000001</v>
      </c>
      <c r="I26" s="25">
        <v>2</v>
      </c>
      <c r="J26" s="25">
        <v>99.23</v>
      </c>
      <c r="K26" s="25">
        <v>2</v>
      </c>
      <c r="L26" s="26">
        <v>109.23</v>
      </c>
      <c r="M26" s="25">
        <v>4</v>
      </c>
      <c r="N26" s="25">
        <v>119.23</v>
      </c>
      <c r="O26" s="25">
        <v>9</v>
      </c>
      <c r="P26" s="25">
        <v>129.23</v>
      </c>
      <c r="Q26" s="25">
        <v>11</v>
      </c>
      <c r="R26" s="25">
        <v>139.23</v>
      </c>
      <c r="S26" s="25">
        <f t="shared" ref="S26:S29" si="13">+(I26*J26+K26*L26+M26*N26+O26*P26+Q26*R26)-100</f>
        <v>3488.44</v>
      </c>
      <c r="T26" s="25"/>
      <c r="U26" s="27">
        <f t="shared" si="0"/>
        <v>1650.46153846154</v>
      </c>
      <c r="V26" s="27">
        <v>150</v>
      </c>
      <c r="W26" s="27"/>
      <c r="X26" s="27">
        <v>300</v>
      </c>
      <c r="Y26" s="30">
        <v>300</v>
      </c>
      <c r="Z26" s="32">
        <f t="shared" si="1"/>
        <v>230.4</v>
      </c>
      <c r="AA26" s="43"/>
      <c r="AB26" s="34">
        <f t="shared" si="7"/>
        <v>576</v>
      </c>
      <c r="AC26" s="44">
        <f t="shared" si="12"/>
        <v>1984.6</v>
      </c>
      <c r="AD26" s="44">
        <v>50</v>
      </c>
      <c r="AE26" s="41">
        <v>0.988</v>
      </c>
      <c r="AF26" s="34">
        <f t="shared" si="10"/>
        <v>6703.44025846154</v>
      </c>
      <c r="AG26" s="46"/>
      <c r="AT26" s="3" t="str">
        <f>VLOOKUP(C26,[3]一线员工!$C$15:$C$97,1,0)</f>
        <v>刘湘宇</v>
      </c>
    </row>
    <row r="27" s="3" customFormat="1" customHeight="1" spans="1:46">
      <c r="A27" s="17">
        <v>23</v>
      </c>
      <c r="B27" s="22" t="s">
        <v>508</v>
      </c>
      <c r="C27" s="21" t="s">
        <v>509</v>
      </c>
      <c r="D27" s="17">
        <v>26</v>
      </c>
      <c r="E27" s="19">
        <v>28.8</v>
      </c>
      <c r="F27" s="20">
        <f>VLOOKUP(C27,'[2]2025.9（定版）10.12'!$B$3:$BN$500,5,0)</f>
        <v>28.75</v>
      </c>
      <c r="G27" s="17">
        <f t="shared" si="2"/>
        <v>28</v>
      </c>
      <c r="H27" s="19">
        <f t="shared" si="3"/>
        <v>0.800000000000001</v>
      </c>
      <c r="I27" s="25">
        <v>2</v>
      </c>
      <c r="J27" s="25">
        <v>99.23</v>
      </c>
      <c r="K27" s="25">
        <v>2</v>
      </c>
      <c r="L27" s="26">
        <v>109.23</v>
      </c>
      <c r="M27" s="25">
        <v>4</v>
      </c>
      <c r="N27" s="25">
        <v>119.23</v>
      </c>
      <c r="O27" s="25">
        <v>9</v>
      </c>
      <c r="P27" s="25">
        <v>129.23</v>
      </c>
      <c r="Q27" s="25">
        <v>11</v>
      </c>
      <c r="R27" s="25">
        <v>139.23</v>
      </c>
      <c r="S27" s="25">
        <f t="shared" si="13"/>
        <v>3488.44</v>
      </c>
      <c r="T27" s="25"/>
      <c r="U27" s="27">
        <f t="shared" si="0"/>
        <v>1650.46153846154</v>
      </c>
      <c r="V27" s="27">
        <v>150</v>
      </c>
      <c r="W27" s="27"/>
      <c r="X27" s="27">
        <v>200</v>
      </c>
      <c r="Y27" s="30">
        <v>300</v>
      </c>
      <c r="Z27" s="32">
        <f t="shared" si="1"/>
        <v>230.4</v>
      </c>
      <c r="AA27" s="43"/>
      <c r="AB27" s="34">
        <f t="shared" si="7"/>
        <v>576</v>
      </c>
      <c r="AC27" s="44">
        <f t="shared" si="12"/>
        <v>1984.6</v>
      </c>
      <c r="AD27" s="44">
        <v>150</v>
      </c>
      <c r="AE27" s="41">
        <v>0.988</v>
      </c>
      <c r="AF27" s="34">
        <f t="shared" si="10"/>
        <v>6703.44025846154</v>
      </c>
      <c r="AG27" s="46"/>
      <c r="AT27" s="3" t="str">
        <f>VLOOKUP(C27,[3]一线员工!$C$15:$C$97,1,0)</f>
        <v>陈爱军</v>
      </c>
    </row>
    <row r="28" s="3" customFormat="1" customHeight="1" spans="1:46">
      <c r="A28" s="17">
        <v>24</v>
      </c>
      <c r="B28" s="17" t="s">
        <v>508</v>
      </c>
      <c r="C28" s="21" t="s">
        <v>510</v>
      </c>
      <c r="D28" s="17">
        <v>26</v>
      </c>
      <c r="E28" s="19">
        <v>28</v>
      </c>
      <c r="F28" s="20">
        <f>VLOOKUP(C28,'[2]2025.9（定版）10.12'!$B$3:$BN$500,5,0)</f>
        <v>28</v>
      </c>
      <c r="G28" s="17">
        <f t="shared" si="2"/>
        <v>30</v>
      </c>
      <c r="H28" s="19">
        <f t="shared" si="3"/>
        <v>-2</v>
      </c>
      <c r="I28" s="25">
        <v>2</v>
      </c>
      <c r="J28" s="25">
        <v>99.23</v>
      </c>
      <c r="K28" s="25">
        <v>2</v>
      </c>
      <c r="L28" s="26">
        <v>109.23</v>
      </c>
      <c r="M28" s="25">
        <v>6</v>
      </c>
      <c r="N28" s="25">
        <v>119.23</v>
      </c>
      <c r="O28" s="25">
        <v>9</v>
      </c>
      <c r="P28" s="25">
        <v>129.23</v>
      </c>
      <c r="Q28" s="25">
        <v>11</v>
      </c>
      <c r="R28" s="25">
        <v>139.23</v>
      </c>
      <c r="S28" s="25">
        <f t="shared" si="13"/>
        <v>3726.9</v>
      </c>
      <c r="T28" s="25"/>
      <c r="U28" s="27">
        <f t="shared" si="0"/>
        <v>1604.61538461538</v>
      </c>
      <c r="V28" s="27">
        <v>150</v>
      </c>
      <c r="W28" s="27"/>
      <c r="X28" s="27">
        <v>200</v>
      </c>
      <c r="Y28" s="30">
        <v>300</v>
      </c>
      <c r="Z28" s="32">
        <f t="shared" si="1"/>
        <v>224</v>
      </c>
      <c r="AA28" s="43"/>
      <c r="AB28" s="34">
        <f t="shared" si="7"/>
        <v>560</v>
      </c>
      <c r="AC28" s="44">
        <f t="shared" si="12"/>
        <v>1984.6</v>
      </c>
      <c r="AD28" s="44">
        <v>150</v>
      </c>
      <c r="AE28" s="41">
        <v>0.988</v>
      </c>
      <c r="AF28" s="34">
        <f t="shared" si="10"/>
        <v>6870.79258461538</v>
      </c>
      <c r="AG28" s="46"/>
      <c r="AT28" s="3" t="str">
        <f>VLOOKUP(C28,[3]一线员工!$C$15:$C$97,1,0)</f>
        <v>冉景斌</v>
      </c>
    </row>
    <row r="29" s="3" customFormat="1" customHeight="1" spans="1:46">
      <c r="A29" s="17">
        <v>25</v>
      </c>
      <c r="B29" s="22" t="s">
        <v>511</v>
      </c>
      <c r="C29" s="21" t="s">
        <v>512</v>
      </c>
      <c r="D29" s="17">
        <v>26</v>
      </c>
      <c r="E29" s="19">
        <v>14</v>
      </c>
      <c r="F29" s="20">
        <f>VLOOKUP(C29,'[2]2025.9（定版）10.12'!$B$3:$BN$500,5,0)</f>
        <v>14</v>
      </c>
      <c r="G29" s="17">
        <f t="shared" si="2"/>
        <v>13</v>
      </c>
      <c r="H29" s="19">
        <f t="shared" si="3"/>
        <v>1</v>
      </c>
      <c r="I29" s="25">
        <v>2</v>
      </c>
      <c r="J29" s="25">
        <v>99.23</v>
      </c>
      <c r="K29" s="25">
        <v>0</v>
      </c>
      <c r="L29" s="26">
        <v>109.23</v>
      </c>
      <c r="M29" s="25">
        <v>1</v>
      </c>
      <c r="N29" s="25">
        <v>119.23</v>
      </c>
      <c r="O29" s="25">
        <v>4</v>
      </c>
      <c r="P29" s="25">
        <v>129.23</v>
      </c>
      <c r="Q29" s="25">
        <v>6</v>
      </c>
      <c r="R29" s="25">
        <v>139.23</v>
      </c>
      <c r="S29" s="25">
        <f t="shared" si="13"/>
        <v>1569.99</v>
      </c>
      <c r="T29" s="25"/>
      <c r="U29" s="27">
        <f t="shared" si="0"/>
        <v>802.307692307692</v>
      </c>
      <c r="V29" s="27">
        <v>150</v>
      </c>
      <c r="W29" s="27"/>
      <c r="X29" s="27">
        <v>201</v>
      </c>
      <c r="Y29" s="42">
        <v>0</v>
      </c>
      <c r="Z29" s="32">
        <f t="shared" si="1"/>
        <v>112</v>
      </c>
      <c r="AA29" s="43"/>
      <c r="AB29" s="34">
        <f t="shared" ref="AB29:AB38" si="14">E29*20</f>
        <v>280</v>
      </c>
      <c r="AC29" s="44">
        <f t="shared" si="12"/>
        <v>1984.6</v>
      </c>
      <c r="AD29" s="44">
        <v>0</v>
      </c>
      <c r="AE29" s="41">
        <v>0.988</v>
      </c>
      <c r="AF29" s="34">
        <f t="shared" si="10"/>
        <v>3096.45781230769</v>
      </c>
      <c r="AG29" s="46"/>
      <c r="AT29" s="3" t="str">
        <f>VLOOKUP(C29,[3]一线员工!$C$15:$C$97,1,0)</f>
        <v>刘俊杰</v>
      </c>
    </row>
    <row r="30" s="3" customFormat="1" customHeight="1" spans="1:46">
      <c r="A30" s="17">
        <v>1</v>
      </c>
      <c r="B30" s="17" t="s">
        <v>479</v>
      </c>
      <c r="C30" s="23" t="s">
        <v>520</v>
      </c>
      <c r="D30" s="17">
        <v>26</v>
      </c>
      <c r="E30" s="19">
        <v>26</v>
      </c>
      <c r="F30" s="20">
        <f>VLOOKUP(C30,'[2]2025.9（定版）10.12'!$B$3:$BN$500,5,0)</f>
        <v>26</v>
      </c>
      <c r="G30" s="17">
        <f t="shared" si="2"/>
        <v>26</v>
      </c>
      <c r="H30" s="17">
        <f t="shared" si="3"/>
        <v>0</v>
      </c>
      <c r="I30" s="17"/>
      <c r="J30" s="25">
        <v>99.23</v>
      </c>
      <c r="K30" s="17">
        <f t="shared" ref="K30:K35" si="15">E30/2</f>
        <v>13</v>
      </c>
      <c r="L30" s="26">
        <v>109.23</v>
      </c>
      <c r="M30" s="25">
        <f t="shared" ref="M30:M39" si="16">E30-K30</f>
        <v>13</v>
      </c>
      <c r="N30" s="25">
        <v>119.23</v>
      </c>
      <c r="O30" s="25">
        <v>0</v>
      </c>
      <c r="P30" s="25">
        <v>129.23</v>
      </c>
      <c r="Q30" s="25">
        <v>0</v>
      </c>
      <c r="R30" s="25">
        <v>139.23</v>
      </c>
      <c r="S30" s="25">
        <f>+I30*J30+K30*L30+M30*N30+O30*P30+Q30*R30</f>
        <v>2969.98</v>
      </c>
      <c r="T30" s="25"/>
      <c r="U30" s="27">
        <f t="shared" si="0"/>
        <v>1490</v>
      </c>
      <c r="V30" s="27">
        <v>150</v>
      </c>
      <c r="W30" s="27"/>
      <c r="X30" s="27">
        <v>500</v>
      </c>
      <c r="Y30" s="42">
        <v>300</v>
      </c>
      <c r="Z30" s="32">
        <f t="shared" si="1"/>
        <v>208</v>
      </c>
      <c r="AA30" s="43">
        <v>500</v>
      </c>
      <c r="AB30" s="34">
        <f t="shared" si="14"/>
        <v>520</v>
      </c>
      <c r="AC30" s="44">
        <f t="shared" si="12"/>
        <v>1984.6</v>
      </c>
      <c r="AD30" s="44">
        <v>200</v>
      </c>
      <c r="AE30" s="41">
        <v>0.99</v>
      </c>
      <c r="AF30" s="34">
        <f t="shared" si="10"/>
        <v>6808.2802</v>
      </c>
      <c r="AG30" s="46"/>
      <c r="AT30" s="3" t="str">
        <f>VLOOKUP(C30,[3]一线员工!$C$15:$C$97,1,0)</f>
        <v>张忠宝</v>
      </c>
    </row>
    <row r="31" s="4" customFormat="1" customHeight="1" spans="1:46">
      <c r="A31" s="17">
        <v>2</v>
      </c>
      <c r="B31" s="22" t="s">
        <v>521</v>
      </c>
      <c r="C31" s="23" t="s">
        <v>522</v>
      </c>
      <c r="D31" s="17">
        <v>26</v>
      </c>
      <c r="E31" s="19">
        <v>30</v>
      </c>
      <c r="F31" s="20">
        <f>VLOOKUP(C31,'[2]2025.9（定版）10.12'!$B$3:$BN$500,5,0)</f>
        <v>29.4</v>
      </c>
      <c r="G31" s="17">
        <f t="shared" si="2"/>
        <v>30</v>
      </c>
      <c r="H31" s="17">
        <f t="shared" si="3"/>
        <v>0</v>
      </c>
      <c r="I31" s="17"/>
      <c r="J31" s="25">
        <v>99.23</v>
      </c>
      <c r="K31" s="17">
        <v>15</v>
      </c>
      <c r="L31" s="26">
        <v>109.23</v>
      </c>
      <c r="M31" s="25">
        <f t="shared" si="16"/>
        <v>15</v>
      </c>
      <c r="N31" s="25">
        <v>119.23</v>
      </c>
      <c r="O31" s="25">
        <v>0</v>
      </c>
      <c r="P31" s="25">
        <v>129.23</v>
      </c>
      <c r="Q31" s="25">
        <v>0</v>
      </c>
      <c r="R31" s="25">
        <v>139.23</v>
      </c>
      <c r="S31" s="25">
        <f>+I31*J31+K31*L31+M31*N31+O31*P31+Q31*R31</f>
        <v>3426.9</v>
      </c>
      <c r="T31" s="25"/>
      <c r="U31" s="27">
        <f t="shared" si="0"/>
        <v>1719.23076923077</v>
      </c>
      <c r="V31" s="27">
        <v>150</v>
      </c>
      <c r="W31" s="27">
        <v>500</v>
      </c>
      <c r="X31" s="27">
        <v>200</v>
      </c>
      <c r="Y31" s="42">
        <v>300</v>
      </c>
      <c r="Z31" s="32">
        <f t="shared" si="1"/>
        <v>240</v>
      </c>
      <c r="AA31" s="43">
        <v>1000</v>
      </c>
      <c r="AB31" s="34">
        <f t="shared" si="14"/>
        <v>600</v>
      </c>
      <c r="AC31" s="44">
        <f t="shared" si="12"/>
        <v>1984.6</v>
      </c>
      <c r="AD31" s="44">
        <v>0</v>
      </c>
      <c r="AE31" s="41">
        <v>0.99</v>
      </c>
      <c r="AF31" s="34">
        <f>S31*AE31+U31+V31+W31+X31+Y31+Z31+AA31+AB31</f>
        <v>8101.86176923077</v>
      </c>
      <c r="AG31" s="46"/>
      <c r="AT31" s="3" t="str">
        <f>VLOOKUP(C31,[3]一线员工!$C$15:$C$97,1,0)</f>
        <v>赵新辉</v>
      </c>
    </row>
    <row r="32" s="1" customFormat="1" customHeight="1" spans="1:46">
      <c r="A32" s="17">
        <v>3</v>
      </c>
      <c r="B32" s="17" t="s">
        <v>523</v>
      </c>
      <c r="C32" s="23" t="s">
        <v>524</v>
      </c>
      <c r="D32" s="17">
        <v>26</v>
      </c>
      <c r="E32" s="19">
        <v>29</v>
      </c>
      <c r="F32" s="20">
        <f>VLOOKUP(C32,'[2]2025.9（定版）10.12'!$B$3:$BN$500,5,0)</f>
        <v>29</v>
      </c>
      <c r="G32" s="17">
        <f t="shared" si="2"/>
        <v>29</v>
      </c>
      <c r="H32" s="17">
        <f t="shared" si="3"/>
        <v>0</v>
      </c>
      <c r="I32" s="17"/>
      <c r="J32" s="25">
        <v>99.23</v>
      </c>
      <c r="K32" s="17">
        <f t="shared" si="15"/>
        <v>14.5</v>
      </c>
      <c r="L32" s="26">
        <v>109.23</v>
      </c>
      <c r="M32" s="25">
        <f t="shared" si="16"/>
        <v>14.5</v>
      </c>
      <c r="N32" s="25">
        <v>119.23</v>
      </c>
      <c r="O32" s="25">
        <v>0</v>
      </c>
      <c r="P32" s="25">
        <v>129.23</v>
      </c>
      <c r="Q32" s="25">
        <v>0</v>
      </c>
      <c r="R32" s="25">
        <v>139.23</v>
      </c>
      <c r="S32" s="25">
        <f t="shared" ref="S32:S38" si="17">+(I32*J32+K32*L32+M32*N32+O32*P32+Q32*R32)-100</f>
        <v>3212.67</v>
      </c>
      <c r="T32" s="25"/>
      <c r="U32" s="27">
        <f t="shared" si="0"/>
        <v>1661.92307692308</v>
      </c>
      <c r="V32" s="27">
        <v>150</v>
      </c>
      <c r="W32" s="27"/>
      <c r="X32" s="27">
        <v>700</v>
      </c>
      <c r="Y32" s="42">
        <v>300</v>
      </c>
      <c r="Z32" s="32">
        <f t="shared" si="1"/>
        <v>232</v>
      </c>
      <c r="AA32" s="43"/>
      <c r="AB32" s="34">
        <f t="shared" si="14"/>
        <v>580</v>
      </c>
      <c r="AC32" s="44">
        <f t="shared" si="12"/>
        <v>1984.6</v>
      </c>
      <c r="AD32" s="44">
        <v>150</v>
      </c>
      <c r="AE32" s="41">
        <v>0.99</v>
      </c>
      <c r="AF32" s="34">
        <f t="shared" ref="AF32:AF55" si="18">S32*AE32+T32+U32+V32+W32+X32+Y32+Z32+AA32+AB32+AD32</f>
        <v>6954.46637692308</v>
      </c>
      <c r="AG32" s="46"/>
      <c r="AT32" s="3" t="str">
        <f>VLOOKUP(C32,[3]一线员工!$C$15:$C$97,1,0)</f>
        <v>张迪辉</v>
      </c>
    </row>
    <row r="33" s="4" customFormat="1" customHeight="1" spans="1:46">
      <c r="A33" s="17">
        <v>4</v>
      </c>
      <c r="B33" s="17" t="s">
        <v>491</v>
      </c>
      <c r="C33" s="23" t="s">
        <v>525</v>
      </c>
      <c r="D33" s="17">
        <v>26</v>
      </c>
      <c r="E33" s="19">
        <v>29</v>
      </c>
      <c r="F33" s="20">
        <f>VLOOKUP(C33,'[2]2025.9（定版）10.12'!$B$3:$BN$500,5,0)</f>
        <v>29</v>
      </c>
      <c r="G33" s="17">
        <f t="shared" si="2"/>
        <v>29</v>
      </c>
      <c r="H33" s="17">
        <f t="shared" si="3"/>
        <v>0</v>
      </c>
      <c r="I33" s="25"/>
      <c r="J33" s="25">
        <v>99.23</v>
      </c>
      <c r="K33" s="17">
        <v>14</v>
      </c>
      <c r="L33" s="26">
        <v>109.23</v>
      </c>
      <c r="M33" s="25">
        <f t="shared" si="16"/>
        <v>15</v>
      </c>
      <c r="N33" s="25">
        <v>119.23</v>
      </c>
      <c r="O33" s="25">
        <v>0</v>
      </c>
      <c r="P33" s="25">
        <v>129.23</v>
      </c>
      <c r="Q33" s="25">
        <v>0</v>
      </c>
      <c r="R33" s="25">
        <v>139.23</v>
      </c>
      <c r="S33" s="25">
        <f t="shared" si="17"/>
        <v>3217.67</v>
      </c>
      <c r="T33" s="25"/>
      <c r="U33" s="27">
        <f t="shared" si="0"/>
        <v>1661.92307692308</v>
      </c>
      <c r="V33" s="27">
        <v>150</v>
      </c>
      <c r="W33" s="27"/>
      <c r="X33" s="27">
        <v>700</v>
      </c>
      <c r="Y33" s="42">
        <v>300</v>
      </c>
      <c r="Z33" s="32">
        <f t="shared" si="1"/>
        <v>232</v>
      </c>
      <c r="AA33" s="43"/>
      <c r="AB33" s="34">
        <f t="shared" si="14"/>
        <v>580</v>
      </c>
      <c r="AC33" s="44">
        <f t="shared" si="12"/>
        <v>1984.6</v>
      </c>
      <c r="AD33" s="44">
        <v>100</v>
      </c>
      <c r="AE33" s="41">
        <v>0.99</v>
      </c>
      <c r="AF33" s="34">
        <f t="shared" si="18"/>
        <v>6909.41637692308</v>
      </c>
      <c r="AG33" s="46"/>
      <c r="AT33" s="3" t="str">
        <f>VLOOKUP(C33,[3]一线员工!$C$15:$C$97,1,0)</f>
        <v>龙意倩</v>
      </c>
    </row>
    <row r="34" s="3" customFormat="1" customHeight="1" spans="1:46">
      <c r="A34" s="17">
        <v>0</v>
      </c>
      <c r="B34" s="17" t="s">
        <v>495</v>
      </c>
      <c r="C34" s="23" t="s">
        <v>526</v>
      </c>
      <c r="D34" s="17">
        <v>26</v>
      </c>
      <c r="E34" s="19">
        <v>22.3</v>
      </c>
      <c r="F34" s="20">
        <f>VLOOKUP(C34,'[2]2025.9（定版）10.12'!$B$3:$BN$500,5,0)</f>
        <v>22.3</v>
      </c>
      <c r="G34" s="17">
        <f t="shared" si="2"/>
        <v>22.3</v>
      </c>
      <c r="H34" s="17">
        <f t="shared" si="3"/>
        <v>0</v>
      </c>
      <c r="I34" s="25"/>
      <c r="J34" s="25">
        <v>99.23</v>
      </c>
      <c r="K34" s="17">
        <f t="shared" si="15"/>
        <v>11.15</v>
      </c>
      <c r="L34" s="26">
        <v>109.23</v>
      </c>
      <c r="M34" s="25">
        <f t="shared" si="16"/>
        <v>11.15</v>
      </c>
      <c r="N34" s="25">
        <v>119.23</v>
      </c>
      <c r="O34" s="25">
        <v>0</v>
      </c>
      <c r="P34" s="25">
        <v>129.23</v>
      </c>
      <c r="Q34" s="25">
        <v>0</v>
      </c>
      <c r="R34" s="25">
        <v>139.23</v>
      </c>
      <c r="S34" s="25">
        <f t="shared" si="17"/>
        <v>2447.329</v>
      </c>
      <c r="T34" s="25"/>
      <c r="U34" s="27">
        <f t="shared" si="0"/>
        <v>1277.96153846154</v>
      </c>
      <c r="V34" s="27">
        <v>150</v>
      </c>
      <c r="W34" s="27"/>
      <c r="X34" s="27">
        <v>300</v>
      </c>
      <c r="Y34" s="42">
        <v>300</v>
      </c>
      <c r="Z34" s="32">
        <f t="shared" si="1"/>
        <v>178.4</v>
      </c>
      <c r="AA34" s="43"/>
      <c r="AB34" s="34">
        <f t="shared" si="14"/>
        <v>446</v>
      </c>
      <c r="AC34" s="44">
        <f t="shared" si="12"/>
        <v>1984.6</v>
      </c>
      <c r="AD34" s="44">
        <v>0</v>
      </c>
      <c r="AE34" s="41">
        <v>0.99</v>
      </c>
      <c r="AF34" s="34">
        <f t="shared" si="18"/>
        <v>5075.21724846154</v>
      </c>
      <c r="AG34" s="46"/>
      <c r="AT34" s="3" t="str">
        <f>VLOOKUP(C34,[3]一线员工!$C$15:$C$97,1,0)</f>
        <v>卢喜春</v>
      </c>
    </row>
    <row r="35" s="3" customFormat="1" customHeight="1" spans="1:46">
      <c r="A35" s="17">
        <v>6</v>
      </c>
      <c r="B35" s="22" t="s">
        <v>495</v>
      </c>
      <c r="C35" s="23" t="s">
        <v>527</v>
      </c>
      <c r="D35" s="17">
        <v>26</v>
      </c>
      <c r="E35" s="19">
        <v>29</v>
      </c>
      <c r="F35" s="20">
        <f>VLOOKUP(C35,'[2]2025.9（定版）10.12'!$B$3:$BN$500,5,0)</f>
        <v>29</v>
      </c>
      <c r="G35" s="17">
        <f t="shared" si="2"/>
        <v>29</v>
      </c>
      <c r="H35" s="17">
        <f t="shared" si="3"/>
        <v>0</v>
      </c>
      <c r="I35" s="25"/>
      <c r="J35" s="25">
        <v>99.23</v>
      </c>
      <c r="K35" s="17">
        <f t="shared" si="15"/>
        <v>14.5</v>
      </c>
      <c r="L35" s="26">
        <v>109.23</v>
      </c>
      <c r="M35" s="25">
        <f t="shared" si="16"/>
        <v>14.5</v>
      </c>
      <c r="N35" s="25">
        <v>119.23</v>
      </c>
      <c r="O35" s="25">
        <v>0</v>
      </c>
      <c r="P35" s="25">
        <v>129.23</v>
      </c>
      <c r="Q35" s="25">
        <v>0</v>
      </c>
      <c r="R35" s="25">
        <v>139.23</v>
      </c>
      <c r="S35" s="25">
        <f t="shared" si="17"/>
        <v>3212.67</v>
      </c>
      <c r="T35" s="25"/>
      <c r="U35" s="27">
        <f t="shared" si="0"/>
        <v>1661.92307692308</v>
      </c>
      <c r="V35" s="27">
        <v>150</v>
      </c>
      <c r="W35" s="27"/>
      <c r="X35" s="27">
        <v>300</v>
      </c>
      <c r="Y35" s="42">
        <v>300</v>
      </c>
      <c r="Z35" s="32">
        <f t="shared" si="1"/>
        <v>232</v>
      </c>
      <c r="AA35" s="43"/>
      <c r="AB35" s="34">
        <f t="shared" si="14"/>
        <v>580</v>
      </c>
      <c r="AC35" s="44">
        <f t="shared" si="12"/>
        <v>1984.6</v>
      </c>
      <c r="AD35" s="44">
        <v>100</v>
      </c>
      <c r="AE35" s="41">
        <v>0.99</v>
      </c>
      <c r="AF35" s="34">
        <f t="shared" si="18"/>
        <v>6504.46637692308</v>
      </c>
      <c r="AG35" s="46"/>
      <c r="AT35" s="3" t="str">
        <f>VLOOKUP(C35,[3]一线员工!$C$15:$C$97,1,0)</f>
        <v>肖军奇</v>
      </c>
    </row>
    <row r="36" s="3" customFormat="1" customHeight="1" spans="1:46">
      <c r="A36" s="17">
        <v>7</v>
      </c>
      <c r="B36" s="22" t="s">
        <v>502</v>
      </c>
      <c r="C36" s="23" t="s">
        <v>528</v>
      </c>
      <c r="D36" s="17">
        <v>26</v>
      </c>
      <c r="E36" s="19">
        <v>27</v>
      </c>
      <c r="F36" s="20">
        <f>VLOOKUP(C36,'[2]2025.9（定版）10.12'!$B$3:$BN$500,5,0)</f>
        <v>27</v>
      </c>
      <c r="G36" s="17">
        <f t="shared" si="2"/>
        <v>27</v>
      </c>
      <c r="H36" s="17">
        <f t="shared" si="3"/>
        <v>0</v>
      </c>
      <c r="I36" s="25"/>
      <c r="J36" s="25">
        <v>99.23</v>
      </c>
      <c r="K36" s="17">
        <v>14</v>
      </c>
      <c r="L36" s="26">
        <v>109.23</v>
      </c>
      <c r="M36" s="25">
        <f t="shared" si="16"/>
        <v>13</v>
      </c>
      <c r="N36" s="25">
        <v>119.23</v>
      </c>
      <c r="O36" s="25">
        <v>0</v>
      </c>
      <c r="P36" s="25">
        <v>129.23</v>
      </c>
      <c r="Q36" s="25">
        <v>0</v>
      </c>
      <c r="R36" s="25">
        <v>139.23</v>
      </c>
      <c r="S36" s="25">
        <f t="shared" si="17"/>
        <v>2979.21</v>
      </c>
      <c r="T36" s="25"/>
      <c r="U36" s="27">
        <f t="shared" si="0"/>
        <v>1547.30769230769</v>
      </c>
      <c r="V36" s="27">
        <v>150</v>
      </c>
      <c r="W36" s="27"/>
      <c r="X36" s="27">
        <v>300</v>
      </c>
      <c r="Y36" s="42">
        <v>300</v>
      </c>
      <c r="Z36" s="32">
        <f t="shared" si="1"/>
        <v>216</v>
      </c>
      <c r="AA36" s="43"/>
      <c r="AB36" s="34">
        <f t="shared" si="14"/>
        <v>540</v>
      </c>
      <c r="AC36" s="44">
        <f t="shared" si="12"/>
        <v>1984.6</v>
      </c>
      <c r="AD36" s="44">
        <v>100</v>
      </c>
      <c r="AE36" s="41">
        <v>0.99</v>
      </c>
      <c r="AF36" s="34">
        <f t="shared" si="18"/>
        <v>6102.72559230769</v>
      </c>
      <c r="AG36" s="46"/>
      <c r="AT36" s="3" t="str">
        <f>VLOOKUP(C36,[3]一线员工!$C$15:$C$97,1,0)</f>
        <v>贺翌昂</v>
      </c>
    </row>
    <row r="37" s="3" customFormat="1" customHeight="1" spans="1:46">
      <c r="A37" s="17">
        <v>8</v>
      </c>
      <c r="B37" s="22" t="s">
        <v>502</v>
      </c>
      <c r="C37" s="23" t="s">
        <v>529</v>
      </c>
      <c r="D37" s="17">
        <v>26</v>
      </c>
      <c r="E37" s="19">
        <v>28</v>
      </c>
      <c r="F37" s="20">
        <f>VLOOKUP(C37,'[2]2025.9（定版）10.12'!$B$3:$BN$500,5,0)</f>
        <v>28</v>
      </c>
      <c r="G37" s="17">
        <f t="shared" si="2"/>
        <v>28</v>
      </c>
      <c r="H37" s="17">
        <f t="shared" si="3"/>
        <v>0</v>
      </c>
      <c r="I37" s="25"/>
      <c r="J37" s="25">
        <v>99.23</v>
      </c>
      <c r="K37" s="17">
        <f t="shared" ref="K37:K41" si="19">E37/2</f>
        <v>14</v>
      </c>
      <c r="L37" s="26">
        <v>109.23</v>
      </c>
      <c r="M37" s="25">
        <f t="shared" si="16"/>
        <v>14</v>
      </c>
      <c r="N37" s="25">
        <v>119.23</v>
      </c>
      <c r="O37" s="25">
        <v>0</v>
      </c>
      <c r="P37" s="25">
        <v>129.23</v>
      </c>
      <c r="Q37" s="25">
        <v>0</v>
      </c>
      <c r="R37" s="25">
        <v>139.23</v>
      </c>
      <c r="S37" s="25">
        <f t="shared" si="17"/>
        <v>3098.44</v>
      </c>
      <c r="T37" s="25"/>
      <c r="U37" s="27">
        <f t="shared" si="0"/>
        <v>1604.61538461538</v>
      </c>
      <c r="V37" s="27">
        <v>150</v>
      </c>
      <c r="W37" s="27"/>
      <c r="X37" s="27">
        <v>300</v>
      </c>
      <c r="Y37" s="42">
        <v>300</v>
      </c>
      <c r="Z37" s="32">
        <f t="shared" si="1"/>
        <v>224</v>
      </c>
      <c r="AA37" s="43"/>
      <c r="AB37" s="34">
        <f t="shared" si="14"/>
        <v>560</v>
      </c>
      <c r="AC37" s="44">
        <f t="shared" si="12"/>
        <v>1984.6</v>
      </c>
      <c r="AD37" s="44">
        <v>100</v>
      </c>
      <c r="AE37" s="41">
        <v>0.99</v>
      </c>
      <c r="AF37" s="34">
        <f t="shared" si="18"/>
        <v>6306.07098461538</v>
      </c>
      <c r="AG37" s="46"/>
      <c r="AT37" s="3" t="str">
        <f>VLOOKUP(C37,[3]一线员工!$C$15:$C$97,1,0)</f>
        <v>林虎</v>
      </c>
    </row>
    <row r="38" s="3" customFormat="1" ht="29" customHeight="1" spans="1:46">
      <c r="A38" s="17">
        <v>9</v>
      </c>
      <c r="B38" s="17" t="s">
        <v>508</v>
      </c>
      <c r="C38" s="23" t="s">
        <v>530</v>
      </c>
      <c r="D38" s="17">
        <v>26</v>
      </c>
      <c r="E38" s="19">
        <v>28</v>
      </c>
      <c r="F38" s="20">
        <f>VLOOKUP(C38,'[2]2025.9（定版）10.12'!$B$3:$BN$500,5,0)</f>
        <v>28</v>
      </c>
      <c r="G38" s="17">
        <f t="shared" ref="G38:G69" si="20">I38+K38+M38+O38+Q38</f>
        <v>28</v>
      </c>
      <c r="H38" s="17">
        <f t="shared" ref="H38:H69" si="21">E38-G38</f>
        <v>0</v>
      </c>
      <c r="I38" s="25"/>
      <c r="J38" s="25">
        <v>99.23</v>
      </c>
      <c r="K38" s="17">
        <v>14</v>
      </c>
      <c r="L38" s="26">
        <v>109.23</v>
      </c>
      <c r="M38" s="25">
        <f t="shared" si="16"/>
        <v>14</v>
      </c>
      <c r="N38" s="25">
        <v>119.23</v>
      </c>
      <c r="O38" s="25">
        <v>0</v>
      </c>
      <c r="P38" s="25">
        <v>129.23</v>
      </c>
      <c r="Q38" s="25">
        <v>0</v>
      </c>
      <c r="R38" s="25">
        <v>139.23</v>
      </c>
      <c r="S38" s="25">
        <f t="shared" si="17"/>
        <v>3098.44</v>
      </c>
      <c r="T38" s="25"/>
      <c r="U38" s="27">
        <f t="shared" si="0"/>
        <v>1604.61538461538</v>
      </c>
      <c r="V38" s="27">
        <v>150</v>
      </c>
      <c r="W38" s="27"/>
      <c r="X38" s="27">
        <v>200</v>
      </c>
      <c r="Y38" s="42">
        <v>300</v>
      </c>
      <c r="Z38" s="32">
        <f t="shared" si="1"/>
        <v>224</v>
      </c>
      <c r="AA38" s="43"/>
      <c r="AB38" s="34">
        <f t="shared" si="14"/>
        <v>560</v>
      </c>
      <c r="AC38" s="44">
        <f t="shared" si="12"/>
        <v>1984.6</v>
      </c>
      <c r="AD38" s="45">
        <v>100</v>
      </c>
      <c r="AE38" s="41">
        <v>0.99</v>
      </c>
      <c r="AF38" s="34">
        <f t="shared" si="18"/>
        <v>6206.07098461538</v>
      </c>
      <c r="AG38" s="46"/>
      <c r="AT38" s="3" t="str">
        <f>VLOOKUP(C38,[3]一线员工!$C$15:$C$97,1,0)</f>
        <v>谭金祥</v>
      </c>
    </row>
    <row r="39" s="3" customFormat="1" customHeight="1" spans="1:46">
      <c r="A39" s="17">
        <v>10</v>
      </c>
      <c r="B39" s="17" t="s">
        <v>531</v>
      </c>
      <c r="C39" s="23" t="s">
        <v>532</v>
      </c>
      <c r="D39" s="17">
        <v>26</v>
      </c>
      <c r="E39" s="19">
        <v>13</v>
      </c>
      <c r="F39" s="20">
        <f>VLOOKUP(C39,'[2]2025.9（定版）10.12'!$B$3:$BN$500,5,0)</f>
        <v>21</v>
      </c>
      <c r="G39" s="17">
        <f t="shared" si="20"/>
        <v>13</v>
      </c>
      <c r="H39" s="17">
        <f t="shared" si="21"/>
        <v>0</v>
      </c>
      <c r="I39" s="17"/>
      <c r="J39" s="25">
        <v>99.23</v>
      </c>
      <c r="K39" s="17">
        <f t="shared" si="19"/>
        <v>6.5</v>
      </c>
      <c r="L39" s="26">
        <v>109.23</v>
      </c>
      <c r="M39" s="25">
        <f t="shared" si="16"/>
        <v>6.5</v>
      </c>
      <c r="N39" s="25">
        <v>119.23</v>
      </c>
      <c r="O39" s="25">
        <v>0</v>
      </c>
      <c r="P39" s="25">
        <v>129.23</v>
      </c>
      <c r="Q39" s="25">
        <v>0</v>
      </c>
      <c r="R39" s="25">
        <v>139.23</v>
      </c>
      <c r="S39" s="25">
        <f>(+I39*J39+K39*L39+M39*N39+O39*P39+Q39*R39)</f>
        <v>1484.99</v>
      </c>
      <c r="T39" s="25"/>
      <c r="U39" s="27">
        <v>1390</v>
      </c>
      <c r="V39" s="27">
        <f t="shared" ref="V39:V43" si="22">150/D39*E39</f>
        <v>75</v>
      </c>
      <c r="W39" s="27"/>
      <c r="X39" s="27">
        <f>200/D39*E39</f>
        <v>100</v>
      </c>
      <c r="Y39" s="30">
        <v>0</v>
      </c>
      <c r="Z39" s="32">
        <f t="shared" si="1"/>
        <v>104</v>
      </c>
      <c r="AA39" s="43"/>
      <c r="AB39" s="34">
        <f>20*E39</f>
        <v>260</v>
      </c>
      <c r="AC39" s="44">
        <f t="shared" si="12"/>
        <v>1984.6</v>
      </c>
      <c r="AD39" s="44">
        <v>0</v>
      </c>
      <c r="AE39" s="41">
        <v>0.988</v>
      </c>
      <c r="AF39" s="34">
        <f t="shared" si="18"/>
        <v>3396.17012</v>
      </c>
      <c r="AG39" s="46"/>
      <c r="AT39" s="3" t="e">
        <f>VLOOKUP(C39,[3]一线员工!$C$15:$C$97,1,0)</f>
        <v>#N/A</v>
      </c>
    </row>
    <row r="40" s="4" customFormat="1" customHeight="1" spans="1:46">
      <c r="A40" s="17">
        <v>11</v>
      </c>
      <c r="B40" s="17" t="s">
        <v>508</v>
      </c>
      <c r="C40" s="23" t="s">
        <v>533</v>
      </c>
      <c r="D40" s="17">
        <v>26</v>
      </c>
      <c r="E40" s="19">
        <v>28</v>
      </c>
      <c r="F40" s="20">
        <f>VLOOKUP(C40,'[2]2025.9（定版）10.12'!$B$3:$BN$500,5,0)</f>
        <v>28</v>
      </c>
      <c r="G40" s="17">
        <f t="shared" si="20"/>
        <v>28</v>
      </c>
      <c r="H40" s="17">
        <f t="shared" si="21"/>
        <v>0</v>
      </c>
      <c r="I40" s="17"/>
      <c r="J40" s="25">
        <v>99.23</v>
      </c>
      <c r="K40" s="17">
        <v>14</v>
      </c>
      <c r="L40" s="26">
        <v>109.23</v>
      </c>
      <c r="M40" s="25">
        <v>14</v>
      </c>
      <c r="N40" s="25">
        <v>119.23</v>
      </c>
      <c r="O40" s="25">
        <v>0</v>
      </c>
      <c r="P40" s="25">
        <v>129.23</v>
      </c>
      <c r="Q40" s="25">
        <v>0</v>
      </c>
      <c r="R40" s="25">
        <v>139.23</v>
      </c>
      <c r="S40" s="25">
        <f t="shared" ref="S40:S42" si="23">+(I40*J40+K40*L40+M40*N40+O40*P40+Q40*R40)-100</f>
        <v>3098.44</v>
      </c>
      <c r="T40" s="25"/>
      <c r="U40" s="27">
        <f t="shared" ref="U40:U92" si="24">+E40/D40*1490</f>
        <v>1604.61538461538</v>
      </c>
      <c r="V40" s="27">
        <v>150</v>
      </c>
      <c r="W40" s="27"/>
      <c r="X40" s="27">
        <v>200</v>
      </c>
      <c r="Y40" s="42">
        <v>300</v>
      </c>
      <c r="Z40" s="32">
        <f t="shared" si="1"/>
        <v>224</v>
      </c>
      <c r="AA40" s="43"/>
      <c r="AB40" s="34">
        <f t="shared" ref="AB40:AB48" si="25">E40*20</f>
        <v>560</v>
      </c>
      <c r="AC40" s="44">
        <f t="shared" si="12"/>
        <v>1984.6</v>
      </c>
      <c r="AD40" s="44">
        <v>20</v>
      </c>
      <c r="AE40" s="41">
        <v>0.99</v>
      </c>
      <c r="AF40" s="34">
        <f t="shared" si="18"/>
        <v>6126.07098461538</v>
      </c>
      <c r="AG40" s="46"/>
      <c r="AT40" s="3" t="str">
        <f>VLOOKUP(C40,[3]一线员工!$C$15:$C$97,1,0)</f>
        <v>蔡建兵</v>
      </c>
    </row>
    <row r="41" s="3" customFormat="1" customHeight="1" spans="1:46">
      <c r="A41" s="17">
        <v>100</v>
      </c>
      <c r="B41" s="22" t="s">
        <v>534</v>
      </c>
      <c r="C41" s="23" t="s">
        <v>535</v>
      </c>
      <c r="D41" s="17">
        <v>26</v>
      </c>
      <c r="E41" s="19">
        <v>28</v>
      </c>
      <c r="F41" s="20">
        <f>VLOOKUP(C41,'[2]2025.9（定版）10.12'!$B$3:$BN$500,5,0)</f>
        <v>28</v>
      </c>
      <c r="G41" s="17">
        <f t="shared" si="20"/>
        <v>28</v>
      </c>
      <c r="H41" s="17">
        <f t="shared" si="21"/>
        <v>0</v>
      </c>
      <c r="I41" s="25"/>
      <c r="J41" s="25">
        <v>99.23</v>
      </c>
      <c r="K41" s="17">
        <f t="shared" si="19"/>
        <v>14</v>
      </c>
      <c r="L41" s="26">
        <v>109.23</v>
      </c>
      <c r="M41" s="25">
        <f>E41-K41</f>
        <v>14</v>
      </c>
      <c r="N41" s="25">
        <v>119.23</v>
      </c>
      <c r="O41" s="25">
        <v>0</v>
      </c>
      <c r="P41" s="25">
        <v>129.23</v>
      </c>
      <c r="Q41" s="25">
        <v>0</v>
      </c>
      <c r="R41" s="25">
        <v>139.23</v>
      </c>
      <c r="S41" s="25">
        <f t="shared" si="23"/>
        <v>3098.44</v>
      </c>
      <c r="T41" s="25"/>
      <c r="U41" s="27">
        <f t="shared" si="24"/>
        <v>1604.61538461538</v>
      </c>
      <c r="V41" s="27">
        <v>150</v>
      </c>
      <c r="W41" s="27"/>
      <c r="X41" s="27">
        <v>200</v>
      </c>
      <c r="Y41" s="42">
        <v>300</v>
      </c>
      <c r="Z41" s="32">
        <f t="shared" si="1"/>
        <v>224</v>
      </c>
      <c r="AA41" s="43"/>
      <c r="AB41" s="34">
        <f t="shared" si="25"/>
        <v>560</v>
      </c>
      <c r="AC41" s="44">
        <f t="shared" si="12"/>
        <v>1984.6</v>
      </c>
      <c r="AD41" s="44">
        <v>100</v>
      </c>
      <c r="AE41" s="41">
        <v>0.99</v>
      </c>
      <c r="AF41" s="34">
        <f t="shared" si="18"/>
        <v>6206.07098461538</v>
      </c>
      <c r="AG41" s="46"/>
      <c r="AT41" s="3" t="str">
        <f>VLOOKUP(C41,[3]一线员工!$C$15:$C$97,1,0)</f>
        <v>陶勇军</v>
      </c>
    </row>
    <row r="42" s="3" customFormat="1" customHeight="1" spans="1:46">
      <c r="A42" s="17">
        <v>13</v>
      </c>
      <c r="B42" s="22" t="s">
        <v>534</v>
      </c>
      <c r="C42" s="23" t="s">
        <v>536</v>
      </c>
      <c r="D42" s="17">
        <v>26</v>
      </c>
      <c r="E42" s="19">
        <v>12</v>
      </c>
      <c r="F42" s="20">
        <f>VLOOKUP(C42,'[2]2025.9（定版）10.12'!$B$3:$BN$500,5,0)</f>
        <v>12</v>
      </c>
      <c r="G42" s="17">
        <f t="shared" si="20"/>
        <v>12</v>
      </c>
      <c r="H42" s="17">
        <f t="shared" si="21"/>
        <v>0</v>
      </c>
      <c r="I42" s="25"/>
      <c r="J42" s="25">
        <v>99.23</v>
      </c>
      <c r="K42" s="17">
        <v>6</v>
      </c>
      <c r="L42" s="26">
        <v>109.23</v>
      </c>
      <c r="M42" s="25">
        <v>6</v>
      </c>
      <c r="N42" s="25">
        <v>119.23</v>
      </c>
      <c r="O42" s="25">
        <v>0</v>
      </c>
      <c r="P42" s="25">
        <v>129.23</v>
      </c>
      <c r="Q42" s="25">
        <v>0</v>
      </c>
      <c r="R42" s="25">
        <v>139.23</v>
      </c>
      <c r="S42" s="25">
        <f t="shared" si="23"/>
        <v>1270.76</v>
      </c>
      <c r="T42" s="25"/>
      <c r="U42" s="27">
        <f t="shared" si="24"/>
        <v>687.692307692308</v>
      </c>
      <c r="V42" s="27">
        <f t="shared" si="22"/>
        <v>69.2307692307692</v>
      </c>
      <c r="W42" s="27"/>
      <c r="X42" s="27">
        <v>200</v>
      </c>
      <c r="Y42" s="30">
        <v>100</v>
      </c>
      <c r="Z42" s="32">
        <f t="shared" si="1"/>
        <v>96</v>
      </c>
      <c r="AA42" s="43"/>
      <c r="AB42" s="34">
        <f t="shared" si="25"/>
        <v>240</v>
      </c>
      <c r="AC42" s="44"/>
      <c r="AD42" s="44">
        <v>0</v>
      </c>
      <c r="AE42" s="41">
        <v>0.99</v>
      </c>
      <c r="AF42" s="34">
        <f t="shared" si="18"/>
        <v>2650.97547692308</v>
      </c>
      <c r="AG42" s="46"/>
      <c r="AT42" s="3" t="str">
        <f>VLOOKUP(C42,[3]一线员工!$C$15:$C$97,1,0)</f>
        <v>肖秋明</v>
      </c>
    </row>
    <row r="43" s="3" customFormat="1" customHeight="1" spans="1:46">
      <c r="A43" s="17">
        <v>14</v>
      </c>
      <c r="B43" s="17" t="s">
        <v>537</v>
      </c>
      <c r="C43" s="23" t="s">
        <v>56</v>
      </c>
      <c r="D43" s="17">
        <v>26</v>
      </c>
      <c r="E43" s="19">
        <v>15</v>
      </c>
      <c r="F43" s="20">
        <f>VLOOKUP(C43,'[2]2025.9（定版）10.12'!$B$3:$BN$500,5,0)</f>
        <v>22.5</v>
      </c>
      <c r="G43" s="17">
        <f t="shared" si="20"/>
        <v>0</v>
      </c>
      <c r="H43" s="19">
        <f t="shared" si="21"/>
        <v>15</v>
      </c>
      <c r="I43" s="25"/>
      <c r="J43" s="25">
        <v>99.23</v>
      </c>
      <c r="K43" s="17"/>
      <c r="L43" s="26">
        <v>109.23</v>
      </c>
      <c r="M43" s="25"/>
      <c r="N43" s="25">
        <v>119.23</v>
      </c>
      <c r="O43" s="25">
        <v>0</v>
      </c>
      <c r="P43" s="25">
        <v>129.23</v>
      </c>
      <c r="Q43" s="25">
        <v>0</v>
      </c>
      <c r="R43" s="25">
        <v>139.23</v>
      </c>
      <c r="S43" s="25"/>
      <c r="T43" s="25">
        <v>1824.267</v>
      </c>
      <c r="U43" s="27">
        <f t="shared" si="24"/>
        <v>859.615384615385</v>
      </c>
      <c r="V43" s="27">
        <f t="shared" si="22"/>
        <v>86.5384615384615</v>
      </c>
      <c r="W43" s="27"/>
      <c r="X43" s="27">
        <f t="shared" ref="X43:X47" si="26">200/D43*E43</f>
        <v>115.384615384615</v>
      </c>
      <c r="Y43" s="30">
        <v>0</v>
      </c>
      <c r="Z43" s="32">
        <f t="shared" si="1"/>
        <v>120</v>
      </c>
      <c r="AA43" s="43"/>
      <c r="AB43" s="34">
        <f t="shared" si="25"/>
        <v>300</v>
      </c>
      <c r="AC43" s="44">
        <f t="shared" ref="AC43:AC51" si="27">+J43*20</f>
        <v>1984.6</v>
      </c>
      <c r="AD43" s="44">
        <v>0</v>
      </c>
      <c r="AE43" s="41">
        <v>0.988</v>
      </c>
      <c r="AF43" s="34">
        <f t="shared" si="18"/>
        <v>3305.80546153846</v>
      </c>
      <c r="AG43" s="46"/>
      <c r="AT43" s="3" t="e">
        <f>VLOOKUP(C43,[3]一线员工!$C$15:$C$97,1,0)</f>
        <v>#N/A</v>
      </c>
    </row>
    <row r="44" s="1" customFormat="1" customHeight="1" spans="1:46">
      <c r="A44" s="17">
        <v>0</v>
      </c>
      <c r="B44" s="22" t="s">
        <v>538</v>
      </c>
      <c r="C44" s="23" t="s">
        <v>36</v>
      </c>
      <c r="D44" s="17">
        <v>26</v>
      </c>
      <c r="E44" s="19">
        <v>23</v>
      </c>
      <c r="F44" s="20">
        <f>VLOOKUP(C44,'[2]2025.9（定版）10.12'!$B$3:$BN$500,5,0)</f>
        <v>22</v>
      </c>
      <c r="G44" s="19">
        <f t="shared" si="20"/>
        <v>22</v>
      </c>
      <c r="H44" s="19">
        <f t="shared" si="21"/>
        <v>1</v>
      </c>
      <c r="I44" s="25"/>
      <c r="J44" s="25">
        <v>99.23</v>
      </c>
      <c r="K44" s="17">
        <v>2</v>
      </c>
      <c r="L44" s="26">
        <v>109.23</v>
      </c>
      <c r="M44" s="25">
        <v>7</v>
      </c>
      <c r="N44" s="25">
        <v>119.23</v>
      </c>
      <c r="O44" s="25">
        <v>13</v>
      </c>
      <c r="P44" s="25">
        <v>129.23</v>
      </c>
      <c r="Q44" s="25">
        <v>0</v>
      </c>
      <c r="R44" s="25">
        <v>139.23</v>
      </c>
      <c r="S44" s="25">
        <f t="shared" ref="S44:S48" si="28">+(I44*J44+K44*L44+M44*N44+O44*P44+Q44*R44)-100</f>
        <v>2633.06</v>
      </c>
      <c r="T44" s="31">
        <v>2276.552</v>
      </c>
      <c r="U44" s="27">
        <f t="shared" si="24"/>
        <v>1318.07692307692</v>
      </c>
      <c r="V44" s="27">
        <v>150</v>
      </c>
      <c r="W44" s="27"/>
      <c r="X44" s="27">
        <v>200</v>
      </c>
      <c r="Y44" s="30">
        <v>0</v>
      </c>
      <c r="Z44" s="32">
        <f t="shared" si="1"/>
        <v>184</v>
      </c>
      <c r="AA44" s="43"/>
      <c r="AB44" s="34">
        <f t="shared" si="25"/>
        <v>460</v>
      </c>
      <c r="AC44" s="44">
        <f t="shared" si="27"/>
        <v>1984.6</v>
      </c>
      <c r="AD44" s="44">
        <v>100</v>
      </c>
      <c r="AE44" s="41">
        <v>0.988</v>
      </c>
      <c r="AF44" s="34">
        <f t="shared" si="18"/>
        <v>7290.09220307692</v>
      </c>
      <c r="AG44" s="46"/>
      <c r="AT44" s="3" t="str">
        <f>VLOOKUP(C44,[3]一线员工!$C$15:$C$97,1,0)</f>
        <v>刘辉兵</v>
      </c>
    </row>
    <row r="45" s="3" customFormat="1" customHeight="1" spans="1:46">
      <c r="A45" s="17">
        <v>16</v>
      </c>
      <c r="B45" s="22" t="s">
        <v>538</v>
      </c>
      <c r="C45" s="23" t="s">
        <v>57</v>
      </c>
      <c r="D45" s="17">
        <v>26</v>
      </c>
      <c r="E45" s="19">
        <v>21</v>
      </c>
      <c r="F45" s="20">
        <f>VLOOKUP(C45,'[2]2025.9（定版）10.12'!$B$3:$BN$500,5,0)</f>
        <v>21</v>
      </c>
      <c r="G45" s="17">
        <f t="shared" si="20"/>
        <v>15</v>
      </c>
      <c r="H45" s="17">
        <f t="shared" si="21"/>
        <v>6</v>
      </c>
      <c r="I45" s="25"/>
      <c r="J45" s="25">
        <v>99.23</v>
      </c>
      <c r="K45" s="17"/>
      <c r="L45" s="26">
        <v>109.23</v>
      </c>
      <c r="M45" s="25">
        <v>13</v>
      </c>
      <c r="N45" s="25">
        <v>119.23</v>
      </c>
      <c r="O45" s="25">
        <v>2</v>
      </c>
      <c r="P45" s="25">
        <v>129.23</v>
      </c>
      <c r="Q45" s="25">
        <v>0</v>
      </c>
      <c r="R45" s="25">
        <v>139.23</v>
      </c>
      <c r="S45" s="25">
        <f t="shared" si="28"/>
        <v>1708.45</v>
      </c>
      <c r="T45" s="3">
        <v>569.263</v>
      </c>
      <c r="U45" s="27">
        <f t="shared" si="24"/>
        <v>1203.46153846154</v>
      </c>
      <c r="V45" s="27">
        <f t="shared" ref="V45:V47" si="29">150/D45*E45</f>
        <v>121.153846153846</v>
      </c>
      <c r="W45" s="27"/>
      <c r="X45" s="27">
        <f t="shared" si="26"/>
        <v>161.538461538462</v>
      </c>
      <c r="Y45" s="30">
        <v>100</v>
      </c>
      <c r="Z45" s="32">
        <f t="shared" si="1"/>
        <v>168</v>
      </c>
      <c r="AA45" s="43"/>
      <c r="AB45" s="34">
        <f t="shared" si="25"/>
        <v>420</v>
      </c>
      <c r="AC45" s="44"/>
      <c r="AD45" s="44">
        <v>30</v>
      </c>
      <c r="AE45" s="41">
        <f>修补数量统计!FL162</f>
        <v>0</v>
      </c>
      <c r="AF45" s="34">
        <f t="shared" si="18"/>
        <v>2773.41684615385</v>
      </c>
      <c r="AG45" s="46"/>
      <c r="AT45" s="3" t="str">
        <f>VLOOKUP(C45,[3]一线员工!$C$15:$C$97,1,0)</f>
        <v>石素平</v>
      </c>
    </row>
    <row r="46" s="3" customFormat="1" customHeight="1" spans="1:46">
      <c r="A46" s="17">
        <v>18</v>
      </c>
      <c r="B46" s="22" t="s">
        <v>538</v>
      </c>
      <c r="C46" s="23" t="s">
        <v>55</v>
      </c>
      <c r="D46" s="17">
        <v>26</v>
      </c>
      <c r="E46" s="19">
        <v>11</v>
      </c>
      <c r="F46" s="20">
        <f>VLOOKUP(C46,'[2]2025.9（定版）10.12'!$B$3:$BN$500,5,0)</f>
        <v>11</v>
      </c>
      <c r="G46" s="17">
        <f t="shared" si="20"/>
        <v>11</v>
      </c>
      <c r="H46" s="17">
        <f t="shared" si="21"/>
        <v>0</v>
      </c>
      <c r="I46" s="25"/>
      <c r="J46" s="25">
        <v>99.23</v>
      </c>
      <c r="K46" s="17">
        <v>11</v>
      </c>
      <c r="L46" s="26">
        <v>109.23</v>
      </c>
      <c r="M46" s="25">
        <v>0</v>
      </c>
      <c r="N46" s="25">
        <v>119.23</v>
      </c>
      <c r="O46" s="25">
        <v>0</v>
      </c>
      <c r="P46" s="25">
        <v>129.23</v>
      </c>
      <c r="Q46" s="25">
        <v>0</v>
      </c>
      <c r="R46" s="25">
        <v>139.23</v>
      </c>
      <c r="S46" s="25">
        <f t="shared" si="28"/>
        <v>1101.53</v>
      </c>
      <c r="T46" s="25"/>
      <c r="U46" s="27">
        <f t="shared" si="24"/>
        <v>630.384615384615</v>
      </c>
      <c r="V46" s="27">
        <f t="shared" si="29"/>
        <v>63.4615384615385</v>
      </c>
      <c r="W46" s="27"/>
      <c r="X46" s="27">
        <f t="shared" si="26"/>
        <v>84.6153846153846</v>
      </c>
      <c r="Y46" s="30">
        <v>0</v>
      </c>
      <c r="Z46" s="32">
        <f t="shared" si="1"/>
        <v>88</v>
      </c>
      <c r="AA46" s="43"/>
      <c r="AB46" s="34">
        <f t="shared" si="25"/>
        <v>220</v>
      </c>
      <c r="AC46" s="44"/>
      <c r="AD46" s="44">
        <v>0</v>
      </c>
      <c r="AE46" s="41">
        <v>0.988</v>
      </c>
      <c r="AF46" s="34">
        <f t="shared" si="18"/>
        <v>2174.77317846154</v>
      </c>
      <c r="AG46" s="46"/>
      <c r="AT46" s="3" t="str">
        <f>VLOOKUP(C46,[3]一线员工!$C$15:$C$97,1,0)</f>
        <v>赵卫国</v>
      </c>
    </row>
    <row r="47" s="3" customFormat="1" customHeight="1" spans="1:46">
      <c r="A47" s="17">
        <v>19</v>
      </c>
      <c r="B47" s="22" t="s">
        <v>538</v>
      </c>
      <c r="C47" s="24" t="s">
        <v>58</v>
      </c>
      <c r="D47" s="17">
        <v>26</v>
      </c>
      <c r="E47" s="19">
        <v>18</v>
      </c>
      <c r="F47" s="20">
        <f>VLOOKUP(C47,'[2]2025.9（定版）10.12'!$B$3:$BN$500,5,0)</f>
        <v>18</v>
      </c>
      <c r="G47" s="17">
        <f t="shared" si="20"/>
        <v>7</v>
      </c>
      <c r="H47" s="17">
        <f t="shared" si="21"/>
        <v>11</v>
      </c>
      <c r="I47" s="25"/>
      <c r="J47" s="25">
        <v>99.23</v>
      </c>
      <c r="K47" s="17">
        <v>6</v>
      </c>
      <c r="L47" s="26">
        <v>109.23</v>
      </c>
      <c r="M47" s="25"/>
      <c r="N47" s="25">
        <v>119.23</v>
      </c>
      <c r="O47" s="25">
        <v>1</v>
      </c>
      <c r="P47" s="25">
        <v>129.23</v>
      </c>
      <c r="Q47" s="25">
        <v>0</v>
      </c>
      <c r="R47" s="25">
        <v>139.23</v>
      </c>
      <c r="S47" s="25">
        <f t="shared" si="28"/>
        <v>684.61</v>
      </c>
      <c r="T47" s="25">
        <v>793.476</v>
      </c>
      <c r="U47" s="27">
        <f t="shared" si="24"/>
        <v>1031.53846153846</v>
      </c>
      <c r="V47" s="27">
        <f t="shared" si="29"/>
        <v>103.846153846154</v>
      </c>
      <c r="W47" s="27"/>
      <c r="X47" s="27">
        <f t="shared" si="26"/>
        <v>138.461538461538</v>
      </c>
      <c r="Y47" s="30">
        <v>100</v>
      </c>
      <c r="Z47" s="32">
        <f t="shared" si="1"/>
        <v>144</v>
      </c>
      <c r="AA47" s="43"/>
      <c r="AB47" s="34">
        <f t="shared" si="25"/>
        <v>360</v>
      </c>
      <c r="AC47" s="44"/>
      <c r="AD47" s="44">
        <v>0</v>
      </c>
      <c r="AE47" s="41">
        <v>0.988</v>
      </c>
      <c r="AF47" s="34">
        <f t="shared" si="18"/>
        <v>3347.71683384615</v>
      </c>
      <c r="AG47" s="46"/>
      <c r="AT47" s="3" t="str">
        <f>VLOOKUP(C47,[3]一线员工!$C$15:$C$97,1,0)</f>
        <v>李立群</v>
      </c>
    </row>
    <row r="48" s="3" customFormat="1" customHeight="1" spans="1:46">
      <c r="A48" s="17">
        <v>20</v>
      </c>
      <c r="B48" s="22" t="s">
        <v>538</v>
      </c>
      <c r="C48" s="23" t="s">
        <v>32</v>
      </c>
      <c r="D48" s="17">
        <v>26</v>
      </c>
      <c r="E48" s="19">
        <v>29</v>
      </c>
      <c r="F48" s="20">
        <f>VLOOKUP(C48,'[2]2025.9（定版）10.12'!$B$3:$BN$500,5,0)</f>
        <v>29</v>
      </c>
      <c r="G48" s="17">
        <f t="shared" si="20"/>
        <v>2</v>
      </c>
      <c r="H48" s="17">
        <f t="shared" si="21"/>
        <v>27</v>
      </c>
      <c r="I48" s="25"/>
      <c r="J48" s="25">
        <v>99.23</v>
      </c>
      <c r="K48" s="17">
        <v>1</v>
      </c>
      <c r="L48" s="26">
        <v>109.23</v>
      </c>
      <c r="M48" s="25">
        <v>1</v>
      </c>
      <c r="N48" s="25">
        <v>119.23</v>
      </c>
      <c r="O48" s="25">
        <v>0</v>
      </c>
      <c r="P48" s="25">
        <v>129.23</v>
      </c>
      <c r="Q48" s="25">
        <v>0</v>
      </c>
      <c r="R48" s="25">
        <v>139.23</v>
      </c>
      <c r="S48" s="25">
        <f t="shared" si="28"/>
        <v>128.46</v>
      </c>
      <c r="T48" s="25">
        <v>2765.552</v>
      </c>
      <c r="U48" s="27">
        <f t="shared" si="24"/>
        <v>1661.92307692308</v>
      </c>
      <c r="V48" s="27">
        <v>150</v>
      </c>
      <c r="W48" s="27"/>
      <c r="X48" s="27">
        <v>200</v>
      </c>
      <c r="Y48" s="30">
        <v>300</v>
      </c>
      <c r="Z48" s="32">
        <f t="shared" si="1"/>
        <v>232</v>
      </c>
      <c r="AA48" s="43"/>
      <c r="AB48" s="34">
        <f t="shared" si="25"/>
        <v>580</v>
      </c>
      <c r="AC48" s="44">
        <f t="shared" si="27"/>
        <v>1984.6</v>
      </c>
      <c r="AD48" s="44">
        <v>50</v>
      </c>
      <c r="AE48" s="41">
        <f>修补数量统计!FL102</f>
        <v>0</v>
      </c>
      <c r="AF48" s="34">
        <f t="shared" si="18"/>
        <v>5939.47507692308</v>
      </c>
      <c r="AG48" s="46"/>
      <c r="AT48" s="3" t="str">
        <f>VLOOKUP(C48,[3]一线员工!$C$15:$C$97,1,0)</f>
        <v>刘季香</v>
      </c>
    </row>
    <row r="49" s="3" customFormat="1" customHeight="1" spans="1:46">
      <c r="A49" s="17">
        <v>21</v>
      </c>
      <c r="B49" s="17" t="s">
        <v>493</v>
      </c>
      <c r="C49" s="23" t="s">
        <v>539</v>
      </c>
      <c r="D49" s="17">
        <v>26</v>
      </c>
      <c r="E49" s="19">
        <v>29</v>
      </c>
      <c r="F49" s="20">
        <f>VLOOKUP(C49,'[2]2025.9（定版）10.12'!$B$3:$BN$500,5,0)</f>
        <v>25</v>
      </c>
      <c r="G49" s="17">
        <f t="shared" si="20"/>
        <v>29</v>
      </c>
      <c r="H49" s="17">
        <f t="shared" si="21"/>
        <v>0</v>
      </c>
      <c r="I49" s="25"/>
      <c r="J49" s="25">
        <v>99.23</v>
      </c>
      <c r="K49" s="17">
        <v>14</v>
      </c>
      <c r="L49" s="26">
        <v>109.23</v>
      </c>
      <c r="M49" s="25">
        <f>E49-K49</f>
        <v>15</v>
      </c>
      <c r="N49" s="25">
        <v>119.23</v>
      </c>
      <c r="O49" s="25">
        <v>0</v>
      </c>
      <c r="P49" s="25">
        <v>129.23</v>
      </c>
      <c r="Q49" s="25">
        <v>0</v>
      </c>
      <c r="R49" s="25">
        <v>139.23</v>
      </c>
      <c r="S49" s="25">
        <f>+(I49*J49+K49*L49+M49*N49+O49*P49+Q49*R49)*0.9-100</f>
        <v>2885.903</v>
      </c>
      <c r="T49" s="25"/>
      <c r="U49" s="27">
        <f t="shared" si="24"/>
        <v>1661.92307692308</v>
      </c>
      <c r="V49" s="27">
        <v>150</v>
      </c>
      <c r="W49" s="27"/>
      <c r="X49" s="27">
        <v>800</v>
      </c>
      <c r="Y49" s="30">
        <v>300</v>
      </c>
      <c r="Z49" s="32">
        <f t="shared" si="1"/>
        <v>232</v>
      </c>
      <c r="AA49" s="43"/>
      <c r="AB49" s="34">
        <f t="shared" ref="AB49:AB64" si="30">20*E49</f>
        <v>580</v>
      </c>
      <c r="AC49" s="44">
        <f t="shared" si="27"/>
        <v>1984.6</v>
      </c>
      <c r="AD49" s="44">
        <v>50</v>
      </c>
      <c r="AE49" s="41">
        <v>0.86</v>
      </c>
      <c r="AF49" s="34">
        <f t="shared" si="18"/>
        <v>6255.79965692308</v>
      </c>
      <c r="AG49" s="46"/>
      <c r="AT49" s="3" t="str">
        <f>VLOOKUP(C49,[3]一线员工!$C$15:$C$97,1,0)</f>
        <v>史双宇</v>
      </c>
    </row>
    <row r="50" s="3" customFormat="1" customHeight="1" spans="1:46">
      <c r="A50" s="17">
        <v>22</v>
      </c>
      <c r="B50" s="22" t="s">
        <v>540</v>
      </c>
      <c r="C50" s="24" t="s">
        <v>541</v>
      </c>
      <c r="D50" s="17">
        <v>26</v>
      </c>
      <c r="E50" s="19">
        <v>28</v>
      </c>
      <c r="F50" s="20">
        <f>VLOOKUP(C50,'[2]2025.9（定版）10.12'!$B$3:$BN$500,5,0)</f>
        <v>29</v>
      </c>
      <c r="G50" s="17">
        <f t="shared" si="20"/>
        <v>28</v>
      </c>
      <c r="H50" s="17">
        <f t="shared" si="21"/>
        <v>0</v>
      </c>
      <c r="I50" s="25"/>
      <c r="J50" s="25">
        <v>99.23</v>
      </c>
      <c r="K50" s="17">
        <v>16</v>
      </c>
      <c r="L50" s="26">
        <v>109.23</v>
      </c>
      <c r="M50" s="25">
        <f>E50-K50</f>
        <v>12</v>
      </c>
      <c r="N50" s="25">
        <v>119.23</v>
      </c>
      <c r="O50" s="25">
        <v>0</v>
      </c>
      <c r="P50" s="25">
        <v>129.23</v>
      </c>
      <c r="Q50" s="25">
        <v>0</v>
      </c>
      <c r="R50" s="25">
        <v>139.23</v>
      </c>
      <c r="S50" s="25">
        <f>+(I50*J50+K50*L50+M50*N50+O50*P50+Q50*R50)</f>
        <v>3178.44</v>
      </c>
      <c r="T50" s="25"/>
      <c r="U50" s="27">
        <f t="shared" si="24"/>
        <v>1604.61538461538</v>
      </c>
      <c r="V50" s="27">
        <v>150</v>
      </c>
      <c r="W50" s="27"/>
      <c r="X50" s="27">
        <v>200</v>
      </c>
      <c r="Y50" s="42">
        <v>300</v>
      </c>
      <c r="Z50" s="32">
        <f t="shared" si="1"/>
        <v>224</v>
      </c>
      <c r="AA50" s="43"/>
      <c r="AB50" s="34">
        <f>E50*20</f>
        <v>560</v>
      </c>
      <c r="AC50" s="44">
        <f t="shared" si="27"/>
        <v>1984.6</v>
      </c>
      <c r="AD50" s="44">
        <v>0</v>
      </c>
      <c r="AE50" s="41">
        <v>0.99</v>
      </c>
      <c r="AF50" s="34">
        <f t="shared" si="18"/>
        <v>6185.27098461538</v>
      </c>
      <c r="AG50" s="46"/>
      <c r="AT50" s="3" t="str">
        <f>VLOOKUP(C50,[3]一线员工!$C$15:$C$97,1,0)</f>
        <v>彭健</v>
      </c>
    </row>
    <row r="51" s="3" customFormat="1" customHeight="1" spans="1:46">
      <c r="A51" s="17">
        <v>1</v>
      </c>
      <c r="B51" s="17" t="s">
        <v>508</v>
      </c>
      <c r="C51" s="23" t="s">
        <v>543</v>
      </c>
      <c r="D51" s="17">
        <v>26</v>
      </c>
      <c r="E51" s="19">
        <v>29</v>
      </c>
      <c r="F51" s="20">
        <f>VLOOKUP(C51,'[2]2025.9（定版）10.12'!$B$3:$BN$500,5,0)</f>
        <v>29</v>
      </c>
      <c r="G51" s="17">
        <f t="shared" si="20"/>
        <v>32</v>
      </c>
      <c r="H51" s="19">
        <f t="shared" si="21"/>
        <v>-3</v>
      </c>
      <c r="I51" s="17">
        <v>0</v>
      </c>
      <c r="J51" s="25">
        <v>99.23</v>
      </c>
      <c r="K51" s="17">
        <v>14</v>
      </c>
      <c r="L51" s="26">
        <v>109.23</v>
      </c>
      <c r="M51" s="25">
        <v>15</v>
      </c>
      <c r="N51" s="25">
        <v>119.23</v>
      </c>
      <c r="O51" s="25">
        <v>1</v>
      </c>
      <c r="P51" s="25">
        <v>129.23</v>
      </c>
      <c r="Q51" s="25">
        <v>2</v>
      </c>
      <c r="R51" s="25">
        <v>139.23</v>
      </c>
      <c r="S51" s="25">
        <f t="shared" ref="S51:S55" si="31">(+I51*J51+K51*L51+M51*N51+O51*P51+Q51*R51)-100</f>
        <v>3625.36</v>
      </c>
      <c r="T51" s="25"/>
      <c r="U51" s="27">
        <f t="shared" si="24"/>
        <v>1661.92307692308</v>
      </c>
      <c r="V51" s="27">
        <v>150</v>
      </c>
      <c r="W51" s="27"/>
      <c r="X51" s="27">
        <v>200</v>
      </c>
      <c r="Y51" s="30">
        <v>300</v>
      </c>
      <c r="Z51" s="32">
        <f t="shared" si="1"/>
        <v>232</v>
      </c>
      <c r="AA51" s="43"/>
      <c r="AB51" s="34">
        <f t="shared" si="30"/>
        <v>580</v>
      </c>
      <c r="AC51" s="44">
        <f t="shared" si="27"/>
        <v>1984.6</v>
      </c>
      <c r="AD51" s="44">
        <v>50</v>
      </c>
      <c r="AE51" s="41">
        <v>0.988</v>
      </c>
      <c r="AF51" s="34">
        <f t="shared" si="18"/>
        <v>6755.77875692308</v>
      </c>
      <c r="AG51" s="46"/>
      <c r="AT51" s="3" t="str">
        <f>VLOOKUP(C51,[3]一线员工!$C$15:$C$97,1,0)</f>
        <v>杨兰方</v>
      </c>
    </row>
    <row r="52" s="4" customFormat="1" customHeight="1" spans="1:46">
      <c r="A52" s="17">
        <v>2</v>
      </c>
      <c r="B52" s="17" t="s">
        <v>508</v>
      </c>
      <c r="C52" s="21" t="s">
        <v>544</v>
      </c>
      <c r="D52" s="17">
        <v>26</v>
      </c>
      <c r="E52" s="19">
        <v>15</v>
      </c>
      <c r="F52" s="20">
        <f>VLOOKUP(C52,'[2]2025.9（定版）10.12'!$B$3:$BN$500,5,0)</f>
        <v>15</v>
      </c>
      <c r="G52" s="17">
        <f t="shared" si="20"/>
        <v>15</v>
      </c>
      <c r="H52" s="17">
        <f t="shared" si="21"/>
        <v>0</v>
      </c>
      <c r="I52" s="25">
        <v>0</v>
      </c>
      <c r="J52" s="25">
        <v>99.23</v>
      </c>
      <c r="K52" s="25">
        <v>2</v>
      </c>
      <c r="L52" s="26">
        <v>109.23</v>
      </c>
      <c r="M52" s="25">
        <v>3</v>
      </c>
      <c r="N52" s="25">
        <v>119.23</v>
      </c>
      <c r="O52" s="25">
        <v>4</v>
      </c>
      <c r="P52" s="25">
        <v>129.23</v>
      </c>
      <c r="Q52" s="25">
        <v>6</v>
      </c>
      <c r="R52" s="25">
        <v>139.23</v>
      </c>
      <c r="S52" s="25">
        <f>(+I52*J52+K52*L52+M52*N52+O52*P52+Q52*R52)</f>
        <v>1928.45</v>
      </c>
      <c r="T52" s="25"/>
      <c r="U52" s="27">
        <f t="shared" si="24"/>
        <v>859.615384615385</v>
      </c>
      <c r="V52" s="27">
        <f t="shared" ref="V52:V54" si="32">150/D52*E52</f>
        <v>86.5384615384615</v>
      </c>
      <c r="W52" s="27"/>
      <c r="X52" s="27">
        <v>200</v>
      </c>
      <c r="Y52" s="30">
        <v>0</v>
      </c>
      <c r="Z52" s="32">
        <f t="shared" si="1"/>
        <v>120</v>
      </c>
      <c r="AA52" s="43"/>
      <c r="AB52" s="34">
        <f t="shared" si="30"/>
        <v>300</v>
      </c>
      <c r="AC52" s="44"/>
      <c r="AD52" s="44">
        <v>0</v>
      </c>
      <c r="AE52" s="41">
        <v>0.988</v>
      </c>
      <c r="AF52" s="34">
        <f t="shared" si="18"/>
        <v>3471.46244615385</v>
      </c>
      <c r="AG52" s="46"/>
      <c r="AT52" s="3" t="str">
        <f>VLOOKUP(C52,[3]一线员工!$C$15:$C$97,1,0)</f>
        <v>周兵湘</v>
      </c>
    </row>
    <row r="53" s="4" customFormat="1" customHeight="1" spans="1:46">
      <c r="A53" s="17">
        <v>3</v>
      </c>
      <c r="B53" s="17" t="s">
        <v>508</v>
      </c>
      <c r="C53" s="21" t="s">
        <v>545</v>
      </c>
      <c r="D53" s="17">
        <v>26</v>
      </c>
      <c r="E53" s="19">
        <v>11</v>
      </c>
      <c r="F53" s="20">
        <f>VLOOKUP(C53,'[2]2025.9（定版）10.12'!$B$3:$BN$500,5,0)</f>
        <v>11</v>
      </c>
      <c r="G53" s="17">
        <f t="shared" si="20"/>
        <v>10</v>
      </c>
      <c r="H53" s="19">
        <f t="shared" si="21"/>
        <v>1</v>
      </c>
      <c r="I53" s="25">
        <v>0</v>
      </c>
      <c r="J53" s="25">
        <v>99.23</v>
      </c>
      <c r="K53" s="25">
        <v>2</v>
      </c>
      <c r="L53" s="26">
        <v>109.23</v>
      </c>
      <c r="M53" s="25">
        <v>2</v>
      </c>
      <c r="N53" s="25">
        <v>119.23</v>
      </c>
      <c r="O53" s="25">
        <v>3</v>
      </c>
      <c r="P53" s="25">
        <v>129.23</v>
      </c>
      <c r="Q53" s="25">
        <v>3</v>
      </c>
      <c r="R53" s="25">
        <v>139.23</v>
      </c>
      <c r="S53" s="25">
        <f>(+I53*J53+K53*L53+M53*N53+O53*P53+Q53*R53)</f>
        <v>1262.3</v>
      </c>
      <c r="T53" s="25"/>
      <c r="U53" s="27">
        <f t="shared" si="24"/>
        <v>630.384615384615</v>
      </c>
      <c r="V53" s="27">
        <f t="shared" si="32"/>
        <v>63.4615384615385</v>
      </c>
      <c r="W53" s="27"/>
      <c r="X53" s="27">
        <v>200</v>
      </c>
      <c r="Y53" s="30">
        <v>0</v>
      </c>
      <c r="Z53" s="32">
        <f t="shared" si="1"/>
        <v>88</v>
      </c>
      <c r="AA53" s="43"/>
      <c r="AB53" s="34">
        <f t="shared" si="30"/>
        <v>220</v>
      </c>
      <c r="AC53" s="44"/>
      <c r="AD53" s="44">
        <v>0</v>
      </c>
      <c r="AE53" s="41">
        <v>0.988</v>
      </c>
      <c r="AF53" s="34">
        <f t="shared" si="18"/>
        <v>2448.99855384615</v>
      </c>
      <c r="AG53" s="46"/>
      <c r="AT53" s="3" t="str">
        <f>VLOOKUP(C53,[3]一线员工!$C$15:$C$97,1,0)</f>
        <v>孙鸿岩</v>
      </c>
    </row>
    <row r="54" s="4" customFormat="1" customHeight="1" spans="1:46">
      <c r="A54" s="17">
        <v>4</v>
      </c>
      <c r="B54" s="17" t="s">
        <v>508</v>
      </c>
      <c r="C54" s="24" t="s">
        <v>546</v>
      </c>
      <c r="D54" s="17">
        <v>26</v>
      </c>
      <c r="E54" s="19">
        <v>25</v>
      </c>
      <c r="F54" s="20">
        <f>VLOOKUP(C54,'[2]2025.9（定版）10.12'!$B$3:$BN$500,5,0)</f>
        <v>22</v>
      </c>
      <c r="G54" s="17">
        <f t="shared" si="20"/>
        <v>24</v>
      </c>
      <c r="H54" s="19">
        <f t="shared" si="21"/>
        <v>1</v>
      </c>
      <c r="I54" s="25">
        <v>0</v>
      </c>
      <c r="J54" s="25">
        <v>99.23</v>
      </c>
      <c r="K54" s="25">
        <v>2</v>
      </c>
      <c r="L54" s="26">
        <v>109.23</v>
      </c>
      <c r="M54" s="25">
        <v>4</v>
      </c>
      <c r="N54" s="25">
        <v>119.23</v>
      </c>
      <c r="O54" s="25">
        <v>7</v>
      </c>
      <c r="P54" s="25">
        <v>129.23</v>
      </c>
      <c r="Q54" s="25">
        <v>11</v>
      </c>
      <c r="R54" s="25">
        <v>139.23</v>
      </c>
      <c r="S54" s="25">
        <f t="shared" si="31"/>
        <v>3031.52</v>
      </c>
      <c r="T54" s="25"/>
      <c r="U54" s="27">
        <f t="shared" si="24"/>
        <v>1432.69230769231</v>
      </c>
      <c r="V54" s="27">
        <f t="shared" si="32"/>
        <v>144.230769230769</v>
      </c>
      <c r="W54" s="27"/>
      <c r="X54" s="27">
        <v>200</v>
      </c>
      <c r="Y54" s="30">
        <v>0</v>
      </c>
      <c r="Z54" s="32">
        <f t="shared" si="1"/>
        <v>200</v>
      </c>
      <c r="AA54" s="43"/>
      <c r="AB54" s="34">
        <f t="shared" si="30"/>
        <v>500</v>
      </c>
      <c r="AC54" s="44"/>
      <c r="AD54" s="44">
        <v>0</v>
      </c>
      <c r="AE54" s="41">
        <v>0.988</v>
      </c>
      <c r="AF54" s="34">
        <f t="shared" si="18"/>
        <v>5472.06483692308</v>
      </c>
      <c r="AG54" s="46"/>
      <c r="AT54" s="3" t="str">
        <f>VLOOKUP(C54,[3]一线员工!$C$15:$C$97,1,0)</f>
        <v>陈夏君</v>
      </c>
    </row>
    <row r="55" s="4" customFormat="1" customHeight="1" spans="1:46">
      <c r="A55" s="17">
        <v>5</v>
      </c>
      <c r="B55" s="22" t="s">
        <v>547</v>
      </c>
      <c r="C55" s="21" t="s">
        <v>548</v>
      </c>
      <c r="D55" s="17">
        <v>26</v>
      </c>
      <c r="E55" s="19">
        <v>30</v>
      </c>
      <c r="F55" s="20">
        <f>VLOOKUP(C55,'[2]2025.9（定版）10.12'!$B$3:$BN$500,5,0)</f>
        <v>30</v>
      </c>
      <c r="G55" s="17">
        <f t="shared" si="20"/>
        <v>28</v>
      </c>
      <c r="H55" s="19">
        <f t="shared" si="21"/>
        <v>2</v>
      </c>
      <c r="I55" s="25">
        <v>2</v>
      </c>
      <c r="J55" s="25">
        <v>99.23</v>
      </c>
      <c r="K55" s="25">
        <v>2</v>
      </c>
      <c r="L55" s="26">
        <v>109.23</v>
      </c>
      <c r="M55" s="25">
        <v>4</v>
      </c>
      <c r="N55" s="25">
        <v>119.23</v>
      </c>
      <c r="O55" s="25">
        <v>9</v>
      </c>
      <c r="P55" s="25">
        <v>129.23</v>
      </c>
      <c r="Q55" s="25">
        <v>11</v>
      </c>
      <c r="R55" s="25">
        <v>139.23</v>
      </c>
      <c r="S55" s="25">
        <f t="shared" si="31"/>
        <v>3488.44</v>
      </c>
      <c r="T55" s="25"/>
      <c r="U55" s="27">
        <f t="shared" si="24"/>
        <v>1719.23076923077</v>
      </c>
      <c r="V55" s="27">
        <v>150</v>
      </c>
      <c r="W55" s="27"/>
      <c r="X55" s="27">
        <v>200</v>
      </c>
      <c r="Y55" s="30">
        <v>300</v>
      </c>
      <c r="Z55" s="32">
        <f t="shared" si="1"/>
        <v>240</v>
      </c>
      <c r="AA55" s="43"/>
      <c r="AB55" s="34">
        <f t="shared" si="30"/>
        <v>600</v>
      </c>
      <c r="AC55" s="44">
        <f t="shared" ref="AC55:AC73" si="33">+J55*20</f>
        <v>1984.6</v>
      </c>
      <c r="AD55" s="44">
        <v>50</v>
      </c>
      <c r="AE55" s="41">
        <v>0.97</v>
      </c>
      <c r="AF55" s="34">
        <f t="shared" si="18"/>
        <v>6643.01756923077</v>
      </c>
      <c r="AG55" s="46"/>
      <c r="AT55" s="3" t="str">
        <f>VLOOKUP(C55,[3]一线员工!$C$15:$C$97,1,0)</f>
        <v>周孝勇</v>
      </c>
    </row>
    <row r="56" s="4" customFormat="1" customHeight="1" spans="1:46">
      <c r="A56" s="17">
        <v>6</v>
      </c>
      <c r="B56" s="22" t="s">
        <v>549</v>
      </c>
      <c r="C56" s="21" t="s">
        <v>34</v>
      </c>
      <c r="D56" s="17">
        <v>26</v>
      </c>
      <c r="E56" s="19">
        <v>27</v>
      </c>
      <c r="F56" s="20">
        <f>VLOOKUP(C56,'[2]2025.9（定版）10.12'!$B$3:$BN$500,5,0)</f>
        <v>27</v>
      </c>
      <c r="G56" s="17">
        <f t="shared" si="20"/>
        <v>27</v>
      </c>
      <c r="H56" s="17">
        <f t="shared" si="21"/>
        <v>0</v>
      </c>
      <c r="I56" s="25">
        <v>2</v>
      </c>
      <c r="J56" s="25">
        <v>99.23</v>
      </c>
      <c r="K56" s="25">
        <v>2</v>
      </c>
      <c r="L56" s="26">
        <v>109.23</v>
      </c>
      <c r="M56" s="25">
        <v>4</v>
      </c>
      <c r="N56" s="25">
        <v>119.23</v>
      </c>
      <c r="O56" s="25">
        <v>9</v>
      </c>
      <c r="P56" s="25">
        <v>129.23</v>
      </c>
      <c r="Q56" s="25">
        <v>10</v>
      </c>
      <c r="R56" s="25">
        <v>139.23</v>
      </c>
      <c r="S56" s="25">
        <f t="shared" ref="S56:S71" si="34">+(I56*J56+K56*L56+M56*N56+O56*P56+Q56*R56)-100</f>
        <v>3349.21</v>
      </c>
      <c r="T56" s="25"/>
      <c r="U56" s="27">
        <f t="shared" si="24"/>
        <v>1547.30769230769</v>
      </c>
      <c r="V56" s="27">
        <v>150</v>
      </c>
      <c r="W56" s="27"/>
      <c r="X56" s="27">
        <v>200</v>
      </c>
      <c r="Y56" s="30">
        <v>300</v>
      </c>
      <c r="Z56" s="32">
        <f t="shared" si="1"/>
        <v>216</v>
      </c>
      <c r="AA56" s="43"/>
      <c r="AB56" s="34">
        <f t="shared" si="30"/>
        <v>540</v>
      </c>
      <c r="AC56" s="44">
        <f t="shared" si="33"/>
        <v>1984.6</v>
      </c>
      <c r="AD56" s="44">
        <v>50</v>
      </c>
      <c r="AE56" s="41">
        <v>0.956</v>
      </c>
      <c r="AF56" s="46">
        <f t="shared" ref="AF56:AF63" si="35">T56*AE56+U56+V56+W56+X56+Y56+Z56+AA56+AB56+AD56+S56</f>
        <v>6352.51769230769</v>
      </c>
      <c r="AG56" s="26"/>
      <c r="AT56" s="3" t="str">
        <f>VLOOKUP(C56,[3]一线员工!$C$15:$C$97,1,0)</f>
        <v>刘志平</v>
      </c>
    </row>
    <row r="57" s="3" customFormat="1" ht="26" customHeight="1" spans="1:46">
      <c r="A57" s="17">
        <v>7</v>
      </c>
      <c r="B57" s="22" t="s">
        <v>538</v>
      </c>
      <c r="C57" s="23" t="s">
        <v>7</v>
      </c>
      <c r="D57" s="17">
        <v>26</v>
      </c>
      <c r="E57" s="19">
        <v>28.8</v>
      </c>
      <c r="F57" s="20">
        <f>VLOOKUP(C57,'[2]2025.9（定版）10.12'!$B$3:$BN$500,5,0)</f>
        <v>28.8</v>
      </c>
      <c r="G57" s="17">
        <f t="shared" si="20"/>
        <v>4</v>
      </c>
      <c r="H57" s="17">
        <f t="shared" si="21"/>
        <v>24.8</v>
      </c>
      <c r="I57" s="17">
        <v>1</v>
      </c>
      <c r="J57" s="25">
        <v>99.23</v>
      </c>
      <c r="K57" s="17">
        <v>2</v>
      </c>
      <c r="L57" s="26">
        <v>109.23</v>
      </c>
      <c r="M57" s="25">
        <v>1</v>
      </c>
      <c r="N57" s="25">
        <v>119.23</v>
      </c>
      <c r="O57" s="25">
        <v>0</v>
      </c>
      <c r="P57" s="25">
        <v>129.23</v>
      </c>
      <c r="Q57" s="25">
        <v>0</v>
      </c>
      <c r="R57" s="25">
        <v>139.23</v>
      </c>
      <c r="S57" s="25">
        <f t="shared" si="34"/>
        <v>336.92</v>
      </c>
      <c r="T57" s="25">
        <v>2496.53</v>
      </c>
      <c r="U57" s="27">
        <f t="shared" si="24"/>
        <v>1650.46153846154</v>
      </c>
      <c r="V57" s="27">
        <v>150</v>
      </c>
      <c r="W57" s="27"/>
      <c r="X57" s="27">
        <v>200</v>
      </c>
      <c r="Y57" s="30">
        <v>0</v>
      </c>
      <c r="Z57" s="32">
        <f t="shared" si="1"/>
        <v>230.4</v>
      </c>
      <c r="AA57" s="43"/>
      <c r="AB57" s="34">
        <f t="shared" si="30"/>
        <v>576</v>
      </c>
      <c r="AC57" s="44">
        <f t="shared" si="33"/>
        <v>1984.6</v>
      </c>
      <c r="AD57" s="44">
        <v>50</v>
      </c>
      <c r="AE57" s="41">
        <v>0.9829</v>
      </c>
      <c r="AF57" s="46">
        <f t="shared" si="35"/>
        <v>5647.62087546154</v>
      </c>
      <c r="AG57" s="47"/>
      <c r="AT57" s="3" t="str">
        <f>VLOOKUP(C57,[3]一线员工!$C$15:$C$97,1,0)</f>
        <v>袁珊珊</v>
      </c>
    </row>
    <row r="58" s="3" customFormat="1" customHeight="1" spans="1:46">
      <c r="A58" s="17">
        <v>8</v>
      </c>
      <c r="B58" s="22" t="s">
        <v>538</v>
      </c>
      <c r="C58" s="23" t="s">
        <v>28</v>
      </c>
      <c r="D58" s="17">
        <v>26</v>
      </c>
      <c r="E58" s="19">
        <v>28.2</v>
      </c>
      <c r="F58" s="20">
        <f>VLOOKUP(C58,'[2]2025.9（定版）10.12'!$B$3:$BN$500,5,0)</f>
        <v>28.25</v>
      </c>
      <c r="G58" s="17">
        <f t="shared" si="20"/>
        <v>6</v>
      </c>
      <c r="H58" s="17">
        <f t="shared" si="21"/>
        <v>22.2</v>
      </c>
      <c r="I58" s="25">
        <v>1</v>
      </c>
      <c r="J58" s="25">
        <v>99.23</v>
      </c>
      <c r="K58" s="25">
        <v>1</v>
      </c>
      <c r="L58" s="26">
        <v>109.23</v>
      </c>
      <c r="M58" s="25">
        <v>1</v>
      </c>
      <c r="N58" s="25">
        <v>119.23</v>
      </c>
      <c r="O58" s="25">
        <v>3</v>
      </c>
      <c r="P58" s="25">
        <v>129.23</v>
      </c>
      <c r="Q58" s="25">
        <v>0</v>
      </c>
      <c r="R58" s="25">
        <v>139.23</v>
      </c>
      <c r="S58" s="25">
        <f t="shared" si="34"/>
        <v>615.38</v>
      </c>
      <c r="T58" s="25">
        <v>2559.804</v>
      </c>
      <c r="U58" s="27">
        <f t="shared" si="24"/>
        <v>1616.07692307692</v>
      </c>
      <c r="V58" s="27">
        <v>150</v>
      </c>
      <c r="W58" s="27"/>
      <c r="X58" s="27">
        <v>200</v>
      </c>
      <c r="Y58" s="30">
        <v>0</v>
      </c>
      <c r="Z58" s="32">
        <f t="shared" si="1"/>
        <v>225.6</v>
      </c>
      <c r="AA58" s="43"/>
      <c r="AB58" s="34">
        <f t="shared" si="30"/>
        <v>564</v>
      </c>
      <c r="AC58" s="44">
        <f t="shared" si="33"/>
        <v>1984.6</v>
      </c>
      <c r="AD58" s="44">
        <v>100</v>
      </c>
      <c r="AE58" s="41">
        <v>0.9747</v>
      </c>
      <c r="AF58" s="46">
        <f t="shared" si="35"/>
        <v>5966.09788187692</v>
      </c>
      <c r="AG58" s="47"/>
      <c r="AT58" s="3" t="str">
        <f>VLOOKUP(C58,[3]一线员工!$C$15:$C$97,1,0)</f>
        <v>瞿欢</v>
      </c>
    </row>
    <row r="59" s="3" customFormat="1" customHeight="1" spans="1:46">
      <c r="A59" s="17">
        <v>9</v>
      </c>
      <c r="B59" s="22" t="s">
        <v>538</v>
      </c>
      <c r="C59" s="23" t="s">
        <v>27</v>
      </c>
      <c r="D59" s="17">
        <v>26</v>
      </c>
      <c r="E59" s="19">
        <v>28</v>
      </c>
      <c r="F59" s="20">
        <f>VLOOKUP(C59,'[2]2025.9（定版）10.12'!$B$3:$BN$500,5,0)</f>
        <v>28.25</v>
      </c>
      <c r="G59" s="17">
        <f t="shared" si="20"/>
        <v>3</v>
      </c>
      <c r="H59" s="17">
        <f t="shared" si="21"/>
        <v>25</v>
      </c>
      <c r="I59" s="25">
        <v>1</v>
      </c>
      <c r="J59" s="25">
        <v>99.23</v>
      </c>
      <c r="K59" s="25">
        <v>1</v>
      </c>
      <c r="L59" s="26">
        <v>109.23</v>
      </c>
      <c r="M59" s="25">
        <v>0</v>
      </c>
      <c r="N59" s="25">
        <v>119.23</v>
      </c>
      <c r="O59" s="25">
        <v>1</v>
      </c>
      <c r="P59" s="25">
        <v>129.23</v>
      </c>
      <c r="Q59" s="25">
        <v>0</v>
      </c>
      <c r="R59" s="25">
        <v>139.23</v>
      </c>
      <c r="S59" s="25">
        <f t="shared" si="34"/>
        <v>237.69</v>
      </c>
      <c r="T59" s="25">
        <v>3318.87</v>
      </c>
      <c r="U59" s="27">
        <f t="shared" si="24"/>
        <v>1604.61538461538</v>
      </c>
      <c r="V59" s="27">
        <v>150</v>
      </c>
      <c r="W59" s="27"/>
      <c r="X59" s="27">
        <v>200</v>
      </c>
      <c r="Y59" s="30">
        <v>0</v>
      </c>
      <c r="Z59" s="32">
        <f t="shared" si="1"/>
        <v>224</v>
      </c>
      <c r="AA59" s="43"/>
      <c r="AB59" s="34">
        <f t="shared" si="30"/>
        <v>560</v>
      </c>
      <c r="AC59" s="44">
        <f t="shared" si="33"/>
        <v>1984.6</v>
      </c>
      <c r="AD59" s="44">
        <v>100</v>
      </c>
      <c r="AE59" s="41">
        <v>0.9757</v>
      </c>
      <c r="AF59" s="46">
        <f t="shared" si="35"/>
        <v>6314.52684361538</v>
      </c>
      <c r="AG59" s="47"/>
      <c r="AT59" s="3" t="str">
        <f>VLOOKUP(C59,[3]一线员工!$C$15:$C$97,1,0)</f>
        <v>瞿芬</v>
      </c>
    </row>
    <row r="60" s="3" customFormat="1" customHeight="1" spans="1:46">
      <c r="A60" s="17">
        <v>10</v>
      </c>
      <c r="B60" s="22" t="s">
        <v>538</v>
      </c>
      <c r="C60" s="23" t="s">
        <v>35</v>
      </c>
      <c r="D60" s="17">
        <v>26</v>
      </c>
      <c r="E60" s="19">
        <v>29</v>
      </c>
      <c r="F60" s="20">
        <f>VLOOKUP(C60,'[2]2025.9（定版）10.12'!$B$3:$BN$500,5,0)</f>
        <v>29</v>
      </c>
      <c r="G60" s="17">
        <f t="shared" si="20"/>
        <v>13</v>
      </c>
      <c r="H60" s="17">
        <f t="shared" si="21"/>
        <v>16</v>
      </c>
      <c r="I60" s="25">
        <v>0</v>
      </c>
      <c r="J60" s="25">
        <v>99.23</v>
      </c>
      <c r="K60" s="25">
        <v>1</v>
      </c>
      <c r="L60" s="26">
        <v>109.23</v>
      </c>
      <c r="M60" s="25">
        <v>5</v>
      </c>
      <c r="N60" s="25">
        <v>119.23</v>
      </c>
      <c r="O60" s="25">
        <v>5</v>
      </c>
      <c r="P60" s="25">
        <v>129.23</v>
      </c>
      <c r="Q60" s="25">
        <v>2</v>
      </c>
      <c r="R60" s="25">
        <v>139.23</v>
      </c>
      <c r="S60" s="25">
        <f t="shared" si="34"/>
        <v>1529.99</v>
      </c>
      <c r="T60" s="25">
        <v>3584.841</v>
      </c>
      <c r="U60" s="27">
        <f t="shared" si="24"/>
        <v>1661.92307692308</v>
      </c>
      <c r="V60" s="27">
        <v>150</v>
      </c>
      <c r="W60" s="27"/>
      <c r="X60" s="27">
        <v>200</v>
      </c>
      <c r="Y60" s="30">
        <v>0</v>
      </c>
      <c r="Z60" s="32">
        <f t="shared" si="1"/>
        <v>232</v>
      </c>
      <c r="AA60" s="43"/>
      <c r="AB60" s="34">
        <f t="shared" si="30"/>
        <v>580</v>
      </c>
      <c r="AC60" s="44">
        <f t="shared" si="33"/>
        <v>1984.6</v>
      </c>
      <c r="AD60" s="44">
        <v>100</v>
      </c>
      <c r="AE60" s="41">
        <v>0.989</v>
      </c>
      <c r="AF60" s="46">
        <f t="shared" si="35"/>
        <v>7999.32082592308</v>
      </c>
      <c r="AG60" s="47"/>
      <c r="AT60" s="3" t="str">
        <f>VLOOKUP(C60,[3]一线员工!$C$15:$C$97,1,0)</f>
        <v>范文榜</v>
      </c>
    </row>
    <row r="61" s="3" customFormat="1" customHeight="1" spans="1:46">
      <c r="A61" s="17">
        <v>11</v>
      </c>
      <c r="B61" s="22" t="s">
        <v>538</v>
      </c>
      <c r="C61" s="23" t="s">
        <v>29</v>
      </c>
      <c r="D61" s="17">
        <v>26</v>
      </c>
      <c r="E61" s="19">
        <v>30</v>
      </c>
      <c r="F61" s="20">
        <f>VLOOKUP(C61,'[2]2025.9（定版）10.12'!$B$3:$BN$500,5,0)</f>
        <v>30</v>
      </c>
      <c r="G61" s="17">
        <f t="shared" si="20"/>
        <v>3</v>
      </c>
      <c r="H61" s="17">
        <f t="shared" si="21"/>
        <v>27</v>
      </c>
      <c r="I61" s="25">
        <v>2</v>
      </c>
      <c r="J61" s="25">
        <v>99.23</v>
      </c>
      <c r="K61" s="25">
        <v>0</v>
      </c>
      <c r="L61" s="26">
        <v>109.23</v>
      </c>
      <c r="M61" s="25">
        <v>0</v>
      </c>
      <c r="N61" s="25">
        <v>119.23</v>
      </c>
      <c r="O61" s="25">
        <v>1</v>
      </c>
      <c r="P61" s="25">
        <v>129.23</v>
      </c>
      <c r="Q61" s="25">
        <v>0</v>
      </c>
      <c r="R61" s="25">
        <v>139.23</v>
      </c>
      <c r="S61" s="25">
        <f t="shared" si="34"/>
        <v>227.69</v>
      </c>
      <c r="T61" s="25">
        <v>3507</v>
      </c>
      <c r="U61" s="27">
        <f t="shared" si="24"/>
        <v>1719.23076923077</v>
      </c>
      <c r="V61" s="27">
        <v>150</v>
      </c>
      <c r="W61" s="27"/>
      <c r="X61" s="27">
        <v>200</v>
      </c>
      <c r="Y61" s="30">
        <v>300</v>
      </c>
      <c r="Z61" s="32">
        <f t="shared" si="1"/>
        <v>240</v>
      </c>
      <c r="AA61" s="43"/>
      <c r="AB61" s="34">
        <f t="shared" si="30"/>
        <v>600</v>
      </c>
      <c r="AC61" s="44">
        <f t="shared" si="33"/>
        <v>1984.6</v>
      </c>
      <c r="AD61" s="44">
        <v>50</v>
      </c>
      <c r="AE61" s="41">
        <v>0.8625</v>
      </c>
      <c r="AF61" s="46">
        <f t="shared" si="35"/>
        <v>6511.70826923077</v>
      </c>
      <c r="AG61" s="47"/>
      <c r="AT61" s="3" t="str">
        <f>VLOOKUP(C61,[3]一线员工!$C$15:$C$97,1,0)</f>
        <v>毛伟</v>
      </c>
    </row>
    <row r="62" s="3" customFormat="1" customHeight="1" spans="1:46">
      <c r="A62" s="17">
        <v>12</v>
      </c>
      <c r="B62" s="22" t="s">
        <v>538</v>
      </c>
      <c r="C62" s="23" t="s">
        <v>30</v>
      </c>
      <c r="D62" s="17">
        <v>26</v>
      </c>
      <c r="E62" s="19">
        <v>29.8</v>
      </c>
      <c r="F62" s="20">
        <f>VLOOKUP(C62,'[2]2025.9（定版）10.12'!$B$3:$BN$500,5,0)</f>
        <v>29.75</v>
      </c>
      <c r="G62" s="17">
        <f t="shared" si="20"/>
        <v>3</v>
      </c>
      <c r="H62" s="17">
        <f t="shared" si="21"/>
        <v>26.8</v>
      </c>
      <c r="I62" s="25">
        <v>1</v>
      </c>
      <c r="J62" s="25">
        <v>99.23</v>
      </c>
      <c r="K62" s="25">
        <v>0</v>
      </c>
      <c r="L62" s="26">
        <v>109.23</v>
      </c>
      <c r="M62" s="25">
        <v>0</v>
      </c>
      <c r="N62" s="25">
        <v>119.23</v>
      </c>
      <c r="O62" s="25">
        <v>2</v>
      </c>
      <c r="P62" s="25">
        <v>129.23</v>
      </c>
      <c r="Q62" s="25">
        <v>0</v>
      </c>
      <c r="R62" s="25">
        <v>139.23</v>
      </c>
      <c r="S62" s="25">
        <f t="shared" si="34"/>
        <v>257.69</v>
      </c>
      <c r="T62" s="25">
        <v>3681.203</v>
      </c>
      <c r="U62" s="27">
        <f t="shared" si="24"/>
        <v>1707.76923076923</v>
      </c>
      <c r="V62" s="27">
        <v>150</v>
      </c>
      <c r="W62" s="27"/>
      <c r="X62" s="27">
        <v>200</v>
      </c>
      <c r="Y62" s="30">
        <v>300</v>
      </c>
      <c r="Z62" s="32">
        <f t="shared" si="1"/>
        <v>238.4</v>
      </c>
      <c r="AA62" s="43"/>
      <c r="AB62" s="34">
        <f t="shared" si="30"/>
        <v>596</v>
      </c>
      <c r="AC62" s="44">
        <f t="shared" si="33"/>
        <v>1984.6</v>
      </c>
      <c r="AD62" s="44">
        <v>100</v>
      </c>
      <c r="AE62" s="41">
        <v>0.9236</v>
      </c>
      <c r="AF62" s="46">
        <f t="shared" si="35"/>
        <v>6949.81832156923</v>
      </c>
      <c r="AG62" s="47"/>
      <c r="AT62" s="3" t="str">
        <f>VLOOKUP(C62,[3]一线员工!$C$15:$C$97,1,0)</f>
        <v>肖春菊</v>
      </c>
    </row>
    <row r="63" s="4" customFormat="1" ht="28" customHeight="1" spans="1:46">
      <c r="A63" s="17">
        <v>13</v>
      </c>
      <c r="B63" s="22" t="s">
        <v>538</v>
      </c>
      <c r="C63" s="23" t="s">
        <v>33</v>
      </c>
      <c r="D63" s="17">
        <v>26</v>
      </c>
      <c r="E63" s="19">
        <v>30</v>
      </c>
      <c r="F63" s="20">
        <f>VLOOKUP(C63,'[2]2025.9（定版）10.12'!$B$3:$BN$500,5,0)</f>
        <v>29</v>
      </c>
      <c r="G63" s="17">
        <f t="shared" si="20"/>
        <v>2</v>
      </c>
      <c r="H63" s="17">
        <f t="shared" si="21"/>
        <v>28</v>
      </c>
      <c r="I63" s="25">
        <v>1</v>
      </c>
      <c r="J63" s="25">
        <v>99.23</v>
      </c>
      <c r="K63" s="25">
        <v>0</v>
      </c>
      <c r="L63" s="26">
        <v>109.23</v>
      </c>
      <c r="M63" s="25">
        <v>0</v>
      </c>
      <c r="N63" s="25">
        <v>119.23</v>
      </c>
      <c r="O63" s="25">
        <v>1</v>
      </c>
      <c r="P63" s="25">
        <v>129.23</v>
      </c>
      <c r="Q63" s="25">
        <v>0</v>
      </c>
      <c r="R63" s="25">
        <v>139.23</v>
      </c>
      <c r="S63" s="25">
        <f t="shared" si="34"/>
        <v>128.46</v>
      </c>
      <c r="T63" s="25">
        <v>3126.564</v>
      </c>
      <c r="U63" s="27">
        <f t="shared" si="24"/>
        <v>1719.23076923077</v>
      </c>
      <c r="V63" s="27">
        <v>150</v>
      </c>
      <c r="W63" s="27"/>
      <c r="X63" s="27">
        <v>200</v>
      </c>
      <c r="Y63" s="30">
        <v>200</v>
      </c>
      <c r="Z63" s="32">
        <f t="shared" si="1"/>
        <v>240</v>
      </c>
      <c r="AA63" s="43"/>
      <c r="AB63" s="34">
        <f t="shared" si="30"/>
        <v>600</v>
      </c>
      <c r="AC63" s="44">
        <f t="shared" si="33"/>
        <v>1984.6</v>
      </c>
      <c r="AD63" s="44">
        <v>100</v>
      </c>
      <c r="AE63" s="41">
        <v>0.983</v>
      </c>
      <c r="AF63" s="46">
        <f t="shared" si="35"/>
        <v>6411.10318123077</v>
      </c>
      <c r="AG63" s="26"/>
      <c r="AT63" s="3" t="str">
        <f>VLOOKUP(C63,[3]一线员工!$C$15:$C$97,1,0)</f>
        <v>谢桂华</v>
      </c>
    </row>
    <row r="64" s="3" customFormat="1" ht="26" customHeight="1" spans="1:46">
      <c r="A64" s="17">
        <v>14</v>
      </c>
      <c r="B64" s="22" t="s">
        <v>538</v>
      </c>
      <c r="C64" s="23" t="s">
        <v>31</v>
      </c>
      <c r="D64" s="17">
        <v>26</v>
      </c>
      <c r="E64" s="19">
        <v>30</v>
      </c>
      <c r="F64" s="20">
        <f>VLOOKUP(C64,'[2]2025.9（定版）10.12'!$B$3:$BN$500,5,0)</f>
        <v>30</v>
      </c>
      <c r="G64" s="17">
        <f t="shared" si="20"/>
        <v>3</v>
      </c>
      <c r="H64" s="17">
        <f t="shared" si="21"/>
        <v>27</v>
      </c>
      <c r="I64" s="25">
        <v>1</v>
      </c>
      <c r="J64" s="25">
        <v>99.23</v>
      </c>
      <c r="K64" s="25">
        <v>0</v>
      </c>
      <c r="L64" s="26">
        <v>109.23</v>
      </c>
      <c r="M64" s="25">
        <v>0</v>
      </c>
      <c r="N64" s="25">
        <v>119.23</v>
      </c>
      <c r="O64" s="25">
        <v>2</v>
      </c>
      <c r="P64" s="25">
        <v>129.23</v>
      </c>
      <c r="Q64" s="25">
        <v>0</v>
      </c>
      <c r="R64" s="25">
        <v>139.23</v>
      </c>
      <c r="S64" s="25">
        <f t="shared" si="34"/>
        <v>257.69</v>
      </c>
      <c r="T64" s="25">
        <v>3691.468</v>
      </c>
      <c r="U64" s="27">
        <f t="shared" si="24"/>
        <v>1719.23076923077</v>
      </c>
      <c r="V64" s="27">
        <v>150</v>
      </c>
      <c r="W64" s="27"/>
      <c r="X64" s="27">
        <v>200</v>
      </c>
      <c r="Y64" s="30">
        <v>300</v>
      </c>
      <c r="Z64" s="32">
        <f t="shared" si="1"/>
        <v>240</v>
      </c>
      <c r="AA64" s="43"/>
      <c r="AB64" s="34">
        <f t="shared" si="30"/>
        <v>600</v>
      </c>
      <c r="AC64" s="44">
        <f t="shared" si="33"/>
        <v>1984.6</v>
      </c>
      <c r="AD64" s="44">
        <v>100</v>
      </c>
      <c r="AE64" s="41">
        <v>0.961</v>
      </c>
      <c r="AF64" s="34">
        <f t="shared" ref="AF64:AF92" si="36">S64*AE64+T64+U64+V64+W64+X64+Y64+Z64+AA64+AB64+AD64</f>
        <v>7248.33885923077</v>
      </c>
      <c r="AG64" s="46"/>
      <c r="AT64" s="3" t="str">
        <f>VLOOKUP(C64,[3]一线员工!$C$15:$C$97,1,0)</f>
        <v>高玉霞</v>
      </c>
    </row>
    <row r="65" s="1" customFormat="1" ht="26" customHeight="1" spans="1:46">
      <c r="A65" s="17">
        <v>15</v>
      </c>
      <c r="B65" s="22" t="s">
        <v>534</v>
      </c>
      <c r="C65" s="21" t="s">
        <v>550</v>
      </c>
      <c r="D65" s="17">
        <v>26</v>
      </c>
      <c r="E65" s="19">
        <v>29</v>
      </c>
      <c r="F65" s="20">
        <f>VLOOKUP(C65,'[2]2025.9（定版）10.12'!$B$3:$BN$500,5,0)</f>
        <v>29</v>
      </c>
      <c r="G65" s="17">
        <f t="shared" si="20"/>
        <v>28</v>
      </c>
      <c r="H65" s="19">
        <f t="shared" si="21"/>
        <v>1</v>
      </c>
      <c r="I65" s="25">
        <v>2</v>
      </c>
      <c r="J65" s="25">
        <v>99.23</v>
      </c>
      <c r="K65" s="25">
        <v>2</v>
      </c>
      <c r="L65" s="26">
        <v>109.23</v>
      </c>
      <c r="M65" s="25">
        <v>4</v>
      </c>
      <c r="N65" s="25">
        <v>119.23</v>
      </c>
      <c r="O65" s="25">
        <v>9</v>
      </c>
      <c r="P65" s="25">
        <v>129.23</v>
      </c>
      <c r="Q65" s="25">
        <v>11</v>
      </c>
      <c r="R65" s="25">
        <v>139.23</v>
      </c>
      <c r="S65" s="25">
        <f t="shared" si="34"/>
        <v>3488.44</v>
      </c>
      <c r="T65" s="25"/>
      <c r="U65" s="27">
        <f t="shared" si="24"/>
        <v>1661.92307692308</v>
      </c>
      <c r="V65" s="27">
        <v>150</v>
      </c>
      <c r="W65" s="27"/>
      <c r="X65" s="27">
        <v>200</v>
      </c>
      <c r="Y65" s="42">
        <v>300</v>
      </c>
      <c r="Z65" s="32">
        <f t="shared" si="1"/>
        <v>232</v>
      </c>
      <c r="AA65" s="43"/>
      <c r="AB65" s="34">
        <f t="shared" ref="AB65:AB67" si="37">E65*20</f>
        <v>580</v>
      </c>
      <c r="AC65" s="44">
        <f t="shared" si="33"/>
        <v>1984.6</v>
      </c>
      <c r="AD65" s="44">
        <v>100</v>
      </c>
      <c r="AE65" s="41">
        <v>0.988</v>
      </c>
      <c r="AF65" s="34">
        <f t="shared" si="36"/>
        <v>6670.50179692308</v>
      </c>
      <c r="AG65" s="46"/>
      <c r="AT65" s="3" t="str">
        <f>VLOOKUP(C65,[3]一线员工!$C$15:$C$97,1,0)</f>
        <v>易任红</v>
      </c>
    </row>
    <row r="66" s="3" customFormat="1" customHeight="1" spans="1:46">
      <c r="A66" s="17">
        <v>16</v>
      </c>
      <c r="B66" s="17" t="s">
        <v>534</v>
      </c>
      <c r="C66" s="21" t="s">
        <v>551</v>
      </c>
      <c r="D66" s="17">
        <v>26</v>
      </c>
      <c r="E66" s="19">
        <v>26</v>
      </c>
      <c r="F66" s="20">
        <f>VLOOKUP(C66,'[2]2025.9（定版）10.12'!$B$3:$BN$500,5,0)</f>
        <v>26</v>
      </c>
      <c r="G66" s="17">
        <f t="shared" si="20"/>
        <v>26</v>
      </c>
      <c r="H66" s="17">
        <f t="shared" si="21"/>
        <v>0</v>
      </c>
      <c r="I66" s="25">
        <v>2</v>
      </c>
      <c r="J66" s="25">
        <v>99.23</v>
      </c>
      <c r="K66" s="25">
        <v>2</v>
      </c>
      <c r="L66" s="26">
        <v>109.23</v>
      </c>
      <c r="M66" s="25">
        <v>4</v>
      </c>
      <c r="N66" s="25">
        <v>119.23</v>
      </c>
      <c r="O66" s="25">
        <v>8</v>
      </c>
      <c r="P66" s="25">
        <v>129.23</v>
      </c>
      <c r="Q66" s="25">
        <v>10</v>
      </c>
      <c r="R66" s="25">
        <v>139.23</v>
      </c>
      <c r="S66" s="25">
        <f t="shared" si="34"/>
        <v>3219.98</v>
      </c>
      <c r="T66" s="25"/>
      <c r="U66" s="27">
        <f t="shared" si="24"/>
        <v>1490</v>
      </c>
      <c r="V66" s="27">
        <f>150/D66*E66</f>
        <v>150</v>
      </c>
      <c r="W66" s="27"/>
      <c r="X66" s="27">
        <v>500</v>
      </c>
      <c r="Y66" s="42">
        <v>0</v>
      </c>
      <c r="Z66" s="32">
        <f t="shared" si="1"/>
        <v>208</v>
      </c>
      <c r="AA66" s="43"/>
      <c r="AB66" s="34">
        <f t="shared" si="37"/>
        <v>520</v>
      </c>
      <c r="AC66" s="44">
        <f t="shared" si="33"/>
        <v>1984.6</v>
      </c>
      <c r="AD66" s="44">
        <v>50</v>
      </c>
      <c r="AE66" s="41">
        <v>0.988</v>
      </c>
      <c r="AF66" s="34">
        <f t="shared" si="36"/>
        <v>6099.34024</v>
      </c>
      <c r="AG66" s="46"/>
      <c r="AT66" s="3" t="str">
        <f>VLOOKUP(C66,[3]一线员工!$C$15:$C$97,1,0)</f>
        <v>刘顺新</v>
      </c>
    </row>
    <row r="67" s="3" customFormat="1" customHeight="1" spans="1:46">
      <c r="A67" s="17">
        <v>17</v>
      </c>
      <c r="B67" s="17" t="s">
        <v>493</v>
      </c>
      <c r="C67" s="21" t="s">
        <v>552</v>
      </c>
      <c r="D67" s="17">
        <v>26</v>
      </c>
      <c r="E67" s="19">
        <v>27</v>
      </c>
      <c r="F67" s="20">
        <f>VLOOKUP(C67,'[2]2025.9（定版）10.12'!$B$3:$BN$500,5,0)</f>
        <v>27</v>
      </c>
      <c r="G67" s="17">
        <f t="shared" si="20"/>
        <v>26</v>
      </c>
      <c r="H67" s="19">
        <f t="shared" si="21"/>
        <v>1</v>
      </c>
      <c r="I67" s="25">
        <v>2</v>
      </c>
      <c r="J67" s="25">
        <v>99.23</v>
      </c>
      <c r="K67" s="25">
        <v>2</v>
      </c>
      <c r="L67" s="26">
        <v>109.23</v>
      </c>
      <c r="M67" s="25">
        <v>4</v>
      </c>
      <c r="N67" s="25">
        <v>119.23</v>
      </c>
      <c r="O67" s="25">
        <v>8</v>
      </c>
      <c r="P67" s="25">
        <v>129.23</v>
      </c>
      <c r="Q67" s="25">
        <v>10</v>
      </c>
      <c r="R67" s="25">
        <v>139.23</v>
      </c>
      <c r="S67" s="25">
        <f t="shared" si="34"/>
        <v>3219.98</v>
      </c>
      <c r="T67" s="25"/>
      <c r="U67" s="27">
        <f t="shared" si="24"/>
        <v>1547.30769230769</v>
      </c>
      <c r="V67" s="27">
        <v>150</v>
      </c>
      <c r="W67" s="27"/>
      <c r="X67" s="27">
        <v>800</v>
      </c>
      <c r="Y67" s="42">
        <v>300</v>
      </c>
      <c r="Z67" s="32">
        <f t="shared" si="1"/>
        <v>216</v>
      </c>
      <c r="AA67" s="43"/>
      <c r="AB67" s="34">
        <f t="shared" si="37"/>
        <v>540</v>
      </c>
      <c r="AC67" s="44">
        <f t="shared" si="33"/>
        <v>1984.6</v>
      </c>
      <c r="AD67" s="44">
        <v>150</v>
      </c>
      <c r="AE67" s="41">
        <v>0.99</v>
      </c>
      <c r="AF67" s="34">
        <f t="shared" si="36"/>
        <v>6891.08789230769</v>
      </c>
      <c r="AG67" s="46"/>
      <c r="AT67" s="3" t="str">
        <f>VLOOKUP(C67,[3]一线员工!$C$15:$C$97,1,0)</f>
        <v>张永桂</v>
      </c>
    </row>
    <row r="68" s="3" customFormat="1" customHeight="1" spans="1:46">
      <c r="A68" s="17">
        <v>18</v>
      </c>
      <c r="B68" s="17" t="s">
        <v>493</v>
      </c>
      <c r="C68" s="21" t="s">
        <v>553</v>
      </c>
      <c r="D68" s="17">
        <v>26</v>
      </c>
      <c r="E68" s="19">
        <v>29</v>
      </c>
      <c r="F68" s="20">
        <f>VLOOKUP(C68,'[2]2025.9（定版）10.12'!$B$3:$BN$500,5,0)</f>
        <v>29</v>
      </c>
      <c r="G68" s="17">
        <f t="shared" si="20"/>
        <v>27</v>
      </c>
      <c r="H68" s="19">
        <f t="shared" si="21"/>
        <v>2</v>
      </c>
      <c r="I68" s="25">
        <v>2</v>
      </c>
      <c r="J68" s="25">
        <v>99.23</v>
      </c>
      <c r="K68" s="25">
        <v>2</v>
      </c>
      <c r="L68" s="26">
        <v>109.23</v>
      </c>
      <c r="M68" s="25">
        <v>4</v>
      </c>
      <c r="N68" s="25">
        <v>119.23</v>
      </c>
      <c r="O68" s="25">
        <v>8</v>
      </c>
      <c r="P68" s="25">
        <v>129.23</v>
      </c>
      <c r="Q68" s="25">
        <v>11</v>
      </c>
      <c r="R68" s="25">
        <v>139.23</v>
      </c>
      <c r="S68" s="25">
        <f t="shared" si="34"/>
        <v>3359.21</v>
      </c>
      <c r="T68" s="25"/>
      <c r="U68" s="27">
        <f t="shared" si="24"/>
        <v>1661.92307692308</v>
      </c>
      <c r="V68" s="27">
        <v>150</v>
      </c>
      <c r="W68" s="27"/>
      <c r="X68" s="27">
        <v>800</v>
      </c>
      <c r="Y68" s="30">
        <v>300</v>
      </c>
      <c r="Z68" s="32">
        <f t="shared" si="1"/>
        <v>232</v>
      </c>
      <c r="AA68" s="43"/>
      <c r="AB68" s="34">
        <f t="shared" ref="AB68:AB70" si="38">20*E68</f>
        <v>580</v>
      </c>
      <c r="AC68" s="44">
        <f t="shared" si="33"/>
        <v>1984.6</v>
      </c>
      <c r="AD68" s="44">
        <v>150</v>
      </c>
      <c r="AE68" s="41">
        <v>0.988</v>
      </c>
      <c r="AF68" s="34">
        <f t="shared" si="36"/>
        <v>7192.82255692308</v>
      </c>
      <c r="AG68" s="46"/>
      <c r="AT68" s="3" t="str">
        <f>VLOOKUP(C68,[3]一线员工!$C$15:$C$97,1,0)</f>
        <v>王攀</v>
      </c>
    </row>
    <row r="69" s="3" customFormat="1" customHeight="1" spans="1:46">
      <c r="A69" s="17">
        <v>19</v>
      </c>
      <c r="B69" s="17" t="s">
        <v>493</v>
      </c>
      <c r="C69" s="21" t="s">
        <v>554</v>
      </c>
      <c r="D69" s="17">
        <v>26</v>
      </c>
      <c r="E69" s="19">
        <v>1.5</v>
      </c>
      <c r="F69" s="20">
        <f>VLOOKUP(C69,'[2]2025.9（定版）10.12'!$B$3:$BN$500,5,0)</f>
        <v>1.5</v>
      </c>
      <c r="G69" s="17">
        <f t="shared" si="20"/>
        <v>1</v>
      </c>
      <c r="H69" s="19">
        <f t="shared" si="21"/>
        <v>0.5</v>
      </c>
      <c r="I69" s="25">
        <v>0</v>
      </c>
      <c r="J69" s="25">
        <v>99.23</v>
      </c>
      <c r="K69" s="25">
        <v>0</v>
      </c>
      <c r="L69" s="26">
        <v>109.23</v>
      </c>
      <c r="M69" s="25">
        <v>0</v>
      </c>
      <c r="N69" s="25">
        <v>119.23</v>
      </c>
      <c r="O69" s="25">
        <v>1</v>
      </c>
      <c r="P69" s="25">
        <v>129.23</v>
      </c>
      <c r="Q69" s="25">
        <v>0</v>
      </c>
      <c r="R69" s="25">
        <v>139.23</v>
      </c>
      <c r="S69" s="25">
        <f t="shared" si="34"/>
        <v>29.23</v>
      </c>
      <c r="T69" s="25"/>
      <c r="U69" s="27">
        <f t="shared" si="24"/>
        <v>85.9615384615385</v>
      </c>
      <c r="V69" s="27">
        <v>150</v>
      </c>
      <c r="W69" s="27"/>
      <c r="X69" s="27"/>
      <c r="Y69" s="30">
        <v>0</v>
      </c>
      <c r="Z69" s="32">
        <f t="shared" ref="Z69:Z92" si="39">8*E69</f>
        <v>12</v>
      </c>
      <c r="AA69" s="43"/>
      <c r="AB69" s="34">
        <f t="shared" si="38"/>
        <v>30</v>
      </c>
      <c r="AC69" s="44">
        <f t="shared" si="33"/>
        <v>1984.6</v>
      </c>
      <c r="AD69" s="44">
        <v>0</v>
      </c>
      <c r="AE69" s="41">
        <v>0.988</v>
      </c>
      <c r="AF69" s="34">
        <f t="shared" si="36"/>
        <v>306.840778461538</v>
      </c>
      <c r="AG69" s="46"/>
      <c r="AT69" s="3" t="str">
        <f>VLOOKUP(C69,[3]一线员工!$C$15:$C$97,1,0)</f>
        <v>王明</v>
      </c>
    </row>
    <row r="70" s="3" customFormat="1" customHeight="1" spans="1:46">
      <c r="A70" s="17">
        <v>20</v>
      </c>
      <c r="B70" s="17" t="s">
        <v>493</v>
      </c>
      <c r="C70" s="49" t="s">
        <v>555</v>
      </c>
      <c r="D70" s="17">
        <v>26</v>
      </c>
      <c r="E70" s="19">
        <v>15</v>
      </c>
      <c r="F70" s="20">
        <f>VLOOKUP(C70,'[2]2025.9（定版）10.12'!$B$3:$BN$500,5,0)</f>
        <v>15</v>
      </c>
      <c r="G70" s="17">
        <f t="shared" ref="G70:G92" si="40">I70+K70+M70+O70+Q70</f>
        <v>15</v>
      </c>
      <c r="H70" s="17">
        <f t="shared" ref="H70:H92" si="41">E70-G70</f>
        <v>0</v>
      </c>
      <c r="I70" s="25">
        <v>2</v>
      </c>
      <c r="J70" s="25">
        <v>99.23</v>
      </c>
      <c r="K70" s="25">
        <v>0</v>
      </c>
      <c r="L70" s="26">
        <v>109.23</v>
      </c>
      <c r="M70" s="25">
        <v>2</v>
      </c>
      <c r="N70" s="25">
        <v>119.23</v>
      </c>
      <c r="O70" s="25">
        <v>5</v>
      </c>
      <c r="P70" s="25">
        <v>129.23</v>
      </c>
      <c r="Q70" s="25">
        <v>6</v>
      </c>
      <c r="R70" s="25">
        <v>139.23</v>
      </c>
      <c r="S70" s="25">
        <f t="shared" si="34"/>
        <v>1818.45</v>
      </c>
      <c r="T70" s="25"/>
      <c r="U70" s="27">
        <f t="shared" si="24"/>
        <v>859.615384615385</v>
      </c>
      <c r="V70" s="27">
        <v>150</v>
      </c>
      <c r="W70" s="27"/>
      <c r="X70" s="27">
        <v>800</v>
      </c>
      <c r="Y70" s="30">
        <v>200</v>
      </c>
      <c r="Z70" s="32">
        <f t="shared" si="39"/>
        <v>120</v>
      </c>
      <c r="AA70" s="43"/>
      <c r="AB70" s="34">
        <f t="shared" si="38"/>
        <v>300</v>
      </c>
      <c r="AC70" s="44">
        <f t="shared" si="33"/>
        <v>1984.6</v>
      </c>
      <c r="AD70" s="44">
        <v>0</v>
      </c>
      <c r="AE70" s="41">
        <v>0.988</v>
      </c>
      <c r="AF70" s="34">
        <f t="shared" si="36"/>
        <v>4226.24398461538</v>
      </c>
      <c r="AG70" s="46"/>
      <c r="AT70" s="3" t="str">
        <f>VLOOKUP(C70,[3]一线员工!$C$15:$C$97,1,0)</f>
        <v>李力争</v>
      </c>
    </row>
    <row r="71" s="3" customFormat="1" ht="24.95" customHeight="1" spans="1:46">
      <c r="A71" s="17">
        <v>21</v>
      </c>
      <c r="B71" s="17" t="s">
        <v>556</v>
      </c>
      <c r="C71" s="21" t="s">
        <v>557</v>
      </c>
      <c r="D71" s="17">
        <v>26</v>
      </c>
      <c r="E71" s="19">
        <v>28</v>
      </c>
      <c r="F71" s="20">
        <f>VLOOKUP(C71,'[2]2025.9（定版）10.12'!$B$3:$BN$500,5,0)</f>
        <v>28</v>
      </c>
      <c r="G71" s="17">
        <f t="shared" si="40"/>
        <v>26</v>
      </c>
      <c r="H71" s="19">
        <f t="shared" si="41"/>
        <v>2</v>
      </c>
      <c r="I71" s="25">
        <v>2</v>
      </c>
      <c r="J71" s="25">
        <v>99.23</v>
      </c>
      <c r="K71" s="25">
        <v>2</v>
      </c>
      <c r="L71" s="26">
        <v>109.23</v>
      </c>
      <c r="M71" s="25">
        <v>4</v>
      </c>
      <c r="N71" s="25">
        <v>119.23</v>
      </c>
      <c r="O71" s="25">
        <v>7</v>
      </c>
      <c r="P71" s="25">
        <v>129.23</v>
      </c>
      <c r="Q71" s="25">
        <v>11</v>
      </c>
      <c r="R71" s="25">
        <v>139.23</v>
      </c>
      <c r="S71" s="25">
        <f t="shared" si="34"/>
        <v>3229.98</v>
      </c>
      <c r="T71" s="25"/>
      <c r="U71" s="27">
        <f t="shared" si="24"/>
        <v>1604.61538461538</v>
      </c>
      <c r="V71" s="27">
        <v>150</v>
      </c>
      <c r="W71" s="27"/>
      <c r="X71" s="27">
        <v>800</v>
      </c>
      <c r="Y71" s="42">
        <v>300</v>
      </c>
      <c r="Z71" s="32">
        <f t="shared" si="39"/>
        <v>224</v>
      </c>
      <c r="AA71" s="43"/>
      <c r="AB71" s="34">
        <f>E71*20</f>
        <v>560</v>
      </c>
      <c r="AC71" s="44">
        <f t="shared" si="33"/>
        <v>1984.6</v>
      </c>
      <c r="AD71" s="44">
        <v>100</v>
      </c>
      <c r="AE71" s="41">
        <v>0.988</v>
      </c>
      <c r="AF71" s="34">
        <f t="shared" si="36"/>
        <v>6929.83562461538</v>
      </c>
      <c r="AG71" s="46"/>
      <c r="AT71" s="3" t="str">
        <f>VLOOKUP(C71,[3]一线员工!$C$15:$C$97,1,0)</f>
        <v>刘爱国</v>
      </c>
    </row>
    <row r="72" s="3" customFormat="1" ht="24.95" customHeight="1" spans="1:46">
      <c r="A72" s="17">
        <v>22</v>
      </c>
      <c r="B72" s="17" t="s">
        <v>540</v>
      </c>
      <c r="C72" s="21" t="s">
        <v>558</v>
      </c>
      <c r="D72" s="17">
        <v>26</v>
      </c>
      <c r="E72" s="19">
        <v>28</v>
      </c>
      <c r="F72" s="20">
        <f>VLOOKUP(C72,'[2]2025.9（定版）10.12'!$B$3:$BN$500,5,0)</f>
        <v>28</v>
      </c>
      <c r="G72" s="17">
        <f t="shared" si="40"/>
        <v>27</v>
      </c>
      <c r="H72" s="19">
        <f t="shared" si="41"/>
        <v>1</v>
      </c>
      <c r="I72" s="25">
        <v>2</v>
      </c>
      <c r="J72" s="25">
        <v>99.23</v>
      </c>
      <c r="K72" s="25">
        <v>2</v>
      </c>
      <c r="L72" s="26">
        <v>109.23</v>
      </c>
      <c r="M72" s="25">
        <v>4</v>
      </c>
      <c r="N72" s="25">
        <v>119.23</v>
      </c>
      <c r="O72" s="25">
        <v>9</v>
      </c>
      <c r="P72" s="25">
        <v>129.23</v>
      </c>
      <c r="Q72" s="25">
        <v>10</v>
      </c>
      <c r="R72" s="25">
        <v>139.23</v>
      </c>
      <c r="S72" s="25">
        <f t="shared" ref="S72:S78" si="42">+(I72*J72+K72*L72+M72*N72+O72*P72+Q72*R72)</f>
        <v>3449.21</v>
      </c>
      <c r="T72" s="25"/>
      <c r="U72" s="27">
        <f t="shared" si="24"/>
        <v>1604.61538461538</v>
      </c>
      <c r="V72" s="27">
        <v>150</v>
      </c>
      <c r="W72" s="27"/>
      <c r="X72" s="27">
        <v>200</v>
      </c>
      <c r="Y72" s="30">
        <v>300</v>
      </c>
      <c r="Z72" s="32">
        <f t="shared" si="39"/>
        <v>224</v>
      </c>
      <c r="AA72" s="43"/>
      <c r="AB72" s="34">
        <f t="shared" ref="AB72:AB92" si="43">20*E72</f>
        <v>560</v>
      </c>
      <c r="AC72" s="44">
        <f t="shared" si="33"/>
        <v>1984.6</v>
      </c>
      <c r="AD72" s="44">
        <v>0</v>
      </c>
      <c r="AE72" s="41">
        <v>0.988</v>
      </c>
      <c r="AF72" s="34">
        <f t="shared" si="36"/>
        <v>6446.43486461538</v>
      </c>
      <c r="AG72" s="46"/>
      <c r="AT72" s="3" t="str">
        <f>VLOOKUP(C72,[3]一线员工!$C$15:$C$97,1,0)</f>
        <v>卫伟伟</v>
      </c>
    </row>
    <row r="73" s="3" customFormat="1" ht="30.95" customHeight="1" spans="1:46">
      <c r="A73" s="17">
        <v>23</v>
      </c>
      <c r="B73" s="17" t="s">
        <v>540</v>
      </c>
      <c r="C73" s="21" t="s">
        <v>559</v>
      </c>
      <c r="D73" s="17">
        <v>26</v>
      </c>
      <c r="E73" s="19">
        <v>28</v>
      </c>
      <c r="F73" s="20">
        <f>VLOOKUP(C73,'[2]2025.9（定版）10.12'!$B$3:$BN$500,5,0)</f>
        <v>29</v>
      </c>
      <c r="G73" s="17">
        <f t="shared" si="40"/>
        <v>27</v>
      </c>
      <c r="H73" s="19">
        <f t="shared" si="41"/>
        <v>1</v>
      </c>
      <c r="I73" s="25">
        <v>2</v>
      </c>
      <c r="J73" s="25">
        <v>99.23</v>
      </c>
      <c r="K73" s="25">
        <v>2</v>
      </c>
      <c r="L73" s="26">
        <v>109.23</v>
      </c>
      <c r="M73" s="25">
        <v>4</v>
      </c>
      <c r="N73" s="25">
        <v>119.23</v>
      </c>
      <c r="O73" s="25">
        <v>9</v>
      </c>
      <c r="P73" s="25">
        <v>129.23</v>
      </c>
      <c r="Q73" s="25">
        <v>10</v>
      </c>
      <c r="R73" s="25">
        <v>139.23</v>
      </c>
      <c r="S73" s="25">
        <f t="shared" si="42"/>
        <v>3449.21</v>
      </c>
      <c r="T73" s="25"/>
      <c r="U73" s="27">
        <f t="shared" si="24"/>
        <v>1604.61538461538</v>
      </c>
      <c r="V73" s="27">
        <v>150</v>
      </c>
      <c r="W73" s="27"/>
      <c r="X73" s="27">
        <v>200</v>
      </c>
      <c r="Y73" s="30">
        <v>200</v>
      </c>
      <c r="Z73" s="32">
        <f t="shared" si="39"/>
        <v>224</v>
      </c>
      <c r="AA73" s="43"/>
      <c r="AB73" s="34">
        <f t="shared" si="43"/>
        <v>560</v>
      </c>
      <c r="AC73" s="44">
        <f t="shared" si="33"/>
        <v>1984.6</v>
      </c>
      <c r="AD73" s="44">
        <v>0</v>
      </c>
      <c r="AE73" s="41">
        <v>0.988</v>
      </c>
      <c r="AF73" s="34">
        <f t="shared" si="36"/>
        <v>6346.43486461538</v>
      </c>
      <c r="AG73" s="46"/>
      <c r="AT73" s="3" t="str">
        <f>VLOOKUP(C73,[3]一线员工!$C$15:$C$97,1,0)</f>
        <v>彭智勇</v>
      </c>
    </row>
    <row r="74" s="4" customFormat="1" customHeight="1" spans="1:46">
      <c r="A74" s="17">
        <v>1</v>
      </c>
      <c r="B74" s="17" t="s">
        <v>531</v>
      </c>
      <c r="C74" s="21" t="s">
        <v>560</v>
      </c>
      <c r="D74" s="17">
        <v>26</v>
      </c>
      <c r="E74" s="19">
        <v>2</v>
      </c>
      <c r="F74" s="20">
        <f>VLOOKUP(C74,'[2]2025.9（定版）10.12'!$B$3:$BN$500,5,0)</f>
        <v>24.5</v>
      </c>
      <c r="G74" s="17">
        <f t="shared" si="40"/>
        <v>2</v>
      </c>
      <c r="H74" s="17">
        <f t="shared" si="41"/>
        <v>0</v>
      </c>
      <c r="I74" s="25">
        <v>0</v>
      </c>
      <c r="J74" s="25">
        <v>99.23</v>
      </c>
      <c r="K74" s="25">
        <v>0</v>
      </c>
      <c r="L74" s="26">
        <v>109.23</v>
      </c>
      <c r="M74" s="25">
        <v>0</v>
      </c>
      <c r="N74" s="25">
        <v>119.23</v>
      </c>
      <c r="O74" s="25">
        <v>2</v>
      </c>
      <c r="P74" s="25">
        <v>129.23</v>
      </c>
      <c r="Q74" s="25">
        <v>0</v>
      </c>
      <c r="R74" s="25">
        <v>139.23</v>
      </c>
      <c r="S74" s="25">
        <f>(+I74*J74+K74*L74+M74*N74+O74*P74+Q74*R74)</f>
        <v>258.46</v>
      </c>
      <c r="T74" s="25"/>
      <c r="U74" s="27">
        <f t="shared" si="24"/>
        <v>114.615384615385</v>
      </c>
      <c r="V74" s="27">
        <f t="shared" ref="V74:V92" si="44">150/D74*E74</f>
        <v>11.5384615384615</v>
      </c>
      <c r="W74" s="27"/>
      <c r="X74" s="30">
        <f t="shared" ref="X74:X79" si="45">200/D74*E74</f>
        <v>15.3846153846154</v>
      </c>
      <c r="Y74" s="29">
        <v>0</v>
      </c>
      <c r="Z74" s="32">
        <f t="shared" si="39"/>
        <v>16</v>
      </c>
      <c r="AA74" s="33"/>
      <c r="AB74" s="34">
        <f t="shared" si="43"/>
        <v>40</v>
      </c>
      <c r="AC74" s="13"/>
      <c r="AD74" s="34">
        <v>0</v>
      </c>
      <c r="AE74" s="41">
        <v>0.988</v>
      </c>
      <c r="AF74" s="34">
        <f t="shared" si="36"/>
        <v>452.896941538462</v>
      </c>
      <c r="AG74" s="46"/>
      <c r="AT74" s="3" t="e">
        <f>VLOOKUP(C74,[3]一线员工!$C$15:$C$97,1,0)</f>
        <v>#N/A</v>
      </c>
    </row>
    <row r="75" s="3" customFormat="1" customHeight="1" spans="1:46">
      <c r="A75" s="17">
        <v>2</v>
      </c>
      <c r="B75" s="17" t="s">
        <v>531</v>
      </c>
      <c r="C75" s="21" t="s">
        <v>561</v>
      </c>
      <c r="D75" s="17">
        <v>26</v>
      </c>
      <c r="E75" s="19">
        <v>28</v>
      </c>
      <c r="F75" s="20">
        <f>VLOOKUP(C75,'[2]2025.9（定版）10.12'!$B$3:$BN$500,5,0)</f>
        <v>28</v>
      </c>
      <c r="G75" s="17">
        <f t="shared" si="40"/>
        <v>27</v>
      </c>
      <c r="H75" s="19">
        <f t="shared" si="41"/>
        <v>1</v>
      </c>
      <c r="I75" s="17">
        <v>2</v>
      </c>
      <c r="J75" s="25">
        <v>99.23</v>
      </c>
      <c r="K75" s="17">
        <v>2</v>
      </c>
      <c r="L75" s="26">
        <v>109.23</v>
      </c>
      <c r="M75" s="25">
        <v>4</v>
      </c>
      <c r="N75" s="25">
        <v>119.23</v>
      </c>
      <c r="O75" s="25">
        <v>9</v>
      </c>
      <c r="P75" s="25">
        <v>129.23</v>
      </c>
      <c r="Q75" s="25">
        <v>10</v>
      </c>
      <c r="R75" s="25">
        <v>139.23</v>
      </c>
      <c r="S75" s="25">
        <f>(+I75*J75+K75*L75+M75*N75+O75*P75+Q75*R75)-100</f>
        <v>3349.21</v>
      </c>
      <c r="T75" s="31">
        <v>1200</v>
      </c>
      <c r="U75" s="27">
        <f t="shared" si="24"/>
        <v>1604.61538461538</v>
      </c>
      <c r="V75" s="27">
        <v>150</v>
      </c>
      <c r="W75" s="27"/>
      <c r="X75" s="27">
        <v>200</v>
      </c>
      <c r="Y75" s="30">
        <v>300</v>
      </c>
      <c r="Z75" s="32">
        <f t="shared" si="39"/>
        <v>224</v>
      </c>
      <c r="AA75" s="43"/>
      <c r="AB75" s="34">
        <f t="shared" si="43"/>
        <v>560</v>
      </c>
      <c r="AC75" s="44">
        <f t="shared" ref="AC75:AC84" si="46">+J75*20</f>
        <v>1984.6</v>
      </c>
      <c r="AD75" s="44">
        <v>100</v>
      </c>
      <c r="AE75" s="41">
        <v>0.988</v>
      </c>
      <c r="AF75" s="34">
        <f t="shared" si="36"/>
        <v>7647.63486461538</v>
      </c>
      <c r="AG75" s="46"/>
      <c r="AT75" s="3" t="str">
        <f>VLOOKUP(C75,[3]一线员工!$C$15:$C$97,1,0)</f>
        <v>彭孜刚</v>
      </c>
    </row>
    <row r="76" s="3" customFormat="1" customHeight="1" spans="1:46">
      <c r="A76" s="17">
        <v>3</v>
      </c>
      <c r="B76" s="17" t="s">
        <v>531</v>
      </c>
      <c r="C76" s="23" t="s">
        <v>562</v>
      </c>
      <c r="D76" s="17">
        <v>26</v>
      </c>
      <c r="E76" s="19">
        <v>30</v>
      </c>
      <c r="F76" s="20">
        <f>VLOOKUP(C76,'[2]2025.9（定版）10.12'!$B$3:$BN$500,5,0)</f>
        <v>30</v>
      </c>
      <c r="G76" s="17">
        <f t="shared" si="40"/>
        <v>30</v>
      </c>
      <c r="H76" s="17">
        <f t="shared" si="41"/>
        <v>0</v>
      </c>
      <c r="I76" s="25">
        <v>0</v>
      </c>
      <c r="J76" s="25">
        <v>99.23</v>
      </c>
      <c r="K76" s="25">
        <v>13</v>
      </c>
      <c r="L76" s="26">
        <v>109.23</v>
      </c>
      <c r="M76" s="25">
        <v>17</v>
      </c>
      <c r="N76" s="25">
        <v>119.23</v>
      </c>
      <c r="O76" s="25">
        <v>0</v>
      </c>
      <c r="P76" s="25">
        <v>129.23</v>
      </c>
      <c r="Q76" s="25">
        <v>0</v>
      </c>
      <c r="R76" s="25">
        <v>139.23</v>
      </c>
      <c r="S76" s="25">
        <f>(+I76*J76+K76*L76+M76*N76+O76*P76+Q76*R76)</f>
        <v>3446.9</v>
      </c>
      <c r="T76" s="25"/>
      <c r="U76" s="27">
        <f t="shared" si="24"/>
        <v>1719.23076923077</v>
      </c>
      <c r="V76" s="27">
        <v>150</v>
      </c>
      <c r="W76" s="27"/>
      <c r="X76" s="27">
        <v>200</v>
      </c>
      <c r="Y76" s="30">
        <v>300</v>
      </c>
      <c r="Z76" s="32">
        <f t="shared" si="39"/>
        <v>240</v>
      </c>
      <c r="AA76" s="43"/>
      <c r="AB76" s="34">
        <f t="shared" si="43"/>
        <v>600</v>
      </c>
      <c r="AC76" s="44">
        <f t="shared" si="46"/>
        <v>1984.6</v>
      </c>
      <c r="AD76" s="44">
        <v>100</v>
      </c>
      <c r="AE76" s="41">
        <v>0.988</v>
      </c>
      <c r="AF76" s="34">
        <f t="shared" si="36"/>
        <v>6714.76796923077</v>
      </c>
      <c r="AG76" s="46"/>
      <c r="AT76" s="3" t="str">
        <f>VLOOKUP(C76,[3]一线员工!$C$15:$C$97,1,0)</f>
        <v>伍志强</v>
      </c>
    </row>
    <row r="77" s="3" customFormat="1" customHeight="1" spans="1:46">
      <c r="A77" s="17">
        <v>4</v>
      </c>
      <c r="B77" s="17" t="s">
        <v>495</v>
      </c>
      <c r="C77" s="23" t="s">
        <v>563</v>
      </c>
      <c r="D77" s="17">
        <v>26</v>
      </c>
      <c r="E77" s="19">
        <v>24.4</v>
      </c>
      <c r="F77" s="20">
        <f>VLOOKUP(C77,'[2]2025.9（定版）10.12'!$B$3:$BN$500,5,0)</f>
        <v>24.5</v>
      </c>
      <c r="G77" s="17">
        <f t="shared" si="40"/>
        <v>25.1</v>
      </c>
      <c r="H77" s="19">
        <f t="shared" si="41"/>
        <v>-0.699999999999999</v>
      </c>
      <c r="I77" s="25">
        <v>0</v>
      </c>
      <c r="J77" s="25">
        <v>99.23</v>
      </c>
      <c r="K77" s="25">
        <v>12</v>
      </c>
      <c r="L77" s="26">
        <v>109.23</v>
      </c>
      <c r="M77" s="25">
        <v>12.2</v>
      </c>
      <c r="N77" s="25">
        <v>119.23</v>
      </c>
      <c r="O77" s="25">
        <v>0.9</v>
      </c>
      <c r="P77" s="25">
        <v>129.23</v>
      </c>
      <c r="Q77" s="25">
        <v>0</v>
      </c>
      <c r="R77" s="25">
        <v>139.23</v>
      </c>
      <c r="S77" s="25">
        <f t="shared" si="42"/>
        <v>2881.673</v>
      </c>
      <c r="T77" s="25"/>
      <c r="U77" s="27">
        <f t="shared" si="24"/>
        <v>1398.30769230769</v>
      </c>
      <c r="V77" s="27">
        <f t="shared" si="44"/>
        <v>140.769230769231</v>
      </c>
      <c r="W77" s="27"/>
      <c r="X77" s="27">
        <f t="shared" si="45"/>
        <v>187.692307692308</v>
      </c>
      <c r="Y77" s="30">
        <v>0</v>
      </c>
      <c r="Z77" s="32">
        <f t="shared" si="39"/>
        <v>195.2</v>
      </c>
      <c r="AA77" s="43"/>
      <c r="AB77" s="34">
        <f t="shared" si="43"/>
        <v>488</v>
      </c>
      <c r="AC77" s="44">
        <f t="shared" si="46"/>
        <v>1984.6</v>
      </c>
      <c r="AD77" s="44">
        <v>0</v>
      </c>
      <c r="AE77" s="41">
        <v>0.988</v>
      </c>
      <c r="AF77" s="34">
        <f t="shared" si="36"/>
        <v>5257.06215476923</v>
      </c>
      <c r="AG77" s="46"/>
      <c r="AT77" s="3" t="str">
        <f>VLOOKUP(C77,[3]一线员工!$C$15:$C$97,1,0)</f>
        <v>彭新泉</v>
      </c>
    </row>
    <row r="78" s="3" customFormat="1" customHeight="1" spans="1:46">
      <c r="A78" s="17">
        <v>5</v>
      </c>
      <c r="B78" s="50" t="s">
        <v>538</v>
      </c>
      <c r="C78" s="23" t="s">
        <v>564</v>
      </c>
      <c r="D78" s="17">
        <v>26</v>
      </c>
      <c r="E78" s="19">
        <v>10.1</v>
      </c>
      <c r="F78" s="20">
        <f>VLOOKUP(C78,'[2]2025.9（定版）10.12'!$B$3:$BN$500,5,0)</f>
        <v>10</v>
      </c>
      <c r="G78" s="17">
        <f t="shared" si="40"/>
        <v>11.1</v>
      </c>
      <c r="H78" s="19">
        <f t="shared" si="41"/>
        <v>-1</v>
      </c>
      <c r="I78" s="25">
        <v>0</v>
      </c>
      <c r="J78" s="25">
        <v>99.23</v>
      </c>
      <c r="K78" s="25">
        <v>10.1</v>
      </c>
      <c r="L78" s="26">
        <v>109.23</v>
      </c>
      <c r="M78" s="25">
        <v>1</v>
      </c>
      <c r="N78" s="25">
        <v>119.23</v>
      </c>
      <c r="O78" s="25">
        <v>0</v>
      </c>
      <c r="P78" s="25">
        <v>129.23</v>
      </c>
      <c r="Q78" s="25">
        <v>0</v>
      </c>
      <c r="R78" s="25">
        <v>139.23</v>
      </c>
      <c r="S78" s="25">
        <f t="shared" si="42"/>
        <v>1222.453</v>
      </c>
      <c r="T78" s="25"/>
      <c r="U78" s="27">
        <f t="shared" si="24"/>
        <v>578.807692307692</v>
      </c>
      <c r="V78" s="27">
        <f t="shared" si="44"/>
        <v>58.2692307692308</v>
      </c>
      <c r="W78" s="27"/>
      <c r="X78" s="27">
        <f t="shared" si="45"/>
        <v>77.6923076923077</v>
      </c>
      <c r="Y78" s="30">
        <v>0</v>
      </c>
      <c r="Z78" s="32">
        <f t="shared" si="39"/>
        <v>80.8</v>
      </c>
      <c r="AA78" s="43"/>
      <c r="AB78" s="34">
        <f t="shared" si="43"/>
        <v>202</v>
      </c>
      <c r="AC78" s="44">
        <f t="shared" si="46"/>
        <v>1984.6</v>
      </c>
      <c r="AD78" s="44">
        <v>0</v>
      </c>
      <c r="AE78" s="41">
        <v>0.988</v>
      </c>
      <c r="AF78" s="34">
        <f t="shared" si="36"/>
        <v>2205.35279476923</v>
      </c>
      <c r="AG78" s="46"/>
      <c r="AT78" s="3" t="str">
        <f>VLOOKUP(C78,[3]一线员工!$C$15:$C$97,1,0)</f>
        <v>罗晚花</v>
      </c>
    </row>
    <row r="79" s="3" customFormat="1" customHeight="1" spans="1:46">
      <c r="A79" s="17">
        <v>6</v>
      </c>
      <c r="B79" s="22" t="s">
        <v>538</v>
      </c>
      <c r="C79" s="23" t="s">
        <v>53</v>
      </c>
      <c r="D79" s="17">
        <v>26</v>
      </c>
      <c r="E79" s="19">
        <v>19</v>
      </c>
      <c r="F79" s="20">
        <f>VLOOKUP(C79,'[2]2025.9（定版）10.12'!$B$3:$BN$500,5,0)</f>
        <v>19</v>
      </c>
      <c r="G79" s="17">
        <f t="shared" si="40"/>
        <v>19</v>
      </c>
      <c r="H79" s="17">
        <f t="shared" si="41"/>
        <v>0</v>
      </c>
      <c r="I79" s="25">
        <v>0</v>
      </c>
      <c r="J79" s="25">
        <v>99.23</v>
      </c>
      <c r="K79" s="25">
        <v>10</v>
      </c>
      <c r="L79" s="26">
        <v>109.23</v>
      </c>
      <c r="M79" s="25">
        <v>9</v>
      </c>
      <c r="N79" s="25">
        <v>119.23</v>
      </c>
      <c r="O79" s="25">
        <v>0</v>
      </c>
      <c r="P79" s="25">
        <v>129.23</v>
      </c>
      <c r="Q79" s="25">
        <v>0</v>
      </c>
      <c r="R79" s="25">
        <v>139.23</v>
      </c>
      <c r="S79" s="25">
        <f>(I79*J79+K79*L79+M79*N79+O79*P79+Q79*R79)-100</f>
        <v>2065.37</v>
      </c>
      <c r="T79" s="25"/>
      <c r="U79" s="27">
        <f t="shared" si="24"/>
        <v>1088.84615384615</v>
      </c>
      <c r="V79" s="27">
        <f t="shared" si="44"/>
        <v>109.615384615385</v>
      </c>
      <c r="W79" s="27"/>
      <c r="X79" s="27">
        <f t="shared" si="45"/>
        <v>146.153846153846</v>
      </c>
      <c r="Y79" s="30">
        <v>0</v>
      </c>
      <c r="Z79" s="32">
        <f t="shared" si="39"/>
        <v>152</v>
      </c>
      <c r="AA79" s="43"/>
      <c r="AB79" s="34">
        <f t="shared" si="43"/>
        <v>380</v>
      </c>
      <c r="AC79" s="44">
        <f t="shared" si="46"/>
        <v>1984.6</v>
      </c>
      <c r="AD79" s="44">
        <v>0</v>
      </c>
      <c r="AE79" s="41">
        <v>0.988</v>
      </c>
      <c r="AF79" s="34">
        <f t="shared" si="36"/>
        <v>3917.20094461538</v>
      </c>
      <c r="AG79" s="46"/>
      <c r="AT79" s="3" t="str">
        <f>VLOOKUP(C79,[3]一线员工!$C$15:$C$97,1,0)</f>
        <v>易江峰</v>
      </c>
    </row>
    <row r="80" s="4" customFormat="1" customHeight="1" spans="1:46">
      <c r="A80" s="17">
        <v>7</v>
      </c>
      <c r="B80" s="22" t="s">
        <v>493</v>
      </c>
      <c r="C80" s="23" t="s">
        <v>565</v>
      </c>
      <c r="D80" s="17">
        <v>26</v>
      </c>
      <c r="E80" s="19">
        <v>26</v>
      </c>
      <c r="F80" s="20">
        <f>VLOOKUP(C80,'[2]2025.9（定版）10.12'!$B$3:$BN$500,5,0)</f>
        <v>26</v>
      </c>
      <c r="G80" s="17">
        <f t="shared" si="40"/>
        <v>26</v>
      </c>
      <c r="H80" s="17">
        <f t="shared" si="41"/>
        <v>0</v>
      </c>
      <c r="I80" s="17">
        <v>0</v>
      </c>
      <c r="J80" s="25">
        <v>99.23</v>
      </c>
      <c r="K80" s="17">
        <v>12</v>
      </c>
      <c r="L80" s="26">
        <v>109.23</v>
      </c>
      <c r="M80" s="25">
        <v>14</v>
      </c>
      <c r="N80" s="25">
        <v>119.23</v>
      </c>
      <c r="O80" s="25">
        <v>0</v>
      </c>
      <c r="P80" s="25">
        <v>129.23</v>
      </c>
      <c r="Q80" s="25">
        <v>0</v>
      </c>
      <c r="R80" s="25">
        <v>139.23</v>
      </c>
      <c r="S80" s="25">
        <f>+(I80*J80+K80*L80+M80*N80+O80*P80+Q80*R80)-100</f>
        <v>2879.98</v>
      </c>
      <c r="T80" s="25"/>
      <c r="U80" s="27">
        <f t="shared" si="24"/>
        <v>1490</v>
      </c>
      <c r="V80" s="27">
        <f t="shared" si="44"/>
        <v>150</v>
      </c>
      <c r="W80" s="27"/>
      <c r="X80" s="27">
        <v>800</v>
      </c>
      <c r="Y80" s="30">
        <v>300</v>
      </c>
      <c r="Z80" s="32">
        <f t="shared" si="39"/>
        <v>208</v>
      </c>
      <c r="AA80" s="43"/>
      <c r="AB80" s="34">
        <f t="shared" si="43"/>
        <v>520</v>
      </c>
      <c r="AC80" s="44">
        <f t="shared" si="46"/>
        <v>1984.6</v>
      </c>
      <c r="AD80" s="44">
        <v>100</v>
      </c>
      <c r="AE80" s="41">
        <v>0.988</v>
      </c>
      <c r="AF80" s="34">
        <f t="shared" si="36"/>
        <v>6413.42024</v>
      </c>
      <c r="AG80" s="46"/>
      <c r="AT80" s="3" t="str">
        <f>VLOOKUP(C80,[3]一线员工!$C$15:$C$97,1,0)</f>
        <v>黄亚英</v>
      </c>
    </row>
    <row r="81" s="3" customFormat="1" customHeight="1" spans="1:46">
      <c r="A81" s="17">
        <v>8</v>
      </c>
      <c r="B81" s="22" t="s">
        <v>534</v>
      </c>
      <c r="C81" s="23" t="s">
        <v>566</v>
      </c>
      <c r="D81" s="17">
        <v>26</v>
      </c>
      <c r="E81" s="19">
        <v>8</v>
      </c>
      <c r="F81" s="20">
        <f>VLOOKUP(C81,'[2]2025.9（定版）10.12'!$B$3:$BN$500,5,0)</f>
        <v>8</v>
      </c>
      <c r="G81" s="17">
        <f t="shared" si="40"/>
        <v>9</v>
      </c>
      <c r="H81" s="19">
        <f t="shared" si="41"/>
        <v>-1</v>
      </c>
      <c r="I81" s="25">
        <v>0</v>
      </c>
      <c r="J81" s="25">
        <v>99.23</v>
      </c>
      <c r="K81" s="25">
        <v>8</v>
      </c>
      <c r="L81" s="26">
        <v>109.23</v>
      </c>
      <c r="M81" s="25">
        <v>1</v>
      </c>
      <c r="N81" s="25">
        <v>119.23</v>
      </c>
      <c r="O81" s="25">
        <v>0</v>
      </c>
      <c r="P81" s="25">
        <v>129.23</v>
      </c>
      <c r="Q81" s="25">
        <v>0</v>
      </c>
      <c r="R81" s="25">
        <v>139.23</v>
      </c>
      <c r="S81" s="25">
        <f t="shared" ref="S81:S88" si="47">+(I81*J81+K81*L81+M81*N81+O81*P81+Q81*R81)</f>
        <v>993.07</v>
      </c>
      <c r="T81" s="25"/>
      <c r="U81" s="27">
        <f t="shared" si="24"/>
        <v>458.461538461539</v>
      </c>
      <c r="V81" s="27">
        <f t="shared" si="44"/>
        <v>46.1538461538462</v>
      </c>
      <c r="W81" s="27"/>
      <c r="X81" s="27">
        <f t="shared" ref="X81:X92" si="48">200/D81*E81</f>
        <v>61.5384615384615</v>
      </c>
      <c r="Y81" s="30">
        <v>0</v>
      </c>
      <c r="Z81" s="32">
        <f t="shared" si="39"/>
        <v>64</v>
      </c>
      <c r="AA81" s="43"/>
      <c r="AB81" s="34">
        <f t="shared" si="43"/>
        <v>160</v>
      </c>
      <c r="AC81" s="44">
        <f t="shared" si="46"/>
        <v>1984.6</v>
      </c>
      <c r="AD81" s="44">
        <v>0</v>
      </c>
      <c r="AE81" s="41">
        <v>0.988</v>
      </c>
      <c r="AF81" s="34">
        <f t="shared" si="36"/>
        <v>1771.30700615385</v>
      </c>
      <c r="AG81" s="46"/>
      <c r="AT81" s="3" t="str">
        <f>VLOOKUP(C81,[3]一线员工!$C$15:$C$97,1,0)</f>
        <v>任勇</v>
      </c>
    </row>
    <row r="82" s="3" customFormat="1" customHeight="1" spans="1:46">
      <c r="A82" s="17">
        <v>9</v>
      </c>
      <c r="B82" s="22" t="s">
        <v>508</v>
      </c>
      <c r="C82" s="23" t="s">
        <v>567</v>
      </c>
      <c r="D82" s="17">
        <v>26</v>
      </c>
      <c r="E82" s="19">
        <v>6</v>
      </c>
      <c r="F82" s="20">
        <f>VLOOKUP(C82,'[2]2025.9（定版）10.12'!$B$3:$BN$500,5,0)</f>
        <v>6</v>
      </c>
      <c r="G82" s="17">
        <f t="shared" si="40"/>
        <v>8</v>
      </c>
      <c r="H82" s="19">
        <f t="shared" si="41"/>
        <v>-2</v>
      </c>
      <c r="I82" s="25">
        <v>0</v>
      </c>
      <c r="J82" s="25">
        <v>99.23</v>
      </c>
      <c r="K82" s="25">
        <v>6</v>
      </c>
      <c r="L82" s="26">
        <v>109.23</v>
      </c>
      <c r="M82" s="25">
        <v>1</v>
      </c>
      <c r="N82" s="25">
        <v>119.23</v>
      </c>
      <c r="O82" s="25">
        <v>1</v>
      </c>
      <c r="P82" s="25">
        <v>129.23</v>
      </c>
      <c r="Q82" s="25">
        <v>0</v>
      </c>
      <c r="R82" s="25">
        <v>139.23</v>
      </c>
      <c r="S82" s="25">
        <f t="shared" si="47"/>
        <v>903.84</v>
      </c>
      <c r="T82" s="25"/>
      <c r="U82" s="27">
        <f t="shared" si="24"/>
        <v>343.846153846154</v>
      </c>
      <c r="V82" s="27">
        <f t="shared" si="44"/>
        <v>34.6153846153846</v>
      </c>
      <c r="W82" s="27"/>
      <c r="X82" s="27">
        <f t="shared" si="48"/>
        <v>46.1538461538462</v>
      </c>
      <c r="Y82" s="30">
        <v>0</v>
      </c>
      <c r="Z82" s="32">
        <f t="shared" si="39"/>
        <v>48</v>
      </c>
      <c r="AA82" s="43"/>
      <c r="AB82" s="34">
        <f t="shared" si="43"/>
        <v>120</v>
      </c>
      <c r="AC82" s="44">
        <f t="shared" si="46"/>
        <v>1984.6</v>
      </c>
      <c r="AD82" s="44">
        <v>0</v>
      </c>
      <c r="AE82" s="41">
        <v>0.988</v>
      </c>
      <c r="AF82" s="34">
        <f t="shared" si="36"/>
        <v>1485.60930461538</v>
      </c>
      <c r="AG82" s="46"/>
      <c r="AT82" s="3" t="str">
        <f>VLOOKUP(C82,[3]一线员工!$C$15:$C$97,1,0)</f>
        <v>康嵩</v>
      </c>
    </row>
    <row r="83" s="1" customFormat="1" customHeight="1" spans="1:46">
      <c r="A83" s="17">
        <v>10</v>
      </c>
      <c r="B83" s="22" t="s">
        <v>534</v>
      </c>
      <c r="C83" s="23" t="s">
        <v>568</v>
      </c>
      <c r="D83" s="17">
        <v>26</v>
      </c>
      <c r="E83" s="19">
        <v>4</v>
      </c>
      <c r="F83" s="20">
        <f>VLOOKUP(C83,'[2]2025.9（定版）10.12'!$B$3:$BN$500,5,0)</f>
        <v>4</v>
      </c>
      <c r="G83" s="17">
        <f t="shared" si="40"/>
        <v>5</v>
      </c>
      <c r="H83" s="19">
        <f t="shared" si="41"/>
        <v>-1</v>
      </c>
      <c r="I83" s="25">
        <v>0</v>
      </c>
      <c r="J83" s="25">
        <v>99.23</v>
      </c>
      <c r="K83" s="25">
        <v>4</v>
      </c>
      <c r="L83" s="26">
        <v>109.23</v>
      </c>
      <c r="M83" s="25">
        <v>1</v>
      </c>
      <c r="N83" s="25">
        <v>119.23</v>
      </c>
      <c r="O83" s="25">
        <v>0</v>
      </c>
      <c r="P83" s="25">
        <v>129.23</v>
      </c>
      <c r="Q83" s="25">
        <v>0</v>
      </c>
      <c r="R83" s="25">
        <v>139.23</v>
      </c>
      <c r="S83" s="25">
        <f t="shared" si="47"/>
        <v>556.15</v>
      </c>
      <c r="T83" s="25"/>
      <c r="U83" s="27">
        <f t="shared" si="24"/>
        <v>229.230769230769</v>
      </c>
      <c r="V83" s="27">
        <f t="shared" si="44"/>
        <v>23.0769230769231</v>
      </c>
      <c r="W83" s="27"/>
      <c r="X83" s="27">
        <f t="shared" si="48"/>
        <v>30.7692307692308</v>
      </c>
      <c r="Y83" s="30">
        <v>0</v>
      </c>
      <c r="Z83" s="32">
        <f t="shared" si="39"/>
        <v>32</v>
      </c>
      <c r="AA83" s="43"/>
      <c r="AB83" s="34">
        <f t="shared" si="43"/>
        <v>80</v>
      </c>
      <c r="AC83" s="44">
        <f t="shared" si="46"/>
        <v>1984.6</v>
      </c>
      <c r="AD83" s="44">
        <v>0</v>
      </c>
      <c r="AE83" s="41">
        <v>0.988</v>
      </c>
      <c r="AF83" s="34">
        <f t="shared" si="36"/>
        <v>944.553123076923</v>
      </c>
      <c r="AG83" s="46"/>
      <c r="AT83" s="3" t="str">
        <f>VLOOKUP(C83,[3]一线员工!$C$15:$C$97,1,0)</f>
        <v>张定华</v>
      </c>
    </row>
    <row r="84" s="3" customFormat="1" customHeight="1" spans="1:46">
      <c r="A84" s="17">
        <v>11</v>
      </c>
      <c r="B84" s="22" t="s">
        <v>534</v>
      </c>
      <c r="C84" s="21" t="s">
        <v>569</v>
      </c>
      <c r="D84" s="17">
        <v>26</v>
      </c>
      <c r="E84" s="19">
        <v>5</v>
      </c>
      <c r="F84" s="20">
        <f>VLOOKUP(C84,'[2]2025.9（定版）10.12'!$B$3:$BN$500,5,0)</f>
        <v>5</v>
      </c>
      <c r="G84" s="17">
        <f t="shared" si="40"/>
        <v>5</v>
      </c>
      <c r="H84" s="17">
        <f t="shared" si="41"/>
        <v>0</v>
      </c>
      <c r="I84" s="25">
        <v>0</v>
      </c>
      <c r="J84" s="25">
        <v>99.23</v>
      </c>
      <c r="K84" s="25">
        <v>0</v>
      </c>
      <c r="L84" s="26">
        <v>109.23</v>
      </c>
      <c r="M84" s="25">
        <v>1</v>
      </c>
      <c r="N84" s="25">
        <v>119.23</v>
      </c>
      <c r="O84" s="25">
        <v>3</v>
      </c>
      <c r="P84" s="25">
        <v>129.23</v>
      </c>
      <c r="Q84" s="25">
        <v>1</v>
      </c>
      <c r="R84" s="25">
        <v>139.23</v>
      </c>
      <c r="S84" s="25">
        <f t="shared" si="47"/>
        <v>646.15</v>
      </c>
      <c r="T84" s="25"/>
      <c r="U84" s="27">
        <f t="shared" si="24"/>
        <v>286.538461538462</v>
      </c>
      <c r="V84" s="27">
        <f t="shared" si="44"/>
        <v>28.8461538461538</v>
      </c>
      <c r="W84" s="27"/>
      <c r="X84" s="27">
        <f t="shared" si="48"/>
        <v>38.4615384615385</v>
      </c>
      <c r="Y84" s="30">
        <v>0</v>
      </c>
      <c r="Z84" s="32">
        <f t="shared" si="39"/>
        <v>40</v>
      </c>
      <c r="AA84" s="43"/>
      <c r="AB84" s="34">
        <f t="shared" si="43"/>
        <v>100</v>
      </c>
      <c r="AC84" s="44">
        <f t="shared" si="46"/>
        <v>1984.6</v>
      </c>
      <c r="AD84" s="44">
        <v>0</v>
      </c>
      <c r="AE84" s="41">
        <v>0.988</v>
      </c>
      <c r="AF84" s="34">
        <f t="shared" si="36"/>
        <v>1132.24235384615</v>
      </c>
      <c r="AG84" s="46"/>
      <c r="AT84" s="3" t="str">
        <f>VLOOKUP(C84,[3]一线员工!$C$15:$C$97,1,0)</f>
        <v>熊建成</v>
      </c>
    </row>
    <row r="85" s="3" customFormat="1" customHeight="1" spans="1:46">
      <c r="A85" s="17">
        <v>12</v>
      </c>
      <c r="B85" s="22" t="s">
        <v>508</v>
      </c>
      <c r="C85" s="21" t="s">
        <v>570</v>
      </c>
      <c r="D85" s="17">
        <v>26</v>
      </c>
      <c r="E85" s="19">
        <v>6</v>
      </c>
      <c r="F85" s="20">
        <f>VLOOKUP(C85,'[2]2025.9（定版）10.12'!$B$3:$BN$500,5,0)</f>
        <v>6</v>
      </c>
      <c r="G85" s="17">
        <f t="shared" si="40"/>
        <v>6</v>
      </c>
      <c r="H85" s="17">
        <f t="shared" si="41"/>
        <v>0</v>
      </c>
      <c r="I85" s="25">
        <v>0</v>
      </c>
      <c r="J85" s="25">
        <v>99.23</v>
      </c>
      <c r="K85" s="25">
        <v>0</v>
      </c>
      <c r="L85" s="26">
        <v>109.23</v>
      </c>
      <c r="M85" s="25">
        <v>1</v>
      </c>
      <c r="N85" s="25">
        <v>119.23</v>
      </c>
      <c r="O85" s="25">
        <v>2</v>
      </c>
      <c r="P85" s="25">
        <v>129.23</v>
      </c>
      <c r="Q85" s="25">
        <v>3</v>
      </c>
      <c r="R85" s="25">
        <v>139.23</v>
      </c>
      <c r="S85" s="25">
        <f t="shared" si="47"/>
        <v>795.38</v>
      </c>
      <c r="T85" s="25"/>
      <c r="U85" s="27">
        <f t="shared" si="24"/>
        <v>343.846153846154</v>
      </c>
      <c r="V85" s="27">
        <f t="shared" si="44"/>
        <v>34.6153846153846</v>
      </c>
      <c r="W85" s="27"/>
      <c r="X85" s="27">
        <f t="shared" si="48"/>
        <v>46.1538461538462</v>
      </c>
      <c r="Y85" s="30">
        <v>0</v>
      </c>
      <c r="Z85" s="32">
        <f t="shared" si="39"/>
        <v>48</v>
      </c>
      <c r="AA85" s="43"/>
      <c r="AB85" s="34">
        <f t="shared" si="43"/>
        <v>120</v>
      </c>
      <c r="AC85" s="44"/>
      <c r="AD85" s="44">
        <v>0</v>
      </c>
      <c r="AE85" s="41">
        <v>0.988</v>
      </c>
      <c r="AF85" s="34">
        <f t="shared" si="36"/>
        <v>1378.45082461538</v>
      </c>
      <c r="AG85" s="46"/>
      <c r="AT85" s="3" t="str">
        <f>VLOOKUP(C85,[3]一线员工!$C$15:$C$97,1,0)</f>
        <v>彭雀桥</v>
      </c>
    </row>
    <row r="86" s="3" customFormat="1" customHeight="1" spans="1:46">
      <c r="A86" s="17">
        <v>13</v>
      </c>
      <c r="B86" s="22" t="s">
        <v>508</v>
      </c>
      <c r="C86" s="21" t="s">
        <v>571</v>
      </c>
      <c r="D86" s="17">
        <v>26</v>
      </c>
      <c r="E86" s="19">
        <v>6</v>
      </c>
      <c r="F86" s="20">
        <f>VLOOKUP(C86,'[2]2025.9（定版）10.12'!$B$3:$BN$500,5,0)</f>
        <v>6</v>
      </c>
      <c r="G86" s="17">
        <f t="shared" si="40"/>
        <v>6</v>
      </c>
      <c r="H86" s="17">
        <f t="shared" si="41"/>
        <v>0</v>
      </c>
      <c r="I86" s="25">
        <v>1</v>
      </c>
      <c r="J86" s="25">
        <v>99.23</v>
      </c>
      <c r="K86" s="25">
        <v>0</v>
      </c>
      <c r="L86" s="26">
        <v>109.23</v>
      </c>
      <c r="M86" s="25">
        <v>1</v>
      </c>
      <c r="N86" s="25">
        <v>119.23</v>
      </c>
      <c r="O86" s="25">
        <v>1</v>
      </c>
      <c r="P86" s="25">
        <v>129.23</v>
      </c>
      <c r="Q86" s="25">
        <v>3</v>
      </c>
      <c r="R86" s="25">
        <v>139.23</v>
      </c>
      <c r="S86" s="25">
        <f t="shared" si="47"/>
        <v>765.38</v>
      </c>
      <c r="T86" s="25"/>
      <c r="U86" s="27">
        <f t="shared" si="24"/>
        <v>343.846153846154</v>
      </c>
      <c r="V86" s="27">
        <f t="shared" si="44"/>
        <v>34.6153846153846</v>
      </c>
      <c r="W86" s="27"/>
      <c r="X86" s="27">
        <f t="shared" si="48"/>
        <v>46.1538461538462</v>
      </c>
      <c r="Y86" s="30">
        <v>0</v>
      </c>
      <c r="Z86" s="32">
        <f t="shared" si="39"/>
        <v>48</v>
      </c>
      <c r="AA86" s="43"/>
      <c r="AB86" s="34">
        <f t="shared" si="43"/>
        <v>120</v>
      </c>
      <c r="AC86" s="44"/>
      <c r="AD86" s="44">
        <v>0</v>
      </c>
      <c r="AE86" s="41">
        <v>0.988</v>
      </c>
      <c r="AF86" s="34">
        <f t="shared" si="36"/>
        <v>1348.81082461538</v>
      </c>
      <c r="AG86" s="46"/>
      <c r="AT86" s="3" t="str">
        <f>VLOOKUP(C86,[3]一线员工!$C$15:$C$97,1,0)</f>
        <v>阳为风</v>
      </c>
    </row>
    <row r="87" s="3" customFormat="1" customHeight="1" spans="1:46">
      <c r="A87" s="17">
        <v>14</v>
      </c>
      <c r="B87" s="22" t="s">
        <v>534</v>
      </c>
      <c r="C87" s="21" t="s">
        <v>572</v>
      </c>
      <c r="D87" s="17">
        <v>26</v>
      </c>
      <c r="E87" s="19">
        <v>2.4</v>
      </c>
      <c r="F87" s="20">
        <f>VLOOKUP(C87,'[2]2025.9（定版）10.12'!$B$3:$BN$500,5,0)</f>
        <v>2.5</v>
      </c>
      <c r="G87" s="17">
        <f t="shared" si="40"/>
        <v>3</v>
      </c>
      <c r="H87" s="19">
        <f t="shared" si="41"/>
        <v>-0.6</v>
      </c>
      <c r="I87" s="25">
        <v>0</v>
      </c>
      <c r="J87" s="25">
        <v>99.23</v>
      </c>
      <c r="K87" s="25">
        <v>0</v>
      </c>
      <c r="L87" s="26">
        <v>109.23</v>
      </c>
      <c r="M87" s="25">
        <v>0</v>
      </c>
      <c r="N87" s="25">
        <v>119.23</v>
      </c>
      <c r="O87" s="25">
        <v>1</v>
      </c>
      <c r="P87" s="25">
        <v>129.23</v>
      </c>
      <c r="Q87" s="25">
        <v>2</v>
      </c>
      <c r="R87" s="25">
        <v>139.23</v>
      </c>
      <c r="S87" s="25">
        <f t="shared" si="47"/>
        <v>407.69</v>
      </c>
      <c r="T87" s="25"/>
      <c r="U87" s="27">
        <f t="shared" si="24"/>
        <v>137.538461538462</v>
      </c>
      <c r="V87" s="27">
        <f t="shared" si="44"/>
        <v>13.8461538461538</v>
      </c>
      <c r="W87" s="27"/>
      <c r="X87" s="27">
        <f t="shared" si="48"/>
        <v>18.4615384615385</v>
      </c>
      <c r="Y87" s="30">
        <v>0</v>
      </c>
      <c r="Z87" s="32">
        <f t="shared" si="39"/>
        <v>19.2</v>
      </c>
      <c r="AA87" s="43"/>
      <c r="AB87" s="34">
        <f t="shared" si="43"/>
        <v>48</v>
      </c>
      <c r="AC87" s="44"/>
      <c r="AD87" s="44">
        <v>0</v>
      </c>
      <c r="AE87" s="41">
        <v>0.988</v>
      </c>
      <c r="AF87" s="34">
        <f t="shared" si="36"/>
        <v>639.843873846154</v>
      </c>
      <c r="AG87" s="46"/>
      <c r="AT87" s="3" t="str">
        <f>VLOOKUP(C87,[3]一线员工!$C$15:$C$97,1,0)</f>
        <v>刘光林</v>
      </c>
    </row>
    <row r="88" s="3" customFormat="1" customHeight="1" spans="1:46">
      <c r="A88" s="17">
        <v>15</v>
      </c>
      <c r="B88" s="51" t="s">
        <v>573</v>
      </c>
      <c r="C88" s="52" t="s">
        <v>574</v>
      </c>
      <c r="D88" s="53">
        <v>26</v>
      </c>
      <c r="E88" s="54">
        <v>27</v>
      </c>
      <c r="F88" s="20">
        <f>VLOOKUP(C88,'[2]2025.9（定版）10.12'!$B$3:$BN$500,5,0)</f>
        <v>26</v>
      </c>
      <c r="G88" s="17">
        <f t="shared" si="40"/>
        <v>1</v>
      </c>
      <c r="H88" s="19">
        <f t="shared" si="41"/>
        <v>26</v>
      </c>
      <c r="I88" s="61">
        <v>0</v>
      </c>
      <c r="J88" s="61">
        <v>99.23</v>
      </c>
      <c r="K88" s="61">
        <v>0</v>
      </c>
      <c r="L88" s="62">
        <v>109.23</v>
      </c>
      <c r="M88" s="61">
        <v>0</v>
      </c>
      <c r="N88" s="61">
        <v>119.23</v>
      </c>
      <c r="O88" s="61">
        <v>1</v>
      </c>
      <c r="P88" s="61">
        <v>129.23</v>
      </c>
      <c r="Q88" s="61">
        <v>0</v>
      </c>
      <c r="R88" s="61">
        <v>139.23</v>
      </c>
      <c r="S88" s="61">
        <f t="shared" si="47"/>
        <v>129.23</v>
      </c>
      <c r="T88" s="25"/>
      <c r="U88" s="27">
        <f t="shared" si="24"/>
        <v>1547.30769230769</v>
      </c>
      <c r="V88" s="27">
        <f t="shared" si="44"/>
        <v>155.769230769231</v>
      </c>
      <c r="W88" s="27"/>
      <c r="X88" s="27">
        <f t="shared" si="48"/>
        <v>207.692307692308</v>
      </c>
      <c r="Y88" s="30">
        <v>0</v>
      </c>
      <c r="Z88" s="32">
        <f t="shared" si="39"/>
        <v>216</v>
      </c>
      <c r="AA88" s="43"/>
      <c r="AB88" s="34">
        <f t="shared" si="43"/>
        <v>540</v>
      </c>
      <c r="AC88" s="44">
        <f t="shared" ref="AC88:AC92" si="49">+J88*20</f>
        <v>1984.6</v>
      </c>
      <c r="AD88" s="44">
        <v>0</v>
      </c>
      <c r="AE88" s="41">
        <v>0.988</v>
      </c>
      <c r="AF88" s="34">
        <f t="shared" si="36"/>
        <v>2794.44847076923</v>
      </c>
      <c r="AG88" s="46"/>
      <c r="AT88" s="3" t="e">
        <f>VLOOKUP(C88,[3]一线员工!$C$15:$C$97,1,0)</f>
        <v>#N/A</v>
      </c>
    </row>
    <row r="89" s="3" customFormat="1" customHeight="1" spans="1:46">
      <c r="A89" s="17">
        <v>16</v>
      </c>
      <c r="B89" s="22" t="s">
        <v>493</v>
      </c>
      <c r="C89" s="21" t="s">
        <v>575</v>
      </c>
      <c r="D89" s="17">
        <v>26</v>
      </c>
      <c r="E89" s="19">
        <v>14</v>
      </c>
      <c r="F89" s="20">
        <f>VLOOKUP(C89,'[2]2025.9（定版）10.12'!$B$3:$BN$500,5,0)</f>
        <v>14</v>
      </c>
      <c r="G89" s="17">
        <f t="shared" si="40"/>
        <v>12</v>
      </c>
      <c r="H89" s="19">
        <f t="shared" si="41"/>
        <v>2</v>
      </c>
      <c r="I89" s="25">
        <v>0</v>
      </c>
      <c r="J89" s="25">
        <v>99.23</v>
      </c>
      <c r="K89" s="25">
        <v>2</v>
      </c>
      <c r="L89" s="26">
        <v>109.23</v>
      </c>
      <c r="M89" s="25">
        <v>2</v>
      </c>
      <c r="N89" s="25">
        <v>119.23</v>
      </c>
      <c r="O89" s="25">
        <v>4</v>
      </c>
      <c r="P89" s="25">
        <v>129.23</v>
      </c>
      <c r="Q89" s="25">
        <v>4</v>
      </c>
      <c r="R89" s="25">
        <v>139.23</v>
      </c>
      <c r="S89" s="25">
        <f>+(I89*J89+K89*L89+M89*N89+O89*P89+Q89*R89)-100</f>
        <v>1430.76</v>
      </c>
      <c r="T89" s="25"/>
      <c r="U89" s="27">
        <f t="shared" si="24"/>
        <v>802.307692307692</v>
      </c>
      <c r="V89" s="27">
        <f t="shared" si="44"/>
        <v>80.7692307692308</v>
      </c>
      <c r="W89" s="27"/>
      <c r="X89" s="27">
        <f t="shared" si="48"/>
        <v>107.692307692308</v>
      </c>
      <c r="Y89" s="30">
        <v>0</v>
      </c>
      <c r="Z89" s="32">
        <f t="shared" si="39"/>
        <v>112</v>
      </c>
      <c r="AA89" s="43"/>
      <c r="AB89" s="34">
        <f t="shared" si="43"/>
        <v>280</v>
      </c>
      <c r="AC89" s="44"/>
      <c r="AD89" s="44">
        <v>0</v>
      </c>
      <c r="AE89" s="41">
        <v>0.988</v>
      </c>
      <c r="AF89" s="34">
        <f t="shared" si="36"/>
        <v>2796.36011076923</v>
      </c>
      <c r="AG89" s="46"/>
      <c r="AT89" s="3" t="str">
        <f>VLOOKUP(C89,[3]一线员工!$C$15:$C$97,1,0)</f>
        <v>吴旺宇</v>
      </c>
    </row>
    <row r="90" s="3" customFormat="1" customHeight="1" spans="1:46">
      <c r="A90" s="17">
        <v>17</v>
      </c>
      <c r="B90" s="50" t="s">
        <v>538</v>
      </c>
      <c r="C90" s="21" t="s">
        <v>576</v>
      </c>
      <c r="D90" s="17">
        <v>26</v>
      </c>
      <c r="E90" s="19">
        <v>2</v>
      </c>
      <c r="F90" s="20">
        <f>VLOOKUP(C90,'[2]2025.9（定版）10.12'!$B$3:$BN$500,5,0)</f>
        <v>2</v>
      </c>
      <c r="G90" s="17">
        <f t="shared" si="40"/>
        <v>1</v>
      </c>
      <c r="H90" s="19">
        <f t="shared" si="41"/>
        <v>1</v>
      </c>
      <c r="I90" s="25">
        <v>0</v>
      </c>
      <c r="J90" s="25">
        <v>99.23</v>
      </c>
      <c r="K90" s="25">
        <v>0</v>
      </c>
      <c r="L90" s="26">
        <v>109.23</v>
      </c>
      <c r="M90" s="25">
        <v>0</v>
      </c>
      <c r="N90" s="25">
        <v>119.23</v>
      </c>
      <c r="O90" s="25">
        <v>0</v>
      </c>
      <c r="P90" s="25">
        <v>129.23</v>
      </c>
      <c r="Q90" s="25">
        <v>1</v>
      </c>
      <c r="R90" s="25">
        <v>139.23</v>
      </c>
      <c r="S90" s="25">
        <f>+(I90*J90+K90*L90+M90*N90+O90*P90+Q90*R90)</f>
        <v>139.23</v>
      </c>
      <c r="T90" s="25"/>
      <c r="U90" s="27">
        <f t="shared" si="24"/>
        <v>114.615384615385</v>
      </c>
      <c r="V90" s="27">
        <f t="shared" si="44"/>
        <v>11.5384615384615</v>
      </c>
      <c r="W90" s="27"/>
      <c r="X90" s="27">
        <f t="shared" si="48"/>
        <v>15.3846153846154</v>
      </c>
      <c r="Y90" s="30">
        <v>0</v>
      </c>
      <c r="Z90" s="32">
        <f t="shared" si="39"/>
        <v>16</v>
      </c>
      <c r="AA90" s="43"/>
      <c r="AB90" s="34">
        <f t="shared" si="43"/>
        <v>40</v>
      </c>
      <c r="AC90" s="44"/>
      <c r="AD90" s="44">
        <v>0</v>
      </c>
      <c r="AE90" s="41">
        <v>0.988</v>
      </c>
      <c r="AF90" s="34">
        <f t="shared" si="36"/>
        <v>335.097701538462</v>
      </c>
      <c r="AG90" s="46"/>
      <c r="AT90" s="3" t="str">
        <f>VLOOKUP(C90,[3]一线员工!$C$15:$C$97,1,0)</f>
        <v>吴鑫</v>
      </c>
    </row>
    <row r="91" s="3" customFormat="1" customHeight="1" spans="1:46">
      <c r="A91" s="17">
        <v>18</v>
      </c>
      <c r="B91" s="50" t="s">
        <v>538</v>
      </c>
      <c r="C91" s="21" t="s">
        <v>577</v>
      </c>
      <c r="D91" s="17">
        <v>26</v>
      </c>
      <c r="E91" s="19">
        <v>2</v>
      </c>
      <c r="F91" s="20">
        <f>VLOOKUP(C91,'[2]2025.9（定版）10.12'!$B$3:$BN$500,5,0)</f>
        <v>2</v>
      </c>
      <c r="G91" s="17">
        <f t="shared" si="40"/>
        <v>1</v>
      </c>
      <c r="H91" s="19">
        <f t="shared" si="41"/>
        <v>1</v>
      </c>
      <c r="I91" s="25">
        <v>0</v>
      </c>
      <c r="J91" s="25">
        <v>99.23</v>
      </c>
      <c r="K91" s="25">
        <v>0</v>
      </c>
      <c r="L91" s="26">
        <v>109.23</v>
      </c>
      <c r="M91" s="25">
        <v>0</v>
      </c>
      <c r="N91" s="25">
        <v>119.23</v>
      </c>
      <c r="O91" s="25">
        <v>0</v>
      </c>
      <c r="P91" s="25">
        <v>129.23</v>
      </c>
      <c r="Q91" s="25">
        <v>1</v>
      </c>
      <c r="R91" s="25">
        <v>139.23</v>
      </c>
      <c r="S91" s="25">
        <f>+(I91*J91+K91*L91+M91*N91+O91*P91+Q91*R91)</f>
        <v>139.23</v>
      </c>
      <c r="T91" s="25"/>
      <c r="U91" s="27">
        <f t="shared" si="24"/>
        <v>114.615384615385</v>
      </c>
      <c r="V91" s="27">
        <f t="shared" si="44"/>
        <v>11.5384615384615</v>
      </c>
      <c r="W91" s="27"/>
      <c r="X91" s="27">
        <f t="shared" si="48"/>
        <v>15.3846153846154</v>
      </c>
      <c r="Y91" s="30">
        <v>0</v>
      </c>
      <c r="Z91" s="32">
        <f t="shared" si="39"/>
        <v>16</v>
      </c>
      <c r="AA91" s="43"/>
      <c r="AB91" s="34">
        <f t="shared" si="43"/>
        <v>40</v>
      </c>
      <c r="AC91" s="44">
        <f t="shared" si="49"/>
        <v>1984.6</v>
      </c>
      <c r="AD91" s="44">
        <v>0</v>
      </c>
      <c r="AE91" s="41">
        <v>0.988</v>
      </c>
      <c r="AF91" s="34">
        <f t="shared" si="36"/>
        <v>335.097701538462</v>
      </c>
      <c r="AG91" s="46"/>
      <c r="AT91" s="3" t="str">
        <f>VLOOKUP(C91,[3]一线员工!$C$15:$C$97,1,0)</f>
        <v>章志华</v>
      </c>
    </row>
    <row r="92" s="3" customFormat="1" customHeight="1" spans="1:46">
      <c r="A92" s="17">
        <v>19</v>
      </c>
      <c r="B92" s="22" t="s">
        <v>495</v>
      </c>
      <c r="C92" s="21" t="s">
        <v>578</v>
      </c>
      <c r="D92" s="17">
        <v>26</v>
      </c>
      <c r="E92" s="19">
        <v>21</v>
      </c>
      <c r="F92" s="20">
        <f>VLOOKUP(C92,'[2]2025.9（定版）10.12'!$B$3:$BN$500,5,0)</f>
        <v>21</v>
      </c>
      <c r="G92" s="17">
        <f t="shared" si="40"/>
        <v>21</v>
      </c>
      <c r="H92" s="17">
        <f t="shared" si="41"/>
        <v>0</v>
      </c>
      <c r="I92" s="25">
        <v>0</v>
      </c>
      <c r="J92" s="25">
        <v>99.23</v>
      </c>
      <c r="K92" s="25">
        <v>2</v>
      </c>
      <c r="L92" s="26">
        <v>109.23</v>
      </c>
      <c r="M92" s="25">
        <v>4</v>
      </c>
      <c r="N92" s="25">
        <v>119.23</v>
      </c>
      <c r="O92" s="25">
        <v>7</v>
      </c>
      <c r="P92" s="25">
        <v>129.23</v>
      </c>
      <c r="Q92" s="25">
        <v>8</v>
      </c>
      <c r="R92" s="25">
        <v>139.23</v>
      </c>
      <c r="S92" s="25">
        <f>+(I92*J92+K92*L92+M92*N92+O92*P92+Q92*R92)-100</f>
        <v>2613.83</v>
      </c>
      <c r="T92" s="25"/>
      <c r="U92" s="27">
        <f t="shared" si="24"/>
        <v>1203.46153846154</v>
      </c>
      <c r="V92" s="27">
        <f t="shared" si="44"/>
        <v>121.153846153846</v>
      </c>
      <c r="W92" s="27"/>
      <c r="X92" s="27">
        <f t="shared" si="48"/>
        <v>161.538461538462</v>
      </c>
      <c r="Y92" s="30">
        <v>0</v>
      </c>
      <c r="Z92" s="32">
        <f t="shared" si="39"/>
        <v>168</v>
      </c>
      <c r="AA92" s="43"/>
      <c r="AB92" s="34">
        <f t="shared" si="43"/>
        <v>420</v>
      </c>
      <c r="AC92" s="44">
        <f t="shared" si="49"/>
        <v>1984.6</v>
      </c>
      <c r="AD92" s="44">
        <v>50</v>
      </c>
      <c r="AE92" s="41">
        <v>0.988</v>
      </c>
      <c r="AF92" s="34">
        <f t="shared" si="36"/>
        <v>4706.61788615385</v>
      </c>
      <c r="AG92" s="46"/>
      <c r="AT92" s="3" t="str">
        <f>VLOOKUP(C92,[3]一线员工!$C$15:$C$97,1,0)</f>
        <v>胡平根</v>
      </c>
    </row>
    <row r="93" s="5" customFormat="1" customHeight="1" spans="1:33">
      <c r="A93" s="17" t="s">
        <v>5</v>
      </c>
      <c r="B93" s="17"/>
      <c r="C93" s="17"/>
      <c r="D93" s="17"/>
      <c r="E93" s="17"/>
      <c r="F93" s="55"/>
      <c r="G93" s="55"/>
      <c r="H93" s="5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65"/>
      <c r="U93" s="65">
        <f t="shared" ref="U93:AC93" si="50">SUM(U5:U29)</f>
        <v>36711.3076923077</v>
      </c>
      <c r="V93" s="65">
        <f t="shared" si="50"/>
        <v>3751</v>
      </c>
      <c r="W93" s="65">
        <f t="shared" si="50"/>
        <v>60</v>
      </c>
      <c r="X93" s="66">
        <f t="shared" si="50"/>
        <v>10501</v>
      </c>
      <c r="Y93" s="65">
        <f t="shared" si="50"/>
        <v>5300</v>
      </c>
      <c r="Z93" s="65">
        <f t="shared" si="50"/>
        <v>5124.8</v>
      </c>
      <c r="AA93" s="65">
        <f t="shared" si="50"/>
        <v>1000</v>
      </c>
      <c r="AB93" s="65">
        <f t="shared" si="50"/>
        <v>12812</v>
      </c>
      <c r="AC93" s="65">
        <f t="shared" si="50"/>
        <v>35722.8</v>
      </c>
      <c r="AD93" s="65">
        <f>AD4-SUM(AD5:AD29)</f>
        <v>0</v>
      </c>
      <c r="AE93" s="65"/>
      <c r="AF93" s="65">
        <f>SUM(AF5:AF29)</f>
        <v>140826.576049231</v>
      </c>
      <c r="AG93" s="17"/>
    </row>
    <row r="94" s="5" customFormat="1" customHeight="1" spans="1:32">
      <c r="A94" s="8"/>
      <c r="B94" s="56"/>
      <c r="C94" s="56"/>
      <c r="D94" s="57"/>
      <c r="E94" s="55"/>
      <c r="F94" s="58"/>
      <c r="G94" s="58"/>
      <c r="H94" s="58"/>
      <c r="I94" s="63"/>
      <c r="J94" s="55"/>
      <c r="K94" s="55"/>
      <c r="M94" s="55"/>
      <c r="N94" s="55"/>
      <c r="O94" s="55"/>
      <c r="P94" s="55"/>
      <c r="Q94" s="55"/>
      <c r="S94" s="55"/>
      <c r="T94" s="55"/>
      <c r="U94" s="63"/>
      <c r="V94" s="63"/>
      <c r="W94" s="8"/>
      <c r="X94" s="8"/>
      <c r="Y94" s="7"/>
      <c r="Z94" s="1"/>
      <c r="AA94" s="56"/>
      <c r="AB94" s="8"/>
      <c r="AC94" s="1"/>
      <c r="AD94" s="1"/>
      <c r="AE94" s="9"/>
      <c r="AF94" s="9"/>
    </row>
    <row r="95" s="1" customFormat="1" customHeight="1" spans="1:16375">
      <c r="A95" s="56"/>
      <c r="B95" s="56"/>
      <c r="C95" s="59" t="s">
        <v>513</v>
      </c>
      <c r="D95" s="60"/>
      <c r="E95" s="58"/>
      <c r="I95" s="60"/>
      <c r="J95" s="60"/>
      <c r="K95" s="64"/>
      <c r="L95" s="60" t="s">
        <v>514</v>
      </c>
      <c r="M95" s="60"/>
      <c r="N95" s="60"/>
      <c r="O95" s="60"/>
      <c r="P95" s="60"/>
      <c r="Q95" s="64"/>
      <c r="R95" s="63"/>
      <c r="S95" s="55"/>
      <c r="T95" s="55" t="s">
        <v>64</v>
      </c>
      <c r="U95" s="8"/>
      <c r="V95" s="8"/>
      <c r="W95" s="8"/>
      <c r="X95" s="8"/>
      <c r="Y95" s="7"/>
      <c r="AA95" s="56"/>
      <c r="AB95" s="8"/>
      <c r="AE95" s="9"/>
      <c r="AF95" s="9"/>
      <c r="XAM95" s="10"/>
      <c r="XAN95" s="10"/>
      <c r="XAO95" s="10"/>
      <c r="XAP95" s="10"/>
      <c r="XAQ95" s="10"/>
      <c r="XAR95" s="10"/>
      <c r="XAS95" s="10"/>
      <c r="XAT95" s="10"/>
      <c r="XAU95" s="10"/>
      <c r="XAV95" s="10"/>
      <c r="XAW95" s="10"/>
      <c r="XAX95" s="10"/>
      <c r="XAY95" s="10"/>
      <c r="XAZ95" s="10"/>
      <c r="XBA95" s="10"/>
      <c r="XBB95" s="10"/>
      <c r="XBC95" s="10"/>
      <c r="XBD95" s="10"/>
      <c r="XBE95" s="10"/>
      <c r="XBF95" s="10"/>
      <c r="XBG95" s="10"/>
      <c r="XBH95" s="10"/>
      <c r="XBI95" s="10"/>
      <c r="XBJ95" s="10"/>
      <c r="XBK95" s="10"/>
      <c r="XBL95" s="10"/>
      <c r="XBM95" s="10"/>
      <c r="XBN95" s="10"/>
      <c r="XBO95" s="10"/>
      <c r="XBP95" s="10"/>
      <c r="XBQ95" s="10"/>
      <c r="XBR95" s="10"/>
      <c r="XBS95" s="10"/>
      <c r="XBT95" s="10"/>
      <c r="XBU95" s="10"/>
      <c r="XBV95" s="10"/>
      <c r="XBW95" s="10"/>
      <c r="XBX95" s="10"/>
      <c r="XBY95" s="10"/>
      <c r="XBZ95" s="10"/>
      <c r="XCA95" s="10"/>
      <c r="XCB95" s="10"/>
      <c r="XCC95" s="10"/>
      <c r="XCD95" s="10"/>
      <c r="XCE95" s="10"/>
      <c r="XCF95" s="10"/>
      <c r="XCG95" s="10"/>
      <c r="XCH95" s="10"/>
      <c r="XCI95" s="10"/>
      <c r="XCJ95" s="10"/>
      <c r="XCK95" s="10"/>
      <c r="XCL95" s="10"/>
      <c r="XCM95" s="10"/>
      <c r="XCN95" s="10"/>
      <c r="XCO95" s="10"/>
      <c r="XCP95" s="10"/>
      <c r="XCQ95" s="10"/>
      <c r="XCR95" s="10"/>
      <c r="XCS95" s="10"/>
      <c r="XCT95" s="10"/>
      <c r="XCU95" s="10"/>
      <c r="XCV95" s="10"/>
      <c r="XCW95" s="10"/>
      <c r="XCX95" s="10"/>
      <c r="XCY95" s="10"/>
      <c r="XCZ95" s="10"/>
      <c r="XDA95" s="10"/>
      <c r="XDB95" s="10"/>
      <c r="XDC95" s="10"/>
      <c r="XDD95" s="10"/>
      <c r="XDE95" s="10"/>
      <c r="XDF95" s="10"/>
      <c r="XDG95" s="10"/>
      <c r="XDH95" s="10"/>
      <c r="XDI95" s="10"/>
      <c r="XDJ95" s="10"/>
      <c r="XDK95" s="10"/>
      <c r="XDL95" s="10"/>
      <c r="XDM95" s="10"/>
      <c r="XDN95" s="10"/>
      <c r="XDO95" s="10"/>
      <c r="XDP95" s="10"/>
      <c r="XDQ95" s="10"/>
      <c r="XDR95" s="10"/>
      <c r="XDS95" s="10"/>
      <c r="XDT95" s="10"/>
      <c r="XDU95" s="10"/>
      <c r="XDV95" s="10"/>
      <c r="XDW95" s="10"/>
      <c r="XDX95" s="10"/>
      <c r="XDY95" s="10"/>
      <c r="XDZ95" s="10"/>
      <c r="XEA95" s="10"/>
      <c r="XEB95" s="10"/>
      <c r="XEC95" s="10"/>
      <c r="XED95" s="10"/>
      <c r="XEE95" s="10"/>
      <c r="XEF95" s="10"/>
      <c r="XEG95" s="10"/>
      <c r="XEH95" s="10"/>
      <c r="XEI95" s="10"/>
      <c r="XEJ95" s="10"/>
      <c r="XEK95" s="10"/>
      <c r="XEL95" s="10"/>
      <c r="XEM95" s="10"/>
      <c r="XEN95" s="10"/>
      <c r="XEO95" s="10"/>
      <c r="XEP95" s="10"/>
      <c r="XEQ95" s="10"/>
      <c r="XER95" s="10"/>
      <c r="XES95" s="10"/>
      <c r="XET95" s="10"/>
      <c r="XEU95" s="10"/>
    </row>
    <row r="96" s="1" customFormat="1" customHeight="1" spans="25:16375">
      <c r="Y96" s="7"/>
      <c r="AB96" s="8"/>
      <c r="AE96" s="9"/>
      <c r="AF96" s="9"/>
      <c r="XAM96" s="10"/>
      <c r="XAN96" s="10"/>
      <c r="XAO96" s="10"/>
      <c r="XAP96" s="10"/>
      <c r="XAQ96" s="10"/>
      <c r="XAR96" s="10"/>
      <c r="XAS96" s="10"/>
      <c r="XAT96" s="10"/>
      <c r="XAU96" s="10"/>
      <c r="XAV96" s="10"/>
      <c r="XAW96" s="10"/>
      <c r="XAX96" s="10"/>
      <c r="XAY96" s="10"/>
      <c r="XAZ96" s="10"/>
      <c r="XBA96" s="10"/>
      <c r="XBB96" s="10"/>
      <c r="XBC96" s="10"/>
      <c r="XBD96" s="10"/>
      <c r="XBE96" s="10"/>
      <c r="XBF96" s="10"/>
      <c r="XBG96" s="10"/>
      <c r="XBH96" s="10"/>
      <c r="XBI96" s="10"/>
      <c r="XBJ96" s="10"/>
      <c r="XBK96" s="10"/>
      <c r="XBL96" s="10"/>
      <c r="XBM96" s="10"/>
      <c r="XBN96" s="10"/>
      <c r="XBO96" s="10"/>
      <c r="XBP96" s="10"/>
      <c r="XBQ96" s="10"/>
      <c r="XBR96" s="10"/>
      <c r="XBS96" s="10"/>
      <c r="XBT96" s="10"/>
      <c r="XBU96" s="10"/>
      <c r="XBV96" s="10"/>
      <c r="XBW96" s="10"/>
      <c r="XBX96" s="10"/>
      <c r="XBY96" s="10"/>
      <c r="XBZ96" s="10"/>
      <c r="XCA96" s="10"/>
      <c r="XCB96" s="10"/>
      <c r="XCC96" s="10"/>
      <c r="XCD96" s="10"/>
      <c r="XCE96" s="10"/>
      <c r="XCF96" s="10"/>
      <c r="XCG96" s="10"/>
      <c r="XCH96" s="10"/>
      <c r="XCI96" s="10"/>
      <c r="XCJ96" s="10"/>
      <c r="XCK96" s="10"/>
      <c r="XCL96" s="10"/>
      <c r="XCM96" s="10"/>
      <c r="XCN96" s="10"/>
      <c r="XCO96" s="10"/>
      <c r="XCP96" s="10"/>
      <c r="XCQ96" s="10"/>
      <c r="XCR96" s="10"/>
      <c r="XCS96" s="10"/>
      <c r="XCT96" s="10"/>
      <c r="XCU96" s="10"/>
      <c r="XCV96" s="10"/>
      <c r="XCW96" s="10"/>
      <c r="XCX96" s="10"/>
      <c r="XCY96" s="10"/>
      <c r="XCZ96" s="10"/>
      <c r="XDA96" s="10"/>
      <c r="XDB96" s="10"/>
      <c r="XDC96" s="10"/>
      <c r="XDD96" s="10"/>
      <c r="XDE96" s="10"/>
      <c r="XDF96" s="10"/>
      <c r="XDG96" s="10"/>
      <c r="XDH96" s="10"/>
      <c r="XDI96" s="10"/>
      <c r="XDJ96" s="10"/>
      <c r="XDK96" s="10"/>
      <c r="XDL96" s="10"/>
      <c r="XDM96" s="10"/>
      <c r="XDN96" s="10"/>
      <c r="XDO96" s="10"/>
      <c r="XDP96" s="10"/>
      <c r="XDQ96" s="10"/>
      <c r="XDR96" s="10"/>
      <c r="XDS96" s="10"/>
      <c r="XDT96" s="10"/>
      <c r="XDU96" s="10"/>
      <c r="XDV96" s="10"/>
      <c r="XDW96" s="10"/>
      <c r="XDX96" s="10"/>
      <c r="XDY96" s="10"/>
      <c r="XDZ96" s="10"/>
      <c r="XEA96" s="10"/>
      <c r="XEB96" s="10"/>
      <c r="XEC96" s="10"/>
      <c r="XED96" s="10"/>
      <c r="XEE96" s="10"/>
      <c r="XEF96" s="10"/>
      <c r="XEG96" s="10"/>
      <c r="XEH96" s="10"/>
      <c r="XEI96" s="10"/>
      <c r="XEJ96" s="10"/>
      <c r="XEK96" s="10"/>
      <c r="XEL96" s="10"/>
      <c r="XEM96" s="10"/>
      <c r="XEN96" s="10"/>
      <c r="XEO96" s="10"/>
      <c r="XEP96" s="10"/>
      <c r="XEQ96" s="10"/>
      <c r="XER96" s="10"/>
      <c r="XES96" s="10"/>
      <c r="XET96" s="10"/>
      <c r="XEU96" s="10"/>
    </row>
    <row r="97" s="1" customFormat="1" customHeight="1" spans="6:16375">
      <c r="F97" s="5"/>
      <c r="G97" s="5"/>
      <c r="H97" s="5"/>
      <c r="Y97" s="7"/>
      <c r="AB97" s="8"/>
      <c r="AE97" s="9"/>
      <c r="AF97" s="9"/>
      <c r="XAM97" s="10"/>
      <c r="XAN97" s="10"/>
      <c r="XAO97" s="10"/>
      <c r="XAP97" s="10"/>
      <c r="XAQ97" s="10"/>
      <c r="XAR97" s="10"/>
      <c r="XAS97" s="10"/>
      <c r="XAT97" s="10"/>
      <c r="XAU97" s="10"/>
      <c r="XAV97" s="10"/>
      <c r="XAW97" s="10"/>
      <c r="XAX97" s="10"/>
      <c r="XAY97" s="10"/>
      <c r="XAZ97" s="10"/>
      <c r="XBA97" s="10"/>
      <c r="XBB97" s="10"/>
      <c r="XBC97" s="10"/>
      <c r="XBD97" s="10"/>
      <c r="XBE97" s="10"/>
      <c r="XBF97" s="10"/>
      <c r="XBG97" s="10"/>
      <c r="XBH97" s="10"/>
      <c r="XBI97" s="10"/>
      <c r="XBJ97" s="10"/>
      <c r="XBK97" s="10"/>
      <c r="XBL97" s="10"/>
      <c r="XBM97" s="10"/>
      <c r="XBN97" s="10"/>
      <c r="XBO97" s="10"/>
      <c r="XBP97" s="10"/>
      <c r="XBQ97" s="10"/>
      <c r="XBR97" s="10"/>
      <c r="XBS97" s="10"/>
      <c r="XBT97" s="10"/>
      <c r="XBU97" s="10"/>
      <c r="XBV97" s="10"/>
      <c r="XBW97" s="10"/>
      <c r="XBX97" s="10"/>
      <c r="XBY97" s="10"/>
      <c r="XBZ97" s="10"/>
      <c r="XCA97" s="10"/>
      <c r="XCB97" s="10"/>
      <c r="XCC97" s="10"/>
      <c r="XCD97" s="10"/>
      <c r="XCE97" s="10"/>
      <c r="XCF97" s="10"/>
      <c r="XCG97" s="10"/>
      <c r="XCH97" s="10"/>
      <c r="XCI97" s="10"/>
      <c r="XCJ97" s="10"/>
      <c r="XCK97" s="10"/>
      <c r="XCL97" s="10"/>
      <c r="XCM97" s="10"/>
      <c r="XCN97" s="10"/>
      <c r="XCO97" s="10"/>
      <c r="XCP97" s="10"/>
      <c r="XCQ97" s="10"/>
      <c r="XCR97" s="10"/>
      <c r="XCS97" s="10"/>
      <c r="XCT97" s="10"/>
      <c r="XCU97" s="10"/>
      <c r="XCV97" s="10"/>
      <c r="XCW97" s="10"/>
      <c r="XCX97" s="10"/>
      <c r="XCY97" s="10"/>
      <c r="XCZ97" s="10"/>
      <c r="XDA97" s="10"/>
      <c r="XDB97" s="10"/>
      <c r="XDC97" s="10"/>
      <c r="XDD97" s="10"/>
      <c r="XDE97" s="10"/>
      <c r="XDF97" s="10"/>
      <c r="XDG97" s="10"/>
      <c r="XDH97" s="10"/>
      <c r="XDI97" s="10"/>
      <c r="XDJ97" s="10"/>
      <c r="XDK97" s="10"/>
      <c r="XDL97" s="10"/>
      <c r="XDM97" s="10"/>
      <c r="XDN97" s="10"/>
      <c r="XDO97" s="10"/>
      <c r="XDP97" s="10"/>
      <c r="XDQ97" s="10"/>
      <c r="XDR97" s="10"/>
      <c r="XDS97" s="10"/>
      <c r="XDT97" s="10"/>
      <c r="XDU97" s="10"/>
      <c r="XDV97" s="10"/>
      <c r="XDW97" s="10"/>
      <c r="XDX97" s="10"/>
      <c r="XDY97" s="10"/>
      <c r="XDZ97" s="10"/>
      <c r="XEA97" s="10"/>
      <c r="XEB97" s="10"/>
      <c r="XEC97" s="10"/>
      <c r="XED97" s="10"/>
      <c r="XEE97" s="10"/>
      <c r="XEF97" s="10"/>
      <c r="XEG97" s="10"/>
      <c r="XEH97" s="10"/>
      <c r="XEI97" s="10"/>
      <c r="XEJ97" s="10"/>
      <c r="XEK97" s="10"/>
      <c r="XEL97" s="10"/>
      <c r="XEM97" s="10"/>
      <c r="XEN97" s="10"/>
      <c r="XEO97" s="10"/>
      <c r="XEP97" s="10"/>
      <c r="XEQ97" s="10"/>
      <c r="XER97" s="10"/>
      <c r="XES97" s="10"/>
      <c r="XET97" s="10"/>
      <c r="XEU97" s="10"/>
    </row>
    <row r="98" customHeight="1" spans="6:8">
      <c r="F98" s="5"/>
      <c r="G98" s="5"/>
      <c r="H98" s="5"/>
    </row>
    <row r="99" customHeight="1" spans="6:8">
      <c r="F99" s="5"/>
      <c r="G99" s="5"/>
      <c r="H99" s="5"/>
    </row>
    <row r="100" customHeight="1" spans="6:8">
      <c r="F100" s="5"/>
      <c r="G100" s="5"/>
      <c r="H100" s="5"/>
    </row>
    <row r="101" customHeight="1" spans="6:8">
      <c r="F101" s="5"/>
      <c r="G101" s="5"/>
      <c r="H101" s="5"/>
    </row>
    <row r="102" customHeight="1" spans="6:8">
      <c r="F102" s="5"/>
      <c r="G102" s="5"/>
      <c r="H102" s="5"/>
    </row>
    <row r="103" customHeight="1" spans="6:8">
      <c r="F103" s="5"/>
      <c r="G103" s="5"/>
      <c r="H103" s="5"/>
    </row>
    <row r="104" customHeight="1" spans="6:8">
      <c r="F104" s="5"/>
      <c r="G104" s="5"/>
      <c r="H104" s="5"/>
    </row>
    <row r="105" customHeight="1" spans="6:8">
      <c r="F105" s="5"/>
      <c r="G105" s="5"/>
      <c r="H105" s="5"/>
    </row>
    <row r="106" customHeight="1" spans="6:8">
      <c r="F106" s="5"/>
      <c r="G106" s="5"/>
      <c r="H106" s="5"/>
    </row>
    <row r="107" customHeight="1" spans="6:8">
      <c r="F107" s="5"/>
      <c r="G107" s="5"/>
      <c r="H107" s="5"/>
    </row>
    <row r="108" customHeight="1" spans="6:8">
      <c r="F108" s="5"/>
      <c r="G108" s="5"/>
      <c r="H108" s="5"/>
    </row>
    <row r="109" customHeight="1" spans="6:8">
      <c r="F109" s="5"/>
      <c r="G109" s="5"/>
      <c r="H109" s="5"/>
    </row>
    <row r="110" customHeight="1" spans="6:8">
      <c r="F110" s="5"/>
      <c r="G110" s="5"/>
      <c r="H110" s="5"/>
    </row>
    <row r="111" customHeight="1" spans="6:8">
      <c r="F111" s="5"/>
      <c r="G111" s="5"/>
      <c r="H111" s="5"/>
    </row>
    <row r="112" customHeight="1" spans="6:8">
      <c r="F112" s="5"/>
      <c r="G112" s="5"/>
      <c r="H112" s="5"/>
    </row>
    <row r="113" customHeight="1" spans="6:8">
      <c r="F113" s="5"/>
      <c r="G113" s="5"/>
      <c r="H113" s="5"/>
    </row>
    <row r="114" customHeight="1" spans="6:8">
      <c r="F114" s="5"/>
      <c r="G114" s="5"/>
      <c r="H114" s="5"/>
    </row>
    <row r="115" customHeight="1" spans="6:8">
      <c r="F115" s="5"/>
      <c r="G115" s="5"/>
      <c r="H115" s="5"/>
    </row>
    <row r="116" customHeight="1" spans="6:8">
      <c r="F116" s="5"/>
      <c r="G116" s="5"/>
      <c r="H116" s="5"/>
    </row>
    <row r="117" customHeight="1" spans="6:8">
      <c r="F117" s="5"/>
      <c r="G117" s="5"/>
      <c r="H117" s="5"/>
    </row>
    <row r="118" customHeight="1" spans="6:8">
      <c r="F118" s="5"/>
      <c r="G118" s="5"/>
      <c r="H118" s="5"/>
    </row>
    <row r="119" customHeight="1" spans="6:8">
      <c r="F119" s="5"/>
      <c r="G119" s="5"/>
      <c r="H119" s="5"/>
    </row>
    <row r="120" customHeight="1" spans="6:8">
      <c r="F120" s="5"/>
      <c r="G120" s="5"/>
      <c r="H120" s="5"/>
    </row>
    <row r="121" customHeight="1" spans="6:8">
      <c r="F121" s="5"/>
      <c r="G121" s="5"/>
      <c r="H121" s="5"/>
    </row>
    <row r="122" customHeight="1" spans="6:8">
      <c r="F122" s="5"/>
      <c r="G122" s="5"/>
      <c r="H122" s="5"/>
    </row>
    <row r="123" customHeight="1" spans="6:8">
      <c r="F123" s="5"/>
      <c r="G123" s="5"/>
      <c r="H123" s="5"/>
    </row>
    <row r="124" customHeight="1" spans="6:6">
      <c r="F124" s="5"/>
    </row>
    <row r="125" customHeight="1" spans="6:6">
      <c r="F125" s="5"/>
    </row>
    <row r="126" customHeight="1" spans="6:6">
      <c r="F126" s="5"/>
    </row>
    <row r="127" customHeight="1" spans="6:6">
      <c r="F127" s="5"/>
    </row>
    <row r="128" customHeight="1" spans="6:6">
      <c r="F128" s="5"/>
    </row>
    <row r="129" customHeight="1" spans="6:6">
      <c r="F129" s="5"/>
    </row>
    <row r="130" customHeight="1" spans="6:6">
      <c r="F130" s="5"/>
    </row>
    <row r="131" customHeight="1" spans="6:6">
      <c r="F131" s="5"/>
    </row>
    <row r="132" customHeight="1" spans="6:6">
      <c r="F132" s="5"/>
    </row>
    <row r="133" customHeight="1" spans="6:6">
      <c r="F133" s="5"/>
    </row>
    <row r="134" customHeight="1" spans="6:6">
      <c r="F134" s="5"/>
    </row>
    <row r="135" customHeight="1" spans="6:6">
      <c r="F135" s="5"/>
    </row>
    <row r="136" customHeight="1" spans="6:6">
      <c r="F136" s="5"/>
    </row>
    <row r="137" customHeight="1" spans="6:6">
      <c r="F137" s="5"/>
    </row>
    <row r="138" customHeight="1" spans="6:6">
      <c r="F138" s="5"/>
    </row>
    <row r="139" customHeight="1" spans="6:6">
      <c r="F139" s="5"/>
    </row>
    <row r="140" customHeight="1" spans="6:6">
      <c r="F140" s="5"/>
    </row>
    <row r="141" customHeight="1" spans="6:6">
      <c r="F141" s="5"/>
    </row>
    <row r="142" customHeight="1" spans="6:6">
      <c r="F142" s="5"/>
    </row>
    <row r="143" customHeight="1" spans="6:6">
      <c r="F143" s="5"/>
    </row>
    <row r="144" customHeight="1" spans="6:6">
      <c r="F144" s="5"/>
    </row>
    <row r="145" customHeight="1" spans="6:6">
      <c r="F145" s="5"/>
    </row>
    <row r="146" customHeight="1" spans="6:6">
      <c r="F146" s="5"/>
    </row>
    <row r="147" customHeight="1" spans="6:6">
      <c r="F147" s="5"/>
    </row>
    <row r="148" customHeight="1" spans="6:6">
      <c r="F148" s="5"/>
    </row>
    <row r="149" customHeight="1" spans="6:6">
      <c r="F149" s="5"/>
    </row>
    <row r="150" customHeight="1" spans="6:6">
      <c r="F150" s="5"/>
    </row>
    <row r="151" customHeight="1" spans="6:6">
      <c r="F151" s="5"/>
    </row>
    <row r="152" customHeight="1" spans="6:6">
      <c r="F152" s="5"/>
    </row>
    <row r="153" customHeight="1" spans="6:6">
      <c r="F153" s="5"/>
    </row>
    <row r="154" customHeight="1" spans="6:6">
      <c r="F154" s="5"/>
    </row>
    <row r="155" customHeight="1" spans="6:6">
      <c r="F155" s="5"/>
    </row>
    <row r="156" customHeight="1" spans="6:6">
      <c r="F156" s="5"/>
    </row>
    <row r="157" customHeight="1" spans="6:6">
      <c r="F157" s="5"/>
    </row>
    <row r="158" customHeight="1" spans="6:6">
      <c r="F158" s="5"/>
    </row>
    <row r="159" customHeight="1" spans="6:6">
      <c r="F159" s="5"/>
    </row>
    <row r="160" customHeight="1" spans="6:6">
      <c r="F160" s="5"/>
    </row>
    <row r="161" customHeight="1" spans="6:6">
      <c r="F161" s="5"/>
    </row>
    <row r="162" customHeight="1" spans="6:6">
      <c r="F162" s="5"/>
    </row>
    <row r="163" customHeight="1" spans="6:6">
      <c r="F163" s="5"/>
    </row>
    <row r="164" customHeight="1" spans="6:6">
      <c r="F164" s="5"/>
    </row>
    <row r="165" customHeight="1" spans="6:6">
      <c r="F165" s="5"/>
    </row>
    <row r="166" customHeight="1" spans="6:6">
      <c r="F166" s="5"/>
    </row>
    <row r="167" customHeight="1" spans="6:6">
      <c r="F167" s="5"/>
    </row>
    <row r="168" customHeight="1" spans="6:6">
      <c r="F168" s="5"/>
    </row>
    <row r="169" customHeight="1" spans="6:6">
      <c r="F169" s="5"/>
    </row>
    <row r="170" customHeight="1" spans="6:6">
      <c r="F170" s="5"/>
    </row>
    <row r="171" customHeight="1" spans="6:6">
      <c r="F171" s="5"/>
    </row>
    <row r="172" customHeight="1" spans="6:6">
      <c r="F172" s="5"/>
    </row>
    <row r="173" customHeight="1" spans="6:6">
      <c r="F173" s="5"/>
    </row>
    <row r="174" customHeight="1" spans="6:6">
      <c r="F174" s="5"/>
    </row>
    <row r="175" customHeight="1" spans="6:6">
      <c r="F175" s="5"/>
    </row>
    <row r="176" customHeight="1" spans="6:6">
      <c r="F176" s="5"/>
    </row>
    <row r="177" customHeight="1" spans="6:6">
      <c r="F177" s="5"/>
    </row>
    <row r="178" customHeight="1" spans="6:6">
      <c r="F178" s="5"/>
    </row>
    <row r="179" customHeight="1" spans="6:6">
      <c r="F179" s="5"/>
    </row>
    <row r="180" customHeight="1" spans="6:6">
      <c r="F180" s="5"/>
    </row>
    <row r="181" customHeight="1" spans="6:6">
      <c r="F181" s="5"/>
    </row>
    <row r="182" customHeight="1" spans="6:6">
      <c r="F182" s="5"/>
    </row>
    <row r="183" customHeight="1" spans="6:6">
      <c r="F183" s="5"/>
    </row>
    <row r="184" customHeight="1" spans="6:6">
      <c r="F184" s="5"/>
    </row>
  </sheetData>
  <autoFilter ref="A4:XEV95">
    <extLst/>
  </autoFilter>
  <mergeCells count="4">
    <mergeCell ref="A1:AG1"/>
    <mergeCell ref="I3:R3"/>
    <mergeCell ref="S3:S4"/>
    <mergeCell ref="T3:T4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XFB159"/>
  <sheetViews>
    <sheetView view="pageBreakPreview" zoomScaleNormal="100" workbookViewId="0">
      <pane xSplit="5" ySplit="1" topLeftCell="FI59" activePane="bottomRight" state="frozen"/>
      <selection/>
      <selection pane="topRight"/>
      <selection pane="bottomLeft"/>
      <selection pane="bottomRight" activeCell="E62" sqref="E62"/>
    </sheetView>
  </sheetViews>
  <sheetFormatPr defaultColWidth="9" defaultRowHeight="14.4"/>
  <cols>
    <col min="1" max="1" width="4.75" style="216" customWidth="1"/>
    <col min="2" max="2" width="13.25" style="216" customWidth="1"/>
    <col min="3" max="3" width="9.87962962962963" style="216" customWidth="1"/>
    <col min="4" max="4" width="18.3796296296296" style="216" customWidth="1"/>
    <col min="5" max="5" width="8.62962962962963" style="216" customWidth="1"/>
    <col min="6" max="6" width="7.25" style="217" customWidth="1"/>
    <col min="7" max="7" width="8.12962962962963" style="216" customWidth="1"/>
    <col min="8" max="8" width="7.37962962962963" style="216" customWidth="1"/>
    <col min="9" max="9" width="8.25" style="216" customWidth="1"/>
    <col min="10" max="10" width="11.75" style="216" customWidth="1"/>
    <col min="11" max="11" width="5.75" style="216" customWidth="1"/>
    <col min="12" max="12" width="6" style="216" customWidth="1"/>
    <col min="13" max="13" width="6.62962962962963" style="216" customWidth="1"/>
    <col min="14" max="14" width="6.37962962962963" style="216" customWidth="1"/>
    <col min="15" max="15" width="10" style="216" customWidth="1"/>
    <col min="16" max="16" width="7.75" style="216" customWidth="1"/>
    <col min="17" max="19" width="6.12962962962963" style="216" customWidth="1"/>
    <col min="20" max="20" width="12.1296296296296" style="216" customWidth="1"/>
    <col min="21" max="21" width="8.75" style="216" customWidth="1"/>
    <col min="22" max="22" width="6.5" style="216" customWidth="1"/>
    <col min="23" max="23" width="6.37962962962963" style="216" customWidth="1"/>
    <col min="24" max="24" width="7.12962962962963" style="216" customWidth="1"/>
    <col min="25" max="25" width="11.75" style="216" customWidth="1"/>
    <col min="26" max="26" width="5.75" style="216" customWidth="1"/>
    <col min="27" max="27" width="5.87962962962963" style="216" customWidth="1"/>
    <col min="28" max="28" width="6.12962962962963" style="216" customWidth="1"/>
    <col min="29" max="29" width="5" style="216" customWidth="1"/>
    <col min="30" max="30" width="10.8796296296296" style="216" customWidth="1"/>
    <col min="31" max="31" width="7.5" style="216" customWidth="1"/>
    <col min="32" max="32" width="6.37962962962963" style="216" customWidth="1"/>
    <col min="33" max="33" width="6.5" style="216" customWidth="1"/>
    <col min="34" max="34" width="6.62962962962963" style="216" customWidth="1"/>
    <col min="35" max="35" width="9.87962962962963" style="216" customWidth="1"/>
    <col min="36" max="36" width="7.5" style="216" customWidth="1"/>
    <col min="37" max="37" width="7.87962962962963" style="216" customWidth="1"/>
    <col min="38" max="38" width="7" style="216" customWidth="1"/>
    <col min="39" max="39" width="5.87962962962963" style="216" customWidth="1"/>
    <col min="40" max="40" width="10" style="216" customWidth="1"/>
    <col min="41" max="41" width="7.5" style="216" customWidth="1"/>
    <col min="42" max="42" width="6.5" style="216" customWidth="1"/>
    <col min="43" max="43" width="5.87962962962963" style="216" customWidth="1"/>
    <col min="44" max="44" width="6.12962962962963" style="216" customWidth="1"/>
    <col min="45" max="45" width="11" style="216" customWidth="1"/>
    <col min="46" max="46" width="6.62962962962963" style="216" customWidth="1"/>
    <col min="47" max="47" width="6.75" style="216" customWidth="1"/>
    <col min="48" max="48" width="6.87962962962963" style="216" customWidth="1"/>
    <col min="49" max="49" width="8.87962962962963" style="216" customWidth="1"/>
    <col min="50" max="50" width="12" style="216" customWidth="1"/>
    <col min="51" max="51" width="6.37962962962963" style="216" customWidth="1"/>
    <col min="52" max="52" width="6.5" style="216" customWidth="1"/>
    <col min="53" max="53" width="6.75" style="216" customWidth="1"/>
    <col min="54" max="54" width="5.37962962962963" style="216" customWidth="1"/>
    <col min="55" max="55" width="9.87962962962963" style="216" customWidth="1"/>
    <col min="56" max="56" width="5.87962962962963" style="216" customWidth="1"/>
    <col min="57" max="57" width="6" style="216" customWidth="1"/>
    <col min="58" max="58" width="6.75" style="216" customWidth="1"/>
    <col min="59" max="59" width="6" style="216" customWidth="1"/>
    <col min="60" max="60" width="10.5" style="216" customWidth="1"/>
    <col min="61" max="61" width="5.87962962962963" style="216" customWidth="1"/>
    <col min="62" max="62" width="6.12962962962963" style="216" customWidth="1"/>
    <col min="63" max="63" width="5.75" style="216" customWidth="1"/>
    <col min="64" max="64" width="6" style="216" customWidth="1"/>
    <col min="65" max="65" width="9.87962962962963" style="216" customWidth="1"/>
    <col min="66" max="66" width="6.12962962962963" style="216" customWidth="1"/>
    <col min="67" max="67" width="7.5" style="216" customWidth="1"/>
    <col min="68" max="68" width="6.5" style="216" customWidth="1"/>
    <col min="69" max="69" width="6.87962962962963" style="216" customWidth="1"/>
    <col min="70" max="70" width="13.1296296296296" style="216" customWidth="1"/>
    <col min="71" max="71" width="6.5" style="216" customWidth="1"/>
    <col min="72" max="73" width="6.37962962962963" style="216" customWidth="1"/>
    <col min="74" max="74" width="7.5" style="216" customWidth="1"/>
    <col min="75" max="75" width="11" style="216" customWidth="1"/>
    <col min="76" max="76" width="6.62962962962963" style="216" customWidth="1"/>
    <col min="77" max="77" width="6" style="216" customWidth="1"/>
    <col min="78" max="78" width="5.87962962962963" style="216" customWidth="1"/>
    <col min="79" max="79" width="5" style="216" customWidth="1"/>
    <col min="80" max="80" width="12.1296296296296" style="216" customWidth="1"/>
    <col min="81" max="81" width="6.5" style="216" customWidth="1"/>
    <col min="82" max="82" width="5.75" style="216" customWidth="1"/>
    <col min="83" max="83" width="6.5" style="216" customWidth="1"/>
    <col min="84" max="84" width="5" style="216" customWidth="1"/>
    <col min="85" max="85" width="12.3796296296296" style="216" customWidth="1"/>
    <col min="86" max="86" width="6.12962962962963" style="216" customWidth="1"/>
    <col min="87" max="87" width="6.5" style="216" customWidth="1"/>
    <col min="88" max="88" width="6.75" style="216" customWidth="1"/>
    <col min="89" max="89" width="5" style="216" customWidth="1"/>
    <col min="90" max="90" width="10.6296296296296" style="216" customWidth="1"/>
    <col min="91" max="91" width="5" style="216" customWidth="1"/>
    <col min="92" max="92" width="5.5" style="216" customWidth="1"/>
    <col min="93" max="93" width="5.75" style="216" customWidth="1"/>
    <col min="94" max="94" width="5" style="216" customWidth="1"/>
    <col min="95" max="95" width="12" style="216" customWidth="1"/>
    <col min="96" max="96" width="5.75" style="216" customWidth="1"/>
    <col min="97" max="97" width="5.5" style="216" customWidth="1"/>
    <col min="98" max="98" width="5.75" style="216" customWidth="1"/>
    <col min="99" max="99" width="6.25" style="216" customWidth="1"/>
    <col min="100" max="100" width="12" style="216" customWidth="1"/>
    <col min="101" max="102" width="8.37962962962963" style="216" customWidth="1"/>
    <col min="103" max="103" width="9.62962962962963" style="216" customWidth="1"/>
    <col min="104" max="104" width="10.1296296296296" style="216" customWidth="1"/>
    <col min="105" max="105" width="14.25" style="216" customWidth="1"/>
    <col min="106" max="106" width="10.25" style="216" customWidth="1"/>
    <col min="107" max="107" width="7.87962962962963" style="216" customWidth="1"/>
    <col min="108" max="108" width="8.87962962962963" style="216" customWidth="1"/>
    <col min="109" max="109" width="9.25" style="216" customWidth="1"/>
    <col min="110" max="110" width="12" style="216" customWidth="1"/>
    <col min="111" max="111" width="9.37962962962963" style="216" customWidth="1"/>
    <col min="112" max="112" width="8.37962962962963" style="216" customWidth="1"/>
    <col min="113" max="113" width="8.5" style="216" customWidth="1"/>
    <col min="114" max="114" width="8.25" style="216" customWidth="1"/>
    <col min="115" max="115" width="11.6296296296296" style="216" customWidth="1"/>
    <col min="116" max="116" width="8.12962962962963" style="216" customWidth="1"/>
    <col min="117" max="117" width="9.12962962962963" style="216" customWidth="1"/>
    <col min="118" max="118" width="8.62962962962963" style="216" customWidth="1"/>
    <col min="119" max="119" width="8.25" style="216" customWidth="1"/>
    <col min="120" max="120" width="11.8796296296296" style="216" customWidth="1"/>
    <col min="121" max="121" width="6" style="216" customWidth="1"/>
    <col min="122" max="123" width="6.12962962962963" style="216" customWidth="1"/>
    <col min="124" max="124" width="6.75" style="216" customWidth="1"/>
    <col min="125" max="125" width="10" style="216" customWidth="1"/>
    <col min="126" max="126" width="7.12962962962963" style="216" customWidth="1"/>
    <col min="127" max="127" width="5.62962962962963" style="216" customWidth="1"/>
    <col min="128" max="128" width="6.25" style="216" customWidth="1"/>
    <col min="129" max="129" width="6.5" style="216" customWidth="1"/>
    <col min="130" max="130" width="11.75" style="216" customWidth="1"/>
    <col min="131" max="131" width="6.87962962962963" style="216" customWidth="1"/>
    <col min="132" max="132" width="6.12962962962963" style="216" customWidth="1"/>
    <col min="133" max="133" width="6" style="216" customWidth="1"/>
    <col min="134" max="134" width="5.87962962962963" style="216" customWidth="1"/>
    <col min="135" max="135" width="11.3796296296296" style="216" customWidth="1"/>
    <col min="136" max="136" width="5.75" style="216" customWidth="1"/>
    <col min="137" max="137" width="6.62962962962963" style="216" customWidth="1"/>
    <col min="138" max="139" width="6.37962962962963" style="216" customWidth="1"/>
    <col min="140" max="140" width="10" style="216" customWidth="1"/>
    <col min="141" max="141" width="7.12962962962963" style="216" customWidth="1"/>
    <col min="142" max="142" width="5.62962962962963" style="216" customWidth="1"/>
    <col min="143" max="143" width="6" style="216" customWidth="1"/>
    <col min="144" max="144" width="6.62962962962963" style="216" customWidth="1"/>
    <col min="145" max="145" width="11.75" style="216" customWidth="1"/>
    <col min="146" max="146" width="6.25" style="216" customWidth="1"/>
    <col min="147" max="147" width="6.62962962962963" style="216" customWidth="1"/>
    <col min="148" max="148" width="6.37962962962963" style="216" customWidth="1"/>
    <col min="149" max="149" width="6.5" style="216" customWidth="1"/>
    <col min="150" max="150" width="12.8796296296296" style="216" customWidth="1"/>
    <col min="151" max="151" width="6.75" style="216" customWidth="1"/>
    <col min="152" max="152" width="6.37962962962963" style="216" customWidth="1"/>
    <col min="153" max="153" width="6.62962962962963" style="216" customWidth="1"/>
    <col min="154" max="154" width="7.75" style="216" customWidth="1"/>
    <col min="155" max="155" width="11.1296296296296" style="216" customWidth="1"/>
    <col min="156" max="156" width="6.62962962962963" style="216" customWidth="1"/>
    <col min="157" max="157" width="6.37962962962963" style="216" customWidth="1"/>
    <col min="158" max="158" width="7" style="216" customWidth="1"/>
    <col min="159" max="159" width="9.25" style="216" customWidth="1"/>
    <col min="160" max="160" width="14.3796296296296" style="216" customWidth="1"/>
    <col min="161" max="161" width="11.6296296296296" style="216" customWidth="1"/>
    <col min="162" max="162" width="0.25" style="216" customWidth="1"/>
    <col min="163" max="163" width="10.3796296296296" style="216"/>
    <col min="164" max="164" width="12.8796296296296" style="216" customWidth="1"/>
    <col min="165" max="165" width="19.75" style="216"/>
    <col min="166" max="166" width="18.8796296296296" style="216" customWidth="1"/>
    <col min="167" max="167" width="19.75" style="216"/>
    <col min="168" max="16382" width="9" style="216"/>
  </cols>
  <sheetData>
    <row r="1" ht="23" customHeight="1" spans="1:167">
      <c r="A1" s="218" t="s">
        <v>37</v>
      </c>
      <c r="B1" s="218"/>
      <c r="C1" s="218"/>
      <c r="D1" s="218"/>
      <c r="E1" s="218"/>
      <c r="F1" s="219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  <c r="DL1" s="218"/>
      <c r="DM1" s="218"/>
      <c r="DN1" s="218"/>
      <c r="DO1" s="218"/>
      <c r="DP1" s="218"/>
      <c r="DQ1" s="218"/>
      <c r="DR1" s="218"/>
      <c r="DS1" s="218"/>
      <c r="DT1" s="218"/>
      <c r="DU1" s="218"/>
      <c r="DV1" s="218"/>
      <c r="DW1" s="218"/>
      <c r="DX1" s="218"/>
      <c r="DY1" s="218"/>
      <c r="DZ1" s="218"/>
      <c r="EA1" s="218"/>
      <c r="EB1" s="218"/>
      <c r="EC1" s="218"/>
      <c r="ED1" s="218"/>
      <c r="EE1" s="218"/>
      <c r="EF1" s="218"/>
      <c r="EG1" s="218"/>
      <c r="EH1" s="218"/>
      <c r="EI1" s="218"/>
      <c r="EJ1" s="218"/>
      <c r="EK1" s="218"/>
      <c r="EL1" s="218"/>
      <c r="EM1" s="218"/>
      <c r="EN1" s="218"/>
      <c r="EO1" s="218"/>
      <c r="EP1" s="218"/>
      <c r="EQ1" s="218"/>
      <c r="ER1" s="218"/>
      <c r="ES1" s="218"/>
      <c r="ET1" s="218"/>
      <c r="EU1" s="218"/>
      <c r="EV1" s="218"/>
      <c r="EW1" s="218"/>
      <c r="EX1" s="218"/>
      <c r="EY1" s="218"/>
      <c r="EZ1" s="218"/>
      <c r="FA1" s="218"/>
      <c r="FB1" s="218"/>
      <c r="FC1" s="218"/>
      <c r="FD1" s="218"/>
      <c r="FE1" s="218"/>
      <c r="FF1" s="218"/>
      <c r="FG1" s="218"/>
      <c r="FH1" s="218"/>
      <c r="FI1" s="218"/>
      <c r="FJ1" s="218"/>
      <c r="FK1" s="218"/>
    </row>
    <row r="2" s="208" customFormat="1" ht="29.1" customHeight="1" spans="1:16382">
      <c r="A2" s="220"/>
      <c r="B2" s="220"/>
      <c r="C2" s="220"/>
      <c r="D2" s="220">
        <v>1</v>
      </c>
      <c r="E2" s="220">
        <v>2</v>
      </c>
      <c r="F2" s="220">
        <v>3</v>
      </c>
      <c r="G2" s="220">
        <v>4</v>
      </c>
      <c r="H2" s="220">
        <v>5</v>
      </c>
      <c r="I2" s="220">
        <v>6</v>
      </c>
      <c r="J2" s="220">
        <v>7</v>
      </c>
      <c r="K2" s="220">
        <v>8</v>
      </c>
      <c r="L2" s="220">
        <v>9</v>
      </c>
      <c r="M2" s="220">
        <v>10</v>
      </c>
      <c r="N2" s="220">
        <v>11</v>
      </c>
      <c r="O2" s="220">
        <v>12</v>
      </c>
      <c r="P2" s="220">
        <v>13</v>
      </c>
      <c r="Q2" s="220">
        <v>14</v>
      </c>
      <c r="R2" s="220">
        <v>15</v>
      </c>
      <c r="S2" s="220">
        <v>16</v>
      </c>
      <c r="T2" s="220">
        <v>17</v>
      </c>
      <c r="U2" s="220">
        <v>18</v>
      </c>
      <c r="V2" s="220">
        <v>19</v>
      </c>
      <c r="W2" s="220">
        <v>20</v>
      </c>
      <c r="X2" s="220">
        <v>21</v>
      </c>
      <c r="Y2" s="220">
        <v>22</v>
      </c>
      <c r="Z2" s="220">
        <v>23</v>
      </c>
      <c r="AA2" s="220">
        <v>24</v>
      </c>
      <c r="AB2" s="220">
        <v>25</v>
      </c>
      <c r="AC2" s="220">
        <v>26</v>
      </c>
      <c r="AD2" s="220">
        <v>27</v>
      </c>
      <c r="AE2" s="220">
        <v>28</v>
      </c>
      <c r="AF2" s="220">
        <v>29</v>
      </c>
      <c r="AG2" s="220">
        <v>30</v>
      </c>
      <c r="AH2" s="220">
        <v>31</v>
      </c>
      <c r="AI2" s="220">
        <v>32</v>
      </c>
      <c r="AJ2" s="220">
        <v>33</v>
      </c>
      <c r="AK2" s="220">
        <v>34</v>
      </c>
      <c r="AL2" s="220">
        <v>35</v>
      </c>
      <c r="AM2" s="220">
        <v>36</v>
      </c>
      <c r="AN2" s="220">
        <v>37</v>
      </c>
      <c r="AO2" s="220">
        <v>38</v>
      </c>
      <c r="AP2" s="220">
        <v>39</v>
      </c>
      <c r="AQ2" s="220">
        <v>40</v>
      </c>
      <c r="AR2" s="220">
        <v>41</v>
      </c>
      <c r="AS2" s="220">
        <v>42</v>
      </c>
      <c r="AT2" s="220">
        <v>43</v>
      </c>
      <c r="AU2" s="220">
        <v>44</v>
      </c>
      <c r="AV2" s="220">
        <v>45</v>
      </c>
      <c r="AW2" s="220">
        <v>46</v>
      </c>
      <c r="AX2" s="220">
        <v>47</v>
      </c>
      <c r="AY2" s="220">
        <v>48</v>
      </c>
      <c r="AZ2" s="220">
        <v>49</v>
      </c>
      <c r="BA2" s="220">
        <v>50</v>
      </c>
      <c r="BB2" s="220">
        <v>51</v>
      </c>
      <c r="BC2" s="220">
        <v>52</v>
      </c>
      <c r="BD2" s="220">
        <v>53</v>
      </c>
      <c r="BE2" s="220">
        <v>54</v>
      </c>
      <c r="BF2" s="220">
        <v>55</v>
      </c>
      <c r="BG2" s="220">
        <v>56</v>
      </c>
      <c r="BH2" s="220">
        <v>57</v>
      </c>
      <c r="BI2" s="220">
        <v>58</v>
      </c>
      <c r="BJ2" s="220">
        <v>59</v>
      </c>
      <c r="BK2" s="220">
        <v>60</v>
      </c>
      <c r="BL2" s="220">
        <v>61</v>
      </c>
      <c r="BM2" s="220">
        <v>62</v>
      </c>
      <c r="BN2" s="220">
        <v>63</v>
      </c>
      <c r="BO2" s="220">
        <v>64</v>
      </c>
      <c r="BP2" s="220">
        <v>65</v>
      </c>
      <c r="BQ2" s="220">
        <v>66</v>
      </c>
      <c r="BR2" s="220">
        <v>67</v>
      </c>
      <c r="BS2" s="220">
        <v>68</v>
      </c>
      <c r="BT2" s="220">
        <v>69</v>
      </c>
      <c r="BU2" s="220">
        <v>70</v>
      </c>
      <c r="BV2" s="220">
        <v>71</v>
      </c>
      <c r="BW2" s="220">
        <v>72</v>
      </c>
      <c r="BX2" s="220">
        <v>73</v>
      </c>
      <c r="BY2" s="220">
        <v>74</v>
      </c>
      <c r="BZ2" s="220">
        <v>75</v>
      </c>
      <c r="CA2" s="220">
        <v>76</v>
      </c>
      <c r="CB2" s="220">
        <v>77</v>
      </c>
      <c r="CC2" s="220">
        <v>78</v>
      </c>
      <c r="CD2" s="220">
        <v>79</v>
      </c>
      <c r="CE2" s="220">
        <v>80</v>
      </c>
      <c r="CF2" s="220">
        <v>81</v>
      </c>
      <c r="CG2" s="220">
        <v>82</v>
      </c>
      <c r="CH2" s="220">
        <v>83</v>
      </c>
      <c r="CI2" s="220">
        <v>84</v>
      </c>
      <c r="CJ2" s="220">
        <v>85</v>
      </c>
      <c r="CK2" s="220">
        <v>86</v>
      </c>
      <c r="CL2" s="220">
        <v>87</v>
      </c>
      <c r="CM2" s="220">
        <v>88</v>
      </c>
      <c r="CN2" s="220">
        <v>89</v>
      </c>
      <c r="CO2" s="220">
        <v>90</v>
      </c>
      <c r="CP2" s="220">
        <v>91</v>
      </c>
      <c r="CQ2" s="220">
        <v>92</v>
      </c>
      <c r="CR2" s="220">
        <v>93</v>
      </c>
      <c r="CS2" s="220">
        <v>94</v>
      </c>
      <c r="CT2" s="220">
        <v>95</v>
      </c>
      <c r="CU2" s="220">
        <v>96</v>
      </c>
      <c r="CV2" s="220">
        <v>97</v>
      </c>
      <c r="CW2" s="220">
        <v>98</v>
      </c>
      <c r="CX2" s="220">
        <v>99</v>
      </c>
      <c r="CY2" s="220">
        <v>100</v>
      </c>
      <c r="CZ2" s="220">
        <v>101</v>
      </c>
      <c r="DA2" s="220">
        <v>102</v>
      </c>
      <c r="DB2" s="220">
        <v>103</v>
      </c>
      <c r="DC2" s="220">
        <v>104</v>
      </c>
      <c r="DD2" s="220">
        <v>105</v>
      </c>
      <c r="DE2" s="220">
        <v>106</v>
      </c>
      <c r="DF2" s="220">
        <v>107</v>
      </c>
      <c r="DG2" s="220">
        <v>108</v>
      </c>
      <c r="DH2" s="220">
        <v>109</v>
      </c>
      <c r="DI2" s="220">
        <v>110</v>
      </c>
      <c r="DJ2" s="220">
        <v>111</v>
      </c>
      <c r="DK2" s="220">
        <v>112</v>
      </c>
      <c r="DL2" s="220">
        <v>113</v>
      </c>
      <c r="DM2" s="220">
        <v>114</v>
      </c>
      <c r="DN2" s="220">
        <v>115</v>
      </c>
      <c r="DO2" s="220">
        <v>116</v>
      </c>
      <c r="DP2" s="220">
        <v>117</v>
      </c>
      <c r="DQ2" s="220">
        <v>118</v>
      </c>
      <c r="DR2" s="220">
        <v>119</v>
      </c>
      <c r="DS2" s="220">
        <v>120</v>
      </c>
      <c r="DT2" s="220">
        <v>121</v>
      </c>
      <c r="DU2" s="220">
        <v>122</v>
      </c>
      <c r="DV2" s="220">
        <v>123</v>
      </c>
      <c r="DW2" s="220">
        <v>124</v>
      </c>
      <c r="DX2" s="220">
        <v>125</v>
      </c>
      <c r="DY2" s="220">
        <v>126</v>
      </c>
      <c r="DZ2" s="220">
        <v>127</v>
      </c>
      <c r="EA2" s="220">
        <v>128</v>
      </c>
      <c r="EB2" s="220">
        <v>129</v>
      </c>
      <c r="EC2" s="220">
        <v>130</v>
      </c>
      <c r="ED2" s="220">
        <v>131</v>
      </c>
      <c r="EE2" s="220">
        <v>132</v>
      </c>
      <c r="EF2" s="220">
        <v>133</v>
      </c>
      <c r="EG2" s="220">
        <v>134</v>
      </c>
      <c r="EH2" s="220">
        <v>135</v>
      </c>
      <c r="EI2" s="220">
        <v>136</v>
      </c>
      <c r="EJ2" s="220">
        <v>137</v>
      </c>
      <c r="EK2" s="220">
        <v>138</v>
      </c>
      <c r="EL2" s="220">
        <v>139</v>
      </c>
      <c r="EM2" s="220">
        <v>140</v>
      </c>
      <c r="EN2" s="220">
        <v>141</v>
      </c>
      <c r="EO2" s="220">
        <v>142</v>
      </c>
      <c r="EP2" s="220">
        <v>143</v>
      </c>
      <c r="EQ2" s="220">
        <v>144</v>
      </c>
      <c r="ER2" s="220">
        <v>145</v>
      </c>
      <c r="ES2" s="220">
        <v>146</v>
      </c>
      <c r="ET2" s="220">
        <v>147</v>
      </c>
      <c r="EU2" s="220">
        <v>148</v>
      </c>
      <c r="EV2" s="220">
        <v>149</v>
      </c>
      <c r="EW2" s="220">
        <v>150</v>
      </c>
      <c r="EX2" s="220">
        <v>151</v>
      </c>
      <c r="EY2" s="220">
        <v>152</v>
      </c>
      <c r="EZ2" s="220">
        <v>153</v>
      </c>
      <c r="FA2" s="220">
        <v>154</v>
      </c>
      <c r="FB2" s="220">
        <v>155</v>
      </c>
      <c r="FC2" s="220">
        <v>156</v>
      </c>
      <c r="FD2" s="220">
        <v>157</v>
      </c>
      <c r="FE2" s="220">
        <v>158</v>
      </c>
      <c r="FF2" s="220">
        <v>159</v>
      </c>
      <c r="FG2" s="220">
        <v>160</v>
      </c>
      <c r="FH2" s="220">
        <v>161</v>
      </c>
      <c r="FI2" s="220">
        <v>162</v>
      </c>
      <c r="FJ2" s="220">
        <v>163</v>
      </c>
      <c r="FK2" s="220">
        <v>164</v>
      </c>
      <c r="FL2" s="283"/>
      <c r="FM2" s="283"/>
      <c r="FN2" s="283"/>
      <c r="FO2" s="283"/>
      <c r="FP2" s="283"/>
      <c r="FQ2" s="283"/>
      <c r="FR2" s="283"/>
      <c r="FS2" s="283"/>
      <c r="FT2" s="283"/>
      <c r="FU2" s="283"/>
      <c r="FV2" s="283"/>
      <c r="FW2" s="283"/>
      <c r="FX2" s="283"/>
      <c r="FY2" s="283"/>
      <c r="FZ2" s="283"/>
      <c r="GA2" s="283"/>
      <c r="GB2" s="283"/>
      <c r="GC2" s="283"/>
      <c r="GD2" s="283"/>
      <c r="GE2" s="283"/>
      <c r="GF2" s="283"/>
      <c r="GG2" s="283"/>
      <c r="GH2" s="283"/>
      <c r="GI2" s="283"/>
      <c r="GJ2" s="283"/>
      <c r="GK2" s="283"/>
      <c r="GL2" s="283"/>
      <c r="GM2" s="283"/>
      <c r="GN2" s="283"/>
      <c r="GO2" s="283"/>
      <c r="GP2" s="283"/>
      <c r="GQ2" s="283"/>
      <c r="GR2" s="283"/>
      <c r="GS2" s="283"/>
      <c r="GT2" s="283"/>
      <c r="GU2" s="283"/>
      <c r="GV2" s="283"/>
      <c r="GW2" s="283"/>
      <c r="GX2" s="283"/>
      <c r="GY2" s="283"/>
      <c r="GZ2" s="283"/>
      <c r="HA2" s="283"/>
      <c r="HB2" s="283"/>
      <c r="HC2" s="283"/>
      <c r="HD2" s="283"/>
      <c r="HE2" s="283"/>
      <c r="HF2" s="283"/>
      <c r="HG2" s="283"/>
      <c r="HH2" s="283"/>
      <c r="HI2" s="283"/>
      <c r="HJ2" s="283"/>
      <c r="HK2" s="283"/>
      <c r="HL2" s="283"/>
      <c r="HM2" s="283"/>
      <c r="HN2" s="283"/>
      <c r="HO2" s="283"/>
      <c r="HP2" s="283"/>
      <c r="HQ2" s="283"/>
      <c r="HR2" s="283"/>
      <c r="HS2" s="283"/>
      <c r="HT2" s="283"/>
      <c r="HU2" s="283"/>
      <c r="HV2" s="283"/>
      <c r="HW2" s="283"/>
      <c r="HX2" s="283"/>
      <c r="HY2" s="283"/>
      <c r="HZ2" s="283"/>
      <c r="IA2" s="283"/>
      <c r="IB2" s="283"/>
      <c r="IC2" s="283"/>
      <c r="ID2" s="283"/>
      <c r="IE2" s="283"/>
      <c r="IF2" s="283"/>
      <c r="IG2" s="283"/>
      <c r="IH2" s="283"/>
      <c r="II2" s="283"/>
      <c r="IJ2" s="283"/>
      <c r="IK2" s="283"/>
      <c r="IL2" s="283"/>
      <c r="IM2" s="283"/>
      <c r="IN2" s="283"/>
      <c r="IO2" s="283"/>
      <c r="IP2" s="283"/>
      <c r="IQ2" s="283"/>
      <c r="IR2" s="283"/>
      <c r="IS2" s="283"/>
      <c r="IT2" s="283"/>
      <c r="IU2" s="283"/>
      <c r="IV2" s="283"/>
      <c r="IW2" s="283"/>
      <c r="IX2" s="283"/>
      <c r="IY2" s="283"/>
      <c r="IZ2" s="283"/>
      <c r="JA2" s="283"/>
      <c r="JB2" s="283"/>
      <c r="JC2" s="283"/>
      <c r="JD2" s="283"/>
      <c r="JE2" s="283"/>
      <c r="JF2" s="283"/>
      <c r="JG2" s="283"/>
      <c r="JH2" s="283"/>
      <c r="JI2" s="283"/>
      <c r="JJ2" s="283"/>
      <c r="JK2" s="283"/>
      <c r="JL2" s="283"/>
      <c r="JM2" s="283"/>
      <c r="JN2" s="283"/>
      <c r="JO2" s="283"/>
      <c r="JP2" s="283"/>
      <c r="JQ2" s="283"/>
      <c r="JR2" s="283"/>
      <c r="JS2" s="283"/>
      <c r="JT2" s="283"/>
      <c r="JU2" s="283"/>
      <c r="JV2" s="283"/>
      <c r="JW2" s="283"/>
      <c r="JX2" s="283"/>
      <c r="JY2" s="283"/>
      <c r="JZ2" s="283"/>
      <c r="KA2" s="283"/>
      <c r="KB2" s="283"/>
      <c r="KC2" s="283"/>
      <c r="KD2" s="283"/>
      <c r="KE2" s="283"/>
      <c r="KF2" s="283"/>
      <c r="KG2" s="283"/>
      <c r="KH2" s="283"/>
      <c r="KI2" s="283"/>
      <c r="KJ2" s="283"/>
      <c r="KK2" s="283"/>
      <c r="KL2" s="283"/>
      <c r="KM2" s="283"/>
      <c r="KN2" s="283"/>
      <c r="KO2" s="283"/>
      <c r="KP2" s="283"/>
      <c r="KQ2" s="283"/>
      <c r="KR2" s="283"/>
      <c r="KS2" s="283"/>
      <c r="KT2" s="283"/>
      <c r="KU2" s="283"/>
      <c r="KV2" s="283"/>
      <c r="KW2" s="283"/>
      <c r="KX2" s="283"/>
      <c r="KY2" s="283"/>
      <c r="KZ2" s="283"/>
      <c r="LA2" s="283"/>
      <c r="LB2" s="283"/>
      <c r="LC2" s="283"/>
      <c r="LD2" s="283"/>
      <c r="LE2" s="283"/>
      <c r="LF2" s="283"/>
      <c r="LG2" s="283"/>
      <c r="LH2" s="283"/>
      <c r="LI2" s="283"/>
      <c r="LJ2" s="283"/>
      <c r="LK2" s="283"/>
      <c r="LL2" s="283"/>
      <c r="LM2" s="283"/>
      <c r="LN2" s="283"/>
      <c r="LO2" s="283"/>
      <c r="LP2" s="283"/>
      <c r="LQ2" s="283"/>
      <c r="LR2" s="283"/>
      <c r="LS2" s="283"/>
      <c r="LT2" s="283"/>
      <c r="LU2" s="283"/>
      <c r="LV2" s="283"/>
      <c r="LW2" s="283"/>
      <c r="LX2" s="283"/>
      <c r="LY2" s="283"/>
      <c r="LZ2" s="283"/>
      <c r="MA2" s="283"/>
      <c r="MB2" s="283"/>
      <c r="MC2" s="283"/>
      <c r="MD2" s="283"/>
      <c r="ME2" s="283"/>
      <c r="MF2" s="283"/>
      <c r="MG2" s="283"/>
      <c r="MH2" s="283"/>
      <c r="MI2" s="283"/>
      <c r="MJ2" s="283"/>
      <c r="MK2" s="283"/>
      <c r="ML2" s="283"/>
      <c r="MM2" s="283"/>
      <c r="MN2" s="283"/>
      <c r="MO2" s="283"/>
      <c r="MP2" s="283"/>
      <c r="MQ2" s="283"/>
      <c r="MR2" s="283"/>
      <c r="MS2" s="283"/>
      <c r="MT2" s="283"/>
      <c r="MU2" s="283"/>
      <c r="MV2" s="283"/>
      <c r="MW2" s="283"/>
      <c r="MX2" s="283"/>
      <c r="MY2" s="283"/>
      <c r="MZ2" s="283"/>
      <c r="NA2" s="283"/>
      <c r="NB2" s="283"/>
      <c r="NC2" s="283"/>
      <c r="ND2" s="283"/>
      <c r="NE2" s="283"/>
      <c r="NF2" s="283"/>
      <c r="NG2" s="283"/>
      <c r="NH2" s="283"/>
      <c r="NI2" s="283"/>
      <c r="NJ2" s="283"/>
      <c r="NK2" s="283"/>
      <c r="NL2" s="283"/>
      <c r="NM2" s="283"/>
      <c r="NN2" s="283"/>
      <c r="NO2" s="283"/>
      <c r="NP2" s="283"/>
      <c r="NQ2" s="283"/>
      <c r="NR2" s="283"/>
      <c r="NS2" s="283"/>
      <c r="NT2" s="283"/>
      <c r="NU2" s="283"/>
      <c r="NV2" s="283"/>
      <c r="NW2" s="283"/>
      <c r="NX2" s="283"/>
      <c r="NY2" s="283"/>
      <c r="NZ2" s="283"/>
      <c r="OA2" s="283"/>
      <c r="OB2" s="283"/>
      <c r="OC2" s="283"/>
      <c r="OD2" s="283"/>
      <c r="OE2" s="283"/>
      <c r="OF2" s="283"/>
      <c r="OG2" s="283"/>
      <c r="OH2" s="283"/>
      <c r="OI2" s="283"/>
      <c r="OJ2" s="283"/>
      <c r="OK2" s="283"/>
      <c r="OL2" s="283"/>
      <c r="OM2" s="283"/>
      <c r="ON2" s="283"/>
      <c r="OO2" s="283"/>
      <c r="OP2" s="283"/>
      <c r="OQ2" s="283"/>
      <c r="OR2" s="283"/>
      <c r="OS2" s="283"/>
      <c r="OT2" s="283"/>
      <c r="OU2" s="283"/>
      <c r="OV2" s="283"/>
      <c r="OW2" s="283"/>
      <c r="OX2" s="283"/>
      <c r="OY2" s="283"/>
      <c r="OZ2" s="283"/>
      <c r="PA2" s="283"/>
      <c r="PB2" s="283"/>
      <c r="PC2" s="283"/>
      <c r="PD2" s="283"/>
      <c r="PE2" s="283"/>
      <c r="PF2" s="283"/>
      <c r="PG2" s="283"/>
      <c r="PH2" s="283"/>
      <c r="PI2" s="283"/>
      <c r="PJ2" s="283"/>
      <c r="PK2" s="283"/>
      <c r="PL2" s="283"/>
      <c r="PM2" s="283"/>
      <c r="PN2" s="283"/>
      <c r="PO2" s="283"/>
      <c r="PP2" s="283"/>
      <c r="PQ2" s="283"/>
      <c r="PR2" s="283"/>
      <c r="PS2" s="283"/>
      <c r="PT2" s="283"/>
      <c r="PU2" s="283"/>
      <c r="PV2" s="283"/>
      <c r="PW2" s="283"/>
      <c r="PX2" s="283"/>
      <c r="PY2" s="283"/>
      <c r="PZ2" s="283"/>
      <c r="QA2" s="283"/>
      <c r="QB2" s="283"/>
      <c r="QC2" s="283"/>
      <c r="QD2" s="283"/>
      <c r="QE2" s="283"/>
      <c r="QF2" s="283"/>
      <c r="QG2" s="283"/>
      <c r="QH2" s="283"/>
      <c r="QI2" s="283"/>
      <c r="QJ2" s="283"/>
      <c r="QK2" s="283"/>
      <c r="QL2" s="283"/>
      <c r="QM2" s="283"/>
      <c r="QN2" s="283"/>
      <c r="QO2" s="283"/>
      <c r="QP2" s="283"/>
      <c r="QQ2" s="283"/>
      <c r="QR2" s="283"/>
      <c r="QS2" s="283"/>
      <c r="QT2" s="283"/>
      <c r="QU2" s="283"/>
      <c r="QV2" s="283"/>
      <c r="QW2" s="283"/>
      <c r="QX2" s="283"/>
      <c r="QY2" s="283"/>
      <c r="QZ2" s="283"/>
      <c r="RA2" s="283"/>
      <c r="RB2" s="283"/>
      <c r="RC2" s="283"/>
      <c r="RD2" s="283"/>
      <c r="RE2" s="283"/>
      <c r="RF2" s="283"/>
      <c r="RG2" s="283"/>
      <c r="RH2" s="283"/>
      <c r="RI2" s="283"/>
      <c r="RJ2" s="283"/>
      <c r="RK2" s="283"/>
      <c r="RL2" s="283"/>
      <c r="RM2" s="283"/>
      <c r="RN2" s="283"/>
      <c r="RO2" s="283"/>
      <c r="RP2" s="283"/>
      <c r="RQ2" s="283"/>
      <c r="RR2" s="283"/>
      <c r="RS2" s="283"/>
      <c r="RT2" s="283"/>
      <c r="RU2" s="283"/>
      <c r="RV2" s="283"/>
      <c r="RW2" s="283"/>
      <c r="RX2" s="283"/>
      <c r="RY2" s="283"/>
      <c r="RZ2" s="283"/>
      <c r="SA2" s="283"/>
      <c r="SB2" s="283"/>
      <c r="SC2" s="283"/>
      <c r="SD2" s="283"/>
      <c r="SE2" s="283"/>
      <c r="SF2" s="283"/>
      <c r="SG2" s="283"/>
      <c r="SH2" s="283"/>
      <c r="SI2" s="283"/>
      <c r="SJ2" s="283"/>
      <c r="SK2" s="283"/>
      <c r="SL2" s="283"/>
      <c r="SM2" s="283"/>
      <c r="SN2" s="283"/>
      <c r="SO2" s="283"/>
      <c r="SP2" s="283"/>
      <c r="SQ2" s="283"/>
      <c r="SR2" s="283"/>
      <c r="SS2" s="283"/>
      <c r="ST2" s="283"/>
      <c r="SU2" s="283"/>
      <c r="SV2" s="283"/>
      <c r="SW2" s="283"/>
      <c r="SX2" s="283"/>
      <c r="SY2" s="283"/>
      <c r="SZ2" s="283"/>
      <c r="TA2" s="283"/>
      <c r="TB2" s="283"/>
      <c r="TC2" s="283"/>
      <c r="TD2" s="283"/>
      <c r="TE2" s="283"/>
      <c r="TF2" s="283"/>
      <c r="TG2" s="283"/>
      <c r="TH2" s="283"/>
      <c r="TI2" s="283"/>
      <c r="TJ2" s="283"/>
      <c r="TK2" s="283"/>
      <c r="TL2" s="283"/>
      <c r="TM2" s="283"/>
      <c r="TN2" s="283"/>
      <c r="TO2" s="283"/>
      <c r="TP2" s="283"/>
      <c r="TQ2" s="283"/>
      <c r="TR2" s="283"/>
      <c r="TS2" s="283"/>
      <c r="TT2" s="283"/>
      <c r="TU2" s="283"/>
      <c r="TV2" s="283"/>
      <c r="TW2" s="283"/>
      <c r="TX2" s="283"/>
      <c r="TY2" s="283"/>
      <c r="TZ2" s="283"/>
      <c r="UA2" s="283"/>
      <c r="UB2" s="283"/>
      <c r="UC2" s="283"/>
      <c r="UD2" s="283"/>
      <c r="UE2" s="283"/>
      <c r="UF2" s="283"/>
      <c r="UG2" s="283"/>
      <c r="UH2" s="283"/>
      <c r="UI2" s="283"/>
      <c r="UJ2" s="283"/>
      <c r="UK2" s="283"/>
      <c r="UL2" s="283"/>
      <c r="UM2" s="283"/>
      <c r="UN2" s="283"/>
      <c r="UO2" s="283"/>
      <c r="UP2" s="283"/>
      <c r="UQ2" s="283"/>
      <c r="UR2" s="283"/>
      <c r="US2" s="283"/>
      <c r="UT2" s="283"/>
      <c r="UU2" s="283"/>
      <c r="UV2" s="283"/>
      <c r="UW2" s="283"/>
      <c r="UX2" s="283"/>
      <c r="UY2" s="283"/>
      <c r="UZ2" s="283"/>
      <c r="VA2" s="283"/>
      <c r="VB2" s="283"/>
      <c r="VC2" s="283"/>
      <c r="VD2" s="283"/>
      <c r="VE2" s="283"/>
      <c r="VF2" s="283"/>
      <c r="VG2" s="283"/>
      <c r="VH2" s="283"/>
      <c r="VI2" s="283"/>
      <c r="VJ2" s="283"/>
      <c r="VK2" s="283"/>
      <c r="VL2" s="283"/>
      <c r="VM2" s="283"/>
      <c r="VN2" s="283"/>
      <c r="VO2" s="283"/>
      <c r="VP2" s="283"/>
      <c r="VQ2" s="283"/>
      <c r="VR2" s="283"/>
      <c r="VS2" s="283"/>
      <c r="VT2" s="283"/>
      <c r="VU2" s="283"/>
      <c r="VV2" s="283"/>
      <c r="VW2" s="283"/>
      <c r="VX2" s="283"/>
      <c r="VY2" s="283"/>
      <c r="VZ2" s="283"/>
      <c r="WA2" s="283"/>
      <c r="WB2" s="283"/>
      <c r="WC2" s="283"/>
      <c r="WD2" s="283"/>
      <c r="WE2" s="283"/>
      <c r="WF2" s="283"/>
      <c r="WG2" s="283"/>
      <c r="WH2" s="283"/>
      <c r="WI2" s="283"/>
      <c r="WJ2" s="283"/>
      <c r="WK2" s="283"/>
      <c r="WL2" s="283"/>
      <c r="WM2" s="283"/>
      <c r="WN2" s="283"/>
      <c r="WO2" s="283"/>
      <c r="WP2" s="283"/>
      <c r="WQ2" s="283"/>
      <c r="WR2" s="283"/>
      <c r="WS2" s="283"/>
      <c r="WT2" s="283"/>
      <c r="WU2" s="283"/>
      <c r="WV2" s="283"/>
      <c r="WW2" s="283"/>
      <c r="WX2" s="283"/>
      <c r="WY2" s="283"/>
      <c r="WZ2" s="283"/>
      <c r="XA2" s="283"/>
      <c r="XB2" s="283"/>
      <c r="XC2" s="283"/>
      <c r="XD2" s="283"/>
      <c r="XE2" s="283"/>
      <c r="XF2" s="283"/>
      <c r="XG2" s="283"/>
      <c r="XH2" s="283"/>
      <c r="XI2" s="283"/>
      <c r="XJ2" s="283"/>
      <c r="XK2" s="283"/>
      <c r="XL2" s="283"/>
      <c r="XM2" s="283"/>
      <c r="XN2" s="283"/>
      <c r="XO2" s="283"/>
      <c r="XP2" s="283"/>
      <c r="XQ2" s="283"/>
      <c r="XR2" s="283"/>
      <c r="XS2" s="283"/>
      <c r="XT2" s="283"/>
      <c r="XU2" s="283"/>
      <c r="XV2" s="283"/>
      <c r="XW2" s="283"/>
      <c r="XX2" s="283"/>
      <c r="XY2" s="283"/>
      <c r="XZ2" s="283"/>
      <c r="YA2" s="283"/>
      <c r="YB2" s="283"/>
      <c r="YC2" s="283"/>
      <c r="YD2" s="283"/>
      <c r="YE2" s="283"/>
      <c r="YF2" s="283"/>
      <c r="YG2" s="283"/>
      <c r="YH2" s="283"/>
      <c r="YI2" s="283"/>
      <c r="YJ2" s="283"/>
      <c r="YK2" s="283"/>
      <c r="YL2" s="283"/>
      <c r="YM2" s="283"/>
      <c r="YN2" s="283"/>
      <c r="YO2" s="283"/>
      <c r="YP2" s="283"/>
      <c r="YQ2" s="283"/>
      <c r="YR2" s="283"/>
      <c r="YS2" s="283"/>
      <c r="YT2" s="283"/>
      <c r="YU2" s="283"/>
      <c r="YV2" s="283"/>
      <c r="YW2" s="283"/>
      <c r="YX2" s="283"/>
      <c r="YY2" s="283"/>
      <c r="YZ2" s="283"/>
      <c r="ZA2" s="283"/>
      <c r="ZB2" s="283"/>
      <c r="ZC2" s="283"/>
      <c r="ZD2" s="283"/>
      <c r="ZE2" s="283"/>
      <c r="ZF2" s="283"/>
      <c r="ZG2" s="283"/>
      <c r="ZH2" s="283"/>
      <c r="ZI2" s="283"/>
      <c r="ZJ2" s="283"/>
      <c r="ZK2" s="283"/>
      <c r="ZL2" s="283"/>
      <c r="ZM2" s="283"/>
      <c r="ZN2" s="283"/>
      <c r="ZO2" s="283"/>
      <c r="ZP2" s="283"/>
      <c r="ZQ2" s="283"/>
      <c r="ZR2" s="283"/>
      <c r="ZS2" s="283"/>
      <c r="ZT2" s="283"/>
      <c r="ZU2" s="283"/>
      <c r="ZV2" s="283"/>
      <c r="ZW2" s="283"/>
      <c r="ZX2" s="283"/>
      <c r="ZY2" s="283"/>
      <c r="ZZ2" s="283"/>
      <c r="AAA2" s="283"/>
      <c r="AAB2" s="283"/>
      <c r="AAC2" s="283"/>
      <c r="AAD2" s="283"/>
      <c r="AAE2" s="283"/>
      <c r="AAF2" s="283"/>
      <c r="AAG2" s="283"/>
      <c r="AAH2" s="283"/>
      <c r="AAI2" s="283"/>
      <c r="AAJ2" s="283"/>
      <c r="AAK2" s="283"/>
      <c r="AAL2" s="283"/>
      <c r="AAM2" s="283"/>
      <c r="AAN2" s="283"/>
      <c r="AAO2" s="283"/>
      <c r="AAP2" s="283"/>
      <c r="AAQ2" s="283"/>
      <c r="AAR2" s="283"/>
      <c r="AAS2" s="283"/>
      <c r="AAT2" s="283"/>
      <c r="AAU2" s="283"/>
      <c r="AAV2" s="283"/>
      <c r="AAW2" s="283"/>
      <c r="AAX2" s="283"/>
      <c r="AAY2" s="283"/>
      <c r="AAZ2" s="283"/>
      <c r="ABA2" s="283"/>
      <c r="ABB2" s="283"/>
      <c r="ABC2" s="283"/>
      <c r="ABD2" s="283"/>
      <c r="ABE2" s="283"/>
      <c r="ABF2" s="283"/>
      <c r="ABG2" s="283"/>
      <c r="ABH2" s="283"/>
      <c r="ABI2" s="283"/>
      <c r="ABJ2" s="283"/>
      <c r="ABK2" s="283"/>
      <c r="ABL2" s="283"/>
      <c r="ABM2" s="283"/>
      <c r="ABN2" s="283"/>
      <c r="ABO2" s="283"/>
      <c r="ABP2" s="283"/>
      <c r="ABQ2" s="283"/>
      <c r="ABR2" s="283"/>
      <c r="ABS2" s="283"/>
      <c r="ABT2" s="283"/>
      <c r="ABU2" s="283"/>
      <c r="ABV2" s="283"/>
      <c r="ABW2" s="283"/>
      <c r="ABX2" s="283"/>
      <c r="ABY2" s="283"/>
      <c r="ABZ2" s="283"/>
      <c r="ACA2" s="283"/>
      <c r="ACB2" s="283"/>
      <c r="ACC2" s="283"/>
      <c r="ACD2" s="283"/>
      <c r="ACE2" s="283"/>
      <c r="ACF2" s="283"/>
      <c r="ACG2" s="283"/>
      <c r="ACH2" s="283"/>
      <c r="ACI2" s="283"/>
      <c r="ACJ2" s="283"/>
      <c r="ACK2" s="283"/>
      <c r="ACL2" s="283"/>
      <c r="ACM2" s="283"/>
      <c r="ACN2" s="283"/>
      <c r="ACO2" s="283"/>
      <c r="ACP2" s="283"/>
      <c r="ACQ2" s="283"/>
      <c r="ACR2" s="283"/>
      <c r="ACS2" s="283"/>
      <c r="ACT2" s="283"/>
      <c r="ACU2" s="283"/>
      <c r="ACV2" s="283"/>
      <c r="ACW2" s="283"/>
      <c r="ACX2" s="283"/>
      <c r="ACY2" s="283"/>
      <c r="ACZ2" s="283"/>
      <c r="ADA2" s="283"/>
      <c r="ADB2" s="283"/>
      <c r="ADC2" s="283"/>
      <c r="ADD2" s="283"/>
      <c r="ADE2" s="283"/>
      <c r="ADF2" s="283"/>
      <c r="ADG2" s="283"/>
      <c r="ADH2" s="283"/>
      <c r="ADI2" s="283"/>
      <c r="ADJ2" s="283"/>
      <c r="ADK2" s="283"/>
      <c r="ADL2" s="283"/>
      <c r="ADM2" s="283"/>
      <c r="ADN2" s="283"/>
      <c r="ADO2" s="283"/>
      <c r="ADP2" s="283"/>
      <c r="ADQ2" s="283"/>
      <c r="ADR2" s="283"/>
      <c r="ADS2" s="283"/>
      <c r="ADT2" s="283"/>
      <c r="ADU2" s="283"/>
      <c r="ADV2" s="283"/>
      <c r="ADW2" s="283"/>
      <c r="ADX2" s="283"/>
      <c r="ADY2" s="283"/>
      <c r="ADZ2" s="283"/>
      <c r="AEA2" s="283"/>
      <c r="AEB2" s="283"/>
      <c r="AEC2" s="283"/>
      <c r="AED2" s="283"/>
      <c r="AEE2" s="283"/>
      <c r="AEF2" s="283"/>
      <c r="AEG2" s="283"/>
      <c r="AEH2" s="283"/>
      <c r="AEI2" s="283"/>
      <c r="AEJ2" s="283"/>
      <c r="AEK2" s="283"/>
      <c r="AEL2" s="283"/>
      <c r="AEM2" s="283"/>
      <c r="AEN2" s="283"/>
      <c r="AEO2" s="283"/>
      <c r="AEP2" s="283"/>
      <c r="AEQ2" s="283"/>
      <c r="AER2" s="283"/>
      <c r="AES2" s="283"/>
      <c r="AET2" s="283"/>
      <c r="AEU2" s="283"/>
      <c r="AEV2" s="283"/>
      <c r="AEW2" s="283"/>
      <c r="AEX2" s="283"/>
      <c r="AEY2" s="283"/>
      <c r="AEZ2" s="283"/>
      <c r="AFA2" s="283"/>
      <c r="AFB2" s="283"/>
      <c r="AFC2" s="283"/>
      <c r="AFD2" s="283"/>
      <c r="AFE2" s="283"/>
      <c r="AFF2" s="283"/>
      <c r="AFG2" s="283"/>
      <c r="AFH2" s="283"/>
      <c r="AFI2" s="283"/>
      <c r="AFJ2" s="283"/>
      <c r="AFK2" s="283"/>
      <c r="AFL2" s="283"/>
      <c r="AFM2" s="283"/>
      <c r="AFN2" s="283"/>
      <c r="AFO2" s="283"/>
      <c r="AFP2" s="283"/>
      <c r="AFQ2" s="283"/>
      <c r="AFR2" s="283"/>
      <c r="AFS2" s="283"/>
      <c r="AFT2" s="283"/>
      <c r="AFU2" s="283"/>
      <c r="AFV2" s="283"/>
      <c r="AFW2" s="283"/>
      <c r="AFX2" s="283"/>
      <c r="AFY2" s="283"/>
      <c r="AFZ2" s="283"/>
      <c r="AGA2" s="283"/>
      <c r="AGB2" s="283"/>
      <c r="AGC2" s="283"/>
      <c r="AGD2" s="283"/>
      <c r="AGE2" s="283"/>
      <c r="AGF2" s="283"/>
      <c r="AGG2" s="283"/>
      <c r="AGH2" s="283"/>
      <c r="AGI2" s="283"/>
      <c r="AGJ2" s="283"/>
      <c r="AGK2" s="283"/>
      <c r="AGL2" s="283"/>
      <c r="AGM2" s="283"/>
      <c r="AGN2" s="283"/>
      <c r="AGO2" s="283"/>
      <c r="AGP2" s="283"/>
      <c r="AGQ2" s="283"/>
      <c r="AGR2" s="283"/>
      <c r="AGS2" s="283"/>
      <c r="AGT2" s="283"/>
      <c r="AGU2" s="283"/>
      <c r="AGV2" s="283"/>
      <c r="AGW2" s="283"/>
      <c r="AGX2" s="283"/>
      <c r="AGY2" s="283"/>
      <c r="AGZ2" s="283"/>
      <c r="AHA2" s="283"/>
      <c r="AHB2" s="283"/>
      <c r="AHC2" s="283"/>
      <c r="AHD2" s="283"/>
      <c r="AHE2" s="283"/>
      <c r="AHF2" s="283"/>
      <c r="AHG2" s="283"/>
      <c r="AHH2" s="283"/>
      <c r="AHI2" s="283"/>
      <c r="AHJ2" s="283"/>
      <c r="AHK2" s="283"/>
      <c r="AHL2" s="283"/>
      <c r="AHM2" s="283"/>
      <c r="AHN2" s="283"/>
      <c r="AHO2" s="283"/>
      <c r="AHP2" s="283"/>
      <c r="AHQ2" s="283"/>
      <c r="AHR2" s="283"/>
      <c r="AHS2" s="283"/>
      <c r="AHT2" s="283"/>
      <c r="AHU2" s="283"/>
      <c r="AHV2" s="283"/>
      <c r="AHW2" s="283"/>
      <c r="AHX2" s="283"/>
      <c r="AHY2" s="283"/>
      <c r="AHZ2" s="283"/>
      <c r="AIA2" s="283"/>
      <c r="AIB2" s="283"/>
      <c r="AIC2" s="283"/>
      <c r="AID2" s="283"/>
      <c r="AIE2" s="283"/>
      <c r="AIF2" s="283"/>
      <c r="AIG2" s="283"/>
      <c r="AIH2" s="283"/>
      <c r="AII2" s="283"/>
      <c r="AIJ2" s="283"/>
      <c r="AIK2" s="283"/>
      <c r="AIL2" s="283"/>
      <c r="AIM2" s="283"/>
      <c r="AIN2" s="283"/>
      <c r="AIO2" s="283"/>
      <c r="AIP2" s="283"/>
      <c r="AIQ2" s="283"/>
      <c r="AIR2" s="283"/>
      <c r="AIS2" s="283"/>
      <c r="AIT2" s="283"/>
      <c r="AIU2" s="283"/>
      <c r="AIV2" s="283"/>
      <c r="AIW2" s="283"/>
      <c r="AIX2" s="283"/>
      <c r="AIY2" s="283"/>
      <c r="AIZ2" s="283"/>
      <c r="AJA2" s="283"/>
      <c r="AJB2" s="283"/>
      <c r="AJC2" s="283"/>
      <c r="AJD2" s="283"/>
      <c r="AJE2" s="283"/>
      <c r="AJF2" s="283"/>
      <c r="AJG2" s="283"/>
      <c r="AJH2" s="283"/>
      <c r="AJI2" s="283"/>
      <c r="AJJ2" s="283"/>
      <c r="AJK2" s="283"/>
      <c r="AJL2" s="283"/>
      <c r="AJM2" s="283"/>
      <c r="AJN2" s="283"/>
      <c r="AJO2" s="283"/>
      <c r="AJP2" s="283"/>
      <c r="AJQ2" s="283"/>
      <c r="AJR2" s="283"/>
      <c r="AJS2" s="283"/>
      <c r="AJT2" s="283"/>
      <c r="AJU2" s="283"/>
      <c r="AJV2" s="283"/>
      <c r="AJW2" s="283"/>
      <c r="AJX2" s="283"/>
      <c r="AJY2" s="283"/>
      <c r="AJZ2" s="283"/>
      <c r="AKA2" s="283"/>
      <c r="AKB2" s="283"/>
      <c r="AKC2" s="283"/>
      <c r="AKD2" s="283"/>
      <c r="AKE2" s="283"/>
      <c r="AKF2" s="283"/>
      <c r="AKG2" s="283"/>
      <c r="AKH2" s="283"/>
      <c r="AKI2" s="283"/>
      <c r="AKJ2" s="283"/>
      <c r="AKK2" s="283"/>
      <c r="AKL2" s="283"/>
      <c r="AKM2" s="283"/>
      <c r="AKN2" s="283"/>
      <c r="AKO2" s="283"/>
      <c r="AKP2" s="283"/>
      <c r="AKQ2" s="283"/>
      <c r="AKR2" s="283"/>
      <c r="AKS2" s="283"/>
      <c r="AKT2" s="283"/>
      <c r="AKU2" s="283"/>
      <c r="AKV2" s="283"/>
      <c r="AKW2" s="283"/>
      <c r="AKX2" s="283"/>
      <c r="AKY2" s="283"/>
      <c r="AKZ2" s="283"/>
      <c r="ALA2" s="283"/>
      <c r="ALB2" s="283"/>
      <c r="ALC2" s="283"/>
      <c r="ALD2" s="283"/>
      <c r="ALE2" s="283"/>
      <c r="ALF2" s="283"/>
      <c r="ALG2" s="283"/>
      <c r="ALH2" s="283"/>
      <c r="ALI2" s="283"/>
      <c r="ALJ2" s="283"/>
      <c r="ALK2" s="283"/>
      <c r="ALL2" s="283"/>
      <c r="ALM2" s="283"/>
      <c r="ALN2" s="283"/>
      <c r="ALO2" s="283"/>
      <c r="ALP2" s="283"/>
      <c r="ALQ2" s="283"/>
      <c r="ALR2" s="283"/>
      <c r="ALS2" s="283"/>
      <c r="ALT2" s="283"/>
      <c r="ALU2" s="283"/>
      <c r="ALV2" s="283"/>
      <c r="ALW2" s="283"/>
      <c r="ALX2" s="283"/>
      <c r="ALY2" s="283"/>
      <c r="ALZ2" s="283"/>
      <c r="AMA2" s="283"/>
      <c r="AMB2" s="283"/>
      <c r="AMC2" s="283"/>
      <c r="AMD2" s="283"/>
      <c r="AME2" s="283"/>
      <c r="AMF2" s="283"/>
      <c r="AMG2" s="283"/>
      <c r="AMH2" s="283"/>
      <c r="AMI2" s="283"/>
      <c r="AMJ2" s="283"/>
      <c r="AMK2" s="283"/>
      <c r="AML2" s="283"/>
      <c r="AMM2" s="283"/>
      <c r="AMN2" s="283"/>
      <c r="AMO2" s="283"/>
      <c r="AMP2" s="283"/>
      <c r="AMQ2" s="283"/>
      <c r="AMR2" s="283"/>
      <c r="AMS2" s="283"/>
      <c r="AMT2" s="283"/>
      <c r="AMU2" s="283"/>
      <c r="AMV2" s="283"/>
      <c r="AMW2" s="283"/>
      <c r="AMX2" s="283"/>
      <c r="AMY2" s="283"/>
      <c r="AMZ2" s="283"/>
      <c r="ANA2" s="283"/>
      <c r="ANB2" s="283"/>
      <c r="ANC2" s="283"/>
      <c r="AND2" s="283"/>
      <c r="ANE2" s="283"/>
      <c r="ANF2" s="283"/>
      <c r="ANG2" s="283"/>
      <c r="ANH2" s="283"/>
      <c r="ANI2" s="283"/>
      <c r="ANJ2" s="283"/>
      <c r="ANK2" s="283"/>
      <c r="ANL2" s="283"/>
      <c r="ANM2" s="283"/>
      <c r="ANN2" s="283"/>
      <c r="ANO2" s="283"/>
      <c r="ANP2" s="283"/>
      <c r="ANQ2" s="283"/>
      <c r="ANR2" s="283"/>
      <c r="ANS2" s="283"/>
      <c r="ANT2" s="283"/>
      <c r="ANU2" s="283"/>
      <c r="ANV2" s="283"/>
      <c r="ANW2" s="283"/>
      <c r="ANX2" s="283"/>
      <c r="ANY2" s="283"/>
      <c r="ANZ2" s="283"/>
      <c r="AOA2" s="283"/>
      <c r="AOB2" s="283"/>
      <c r="AOC2" s="283"/>
      <c r="AOD2" s="283"/>
      <c r="AOE2" s="283"/>
      <c r="AOF2" s="283"/>
      <c r="AOG2" s="283"/>
      <c r="AOH2" s="283"/>
      <c r="AOI2" s="283"/>
      <c r="AOJ2" s="283"/>
      <c r="AOK2" s="283"/>
      <c r="AOL2" s="283"/>
      <c r="AOM2" s="283"/>
      <c r="AON2" s="283"/>
      <c r="AOO2" s="283"/>
      <c r="AOP2" s="283"/>
      <c r="AOQ2" s="283"/>
      <c r="AOR2" s="283"/>
      <c r="AOS2" s="283"/>
      <c r="AOT2" s="283"/>
      <c r="AOU2" s="283"/>
      <c r="AOV2" s="283"/>
      <c r="AOW2" s="283"/>
      <c r="AOX2" s="283"/>
      <c r="AOY2" s="283"/>
      <c r="AOZ2" s="283"/>
      <c r="APA2" s="283"/>
      <c r="APB2" s="283"/>
      <c r="APC2" s="283"/>
      <c r="APD2" s="283"/>
      <c r="APE2" s="283"/>
      <c r="APF2" s="283"/>
      <c r="APG2" s="283"/>
      <c r="APH2" s="283"/>
      <c r="API2" s="283"/>
      <c r="APJ2" s="283"/>
      <c r="APK2" s="283"/>
      <c r="APL2" s="283"/>
      <c r="APM2" s="283"/>
      <c r="APN2" s="283"/>
      <c r="APO2" s="283"/>
      <c r="APP2" s="283"/>
      <c r="APQ2" s="283"/>
      <c r="APR2" s="283"/>
      <c r="APS2" s="283"/>
      <c r="APT2" s="283"/>
      <c r="APU2" s="283"/>
      <c r="APV2" s="283"/>
      <c r="APW2" s="283"/>
      <c r="APX2" s="283"/>
      <c r="APY2" s="283"/>
      <c r="APZ2" s="283"/>
      <c r="AQA2" s="283"/>
      <c r="AQB2" s="283"/>
      <c r="AQC2" s="283"/>
      <c r="AQD2" s="283"/>
      <c r="AQE2" s="283"/>
      <c r="AQF2" s="283"/>
      <c r="AQG2" s="283"/>
      <c r="AQH2" s="283"/>
      <c r="AQI2" s="283"/>
      <c r="AQJ2" s="283"/>
      <c r="AQK2" s="283"/>
      <c r="AQL2" s="283"/>
      <c r="AQM2" s="283"/>
      <c r="AQN2" s="283"/>
      <c r="AQO2" s="283"/>
      <c r="AQP2" s="283"/>
      <c r="AQQ2" s="283"/>
      <c r="AQR2" s="283"/>
      <c r="AQS2" s="283"/>
      <c r="AQT2" s="283"/>
      <c r="AQU2" s="283"/>
      <c r="AQV2" s="283"/>
      <c r="AQW2" s="283"/>
      <c r="AQX2" s="283"/>
      <c r="AQY2" s="283"/>
      <c r="AQZ2" s="283"/>
      <c r="ARA2" s="283"/>
      <c r="ARB2" s="283"/>
      <c r="ARC2" s="283"/>
      <c r="ARD2" s="283"/>
      <c r="ARE2" s="283"/>
      <c r="ARF2" s="283"/>
      <c r="ARG2" s="283"/>
      <c r="ARH2" s="283"/>
      <c r="ARI2" s="283"/>
      <c r="ARJ2" s="283"/>
      <c r="ARK2" s="283"/>
      <c r="ARL2" s="283"/>
      <c r="ARM2" s="283"/>
      <c r="ARN2" s="283"/>
      <c r="ARO2" s="283"/>
      <c r="ARP2" s="283"/>
      <c r="ARQ2" s="283"/>
      <c r="ARR2" s="283"/>
      <c r="ARS2" s="283"/>
      <c r="ART2" s="283"/>
      <c r="ARU2" s="283"/>
      <c r="ARV2" s="283"/>
      <c r="ARW2" s="283"/>
      <c r="ARX2" s="283"/>
      <c r="ARY2" s="283"/>
      <c r="ARZ2" s="283"/>
      <c r="ASA2" s="283"/>
      <c r="ASB2" s="283"/>
      <c r="ASC2" s="283"/>
      <c r="ASD2" s="283"/>
      <c r="ASE2" s="283"/>
      <c r="ASF2" s="283"/>
      <c r="ASG2" s="283"/>
      <c r="ASH2" s="283"/>
      <c r="ASI2" s="283"/>
      <c r="ASJ2" s="283"/>
      <c r="ASK2" s="283"/>
      <c r="ASL2" s="283"/>
      <c r="ASM2" s="283"/>
      <c r="ASN2" s="283"/>
      <c r="ASO2" s="283"/>
      <c r="ASP2" s="283"/>
      <c r="ASQ2" s="283"/>
      <c r="ASR2" s="283"/>
      <c r="ASS2" s="283"/>
      <c r="AST2" s="283"/>
      <c r="ASU2" s="283"/>
      <c r="ASV2" s="283"/>
      <c r="ASW2" s="283"/>
      <c r="ASX2" s="283"/>
      <c r="ASY2" s="283"/>
      <c r="ASZ2" s="283"/>
      <c r="ATA2" s="283"/>
      <c r="ATB2" s="283"/>
      <c r="ATC2" s="283"/>
      <c r="ATD2" s="283"/>
      <c r="ATE2" s="283"/>
      <c r="ATF2" s="283"/>
      <c r="ATG2" s="283"/>
      <c r="ATH2" s="283"/>
      <c r="ATI2" s="283"/>
      <c r="ATJ2" s="283"/>
      <c r="ATK2" s="283"/>
      <c r="ATL2" s="283"/>
      <c r="ATM2" s="283"/>
      <c r="ATN2" s="283"/>
      <c r="ATO2" s="283"/>
      <c r="ATP2" s="283"/>
      <c r="ATQ2" s="283"/>
      <c r="ATR2" s="283"/>
      <c r="ATS2" s="283"/>
      <c r="ATT2" s="283"/>
      <c r="ATU2" s="283"/>
      <c r="ATV2" s="283"/>
      <c r="ATW2" s="283"/>
      <c r="ATX2" s="283"/>
      <c r="ATY2" s="283"/>
      <c r="ATZ2" s="283"/>
      <c r="AUA2" s="283"/>
      <c r="AUB2" s="283"/>
      <c r="AUC2" s="283"/>
      <c r="AUD2" s="283"/>
      <c r="AUE2" s="283"/>
      <c r="AUF2" s="283"/>
      <c r="AUG2" s="283"/>
      <c r="AUH2" s="283"/>
      <c r="AUI2" s="283"/>
      <c r="AUJ2" s="283"/>
      <c r="AUK2" s="283"/>
      <c r="AUL2" s="283"/>
      <c r="AUM2" s="283"/>
      <c r="AUN2" s="283"/>
      <c r="AUO2" s="283"/>
      <c r="AUP2" s="283"/>
      <c r="AUQ2" s="283"/>
      <c r="AUR2" s="283"/>
      <c r="AUS2" s="283"/>
      <c r="AUT2" s="283"/>
      <c r="AUU2" s="283"/>
      <c r="AUV2" s="283"/>
      <c r="AUW2" s="283"/>
      <c r="AUX2" s="283"/>
      <c r="AUY2" s="283"/>
      <c r="AUZ2" s="283"/>
      <c r="AVA2" s="283"/>
      <c r="AVB2" s="283"/>
      <c r="AVC2" s="283"/>
      <c r="AVD2" s="283"/>
      <c r="AVE2" s="283"/>
      <c r="AVF2" s="283"/>
      <c r="AVG2" s="283"/>
      <c r="AVH2" s="283"/>
      <c r="AVI2" s="283"/>
      <c r="AVJ2" s="283"/>
      <c r="AVK2" s="283"/>
      <c r="AVL2" s="283"/>
      <c r="AVM2" s="283"/>
      <c r="AVN2" s="283"/>
      <c r="AVO2" s="283"/>
      <c r="AVP2" s="283"/>
      <c r="AVQ2" s="283"/>
      <c r="AVR2" s="283"/>
      <c r="AVS2" s="283"/>
      <c r="AVT2" s="283"/>
      <c r="AVU2" s="283"/>
      <c r="AVV2" s="283"/>
      <c r="AVW2" s="283"/>
      <c r="AVX2" s="283"/>
      <c r="AVY2" s="283"/>
      <c r="AVZ2" s="283"/>
      <c r="AWA2" s="283"/>
      <c r="AWB2" s="283"/>
      <c r="AWC2" s="283"/>
      <c r="AWD2" s="283"/>
      <c r="AWE2" s="283"/>
      <c r="AWF2" s="283"/>
      <c r="AWG2" s="283"/>
      <c r="AWH2" s="283"/>
      <c r="AWI2" s="283"/>
      <c r="AWJ2" s="283"/>
      <c r="AWK2" s="283"/>
      <c r="AWL2" s="283"/>
      <c r="AWM2" s="283"/>
      <c r="AWN2" s="283"/>
      <c r="AWO2" s="283"/>
      <c r="AWP2" s="283"/>
      <c r="AWQ2" s="283"/>
      <c r="AWR2" s="283"/>
      <c r="AWS2" s="283"/>
      <c r="AWT2" s="283"/>
      <c r="AWU2" s="283"/>
      <c r="AWV2" s="283"/>
      <c r="AWW2" s="283"/>
      <c r="AWX2" s="283"/>
      <c r="AWY2" s="283"/>
      <c r="AWZ2" s="283"/>
      <c r="AXA2" s="283"/>
      <c r="AXB2" s="283"/>
      <c r="AXC2" s="283"/>
      <c r="AXD2" s="283"/>
      <c r="AXE2" s="283"/>
      <c r="AXF2" s="283"/>
      <c r="AXG2" s="283"/>
      <c r="AXH2" s="283"/>
      <c r="AXI2" s="283"/>
      <c r="AXJ2" s="283"/>
      <c r="AXK2" s="283"/>
      <c r="AXL2" s="283"/>
      <c r="AXM2" s="283"/>
      <c r="AXN2" s="283"/>
      <c r="AXO2" s="283"/>
      <c r="AXP2" s="283"/>
      <c r="AXQ2" s="283"/>
      <c r="AXR2" s="283"/>
      <c r="AXS2" s="283"/>
      <c r="AXT2" s="283"/>
      <c r="AXU2" s="283"/>
      <c r="AXV2" s="283"/>
      <c r="AXW2" s="283"/>
      <c r="AXX2" s="283"/>
      <c r="AXY2" s="283"/>
      <c r="AXZ2" s="283"/>
      <c r="AYA2" s="283"/>
      <c r="AYB2" s="283"/>
      <c r="AYC2" s="283"/>
      <c r="AYD2" s="283"/>
      <c r="AYE2" s="283"/>
      <c r="AYF2" s="283"/>
      <c r="AYG2" s="283"/>
      <c r="AYH2" s="283"/>
      <c r="AYI2" s="283"/>
      <c r="AYJ2" s="283"/>
      <c r="AYK2" s="283"/>
      <c r="AYL2" s="283"/>
      <c r="AYM2" s="283"/>
      <c r="AYN2" s="283"/>
      <c r="AYO2" s="283"/>
      <c r="AYP2" s="283"/>
      <c r="AYQ2" s="283"/>
      <c r="AYR2" s="283"/>
      <c r="AYS2" s="283"/>
      <c r="AYT2" s="283"/>
      <c r="AYU2" s="283"/>
      <c r="AYV2" s="283"/>
      <c r="AYW2" s="283"/>
      <c r="AYX2" s="283"/>
      <c r="AYY2" s="283"/>
      <c r="AYZ2" s="283"/>
      <c r="AZA2" s="283"/>
      <c r="AZB2" s="283"/>
      <c r="AZC2" s="283"/>
      <c r="AZD2" s="283"/>
      <c r="AZE2" s="283"/>
      <c r="AZF2" s="283"/>
      <c r="AZG2" s="283"/>
      <c r="AZH2" s="283"/>
      <c r="AZI2" s="283"/>
      <c r="AZJ2" s="283"/>
      <c r="AZK2" s="283"/>
      <c r="AZL2" s="283"/>
      <c r="AZM2" s="283"/>
      <c r="AZN2" s="283"/>
      <c r="AZO2" s="283"/>
      <c r="AZP2" s="283"/>
      <c r="AZQ2" s="283"/>
      <c r="AZR2" s="283"/>
      <c r="AZS2" s="283"/>
      <c r="AZT2" s="283"/>
      <c r="AZU2" s="283"/>
      <c r="AZV2" s="283"/>
      <c r="AZW2" s="283"/>
      <c r="AZX2" s="283"/>
      <c r="AZY2" s="283"/>
      <c r="AZZ2" s="283"/>
      <c r="BAA2" s="283"/>
      <c r="BAB2" s="283"/>
      <c r="BAC2" s="283"/>
      <c r="BAD2" s="283"/>
      <c r="BAE2" s="283"/>
      <c r="BAF2" s="283"/>
      <c r="BAG2" s="283"/>
      <c r="BAH2" s="283"/>
      <c r="BAI2" s="283"/>
      <c r="BAJ2" s="283"/>
      <c r="BAK2" s="283"/>
      <c r="BAL2" s="283"/>
      <c r="BAM2" s="283"/>
      <c r="BAN2" s="283"/>
      <c r="BAO2" s="283"/>
      <c r="BAP2" s="283"/>
      <c r="BAQ2" s="283"/>
      <c r="BAR2" s="283"/>
      <c r="BAS2" s="283"/>
      <c r="BAT2" s="283"/>
      <c r="BAU2" s="283"/>
      <c r="BAV2" s="283"/>
      <c r="BAW2" s="283"/>
      <c r="BAX2" s="283"/>
      <c r="BAY2" s="283"/>
      <c r="BAZ2" s="283"/>
      <c r="BBA2" s="283"/>
      <c r="BBB2" s="283"/>
      <c r="BBC2" s="283"/>
      <c r="BBD2" s="283"/>
      <c r="BBE2" s="283"/>
      <c r="BBF2" s="283"/>
      <c r="BBG2" s="283"/>
      <c r="BBH2" s="283"/>
      <c r="BBI2" s="283"/>
      <c r="BBJ2" s="283"/>
      <c r="BBK2" s="283"/>
      <c r="BBL2" s="283"/>
      <c r="BBM2" s="283"/>
      <c r="BBN2" s="283"/>
      <c r="BBO2" s="283"/>
      <c r="BBP2" s="283"/>
      <c r="BBQ2" s="283"/>
      <c r="BBR2" s="283"/>
      <c r="BBS2" s="283"/>
      <c r="BBT2" s="283"/>
      <c r="BBU2" s="283"/>
      <c r="BBV2" s="283"/>
      <c r="BBW2" s="283"/>
      <c r="BBX2" s="283"/>
      <c r="BBY2" s="283"/>
      <c r="BBZ2" s="283"/>
      <c r="BCA2" s="283"/>
      <c r="BCB2" s="283"/>
      <c r="BCC2" s="283"/>
      <c r="BCD2" s="283"/>
      <c r="BCE2" s="283"/>
      <c r="BCF2" s="283"/>
      <c r="BCG2" s="283"/>
      <c r="BCH2" s="283"/>
      <c r="BCI2" s="283"/>
      <c r="BCJ2" s="283"/>
      <c r="BCK2" s="283"/>
      <c r="BCL2" s="283"/>
      <c r="BCM2" s="283"/>
      <c r="BCN2" s="283"/>
      <c r="BCO2" s="283"/>
      <c r="BCP2" s="283"/>
      <c r="BCQ2" s="283"/>
      <c r="BCR2" s="283"/>
      <c r="BCS2" s="283"/>
      <c r="BCT2" s="283"/>
      <c r="BCU2" s="283"/>
      <c r="BCV2" s="283"/>
      <c r="BCW2" s="283"/>
      <c r="BCX2" s="283"/>
      <c r="BCY2" s="283"/>
      <c r="BCZ2" s="283"/>
      <c r="BDA2" s="283"/>
      <c r="BDB2" s="283"/>
      <c r="BDC2" s="283"/>
      <c r="BDD2" s="283"/>
      <c r="BDE2" s="283"/>
      <c r="BDF2" s="283"/>
      <c r="BDG2" s="283"/>
      <c r="BDH2" s="283"/>
      <c r="BDI2" s="283"/>
      <c r="BDJ2" s="283"/>
      <c r="BDK2" s="283"/>
      <c r="BDL2" s="283"/>
      <c r="BDM2" s="283"/>
      <c r="BDN2" s="283"/>
      <c r="BDO2" s="283"/>
      <c r="BDP2" s="283"/>
      <c r="BDQ2" s="283"/>
      <c r="BDR2" s="283"/>
      <c r="BDS2" s="283"/>
      <c r="BDT2" s="283"/>
      <c r="BDU2" s="283"/>
      <c r="BDV2" s="283"/>
      <c r="BDW2" s="283"/>
      <c r="BDX2" s="283"/>
      <c r="BDY2" s="283"/>
      <c r="BDZ2" s="283"/>
      <c r="BEA2" s="283"/>
      <c r="BEB2" s="283"/>
      <c r="BEC2" s="283"/>
      <c r="BED2" s="283"/>
      <c r="BEE2" s="283"/>
      <c r="BEF2" s="283"/>
      <c r="BEG2" s="283"/>
      <c r="BEH2" s="283"/>
      <c r="BEI2" s="283"/>
      <c r="BEJ2" s="283"/>
      <c r="BEK2" s="283"/>
      <c r="BEL2" s="283"/>
      <c r="BEM2" s="283"/>
      <c r="BEN2" s="283"/>
      <c r="BEO2" s="283"/>
      <c r="BEP2" s="283"/>
      <c r="BEQ2" s="283"/>
      <c r="BER2" s="283"/>
      <c r="BES2" s="283"/>
      <c r="BET2" s="283"/>
      <c r="BEU2" s="283"/>
      <c r="BEV2" s="283"/>
      <c r="BEW2" s="283"/>
      <c r="BEX2" s="283"/>
      <c r="BEY2" s="283"/>
      <c r="BEZ2" s="283"/>
      <c r="BFA2" s="283"/>
      <c r="BFB2" s="283"/>
      <c r="BFC2" s="283"/>
      <c r="BFD2" s="283"/>
      <c r="BFE2" s="283"/>
      <c r="BFF2" s="283"/>
      <c r="BFG2" s="283"/>
      <c r="BFH2" s="283"/>
      <c r="BFI2" s="283"/>
      <c r="BFJ2" s="283"/>
      <c r="BFK2" s="283"/>
      <c r="BFL2" s="283"/>
      <c r="BFM2" s="283"/>
      <c r="BFN2" s="283"/>
      <c r="BFO2" s="283"/>
      <c r="BFP2" s="283"/>
      <c r="BFQ2" s="283"/>
      <c r="BFR2" s="283"/>
      <c r="BFS2" s="283"/>
      <c r="BFT2" s="283"/>
      <c r="BFU2" s="283"/>
      <c r="BFV2" s="283"/>
      <c r="BFW2" s="283"/>
      <c r="BFX2" s="283"/>
      <c r="BFY2" s="283"/>
      <c r="BFZ2" s="283"/>
      <c r="BGA2" s="283"/>
      <c r="BGB2" s="283"/>
      <c r="BGC2" s="283"/>
      <c r="BGD2" s="283"/>
      <c r="BGE2" s="283"/>
      <c r="BGF2" s="283"/>
      <c r="BGG2" s="283"/>
      <c r="BGH2" s="283"/>
      <c r="BGI2" s="283"/>
      <c r="BGJ2" s="283"/>
      <c r="BGK2" s="283"/>
      <c r="BGL2" s="283"/>
      <c r="BGM2" s="283"/>
      <c r="BGN2" s="283"/>
      <c r="BGO2" s="283"/>
      <c r="BGP2" s="283"/>
      <c r="BGQ2" s="283"/>
      <c r="BGR2" s="283"/>
      <c r="BGS2" s="283"/>
      <c r="BGT2" s="283"/>
      <c r="BGU2" s="283"/>
      <c r="BGV2" s="283"/>
      <c r="BGW2" s="283"/>
      <c r="BGX2" s="283"/>
      <c r="BGY2" s="283"/>
      <c r="BGZ2" s="283"/>
      <c r="BHA2" s="283"/>
      <c r="BHB2" s="283"/>
      <c r="BHC2" s="283"/>
      <c r="BHD2" s="283"/>
      <c r="BHE2" s="283"/>
      <c r="BHF2" s="283"/>
      <c r="BHG2" s="283"/>
      <c r="BHH2" s="283"/>
      <c r="BHI2" s="283"/>
      <c r="BHJ2" s="283"/>
      <c r="BHK2" s="283"/>
      <c r="BHL2" s="283"/>
      <c r="BHM2" s="283"/>
      <c r="BHN2" s="283"/>
      <c r="BHO2" s="283"/>
      <c r="BHP2" s="283"/>
      <c r="BHQ2" s="283"/>
      <c r="BHR2" s="283"/>
      <c r="BHS2" s="283"/>
      <c r="BHT2" s="283"/>
      <c r="BHU2" s="283"/>
      <c r="BHV2" s="283"/>
      <c r="BHW2" s="283"/>
      <c r="BHX2" s="283"/>
      <c r="BHY2" s="283"/>
      <c r="BHZ2" s="283"/>
      <c r="BIA2" s="283"/>
      <c r="BIB2" s="283"/>
      <c r="BIC2" s="283"/>
      <c r="BID2" s="283"/>
      <c r="BIE2" s="283"/>
      <c r="BIF2" s="283"/>
      <c r="BIG2" s="283"/>
      <c r="BIH2" s="283"/>
      <c r="BII2" s="283"/>
      <c r="BIJ2" s="283"/>
      <c r="BIK2" s="283"/>
      <c r="BIL2" s="283"/>
      <c r="BIM2" s="283"/>
      <c r="BIN2" s="283"/>
      <c r="BIO2" s="283"/>
      <c r="BIP2" s="283"/>
      <c r="BIQ2" s="283"/>
      <c r="BIR2" s="283"/>
      <c r="BIS2" s="283"/>
      <c r="BIT2" s="283"/>
      <c r="BIU2" s="283"/>
      <c r="BIV2" s="283"/>
      <c r="BIW2" s="283"/>
      <c r="BIX2" s="283"/>
      <c r="BIY2" s="283"/>
      <c r="BIZ2" s="283"/>
      <c r="BJA2" s="283"/>
      <c r="BJB2" s="283"/>
      <c r="BJC2" s="283"/>
      <c r="BJD2" s="283"/>
      <c r="BJE2" s="283"/>
      <c r="BJF2" s="283"/>
      <c r="BJG2" s="283"/>
      <c r="BJH2" s="283"/>
      <c r="BJI2" s="283"/>
      <c r="BJJ2" s="283"/>
      <c r="BJK2" s="283"/>
      <c r="BJL2" s="283"/>
      <c r="BJM2" s="283"/>
      <c r="BJN2" s="283"/>
      <c r="BJO2" s="283"/>
      <c r="BJP2" s="283"/>
      <c r="BJQ2" s="283"/>
      <c r="BJR2" s="283"/>
      <c r="BJS2" s="283"/>
      <c r="BJT2" s="283"/>
      <c r="BJU2" s="283"/>
      <c r="BJV2" s="283"/>
      <c r="BJW2" s="283"/>
      <c r="BJX2" s="283"/>
      <c r="BJY2" s="283"/>
      <c r="BJZ2" s="283"/>
      <c r="BKA2" s="283"/>
      <c r="BKB2" s="283"/>
      <c r="BKC2" s="283"/>
      <c r="BKD2" s="283"/>
      <c r="BKE2" s="283"/>
      <c r="BKF2" s="283"/>
      <c r="BKG2" s="283"/>
      <c r="BKH2" s="283"/>
      <c r="BKI2" s="283"/>
      <c r="BKJ2" s="283"/>
      <c r="BKK2" s="283"/>
      <c r="BKL2" s="283"/>
      <c r="BKM2" s="283"/>
      <c r="BKN2" s="283"/>
      <c r="BKO2" s="283"/>
      <c r="BKP2" s="283"/>
      <c r="BKQ2" s="283"/>
      <c r="BKR2" s="283"/>
      <c r="BKS2" s="283"/>
      <c r="BKT2" s="283"/>
      <c r="BKU2" s="283"/>
      <c r="BKV2" s="283"/>
      <c r="BKW2" s="283"/>
      <c r="BKX2" s="283"/>
      <c r="BKY2" s="283"/>
      <c r="BKZ2" s="283"/>
      <c r="BLA2" s="283"/>
      <c r="BLB2" s="283"/>
      <c r="BLC2" s="283"/>
      <c r="BLD2" s="283"/>
      <c r="BLE2" s="283"/>
      <c r="BLF2" s="283"/>
      <c r="BLG2" s="283"/>
      <c r="BLH2" s="283"/>
      <c r="BLI2" s="283"/>
      <c r="BLJ2" s="283"/>
      <c r="BLK2" s="283"/>
      <c r="BLL2" s="283"/>
      <c r="BLM2" s="283"/>
      <c r="BLN2" s="283"/>
      <c r="BLO2" s="283"/>
      <c r="BLP2" s="283"/>
      <c r="BLQ2" s="283"/>
      <c r="BLR2" s="283"/>
      <c r="BLS2" s="283"/>
      <c r="BLT2" s="283"/>
      <c r="BLU2" s="283"/>
      <c r="BLV2" s="283"/>
      <c r="BLW2" s="283"/>
      <c r="BLX2" s="283"/>
      <c r="BLY2" s="283"/>
      <c r="BLZ2" s="283"/>
      <c r="BMA2" s="283"/>
      <c r="BMB2" s="283"/>
      <c r="BMC2" s="283"/>
      <c r="BMD2" s="283"/>
      <c r="BME2" s="283"/>
      <c r="BMF2" s="283"/>
      <c r="BMG2" s="283"/>
      <c r="BMH2" s="283"/>
      <c r="BMI2" s="283"/>
      <c r="BMJ2" s="283"/>
      <c r="BMK2" s="283"/>
      <c r="BML2" s="283"/>
      <c r="BMM2" s="283"/>
      <c r="BMN2" s="283"/>
      <c r="BMO2" s="283"/>
      <c r="BMP2" s="283"/>
      <c r="BMQ2" s="283"/>
      <c r="BMR2" s="283"/>
      <c r="BMS2" s="283"/>
      <c r="BMT2" s="283"/>
      <c r="BMU2" s="283"/>
      <c r="BMV2" s="283"/>
      <c r="BMW2" s="283"/>
      <c r="BMX2" s="283"/>
      <c r="BMY2" s="283"/>
      <c r="BMZ2" s="283"/>
      <c r="BNA2" s="283"/>
      <c r="BNB2" s="283"/>
      <c r="BNC2" s="283"/>
      <c r="BND2" s="283"/>
      <c r="BNE2" s="283"/>
      <c r="BNF2" s="283"/>
      <c r="BNG2" s="283"/>
      <c r="BNH2" s="283"/>
      <c r="BNI2" s="283"/>
      <c r="BNJ2" s="283"/>
      <c r="BNK2" s="283"/>
      <c r="BNL2" s="283"/>
      <c r="BNM2" s="283"/>
      <c r="BNN2" s="283"/>
      <c r="BNO2" s="283"/>
      <c r="BNP2" s="283"/>
      <c r="BNQ2" s="283"/>
      <c r="BNR2" s="283"/>
      <c r="BNS2" s="283"/>
      <c r="BNT2" s="283"/>
      <c r="BNU2" s="283"/>
      <c r="BNV2" s="283"/>
      <c r="BNW2" s="283"/>
      <c r="BNX2" s="283"/>
      <c r="BNY2" s="283"/>
      <c r="BNZ2" s="283"/>
      <c r="BOA2" s="283"/>
      <c r="BOB2" s="283"/>
      <c r="BOC2" s="283"/>
      <c r="BOD2" s="283"/>
      <c r="BOE2" s="283"/>
      <c r="BOF2" s="283"/>
      <c r="BOG2" s="283"/>
      <c r="BOH2" s="283"/>
      <c r="BOI2" s="283"/>
      <c r="BOJ2" s="283"/>
      <c r="BOK2" s="283"/>
      <c r="BOL2" s="283"/>
      <c r="BOM2" s="283"/>
      <c r="BON2" s="283"/>
      <c r="BOO2" s="283"/>
      <c r="BOP2" s="283"/>
      <c r="BOQ2" s="283"/>
      <c r="BOR2" s="283"/>
      <c r="BOS2" s="283"/>
      <c r="BOT2" s="283"/>
      <c r="BOU2" s="283"/>
      <c r="BOV2" s="283"/>
      <c r="BOW2" s="283"/>
      <c r="BOX2" s="283"/>
      <c r="BOY2" s="283"/>
      <c r="BOZ2" s="283"/>
      <c r="BPA2" s="283"/>
      <c r="BPB2" s="283"/>
      <c r="BPC2" s="283"/>
      <c r="BPD2" s="283"/>
      <c r="BPE2" s="283"/>
      <c r="BPF2" s="283"/>
      <c r="BPG2" s="283"/>
      <c r="BPH2" s="283"/>
      <c r="BPI2" s="283"/>
      <c r="BPJ2" s="283"/>
      <c r="BPK2" s="283"/>
      <c r="BPL2" s="283"/>
      <c r="BPM2" s="283"/>
      <c r="BPN2" s="283"/>
      <c r="BPO2" s="283"/>
      <c r="BPP2" s="283"/>
      <c r="BPQ2" s="283"/>
      <c r="BPR2" s="283"/>
      <c r="BPS2" s="283"/>
      <c r="BPT2" s="283"/>
      <c r="BPU2" s="283"/>
      <c r="BPV2" s="283"/>
      <c r="BPW2" s="283"/>
      <c r="BPX2" s="283"/>
      <c r="BPY2" s="283"/>
      <c r="BPZ2" s="283"/>
      <c r="BQA2" s="283"/>
      <c r="BQB2" s="283"/>
      <c r="BQC2" s="283"/>
      <c r="BQD2" s="283"/>
      <c r="BQE2" s="283"/>
      <c r="BQF2" s="283"/>
      <c r="BQG2" s="283"/>
      <c r="BQH2" s="283"/>
      <c r="BQI2" s="283"/>
      <c r="BQJ2" s="283"/>
      <c r="BQK2" s="283"/>
      <c r="BQL2" s="283"/>
      <c r="BQM2" s="283"/>
      <c r="BQN2" s="283"/>
      <c r="BQO2" s="283"/>
      <c r="BQP2" s="283"/>
      <c r="BQQ2" s="283"/>
      <c r="BQR2" s="283"/>
      <c r="BQS2" s="283"/>
      <c r="BQT2" s="283"/>
      <c r="BQU2" s="283"/>
      <c r="BQV2" s="283"/>
      <c r="BQW2" s="283"/>
      <c r="BQX2" s="283"/>
      <c r="BQY2" s="283"/>
      <c r="BQZ2" s="283"/>
      <c r="BRA2" s="283"/>
      <c r="BRB2" s="283"/>
      <c r="BRC2" s="283"/>
      <c r="BRD2" s="283"/>
      <c r="BRE2" s="283"/>
      <c r="BRF2" s="283"/>
      <c r="BRG2" s="283"/>
      <c r="BRH2" s="283"/>
      <c r="BRI2" s="283"/>
      <c r="BRJ2" s="283"/>
      <c r="BRK2" s="283"/>
      <c r="BRL2" s="283"/>
      <c r="BRM2" s="283"/>
      <c r="BRN2" s="283"/>
      <c r="BRO2" s="283"/>
      <c r="BRP2" s="283"/>
      <c r="BRQ2" s="283"/>
      <c r="BRR2" s="283"/>
      <c r="BRS2" s="283"/>
      <c r="BRT2" s="283"/>
      <c r="BRU2" s="283"/>
      <c r="BRV2" s="283"/>
      <c r="BRW2" s="283"/>
      <c r="BRX2" s="283"/>
      <c r="BRY2" s="283"/>
      <c r="BRZ2" s="283"/>
      <c r="BSA2" s="283"/>
      <c r="BSB2" s="283"/>
      <c r="BSC2" s="283"/>
      <c r="BSD2" s="283"/>
      <c r="BSE2" s="283"/>
      <c r="BSF2" s="283"/>
      <c r="BSG2" s="283"/>
      <c r="BSH2" s="283"/>
      <c r="BSI2" s="283"/>
      <c r="BSJ2" s="283"/>
      <c r="BSK2" s="283"/>
      <c r="BSL2" s="283"/>
      <c r="BSM2" s="283"/>
      <c r="BSN2" s="283"/>
      <c r="BSO2" s="283"/>
      <c r="BSP2" s="283"/>
      <c r="BSQ2" s="283"/>
      <c r="BSR2" s="283"/>
      <c r="BSS2" s="283"/>
      <c r="BST2" s="283"/>
      <c r="BSU2" s="283"/>
      <c r="BSV2" s="283"/>
      <c r="BSW2" s="283"/>
      <c r="BSX2" s="283"/>
      <c r="BSY2" s="283"/>
      <c r="BSZ2" s="283"/>
      <c r="BTA2" s="283"/>
      <c r="BTB2" s="283"/>
      <c r="BTC2" s="283"/>
      <c r="BTD2" s="283"/>
      <c r="BTE2" s="283"/>
      <c r="BTF2" s="283"/>
      <c r="BTG2" s="283"/>
      <c r="BTH2" s="283"/>
      <c r="BTI2" s="283"/>
      <c r="BTJ2" s="283"/>
      <c r="BTK2" s="283"/>
      <c r="BTL2" s="283"/>
      <c r="BTM2" s="283"/>
      <c r="BTN2" s="283"/>
      <c r="BTO2" s="283"/>
      <c r="BTP2" s="283"/>
      <c r="BTQ2" s="283"/>
      <c r="BTR2" s="283"/>
      <c r="BTS2" s="283"/>
      <c r="BTT2" s="283"/>
      <c r="BTU2" s="283"/>
      <c r="BTV2" s="283"/>
      <c r="BTW2" s="283"/>
      <c r="BTX2" s="283"/>
      <c r="BTY2" s="283"/>
      <c r="BTZ2" s="283"/>
      <c r="BUA2" s="283"/>
      <c r="BUB2" s="283"/>
      <c r="BUC2" s="283"/>
      <c r="BUD2" s="283"/>
      <c r="BUE2" s="283"/>
      <c r="BUF2" s="283"/>
      <c r="BUG2" s="283"/>
      <c r="BUH2" s="283"/>
      <c r="BUI2" s="283"/>
      <c r="BUJ2" s="283"/>
      <c r="BUK2" s="283"/>
      <c r="BUL2" s="283"/>
      <c r="BUM2" s="283"/>
      <c r="BUN2" s="283"/>
      <c r="BUO2" s="283"/>
      <c r="BUP2" s="283"/>
      <c r="BUQ2" s="283"/>
      <c r="BUR2" s="283"/>
      <c r="BUS2" s="283"/>
      <c r="BUT2" s="283"/>
      <c r="BUU2" s="283"/>
      <c r="BUV2" s="283"/>
      <c r="BUW2" s="283"/>
      <c r="BUX2" s="283"/>
      <c r="BUY2" s="283"/>
      <c r="BUZ2" s="283"/>
      <c r="BVA2" s="283"/>
      <c r="BVB2" s="283"/>
      <c r="BVC2" s="283"/>
      <c r="BVD2" s="283"/>
      <c r="BVE2" s="283"/>
      <c r="BVF2" s="283"/>
      <c r="BVG2" s="283"/>
      <c r="BVH2" s="283"/>
      <c r="BVI2" s="283"/>
      <c r="BVJ2" s="283"/>
      <c r="BVK2" s="283"/>
      <c r="BVL2" s="283"/>
      <c r="BVM2" s="283"/>
      <c r="BVN2" s="283"/>
      <c r="BVO2" s="283"/>
      <c r="BVP2" s="283"/>
      <c r="BVQ2" s="283"/>
      <c r="BVR2" s="283"/>
      <c r="BVS2" s="283"/>
      <c r="BVT2" s="283"/>
      <c r="BVU2" s="283"/>
      <c r="BVV2" s="283"/>
      <c r="BVW2" s="283"/>
      <c r="BVX2" s="283"/>
      <c r="BVY2" s="283"/>
      <c r="BVZ2" s="283"/>
      <c r="BWA2" s="283"/>
      <c r="BWB2" s="283"/>
      <c r="BWC2" s="283"/>
      <c r="BWD2" s="283"/>
      <c r="BWE2" s="283"/>
      <c r="BWF2" s="283"/>
      <c r="BWG2" s="283"/>
      <c r="BWH2" s="283"/>
      <c r="BWI2" s="283"/>
      <c r="BWJ2" s="283"/>
      <c r="BWK2" s="283"/>
      <c r="BWL2" s="283"/>
      <c r="BWM2" s="283"/>
      <c r="BWN2" s="283"/>
      <c r="BWO2" s="283"/>
      <c r="BWP2" s="283"/>
      <c r="BWQ2" s="283"/>
      <c r="BWR2" s="283"/>
      <c r="BWS2" s="283"/>
      <c r="BWT2" s="283"/>
      <c r="BWU2" s="283"/>
      <c r="BWV2" s="283"/>
      <c r="BWW2" s="283"/>
      <c r="BWX2" s="283"/>
      <c r="BWY2" s="283"/>
      <c r="BWZ2" s="283"/>
      <c r="BXA2" s="283"/>
      <c r="BXB2" s="283"/>
      <c r="BXC2" s="283"/>
      <c r="BXD2" s="283"/>
      <c r="BXE2" s="283"/>
      <c r="BXF2" s="283"/>
      <c r="BXG2" s="283"/>
      <c r="BXH2" s="283"/>
      <c r="BXI2" s="283"/>
      <c r="BXJ2" s="283"/>
      <c r="BXK2" s="283"/>
      <c r="BXL2" s="283"/>
      <c r="BXM2" s="283"/>
      <c r="BXN2" s="283"/>
      <c r="BXO2" s="283"/>
      <c r="BXP2" s="283"/>
      <c r="BXQ2" s="283"/>
      <c r="BXR2" s="283"/>
      <c r="BXS2" s="283"/>
      <c r="BXT2" s="283"/>
      <c r="BXU2" s="283"/>
      <c r="BXV2" s="283"/>
      <c r="BXW2" s="283"/>
      <c r="BXX2" s="283"/>
      <c r="BXY2" s="283"/>
      <c r="BXZ2" s="283"/>
      <c r="BYA2" s="283"/>
      <c r="BYB2" s="283"/>
      <c r="BYC2" s="283"/>
      <c r="BYD2" s="283"/>
      <c r="BYE2" s="283"/>
      <c r="BYF2" s="283"/>
      <c r="BYG2" s="283"/>
      <c r="BYH2" s="283"/>
      <c r="BYI2" s="283"/>
      <c r="BYJ2" s="283"/>
      <c r="BYK2" s="283"/>
      <c r="BYL2" s="283"/>
      <c r="BYM2" s="283"/>
      <c r="BYN2" s="283"/>
      <c r="BYO2" s="283"/>
      <c r="BYP2" s="283"/>
      <c r="BYQ2" s="283"/>
      <c r="BYR2" s="283"/>
      <c r="BYS2" s="283"/>
      <c r="BYT2" s="283"/>
      <c r="BYU2" s="283"/>
      <c r="BYV2" s="283"/>
      <c r="BYW2" s="283"/>
      <c r="BYX2" s="283"/>
      <c r="BYY2" s="283"/>
      <c r="BYZ2" s="283"/>
      <c r="BZA2" s="283"/>
      <c r="BZB2" s="283"/>
      <c r="BZC2" s="283"/>
      <c r="BZD2" s="283"/>
      <c r="BZE2" s="283"/>
      <c r="BZF2" s="283"/>
      <c r="BZG2" s="283"/>
      <c r="BZH2" s="283"/>
      <c r="BZI2" s="283"/>
      <c r="BZJ2" s="283"/>
      <c r="BZK2" s="283"/>
      <c r="BZL2" s="283"/>
      <c r="BZM2" s="283"/>
      <c r="BZN2" s="283"/>
      <c r="BZO2" s="283"/>
      <c r="BZP2" s="283"/>
      <c r="BZQ2" s="283"/>
      <c r="BZR2" s="283"/>
      <c r="BZS2" s="283"/>
      <c r="BZT2" s="283"/>
      <c r="BZU2" s="283"/>
      <c r="BZV2" s="283"/>
      <c r="BZW2" s="283"/>
      <c r="BZX2" s="283"/>
      <c r="BZY2" s="283"/>
      <c r="BZZ2" s="283"/>
      <c r="CAA2" s="283"/>
      <c r="CAB2" s="283"/>
      <c r="CAC2" s="283"/>
      <c r="CAD2" s="283"/>
      <c r="CAE2" s="283"/>
      <c r="CAF2" s="283"/>
      <c r="CAG2" s="283"/>
      <c r="CAH2" s="283"/>
      <c r="CAI2" s="283"/>
      <c r="CAJ2" s="283"/>
      <c r="CAK2" s="283"/>
      <c r="CAL2" s="283"/>
      <c r="CAM2" s="283"/>
      <c r="CAN2" s="283"/>
      <c r="CAO2" s="283"/>
      <c r="CAP2" s="283"/>
      <c r="CAQ2" s="283"/>
      <c r="CAR2" s="283"/>
      <c r="CAS2" s="283"/>
      <c r="CAT2" s="283"/>
      <c r="CAU2" s="283"/>
      <c r="CAV2" s="283"/>
      <c r="CAW2" s="283"/>
      <c r="CAX2" s="283"/>
      <c r="CAY2" s="283"/>
      <c r="CAZ2" s="283"/>
      <c r="CBA2" s="283"/>
      <c r="CBB2" s="283"/>
      <c r="CBC2" s="283"/>
      <c r="CBD2" s="283"/>
      <c r="CBE2" s="283"/>
      <c r="CBF2" s="283"/>
      <c r="CBG2" s="283"/>
      <c r="CBH2" s="283"/>
      <c r="CBI2" s="283"/>
      <c r="CBJ2" s="283"/>
      <c r="CBK2" s="283"/>
      <c r="CBL2" s="283"/>
      <c r="CBM2" s="283"/>
      <c r="CBN2" s="283"/>
      <c r="CBO2" s="283"/>
      <c r="CBP2" s="283"/>
      <c r="CBQ2" s="283"/>
      <c r="CBR2" s="283"/>
      <c r="CBS2" s="283"/>
      <c r="CBT2" s="283"/>
      <c r="CBU2" s="283"/>
      <c r="CBV2" s="283"/>
      <c r="CBW2" s="283"/>
      <c r="CBX2" s="283"/>
      <c r="CBY2" s="283"/>
      <c r="CBZ2" s="283"/>
      <c r="CCA2" s="283"/>
      <c r="CCB2" s="283"/>
      <c r="CCC2" s="283"/>
      <c r="CCD2" s="283"/>
      <c r="CCE2" s="283"/>
      <c r="CCF2" s="283"/>
      <c r="CCG2" s="283"/>
      <c r="CCH2" s="283"/>
      <c r="CCI2" s="283"/>
      <c r="CCJ2" s="283"/>
      <c r="CCK2" s="283"/>
      <c r="CCL2" s="283"/>
      <c r="CCM2" s="283"/>
      <c r="CCN2" s="283"/>
      <c r="CCO2" s="283"/>
      <c r="CCP2" s="283"/>
      <c r="CCQ2" s="283"/>
      <c r="CCR2" s="283"/>
      <c r="CCS2" s="283"/>
      <c r="CCT2" s="283"/>
      <c r="CCU2" s="283"/>
      <c r="CCV2" s="283"/>
      <c r="CCW2" s="283"/>
      <c r="CCX2" s="283"/>
      <c r="CCY2" s="283"/>
      <c r="CCZ2" s="283"/>
      <c r="CDA2" s="283"/>
      <c r="CDB2" s="283"/>
      <c r="CDC2" s="283"/>
      <c r="CDD2" s="283"/>
      <c r="CDE2" s="283"/>
      <c r="CDF2" s="283"/>
      <c r="CDG2" s="283"/>
      <c r="CDH2" s="283"/>
      <c r="CDI2" s="283"/>
      <c r="CDJ2" s="283"/>
      <c r="CDK2" s="283"/>
      <c r="CDL2" s="283"/>
      <c r="CDM2" s="283"/>
      <c r="CDN2" s="283"/>
      <c r="CDO2" s="283"/>
      <c r="CDP2" s="283"/>
      <c r="CDQ2" s="283"/>
      <c r="CDR2" s="283"/>
      <c r="CDS2" s="283"/>
      <c r="CDT2" s="283"/>
      <c r="CDU2" s="283"/>
      <c r="CDV2" s="283"/>
      <c r="CDW2" s="283"/>
      <c r="CDX2" s="283"/>
      <c r="CDY2" s="283"/>
      <c r="CDZ2" s="283"/>
      <c r="CEA2" s="283"/>
      <c r="CEB2" s="283"/>
      <c r="CEC2" s="283"/>
      <c r="CED2" s="283"/>
      <c r="CEE2" s="283"/>
      <c r="CEF2" s="283"/>
      <c r="CEG2" s="283"/>
      <c r="CEH2" s="283"/>
      <c r="CEI2" s="283"/>
      <c r="CEJ2" s="283"/>
      <c r="CEK2" s="283"/>
      <c r="CEL2" s="283"/>
      <c r="CEM2" s="283"/>
      <c r="CEN2" s="283"/>
      <c r="CEO2" s="283"/>
      <c r="CEP2" s="283"/>
      <c r="CEQ2" s="283"/>
      <c r="CER2" s="283"/>
      <c r="CES2" s="283"/>
      <c r="CET2" s="283"/>
      <c r="CEU2" s="283"/>
      <c r="CEV2" s="283"/>
      <c r="CEW2" s="283"/>
      <c r="CEX2" s="283"/>
      <c r="CEY2" s="283"/>
      <c r="CEZ2" s="283"/>
      <c r="CFA2" s="283"/>
      <c r="CFB2" s="283"/>
      <c r="CFC2" s="283"/>
      <c r="CFD2" s="283"/>
      <c r="CFE2" s="283"/>
      <c r="CFF2" s="283"/>
      <c r="CFG2" s="283"/>
      <c r="CFH2" s="283"/>
      <c r="CFI2" s="283"/>
      <c r="CFJ2" s="283"/>
      <c r="CFK2" s="283"/>
      <c r="CFL2" s="283"/>
      <c r="CFM2" s="283"/>
      <c r="CFN2" s="283"/>
      <c r="CFO2" s="283"/>
      <c r="CFP2" s="283"/>
      <c r="CFQ2" s="283"/>
      <c r="CFR2" s="283"/>
      <c r="CFS2" s="283"/>
      <c r="CFT2" s="283"/>
      <c r="CFU2" s="283"/>
      <c r="CFV2" s="283"/>
      <c r="CFW2" s="283"/>
      <c r="CFX2" s="283"/>
      <c r="CFY2" s="283"/>
      <c r="CFZ2" s="283"/>
      <c r="CGA2" s="283"/>
      <c r="CGB2" s="283"/>
      <c r="CGC2" s="283"/>
      <c r="CGD2" s="283"/>
      <c r="CGE2" s="283"/>
      <c r="CGF2" s="283"/>
      <c r="CGG2" s="283"/>
      <c r="CGH2" s="283"/>
      <c r="CGI2" s="283"/>
      <c r="CGJ2" s="283"/>
      <c r="CGK2" s="283"/>
      <c r="CGL2" s="283"/>
      <c r="CGM2" s="283"/>
      <c r="CGN2" s="283"/>
      <c r="CGO2" s="283"/>
      <c r="CGP2" s="283"/>
      <c r="CGQ2" s="283"/>
      <c r="CGR2" s="283"/>
      <c r="CGS2" s="283"/>
      <c r="CGT2" s="283"/>
      <c r="CGU2" s="283"/>
      <c r="CGV2" s="283"/>
      <c r="CGW2" s="283"/>
      <c r="CGX2" s="283"/>
      <c r="CGY2" s="283"/>
      <c r="CGZ2" s="283"/>
      <c r="CHA2" s="283"/>
      <c r="CHB2" s="283"/>
      <c r="CHC2" s="283"/>
      <c r="CHD2" s="283"/>
      <c r="CHE2" s="283"/>
      <c r="CHF2" s="283"/>
      <c r="CHG2" s="283"/>
      <c r="CHH2" s="283"/>
      <c r="CHI2" s="283"/>
      <c r="CHJ2" s="283"/>
      <c r="CHK2" s="283"/>
      <c r="CHL2" s="283"/>
      <c r="CHM2" s="283"/>
      <c r="CHN2" s="283"/>
      <c r="CHO2" s="283"/>
      <c r="CHP2" s="283"/>
      <c r="CHQ2" s="283"/>
      <c r="CHR2" s="283"/>
      <c r="CHS2" s="283"/>
      <c r="CHT2" s="283"/>
      <c r="CHU2" s="283"/>
      <c r="CHV2" s="283"/>
      <c r="CHW2" s="283"/>
      <c r="CHX2" s="283"/>
      <c r="CHY2" s="283"/>
      <c r="CHZ2" s="283"/>
      <c r="CIA2" s="283"/>
      <c r="CIB2" s="283"/>
      <c r="CIC2" s="283"/>
      <c r="CID2" s="283"/>
      <c r="CIE2" s="283"/>
      <c r="CIF2" s="283"/>
      <c r="CIG2" s="283"/>
      <c r="CIH2" s="283"/>
      <c r="CII2" s="283"/>
      <c r="CIJ2" s="283"/>
      <c r="CIK2" s="283"/>
      <c r="CIL2" s="283"/>
      <c r="CIM2" s="283"/>
      <c r="CIN2" s="283"/>
      <c r="CIO2" s="283"/>
      <c r="CIP2" s="283"/>
      <c r="CIQ2" s="283"/>
      <c r="CIR2" s="283"/>
      <c r="CIS2" s="283"/>
      <c r="CIT2" s="283"/>
      <c r="CIU2" s="283"/>
      <c r="CIV2" s="283"/>
      <c r="CIW2" s="283"/>
      <c r="CIX2" s="283"/>
      <c r="CIY2" s="283"/>
      <c r="CIZ2" s="283"/>
      <c r="CJA2" s="283"/>
      <c r="CJB2" s="283"/>
      <c r="CJC2" s="283"/>
      <c r="CJD2" s="283"/>
      <c r="CJE2" s="283"/>
      <c r="CJF2" s="283"/>
      <c r="CJG2" s="283"/>
      <c r="CJH2" s="283"/>
      <c r="CJI2" s="283"/>
      <c r="CJJ2" s="283"/>
      <c r="CJK2" s="283"/>
      <c r="CJL2" s="283"/>
      <c r="CJM2" s="283"/>
      <c r="CJN2" s="283"/>
      <c r="CJO2" s="283"/>
      <c r="CJP2" s="283"/>
      <c r="CJQ2" s="283"/>
      <c r="CJR2" s="283"/>
      <c r="CJS2" s="283"/>
      <c r="CJT2" s="283"/>
      <c r="CJU2" s="283"/>
      <c r="CJV2" s="283"/>
      <c r="CJW2" s="283"/>
      <c r="CJX2" s="283"/>
      <c r="CJY2" s="283"/>
      <c r="CJZ2" s="283"/>
      <c r="CKA2" s="283"/>
      <c r="CKB2" s="283"/>
      <c r="CKC2" s="283"/>
      <c r="CKD2" s="283"/>
      <c r="CKE2" s="283"/>
      <c r="CKF2" s="283"/>
      <c r="CKG2" s="283"/>
      <c r="CKH2" s="283"/>
      <c r="CKI2" s="283"/>
      <c r="CKJ2" s="283"/>
      <c r="CKK2" s="283"/>
      <c r="CKL2" s="283"/>
      <c r="CKM2" s="283"/>
      <c r="CKN2" s="283"/>
      <c r="CKO2" s="283"/>
      <c r="CKP2" s="283"/>
      <c r="CKQ2" s="283"/>
      <c r="CKR2" s="283"/>
      <c r="CKS2" s="283"/>
      <c r="CKT2" s="283"/>
      <c r="CKU2" s="283"/>
      <c r="CKV2" s="283"/>
      <c r="CKW2" s="283"/>
      <c r="CKX2" s="283"/>
      <c r="CKY2" s="283"/>
      <c r="CKZ2" s="283"/>
      <c r="CLA2" s="283"/>
      <c r="CLB2" s="283"/>
      <c r="CLC2" s="283"/>
      <c r="CLD2" s="283"/>
      <c r="CLE2" s="283"/>
      <c r="CLF2" s="283"/>
      <c r="CLG2" s="283"/>
      <c r="CLH2" s="283"/>
      <c r="CLI2" s="283"/>
      <c r="CLJ2" s="283"/>
      <c r="CLK2" s="283"/>
      <c r="CLL2" s="283"/>
      <c r="CLM2" s="283"/>
      <c r="CLN2" s="283"/>
      <c r="CLO2" s="283"/>
      <c r="CLP2" s="283"/>
      <c r="CLQ2" s="283"/>
      <c r="CLR2" s="283"/>
      <c r="CLS2" s="283"/>
      <c r="CLT2" s="283"/>
      <c r="CLU2" s="283"/>
      <c r="CLV2" s="283"/>
      <c r="CLW2" s="283"/>
      <c r="CLX2" s="283"/>
      <c r="CLY2" s="283"/>
      <c r="CLZ2" s="283"/>
      <c r="CMA2" s="283"/>
      <c r="CMB2" s="283"/>
      <c r="CMC2" s="283"/>
      <c r="CMD2" s="283"/>
      <c r="CME2" s="283"/>
      <c r="CMF2" s="283"/>
      <c r="CMG2" s="283"/>
      <c r="CMH2" s="283"/>
      <c r="CMI2" s="283"/>
      <c r="CMJ2" s="283"/>
      <c r="CMK2" s="283"/>
      <c r="CML2" s="283"/>
      <c r="CMM2" s="283"/>
      <c r="CMN2" s="283"/>
      <c r="CMO2" s="283"/>
      <c r="CMP2" s="283"/>
      <c r="CMQ2" s="283"/>
      <c r="CMR2" s="283"/>
      <c r="CMS2" s="283"/>
      <c r="CMT2" s="283"/>
      <c r="CMU2" s="283"/>
      <c r="CMV2" s="283"/>
      <c r="CMW2" s="283"/>
      <c r="CMX2" s="283"/>
      <c r="CMY2" s="283"/>
      <c r="CMZ2" s="283"/>
      <c r="CNA2" s="283"/>
      <c r="CNB2" s="283"/>
      <c r="CNC2" s="283"/>
      <c r="CND2" s="283"/>
      <c r="CNE2" s="283"/>
      <c r="CNF2" s="283"/>
      <c r="CNG2" s="283"/>
      <c r="CNH2" s="283"/>
      <c r="CNI2" s="283"/>
      <c r="CNJ2" s="283"/>
      <c r="CNK2" s="283"/>
      <c r="CNL2" s="283"/>
      <c r="CNM2" s="283"/>
      <c r="CNN2" s="283"/>
      <c r="CNO2" s="283"/>
      <c r="CNP2" s="283"/>
      <c r="CNQ2" s="283"/>
      <c r="CNR2" s="283"/>
      <c r="CNS2" s="283"/>
      <c r="CNT2" s="283"/>
      <c r="CNU2" s="283"/>
      <c r="CNV2" s="283"/>
      <c r="CNW2" s="283"/>
      <c r="CNX2" s="283"/>
      <c r="CNY2" s="283"/>
      <c r="CNZ2" s="283"/>
      <c r="COA2" s="283"/>
      <c r="COB2" s="283"/>
      <c r="COC2" s="283"/>
      <c r="COD2" s="283"/>
      <c r="COE2" s="283"/>
      <c r="COF2" s="283"/>
      <c r="COG2" s="283"/>
      <c r="COH2" s="283"/>
      <c r="COI2" s="283"/>
      <c r="COJ2" s="283"/>
      <c r="COK2" s="283"/>
      <c r="COL2" s="283"/>
      <c r="COM2" s="283"/>
      <c r="CON2" s="283"/>
      <c r="COO2" s="283"/>
      <c r="COP2" s="283"/>
      <c r="COQ2" s="283"/>
      <c r="COR2" s="283"/>
      <c r="COS2" s="283"/>
      <c r="COT2" s="283"/>
      <c r="COU2" s="283"/>
      <c r="COV2" s="283"/>
      <c r="COW2" s="283"/>
      <c r="COX2" s="283"/>
      <c r="COY2" s="283"/>
      <c r="COZ2" s="283"/>
      <c r="CPA2" s="283"/>
      <c r="CPB2" s="283"/>
      <c r="CPC2" s="283"/>
      <c r="CPD2" s="283"/>
      <c r="CPE2" s="283"/>
      <c r="CPF2" s="283"/>
      <c r="CPG2" s="283"/>
      <c r="CPH2" s="283"/>
      <c r="CPI2" s="283"/>
      <c r="CPJ2" s="283"/>
      <c r="CPK2" s="283"/>
      <c r="CPL2" s="283"/>
      <c r="CPM2" s="283"/>
      <c r="CPN2" s="283"/>
      <c r="CPO2" s="283"/>
      <c r="CPP2" s="283"/>
      <c r="CPQ2" s="283"/>
      <c r="CPR2" s="283"/>
      <c r="CPS2" s="283"/>
      <c r="CPT2" s="283"/>
      <c r="CPU2" s="283"/>
      <c r="CPV2" s="283"/>
      <c r="CPW2" s="283"/>
      <c r="CPX2" s="283"/>
      <c r="CPY2" s="283"/>
      <c r="CPZ2" s="283"/>
      <c r="CQA2" s="283"/>
      <c r="CQB2" s="283"/>
      <c r="CQC2" s="283"/>
      <c r="CQD2" s="283"/>
      <c r="CQE2" s="283"/>
      <c r="CQF2" s="283"/>
      <c r="CQG2" s="283"/>
      <c r="CQH2" s="283"/>
      <c r="CQI2" s="283"/>
      <c r="CQJ2" s="283"/>
      <c r="CQK2" s="283"/>
      <c r="CQL2" s="283"/>
      <c r="CQM2" s="283"/>
      <c r="CQN2" s="283"/>
      <c r="CQO2" s="283"/>
      <c r="CQP2" s="283"/>
      <c r="CQQ2" s="283"/>
      <c r="CQR2" s="283"/>
      <c r="CQS2" s="283"/>
      <c r="CQT2" s="283"/>
      <c r="CQU2" s="283"/>
      <c r="CQV2" s="283"/>
      <c r="CQW2" s="283"/>
      <c r="CQX2" s="283"/>
      <c r="CQY2" s="283"/>
      <c r="CQZ2" s="283"/>
      <c r="CRA2" s="283"/>
      <c r="CRB2" s="283"/>
      <c r="CRC2" s="283"/>
      <c r="CRD2" s="283"/>
      <c r="CRE2" s="283"/>
      <c r="CRF2" s="283"/>
      <c r="CRG2" s="283"/>
      <c r="CRH2" s="283"/>
      <c r="CRI2" s="283"/>
      <c r="CRJ2" s="283"/>
      <c r="CRK2" s="283"/>
      <c r="CRL2" s="283"/>
      <c r="CRM2" s="283"/>
      <c r="CRN2" s="283"/>
      <c r="CRO2" s="283"/>
      <c r="CRP2" s="283"/>
      <c r="CRQ2" s="283"/>
      <c r="CRR2" s="283"/>
      <c r="CRS2" s="283"/>
      <c r="CRT2" s="283"/>
      <c r="CRU2" s="283"/>
      <c r="CRV2" s="283"/>
      <c r="CRW2" s="283"/>
      <c r="CRX2" s="283"/>
      <c r="CRY2" s="283"/>
      <c r="CRZ2" s="283"/>
      <c r="CSA2" s="283"/>
      <c r="CSB2" s="283"/>
      <c r="CSC2" s="283"/>
      <c r="CSD2" s="283"/>
      <c r="CSE2" s="283"/>
      <c r="CSF2" s="283"/>
      <c r="CSG2" s="283"/>
      <c r="CSH2" s="283"/>
      <c r="CSI2" s="283"/>
      <c r="CSJ2" s="283"/>
      <c r="CSK2" s="283"/>
      <c r="CSL2" s="283"/>
      <c r="CSM2" s="283"/>
      <c r="CSN2" s="283"/>
      <c r="CSO2" s="283"/>
      <c r="CSP2" s="283"/>
      <c r="CSQ2" s="283"/>
      <c r="CSR2" s="283"/>
      <c r="CSS2" s="283"/>
      <c r="CST2" s="283"/>
      <c r="CSU2" s="283"/>
      <c r="CSV2" s="283"/>
      <c r="CSW2" s="283"/>
      <c r="CSX2" s="283"/>
      <c r="CSY2" s="283"/>
      <c r="CSZ2" s="283"/>
      <c r="CTA2" s="283"/>
      <c r="CTB2" s="283"/>
      <c r="CTC2" s="283"/>
      <c r="CTD2" s="283"/>
      <c r="CTE2" s="283"/>
      <c r="CTF2" s="283"/>
      <c r="CTG2" s="283"/>
      <c r="CTH2" s="283"/>
      <c r="CTI2" s="283"/>
      <c r="CTJ2" s="283"/>
      <c r="CTK2" s="283"/>
      <c r="CTL2" s="283"/>
      <c r="CTM2" s="283"/>
      <c r="CTN2" s="283"/>
      <c r="CTO2" s="283"/>
      <c r="CTP2" s="283"/>
      <c r="CTQ2" s="283"/>
      <c r="CTR2" s="283"/>
      <c r="CTS2" s="283"/>
      <c r="CTT2" s="283"/>
      <c r="CTU2" s="283"/>
      <c r="CTV2" s="283"/>
      <c r="CTW2" s="283"/>
      <c r="CTX2" s="283"/>
      <c r="CTY2" s="283"/>
      <c r="CTZ2" s="283"/>
      <c r="CUA2" s="283"/>
      <c r="CUB2" s="283"/>
      <c r="CUC2" s="283"/>
      <c r="CUD2" s="283"/>
      <c r="CUE2" s="283"/>
      <c r="CUF2" s="283"/>
      <c r="CUG2" s="283"/>
      <c r="CUH2" s="283"/>
      <c r="CUI2" s="283"/>
      <c r="CUJ2" s="283"/>
      <c r="CUK2" s="283"/>
      <c r="CUL2" s="283"/>
      <c r="CUM2" s="283"/>
      <c r="CUN2" s="283"/>
      <c r="CUO2" s="283"/>
      <c r="CUP2" s="283"/>
      <c r="CUQ2" s="283"/>
      <c r="CUR2" s="283"/>
      <c r="CUS2" s="283"/>
      <c r="CUT2" s="283"/>
      <c r="CUU2" s="283"/>
      <c r="CUV2" s="283"/>
      <c r="CUW2" s="283"/>
      <c r="CUX2" s="283"/>
      <c r="CUY2" s="283"/>
      <c r="CUZ2" s="283"/>
      <c r="CVA2" s="283"/>
      <c r="CVB2" s="283"/>
      <c r="CVC2" s="283"/>
      <c r="CVD2" s="283"/>
      <c r="CVE2" s="283"/>
      <c r="CVF2" s="283"/>
      <c r="CVG2" s="283"/>
      <c r="CVH2" s="283"/>
      <c r="CVI2" s="283"/>
      <c r="CVJ2" s="283"/>
      <c r="CVK2" s="283"/>
      <c r="CVL2" s="283"/>
      <c r="CVM2" s="283"/>
      <c r="CVN2" s="283"/>
      <c r="CVO2" s="283"/>
      <c r="CVP2" s="283"/>
      <c r="CVQ2" s="283"/>
      <c r="CVR2" s="283"/>
      <c r="CVS2" s="283"/>
      <c r="CVT2" s="283"/>
      <c r="CVU2" s="283"/>
      <c r="CVV2" s="283"/>
      <c r="CVW2" s="283"/>
      <c r="CVX2" s="283"/>
      <c r="CVY2" s="283"/>
      <c r="CVZ2" s="283"/>
      <c r="CWA2" s="283"/>
      <c r="CWB2" s="283"/>
      <c r="CWC2" s="283"/>
      <c r="CWD2" s="283"/>
      <c r="CWE2" s="283"/>
      <c r="CWF2" s="283"/>
      <c r="CWG2" s="283"/>
      <c r="CWH2" s="283"/>
      <c r="CWI2" s="283"/>
      <c r="CWJ2" s="283"/>
      <c r="CWK2" s="283"/>
      <c r="CWL2" s="283"/>
      <c r="CWM2" s="283"/>
      <c r="CWN2" s="283"/>
      <c r="CWO2" s="283"/>
      <c r="CWP2" s="283"/>
      <c r="CWQ2" s="283"/>
      <c r="CWR2" s="283"/>
      <c r="CWS2" s="283"/>
      <c r="CWT2" s="283"/>
      <c r="CWU2" s="283"/>
      <c r="CWV2" s="283"/>
      <c r="CWW2" s="283"/>
      <c r="CWX2" s="283"/>
      <c r="CWY2" s="283"/>
      <c r="CWZ2" s="283"/>
      <c r="CXA2" s="283"/>
      <c r="CXB2" s="283"/>
      <c r="CXC2" s="283"/>
      <c r="CXD2" s="283"/>
      <c r="CXE2" s="283"/>
      <c r="CXF2" s="283"/>
      <c r="CXG2" s="283"/>
      <c r="CXH2" s="283"/>
      <c r="CXI2" s="283"/>
      <c r="CXJ2" s="283"/>
      <c r="CXK2" s="283"/>
      <c r="CXL2" s="283"/>
      <c r="CXM2" s="283"/>
      <c r="CXN2" s="283"/>
      <c r="CXO2" s="283"/>
      <c r="CXP2" s="283"/>
      <c r="CXQ2" s="283"/>
      <c r="CXR2" s="283"/>
      <c r="CXS2" s="283"/>
      <c r="CXT2" s="283"/>
      <c r="CXU2" s="283"/>
      <c r="CXV2" s="283"/>
      <c r="CXW2" s="283"/>
      <c r="CXX2" s="283"/>
      <c r="CXY2" s="283"/>
      <c r="CXZ2" s="283"/>
      <c r="CYA2" s="283"/>
      <c r="CYB2" s="283"/>
      <c r="CYC2" s="283"/>
      <c r="CYD2" s="283"/>
      <c r="CYE2" s="283"/>
      <c r="CYF2" s="283"/>
      <c r="CYG2" s="283"/>
      <c r="CYH2" s="283"/>
      <c r="CYI2" s="283"/>
      <c r="CYJ2" s="283"/>
      <c r="CYK2" s="283"/>
      <c r="CYL2" s="283"/>
      <c r="CYM2" s="283"/>
      <c r="CYN2" s="283"/>
      <c r="CYO2" s="283"/>
      <c r="CYP2" s="283"/>
      <c r="CYQ2" s="283"/>
      <c r="CYR2" s="283"/>
      <c r="CYS2" s="283"/>
      <c r="CYT2" s="283"/>
      <c r="CYU2" s="283"/>
      <c r="CYV2" s="283"/>
      <c r="CYW2" s="283"/>
      <c r="CYX2" s="283"/>
      <c r="CYY2" s="283"/>
      <c r="CYZ2" s="283"/>
      <c r="CZA2" s="283"/>
      <c r="CZB2" s="283"/>
      <c r="CZC2" s="283"/>
      <c r="CZD2" s="283"/>
      <c r="CZE2" s="283"/>
      <c r="CZF2" s="283"/>
      <c r="CZG2" s="283"/>
      <c r="CZH2" s="283"/>
      <c r="CZI2" s="283"/>
      <c r="CZJ2" s="283"/>
      <c r="CZK2" s="283"/>
      <c r="CZL2" s="283"/>
      <c r="CZM2" s="283"/>
      <c r="CZN2" s="283"/>
      <c r="CZO2" s="283"/>
      <c r="CZP2" s="283"/>
      <c r="CZQ2" s="283"/>
      <c r="CZR2" s="283"/>
      <c r="CZS2" s="283"/>
      <c r="CZT2" s="283"/>
      <c r="CZU2" s="283"/>
      <c r="CZV2" s="283"/>
      <c r="CZW2" s="283"/>
      <c r="CZX2" s="283"/>
      <c r="CZY2" s="283"/>
      <c r="CZZ2" s="283"/>
      <c r="DAA2" s="283"/>
      <c r="DAB2" s="283"/>
      <c r="DAC2" s="283"/>
      <c r="DAD2" s="283"/>
      <c r="DAE2" s="283"/>
      <c r="DAF2" s="283"/>
      <c r="DAG2" s="283"/>
      <c r="DAH2" s="283"/>
      <c r="DAI2" s="283"/>
      <c r="DAJ2" s="283"/>
      <c r="DAK2" s="283"/>
      <c r="DAL2" s="283"/>
      <c r="DAM2" s="283"/>
      <c r="DAN2" s="283"/>
      <c r="DAO2" s="283"/>
      <c r="DAP2" s="283"/>
      <c r="DAQ2" s="283"/>
      <c r="DAR2" s="283"/>
      <c r="DAS2" s="283"/>
      <c r="DAT2" s="283"/>
      <c r="DAU2" s="283"/>
      <c r="DAV2" s="283"/>
      <c r="DAW2" s="283"/>
      <c r="DAX2" s="283"/>
      <c r="DAY2" s="283"/>
      <c r="DAZ2" s="283"/>
      <c r="DBA2" s="283"/>
      <c r="DBB2" s="283"/>
      <c r="DBC2" s="283"/>
      <c r="DBD2" s="283"/>
      <c r="DBE2" s="283"/>
      <c r="DBF2" s="283"/>
      <c r="DBG2" s="283"/>
      <c r="DBH2" s="283"/>
      <c r="DBI2" s="283"/>
      <c r="DBJ2" s="283"/>
      <c r="DBK2" s="283"/>
      <c r="DBL2" s="283"/>
      <c r="DBM2" s="283"/>
      <c r="DBN2" s="283"/>
      <c r="DBO2" s="283"/>
      <c r="DBP2" s="283"/>
      <c r="DBQ2" s="283"/>
      <c r="DBR2" s="283"/>
      <c r="DBS2" s="283"/>
      <c r="DBT2" s="283"/>
      <c r="DBU2" s="283"/>
      <c r="DBV2" s="283"/>
      <c r="DBW2" s="283"/>
      <c r="DBX2" s="283"/>
      <c r="DBY2" s="283"/>
      <c r="DBZ2" s="283"/>
      <c r="DCA2" s="283"/>
      <c r="DCB2" s="283"/>
      <c r="DCC2" s="283"/>
      <c r="DCD2" s="283"/>
      <c r="DCE2" s="283"/>
      <c r="DCF2" s="283"/>
      <c r="DCG2" s="283"/>
      <c r="DCH2" s="283"/>
      <c r="DCI2" s="283"/>
      <c r="DCJ2" s="283"/>
      <c r="DCK2" s="283"/>
      <c r="DCL2" s="283"/>
      <c r="DCM2" s="283"/>
      <c r="DCN2" s="283"/>
      <c r="DCO2" s="283"/>
      <c r="DCP2" s="283"/>
      <c r="DCQ2" s="283"/>
      <c r="DCR2" s="283"/>
      <c r="DCS2" s="283"/>
      <c r="DCT2" s="283"/>
      <c r="DCU2" s="283"/>
      <c r="DCV2" s="283"/>
      <c r="DCW2" s="283"/>
      <c r="DCX2" s="283"/>
      <c r="DCY2" s="283"/>
      <c r="DCZ2" s="283"/>
      <c r="DDA2" s="283"/>
      <c r="DDB2" s="283"/>
      <c r="DDC2" s="283"/>
      <c r="DDD2" s="283"/>
      <c r="DDE2" s="283"/>
      <c r="DDF2" s="283"/>
      <c r="DDG2" s="283"/>
      <c r="DDH2" s="283"/>
      <c r="DDI2" s="283"/>
      <c r="DDJ2" s="283"/>
      <c r="DDK2" s="283"/>
      <c r="DDL2" s="283"/>
      <c r="DDM2" s="283"/>
      <c r="DDN2" s="283"/>
      <c r="DDO2" s="283"/>
      <c r="DDP2" s="283"/>
      <c r="DDQ2" s="283"/>
      <c r="DDR2" s="283"/>
      <c r="DDS2" s="283"/>
      <c r="DDT2" s="283"/>
      <c r="DDU2" s="283"/>
      <c r="DDV2" s="283"/>
      <c r="DDW2" s="283"/>
      <c r="DDX2" s="283"/>
      <c r="DDY2" s="283"/>
      <c r="DDZ2" s="283"/>
      <c r="DEA2" s="283"/>
      <c r="DEB2" s="283"/>
      <c r="DEC2" s="283"/>
      <c r="DED2" s="283"/>
      <c r="DEE2" s="283"/>
      <c r="DEF2" s="283"/>
      <c r="DEG2" s="283"/>
      <c r="DEH2" s="283"/>
      <c r="DEI2" s="283"/>
      <c r="DEJ2" s="283"/>
      <c r="DEK2" s="283"/>
      <c r="DEL2" s="283"/>
      <c r="DEM2" s="283"/>
      <c r="DEN2" s="283"/>
      <c r="DEO2" s="283"/>
      <c r="DEP2" s="283"/>
      <c r="DEQ2" s="283"/>
      <c r="DER2" s="283"/>
      <c r="DES2" s="283"/>
      <c r="DET2" s="283"/>
      <c r="DEU2" s="283"/>
      <c r="DEV2" s="283"/>
      <c r="DEW2" s="283"/>
      <c r="DEX2" s="283"/>
      <c r="DEY2" s="283"/>
      <c r="DEZ2" s="283"/>
      <c r="DFA2" s="283"/>
      <c r="DFB2" s="283"/>
      <c r="DFC2" s="283"/>
      <c r="DFD2" s="283"/>
      <c r="DFE2" s="283"/>
      <c r="DFF2" s="283"/>
      <c r="DFG2" s="283"/>
      <c r="DFH2" s="283"/>
      <c r="DFI2" s="283"/>
      <c r="DFJ2" s="283"/>
      <c r="DFK2" s="283"/>
      <c r="DFL2" s="283"/>
      <c r="DFM2" s="283"/>
      <c r="DFN2" s="283"/>
      <c r="DFO2" s="283"/>
      <c r="DFP2" s="283"/>
      <c r="DFQ2" s="283"/>
      <c r="DFR2" s="283"/>
      <c r="DFS2" s="283"/>
      <c r="DFT2" s="283"/>
      <c r="DFU2" s="283"/>
      <c r="DFV2" s="283"/>
      <c r="DFW2" s="283"/>
      <c r="DFX2" s="283"/>
      <c r="DFY2" s="283"/>
      <c r="DFZ2" s="283"/>
      <c r="DGA2" s="283"/>
      <c r="DGB2" s="283"/>
      <c r="DGC2" s="283"/>
      <c r="DGD2" s="283"/>
      <c r="DGE2" s="283"/>
      <c r="DGF2" s="283"/>
      <c r="DGG2" s="283"/>
      <c r="DGH2" s="283"/>
      <c r="DGI2" s="283"/>
      <c r="DGJ2" s="283"/>
      <c r="DGK2" s="283"/>
      <c r="DGL2" s="283"/>
      <c r="DGM2" s="283"/>
      <c r="DGN2" s="283"/>
      <c r="DGO2" s="283"/>
      <c r="DGP2" s="283"/>
      <c r="DGQ2" s="283"/>
      <c r="DGR2" s="283"/>
      <c r="DGS2" s="283"/>
      <c r="DGT2" s="283"/>
      <c r="DGU2" s="283"/>
      <c r="DGV2" s="283"/>
      <c r="DGW2" s="283"/>
      <c r="DGX2" s="283"/>
      <c r="DGY2" s="283"/>
      <c r="DGZ2" s="283"/>
      <c r="DHA2" s="283"/>
      <c r="DHB2" s="283"/>
      <c r="DHC2" s="283"/>
      <c r="DHD2" s="283"/>
      <c r="DHE2" s="283"/>
      <c r="DHF2" s="283"/>
      <c r="DHG2" s="283"/>
      <c r="DHH2" s="283"/>
      <c r="DHI2" s="283"/>
      <c r="DHJ2" s="283"/>
      <c r="DHK2" s="283"/>
      <c r="DHL2" s="283"/>
      <c r="DHM2" s="283"/>
      <c r="DHN2" s="283"/>
      <c r="DHO2" s="283"/>
      <c r="DHP2" s="283"/>
      <c r="DHQ2" s="283"/>
      <c r="DHR2" s="283"/>
      <c r="DHS2" s="283"/>
      <c r="DHT2" s="283"/>
      <c r="DHU2" s="283"/>
      <c r="DHV2" s="283"/>
      <c r="DHW2" s="283"/>
      <c r="DHX2" s="283"/>
      <c r="DHY2" s="283"/>
      <c r="DHZ2" s="283"/>
      <c r="DIA2" s="283"/>
      <c r="DIB2" s="283"/>
      <c r="DIC2" s="283"/>
      <c r="DID2" s="283"/>
      <c r="DIE2" s="283"/>
      <c r="DIF2" s="283"/>
      <c r="DIG2" s="283"/>
      <c r="DIH2" s="283"/>
      <c r="DII2" s="283"/>
      <c r="DIJ2" s="283"/>
      <c r="DIK2" s="283"/>
      <c r="DIL2" s="283"/>
      <c r="DIM2" s="283"/>
      <c r="DIN2" s="283"/>
      <c r="DIO2" s="283"/>
      <c r="DIP2" s="283"/>
      <c r="DIQ2" s="283"/>
      <c r="DIR2" s="283"/>
      <c r="DIS2" s="283"/>
      <c r="DIT2" s="283"/>
      <c r="DIU2" s="283"/>
      <c r="DIV2" s="283"/>
      <c r="DIW2" s="283"/>
      <c r="DIX2" s="283"/>
      <c r="DIY2" s="283"/>
      <c r="DIZ2" s="283"/>
      <c r="DJA2" s="283"/>
      <c r="DJB2" s="283"/>
      <c r="DJC2" s="283"/>
      <c r="DJD2" s="283"/>
      <c r="DJE2" s="283"/>
      <c r="DJF2" s="283"/>
      <c r="DJG2" s="283"/>
      <c r="DJH2" s="283"/>
      <c r="DJI2" s="283"/>
      <c r="DJJ2" s="283"/>
      <c r="DJK2" s="283"/>
      <c r="DJL2" s="283"/>
      <c r="DJM2" s="283"/>
      <c r="DJN2" s="283"/>
      <c r="DJO2" s="283"/>
      <c r="DJP2" s="283"/>
      <c r="DJQ2" s="283"/>
      <c r="DJR2" s="283"/>
      <c r="DJS2" s="283"/>
      <c r="DJT2" s="283"/>
      <c r="DJU2" s="283"/>
      <c r="DJV2" s="283"/>
      <c r="DJW2" s="283"/>
      <c r="DJX2" s="283"/>
      <c r="DJY2" s="283"/>
      <c r="DJZ2" s="283"/>
      <c r="DKA2" s="283"/>
      <c r="DKB2" s="283"/>
      <c r="DKC2" s="283"/>
      <c r="DKD2" s="283"/>
      <c r="DKE2" s="283"/>
      <c r="DKF2" s="283"/>
      <c r="DKG2" s="283"/>
      <c r="DKH2" s="283"/>
      <c r="DKI2" s="283"/>
      <c r="DKJ2" s="283"/>
      <c r="DKK2" s="283"/>
      <c r="DKL2" s="283"/>
      <c r="DKM2" s="283"/>
      <c r="DKN2" s="283"/>
      <c r="DKO2" s="283"/>
      <c r="DKP2" s="283"/>
      <c r="DKQ2" s="283"/>
      <c r="DKR2" s="283"/>
      <c r="DKS2" s="283"/>
      <c r="DKT2" s="283"/>
      <c r="DKU2" s="283"/>
      <c r="DKV2" s="283"/>
      <c r="DKW2" s="283"/>
      <c r="DKX2" s="283"/>
      <c r="DKY2" s="283"/>
      <c r="DKZ2" s="283"/>
      <c r="DLA2" s="283"/>
      <c r="DLB2" s="283"/>
      <c r="DLC2" s="283"/>
      <c r="DLD2" s="283"/>
      <c r="DLE2" s="283"/>
      <c r="DLF2" s="283"/>
      <c r="DLG2" s="283"/>
      <c r="DLH2" s="283"/>
      <c r="DLI2" s="283"/>
      <c r="DLJ2" s="283"/>
      <c r="DLK2" s="283"/>
      <c r="DLL2" s="283"/>
      <c r="DLM2" s="283"/>
      <c r="DLN2" s="283"/>
      <c r="DLO2" s="283"/>
      <c r="DLP2" s="283"/>
      <c r="DLQ2" s="283"/>
      <c r="DLR2" s="283"/>
      <c r="DLS2" s="283"/>
      <c r="DLT2" s="283"/>
      <c r="DLU2" s="283"/>
      <c r="DLV2" s="283"/>
      <c r="DLW2" s="283"/>
      <c r="DLX2" s="283"/>
      <c r="DLY2" s="283"/>
      <c r="DLZ2" s="283"/>
      <c r="DMA2" s="283"/>
      <c r="DMB2" s="283"/>
      <c r="DMC2" s="283"/>
      <c r="DMD2" s="283"/>
      <c r="DME2" s="283"/>
      <c r="DMF2" s="283"/>
      <c r="DMG2" s="283"/>
      <c r="DMH2" s="283"/>
      <c r="DMI2" s="283"/>
      <c r="DMJ2" s="283"/>
      <c r="DMK2" s="283"/>
      <c r="DML2" s="283"/>
      <c r="DMM2" s="283"/>
      <c r="DMN2" s="283"/>
      <c r="DMO2" s="283"/>
      <c r="DMP2" s="283"/>
      <c r="DMQ2" s="283"/>
      <c r="DMR2" s="283"/>
      <c r="DMS2" s="283"/>
      <c r="DMT2" s="283"/>
      <c r="DMU2" s="283"/>
      <c r="DMV2" s="283"/>
      <c r="DMW2" s="283"/>
      <c r="DMX2" s="283"/>
      <c r="DMY2" s="283"/>
      <c r="DMZ2" s="283"/>
      <c r="DNA2" s="283"/>
      <c r="DNB2" s="283"/>
      <c r="DNC2" s="283"/>
      <c r="DND2" s="283"/>
      <c r="DNE2" s="283"/>
      <c r="DNF2" s="283"/>
      <c r="DNG2" s="283"/>
      <c r="DNH2" s="283"/>
      <c r="DNI2" s="283"/>
      <c r="DNJ2" s="283"/>
      <c r="DNK2" s="283"/>
      <c r="DNL2" s="283"/>
      <c r="DNM2" s="283"/>
      <c r="DNN2" s="283"/>
      <c r="DNO2" s="283"/>
      <c r="DNP2" s="283"/>
      <c r="DNQ2" s="283"/>
      <c r="DNR2" s="283"/>
      <c r="DNS2" s="283"/>
      <c r="DNT2" s="283"/>
      <c r="DNU2" s="283"/>
      <c r="DNV2" s="283"/>
      <c r="DNW2" s="283"/>
      <c r="DNX2" s="283"/>
      <c r="DNY2" s="283"/>
      <c r="DNZ2" s="283"/>
      <c r="DOA2" s="283"/>
      <c r="DOB2" s="283"/>
      <c r="DOC2" s="283"/>
      <c r="DOD2" s="283"/>
      <c r="DOE2" s="283"/>
      <c r="DOF2" s="283"/>
      <c r="DOG2" s="283"/>
      <c r="DOH2" s="283"/>
      <c r="DOI2" s="283"/>
      <c r="DOJ2" s="283"/>
      <c r="DOK2" s="283"/>
      <c r="DOL2" s="283"/>
      <c r="DOM2" s="283"/>
      <c r="DON2" s="283"/>
      <c r="DOO2" s="283"/>
      <c r="DOP2" s="283"/>
      <c r="DOQ2" s="283"/>
      <c r="DOR2" s="283"/>
      <c r="DOS2" s="283"/>
      <c r="DOT2" s="283"/>
      <c r="DOU2" s="283"/>
      <c r="DOV2" s="283"/>
      <c r="DOW2" s="283"/>
      <c r="DOX2" s="283"/>
      <c r="DOY2" s="283"/>
      <c r="DOZ2" s="283"/>
      <c r="DPA2" s="283"/>
      <c r="DPB2" s="283"/>
      <c r="DPC2" s="283"/>
      <c r="DPD2" s="283"/>
      <c r="DPE2" s="283"/>
      <c r="DPF2" s="283"/>
      <c r="DPG2" s="283"/>
      <c r="DPH2" s="283"/>
      <c r="DPI2" s="283"/>
      <c r="DPJ2" s="283"/>
      <c r="DPK2" s="283"/>
      <c r="DPL2" s="283"/>
      <c r="DPM2" s="283"/>
      <c r="DPN2" s="283"/>
      <c r="DPO2" s="283"/>
      <c r="DPP2" s="283"/>
      <c r="DPQ2" s="283"/>
      <c r="DPR2" s="283"/>
      <c r="DPS2" s="283"/>
      <c r="DPT2" s="283"/>
      <c r="DPU2" s="283"/>
      <c r="DPV2" s="283"/>
      <c r="DPW2" s="283"/>
      <c r="DPX2" s="283"/>
      <c r="DPY2" s="283"/>
      <c r="DPZ2" s="283"/>
      <c r="DQA2" s="283"/>
      <c r="DQB2" s="283"/>
      <c r="DQC2" s="283"/>
      <c r="DQD2" s="283"/>
      <c r="DQE2" s="283"/>
      <c r="DQF2" s="283"/>
      <c r="DQG2" s="283"/>
      <c r="DQH2" s="283"/>
      <c r="DQI2" s="283"/>
      <c r="DQJ2" s="283"/>
      <c r="DQK2" s="283"/>
      <c r="DQL2" s="283"/>
      <c r="DQM2" s="283"/>
      <c r="DQN2" s="283"/>
      <c r="DQO2" s="283"/>
      <c r="DQP2" s="283"/>
      <c r="DQQ2" s="283"/>
      <c r="DQR2" s="283"/>
      <c r="DQS2" s="283"/>
      <c r="DQT2" s="283"/>
      <c r="DQU2" s="283"/>
      <c r="DQV2" s="283"/>
      <c r="DQW2" s="283"/>
      <c r="DQX2" s="283"/>
      <c r="DQY2" s="283"/>
      <c r="DQZ2" s="283"/>
      <c r="DRA2" s="283"/>
      <c r="DRB2" s="283"/>
      <c r="DRC2" s="283"/>
      <c r="DRD2" s="283"/>
      <c r="DRE2" s="283"/>
      <c r="DRF2" s="283"/>
      <c r="DRG2" s="283"/>
      <c r="DRH2" s="283"/>
      <c r="DRI2" s="283"/>
      <c r="DRJ2" s="283"/>
      <c r="DRK2" s="283"/>
      <c r="DRL2" s="283"/>
      <c r="DRM2" s="283"/>
      <c r="DRN2" s="283"/>
      <c r="DRO2" s="283"/>
      <c r="DRP2" s="283"/>
      <c r="DRQ2" s="283"/>
      <c r="DRR2" s="283"/>
      <c r="DRS2" s="283"/>
      <c r="DRT2" s="283"/>
      <c r="DRU2" s="283"/>
      <c r="DRV2" s="283"/>
      <c r="DRW2" s="283"/>
      <c r="DRX2" s="283"/>
      <c r="DRY2" s="283"/>
      <c r="DRZ2" s="283"/>
      <c r="DSA2" s="283"/>
      <c r="DSB2" s="283"/>
      <c r="DSC2" s="283"/>
      <c r="DSD2" s="283"/>
      <c r="DSE2" s="283"/>
      <c r="DSF2" s="283"/>
      <c r="DSG2" s="283"/>
      <c r="DSH2" s="283"/>
      <c r="DSI2" s="283"/>
      <c r="DSJ2" s="283"/>
      <c r="DSK2" s="283"/>
      <c r="DSL2" s="283"/>
      <c r="DSM2" s="283"/>
      <c r="DSN2" s="283"/>
      <c r="DSO2" s="283"/>
      <c r="DSP2" s="283"/>
      <c r="DSQ2" s="283"/>
      <c r="DSR2" s="283"/>
      <c r="DSS2" s="283"/>
      <c r="DST2" s="283"/>
      <c r="DSU2" s="283"/>
      <c r="DSV2" s="283"/>
      <c r="DSW2" s="283"/>
      <c r="DSX2" s="283"/>
      <c r="DSY2" s="283"/>
      <c r="DSZ2" s="283"/>
      <c r="DTA2" s="283"/>
      <c r="DTB2" s="283"/>
      <c r="DTC2" s="283"/>
      <c r="DTD2" s="283"/>
      <c r="DTE2" s="283"/>
      <c r="DTF2" s="283"/>
      <c r="DTG2" s="283"/>
      <c r="DTH2" s="283"/>
      <c r="DTI2" s="283"/>
      <c r="DTJ2" s="283"/>
      <c r="DTK2" s="283"/>
      <c r="DTL2" s="283"/>
      <c r="DTM2" s="283"/>
      <c r="DTN2" s="283"/>
      <c r="DTO2" s="283"/>
      <c r="DTP2" s="283"/>
      <c r="DTQ2" s="283"/>
      <c r="DTR2" s="283"/>
      <c r="DTS2" s="283"/>
      <c r="DTT2" s="283"/>
      <c r="DTU2" s="283"/>
      <c r="DTV2" s="283"/>
      <c r="DTW2" s="283"/>
      <c r="DTX2" s="283"/>
      <c r="DTY2" s="283"/>
      <c r="DTZ2" s="283"/>
      <c r="DUA2" s="283"/>
      <c r="DUB2" s="283"/>
      <c r="DUC2" s="283"/>
      <c r="DUD2" s="283"/>
      <c r="DUE2" s="283"/>
      <c r="DUF2" s="283"/>
      <c r="DUG2" s="283"/>
      <c r="DUH2" s="283"/>
      <c r="DUI2" s="283"/>
      <c r="DUJ2" s="283"/>
      <c r="DUK2" s="283"/>
      <c r="DUL2" s="283"/>
      <c r="DUM2" s="283"/>
      <c r="DUN2" s="283"/>
      <c r="DUO2" s="283"/>
      <c r="DUP2" s="283"/>
      <c r="DUQ2" s="283"/>
      <c r="DUR2" s="283"/>
      <c r="DUS2" s="283"/>
      <c r="DUT2" s="283"/>
      <c r="DUU2" s="283"/>
      <c r="DUV2" s="283"/>
      <c r="DUW2" s="283"/>
      <c r="DUX2" s="283"/>
      <c r="DUY2" s="283"/>
      <c r="DUZ2" s="283"/>
      <c r="DVA2" s="283"/>
      <c r="DVB2" s="283"/>
      <c r="DVC2" s="283"/>
      <c r="DVD2" s="283"/>
      <c r="DVE2" s="283"/>
      <c r="DVF2" s="283"/>
      <c r="DVG2" s="283"/>
      <c r="DVH2" s="283"/>
      <c r="DVI2" s="283"/>
      <c r="DVJ2" s="283"/>
      <c r="DVK2" s="283"/>
      <c r="DVL2" s="283"/>
      <c r="DVM2" s="283"/>
      <c r="DVN2" s="283"/>
      <c r="DVO2" s="283"/>
      <c r="DVP2" s="283"/>
      <c r="DVQ2" s="283"/>
      <c r="DVR2" s="283"/>
      <c r="DVS2" s="283"/>
      <c r="DVT2" s="283"/>
      <c r="DVU2" s="283"/>
      <c r="DVV2" s="283"/>
      <c r="DVW2" s="283"/>
      <c r="DVX2" s="283"/>
      <c r="DVY2" s="283"/>
      <c r="DVZ2" s="283"/>
      <c r="DWA2" s="283"/>
      <c r="DWB2" s="283"/>
      <c r="DWC2" s="283"/>
      <c r="DWD2" s="283"/>
      <c r="DWE2" s="283"/>
      <c r="DWF2" s="283"/>
      <c r="DWG2" s="283"/>
      <c r="DWH2" s="283"/>
      <c r="DWI2" s="283"/>
      <c r="DWJ2" s="283"/>
      <c r="DWK2" s="283"/>
      <c r="DWL2" s="283"/>
      <c r="DWM2" s="283"/>
      <c r="DWN2" s="283"/>
      <c r="DWO2" s="283"/>
      <c r="DWP2" s="283"/>
      <c r="DWQ2" s="283"/>
      <c r="DWR2" s="283"/>
      <c r="DWS2" s="283"/>
      <c r="DWT2" s="283"/>
      <c r="DWU2" s="283"/>
      <c r="DWV2" s="283"/>
      <c r="DWW2" s="283"/>
      <c r="DWX2" s="283"/>
      <c r="DWY2" s="283"/>
      <c r="DWZ2" s="283"/>
      <c r="DXA2" s="283"/>
      <c r="DXB2" s="283"/>
      <c r="DXC2" s="283"/>
      <c r="DXD2" s="283"/>
      <c r="DXE2" s="283"/>
      <c r="DXF2" s="283"/>
      <c r="DXG2" s="283"/>
      <c r="DXH2" s="283"/>
      <c r="DXI2" s="283"/>
      <c r="DXJ2" s="283"/>
      <c r="DXK2" s="283"/>
      <c r="DXL2" s="283"/>
      <c r="DXM2" s="283"/>
      <c r="DXN2" s="283"/>
      <c r="DXO2" s="283"/>
      <c r="DXP2" s="283"/>
      <c r="DXQ2" s="283"/>
      <c r="DXR2" s="283"/>
      <c r="DXS2" s="283"/>
      <c r="DXT2" s="283"/>
      <c r="DXU2" s="283"/>
      <c r="DXV2" s="283"/>
      <c r="DXW2" s="283"/>
      <c r="DXX2" s="283"/>
      <c r="DXY2" s="283"/>
      <c r="DXZ2" s="283"/>
      <c r="DYA2" s="283"/>
      <c r="DYB2" s="283"/>
      <c r="DYC2" s="283"/>
      <c r="DYD2" s="283"/>
      <c r="DYE2" s="283"/>
      <c r="DYF2" s="283"/>
      <c r="DYG2" s="283"/>
      <c r="DYH2" s="283"/>
      <c r="DYI2" s="283"/>
      <c r="DYJ2" s="283"/>
      <c r="DYK2" s="283"/>
      <c r="DYL2" s="283"/>
      <c r="DYM2" s="283"/>
      <c r="DYN2" s="283"/>
      <c r="DYO2" s="283"/>
      <c r="DYP2" s="283"/>
      <c r="DYQ2" s="283"/>
      <c r="DYR2" s="283"/>
      <c r="DYS2" s="283"/>
      <c r="DYT2" s="283"/>
      <c r="DYU2" s="283"/>
      <c r="DYV2" s="283"/>
      <c r="DYW2" s="283"/>
      <c r="DYX2" s="283"/>
      <c r="DYY2" s="283"/>
      <c r="DYZ2" s="283"/>
      <c r="DZA2" s="283"/>
      <c r="DZB2" s="283"/>
      <c r="DZC2" s="283"/>
      <c r="DZD2" s="283"/>
      <c r="DZE2" s="283"/>
      <c r="DZF2" s="283"/>
      <c r="DZG2" s="283"/>
      <c r="DZH2" s="283"/>
      <c r="DZI2" s="283"/>
      <c r="DZJ2" s="283"/>
      <c r="DZK2" s="283"/>
      <c r="DZL2" s="283"/>
      <c r="DZM2" s="283"/>
      <c r="DZN2" s="283"/>
      <c r="DZO2" s="283"/>
      <c r="DZP2" s="283"/>
      <c r="DZQ2" s="283"/>
      <c r="DZR2" s="283"/>
      <c r="DZS2" s="283"/>
      <c r="DZT2" s="283"/>
      <c r="DZU2" s="283"/>
      <c r="DZV2" s="283"/>
      <c r="DZW2" s="283"/>
      <c r="DZX2" s="283"/>
      <c r="DZY2" s="283"/>
      <c r="DZZ2" s="283"/>
      <c r="EAA2" s="283"/>
      <c r="EAB2" s="283"/>
      <c r="EAC2" s="283"/>
      <c r="EAD2" s="283"/>
      <c r="EAE2" s="283"/>
      <c r="EAF2" s="283"/>
      <c r="EAG2" s="283"/>
      <c r="EAH2" s="283"/>
      <c r="EAI2" s="283"/>
      <c r="EAJ2" s="283"/>
      <c r="EAK2" s="283"/>
      <c r="EAL2" s="283"/>
      <c r="EAM2" s="283"/>
      <c r="EAN2" s="283"/>
      <c r="EAO2" s="283"/>
      <c r="EAP2" s="283"/>
      <c r="EAQ2" s="283"/>
      <c r="EAR2" s="283"/>
      <c r="EAS2" s="283"/>
      <c r="EAT2" s="283"/>
      <c r="EAU2" s="283"/>
      <c r="EAV2" s="283"/>
      <c r="EAW2" s="283"/>
      <c r="EAX2" s="283"/>
      <c r="EAY2" s="283"/>
      <c r="EAZ2" s="283"/>
      <c r="EBA2" s="283"/>
      <c r="EBB2" s="283"/>
      <c r="EBC2" s="283"/>
      <c r="EBD2" s="283"/>
      <c r="EBE2" s="283"/>
      <c r="EBF2" s="283"/>
      <c r="EBG2" s="283"/>
      <c r="EBH2" s="283"/>
      <c r="EBI2" s="283"/>
      <c r="EBJ2" s="283"/>
      <c r="EBK2" s="283"/>
      <c r="EBL2" s="283"/>
      <c r="EBM2" s="283"/>
      <c r="EBN2" s="283"/>
      <c r="EBO2" s="283"/>
      <c r="EBP2" s="283"/>
      <c r="EBQ2" s="283"/>
      <c r="EBR2" s="283"/>
      <c r="EBS2" s="283"/>
      <c r="EBT2" s="283"/>
      <c r="EBU2" s="283"/>
      <c r="EBV2" s="283"/>
      <c r="EBW2" s="283"/>
      <c r="EBX2" s="283"/>
      <c r="EBY2" s="283"/>
      <c r="EBZ2" s="283"/>
      <c r="ECA2" s="283"/>
      <c r="ECB2" s="283"/>
      <c r="ECC2" s="283"/>
      <c r="ECD2" s="283"/>
      <c r="ECE2" s="283"/>
      <c r="ECF2" s="283"/>
      <c r="ECG2" s="283"/>
      <c r="ECH2" s="283"/>
      <c r="ECI2" s="283"/>
      <c r="ECJ2" s="283"/>
      <c r="ECK2" s="283"/>
      <c r="ECL2" s="283"/>
      <c r="ECM2" s="283"/>
      <c r="ECN2" s="283"/>
      <c r="ECO2" s="283"/>
      <c r="ECP2" s="283"/>
      <c r="ECQ2" s="283"/>
      <c r="ECR2" s="283"/>
      <c r="ECS2" s="283"/>
      <c r="ECT2" s="283"/>
      <c r="ECU2" s="283"/>
      <c r="ECV2" s="283"/>
      <c r="ECW2" s="283"/>
      <c r="ECX2" s="283"/>
      <c r="ECY2" s="283"/>
      <c r="ECZ2" s="283"/>
      <c r="EDA2" s="283"/>
      <c r="EDB2" s="283"/>
      <c r="EDC2" s="283"/>
      <c r="EDD2" s="283"/>
      <c r="EDE2" s="283"/>
      <c r="EDF2" s="283"/>
      <c r="EDG2" s="283"/>
      <c r="EDH2" s="283"/>
      <c r="EDI2" s="283"/>
      <c r="EDJ2" s="283"/>
      <c r="EDK2" s="283"/>
      <c r="EDL2" s="283"/>
      <c r="EDM2" s="283"/>
      <c r="EDN2" s="283"/>
      <c r="EDO2" s="283"/>
      <c r="EDP2" s="283"/>
      <c r="EDQ2" s="283"/>
      <c r="EDR2" s="283"/>
      <c r="EDS2" s="283"/>
      <c r="EDT2" s="283"/>
      <c r="EDU2" s="283"/>
      <c r="EDV2" s="283"/>
      <c r="EDW2" s="283"/>
      <c r="EDX2" s="283"/>
      <c r="EDY2" s="283"/>
      <c r="EDZ2" s="283"/>
      <c r="EEA2" s="283"/>
      <c r="EEB2" s="283"/>
      <c r="EEC2" s="283"/>
      <c r="EED2" s="283"/>
      <c r="EEE2" s="283"/>
      <c r="EEF2" s="283"/>
      <c r="EEG2" s="283"/>
      <c r="EEH2" s="283"/>
      <c r="EEI2" s="283"/>
      <c r="EEJ2" s="283"/>
      <c r="EEK2" s="283"/>
      <c r="EEL2" s="283"/>
      <c r="EEM2" s="283"/>
      <c r="EEN2" s="283"/>
      <c r="EEO2" s="283"/>
      <c r="EEP2" s="283"/>
      <c r="EEQ2" s="283"/>
      <c r="EER2" s="283"/>
      <c r="EES2" s="283"/>
      <c r="EET2" s="283"/>
      <c r="EEU2" s="283"/>
      <c r="EEV2" s="283"/>
      <c r="EEW2" s="283"/>
      <c r="EEX2" s="283"/>
      <c r="EEY2" s="283"/>
      <c r="EEZ2" s="283"/>
      <c r="EFA2" s="283"/>
      <c r="EFB2" s="283"/>
      <c r="EFC2" s="283"/>
      <c r="EFD2" s="283"/>
      <c r="EFE2" s="283"/>
      <c r="EFF2" s="283"/>
      <c r="EFG2" s="283"/>
      <c r="EFH2" s="283"/>
      <c r="EFI2" s="283"/>
      <c r="EFJ2" s="283"/>
      <c r="EFK2" s="283"/>
      <c r="EFL2" s="283"/>
      <c r="EFM2" s="283"/>
      <c r="EFN2" s="283"/>
      <c r="EFO2" s="283"/>
      <c r="EFP2" s="283"/>
      <c r="EFQ2" s="283"/>
      <c r="EFR2" s="283"/>
      <c r="EFS2" s="283"/>
      <c r="EFT2" s="283"/>
      <c r="EFU2" s="283"/>
      <c r="EFV2" s="283"/>
      <c r="EFW2" s="283"/>
      <c r="EFX2" s="283"/>
      <c r="EFY2" s="283"/>
      <c r="EFZ2" s="283"/>
      <c r="EGA2" s="283"/>
      <c r="EGB2" s="283"/>
      <c r="EGC2" s="283"/>
      <c r="EGD2" s="283"/>
      <c r="EGE2" s="283"/>
      <c r="EGF2" s="283"/>
      <c r="EGG2" s="283"/>
      <c r="EGH2" s="283"/>
      <c r="EGI2" s="283"/>
      <c r="EGJ2" s="283"/>
      <c r="EGK2" s="283"/>
      <c r="EGL2" s="283"/>
      <c r="EGM2" s="283"/>
      <c r="EGN2" s="283"/>
      <c r="EGO2" s="283"/>
      <c r="EGP2" s="283"/>
      <c r="EGQ2" s="283"/>
      <c r="EGR2" s="283"/>
      <c r="EGS2" s="283"/>
      <c r="EGT2" s="283"/>
      <c r="EGU2" s="283"/>
      <c r="EGV2" s="283"/>
      <c r="EGW2" s="283"/>
      <c r="EGX2" s="283"/>
      <c r="EGY2" s="283"/>
      <c r="EGZ2" s="283"/>
      <c r="EHA2" s="283"/>
      <c r="EHB2" s="283"/>
      <c r="EHC2" s="283"/>
      <c r="EHD2" s="283"/>
      <c r="EHE2" s="283"/>
      <c r="EHF2" s="283"/>
      <c r="EHG2" s="283"/>
      <c r="EHH2" s="283"/>
      <c r="EHI2" s="283"/>
      <c r="EHJ2" s="283"/>
      <c r="EHK2" s="283"/>
      <c r="EHL2" s="283"/>
      <c r="EHM2" s="283"/>
      <c r="EHN2" s="283"/>
      <c r="EHO2" s="283"/>
      <c r="EHP2" s="283"/>
      <c r="EHQ2" s="283"/>
      <c r="EHR2" s="283"/>
      <c r="EHS2" s="283"/>
      <c r="EHT2" s="283"/>
      <c r="EHU2" s="283"/>
      <c r="EHV2" s="283"/>
      <c r="EHW2" s="283"/>
      <c r="EHX2" s="283"/>
      <c r="EHY2" s="283"/>
      <c r="EHZ2" s="283"/>
      <c r="EIA2" s="283"/>
      <c r="EIB2" s="283"/>
      <c r="EIC2" s="283"/>
      <c r="EID2" s="283"/>
      <c r="EIE2" s="283"/>
      <c r="EIF2" s="283"/>
      <c r="EIG2" s="283"/>
      <c r="EIH2" s="283"/>
      <c r="EII2" s="283"/>
      <c r="EIJ2" s="283"/>
      <c r="EIK2" s="283"/>
      <c r="EIL2" s="283"/>
      <c r="EIM2" s="283"/>
      <c r="EIN2" s="283"/>
      <c r="EIO2" s="283"/>
      <c r="EIP2" s="283"/>
      <c r="EIQ2" s="283"/>
      <c r="EIR2" s="283"/>
      <c r="EIS2" s="283"/>
      <c r="EIT2" s="283"/>
      <c r="EIU2" s="283"/>
      <c r="EIV2" s="283"/>
      <c r="EIW2" s="283"/>
      <c r="EIX2" s="283"/>
      <c r="EIY2" s="283"/>
      <c r="EIZ2" s="283"/>
      <c r="EJA2" s="283"/>
      <c r="EJB2" s="283"/>
      <c r="EJC2" s="283"/>
      <c r="EJD2" s="283"/>
      <c r="EJE2" s="283"/>
      <c r="EJF2" s="283"/>
      <c r="EJG2" s="283"/>
      <c r="EJH2" s="283"/>
      <c r="EJI2" s="283"/>
      <c r="EJJ2" s="283"/>
      <c r="EJK2" s="283"/>
      <c r="EJL2" s="283"/>
      <c r="EJM2" s="283"/>
      <c r="EJN2" s="283"/>
      <c r="EJO2" s="283"/>
      <c r="EJP2" s="283"/>
      <c r="EJQ2" s="283"/>
      <c r="EJR2" s="283"/>
      <c r="EJS2" s="283"/>
      <c r="EJT2" s="283"/>
      <c r="EJU2" s="283"/>
      <c r="EJV2" s="283"/>
      <c r="EJW2" s="283"/>
      <c r="EJX2" s="283"/>
      <c r="EJY2" s="283"/>
      <c r="EJZ2" s="283"/>
      <c r="EKA2" s="283"/>
      <c r="EKB2" s="283"/>
      <c r="EKC2" s="283"/>
      <c r="EKD2" s="283"/>
      <c r="EKE2" s="283"/>
      <c r="EKF2" s="283"/>
      <c r="EKG2" s="283"/>
      <c r="EKH2" s="283"/>
      <c r="EKI2" s="283"/>
      <c r="EKJ2" s="283"/>
      <c r="EKK2" s="283"/>
      <c r="EKL2" s="283"/>
      <c r="EKM2" s="283"/>
      <c r="EKN2" s="283"/>
      <c r="EKO2" s="283"/>
      <c r="EKP2" s="283"/>
      <c r="EKQ2" s="283"/>
      <c r="EKR2" s="283"/>
      <c r="EKS2" s="283"/>
      <c r="EKT2" s="283"/>
      <c r="EKU2" s="283"/>
      <c r="EKV2" s="283"/>
      <c r="EKW2" s="283"/>
      <c r="EKX2" s="283"/>
      <c r="EKY2" s="283"/>
      <c r="EKZ2" s="283"/>
      <c r="ELA2" s="283"/>
      <c r="ELB2" s="283"/>
      <c r="ELC2" s="283"/>
      <c r="ELD2" s="283"/>
      <c r="ELE2" s="283"/>
      <c r="ELF2" s="283"/>
      <c r="ELG2" s="283"/>
      <c r="ELH2" s="283"/>
      <c r="ELI2" s="283"/>
      <c r="ELJ2" s="283"/>
      <c r="ELK2" s="283"/>
      <c r="ELL2" s="283"/>
      <c r="ELM2" s="283"/>
      <c r="ELN2" s="283"/>
      <c r="ELO2" s="283"/>
      <c r="ELP2" s="283"/>
      <c r="ELQ2" s="283"/>
      <c r="ELR2" s="283"/>
      <c r="ELS2" s="283"/>
      <c r="ELT2" s="283"/>
      <c r="ELU2" s="283"/>
      <c r="ELV2" s="283"/>
      <c r="ELW2" s="283"/>
      <c r="ELX2" s="283"/>
      <c r="ELY2" s="283"/>
      <c r="ELZ2" s="283"/>
      <c r="EMA2" s="283"/>
      <c r="EMB2" s="283"/>
      <c r="EMC2" s="283"/>
      <c r="EMD2" s="283"/>
      <c r="EME2" s="283"/>
      <c r="EMF2" s="283"/>
      <c r="EMG2" s="283"/>
      <c r="EMH2" s="283"/>
      <c r="EMI2" s="283"/>
      <c r="EMJ2" s="283"/>
      <c r="EMK2" s="283"/>
      <c r="EML2" s="283"/>
      <c r="EMM2" s="283"/>
      <c r="EMN2" s="283"/>
      <c r="EMO2" s="283"/>
      <c r="EMP2" s="283"/>
      <c r="EMQ2" s="283"/>
      <c r="EMR2" s="283"/>
      <c r="EMS2" s="283"/>
      <c r="EMT2" s="283"/>
      <c r="EMU2" s="283"/>
      <c r="EMV2" s="283"/>
      <c r="EMW2" s="283"/>
      <c r="EMX2" s="283"/>
      <c r="EMY2" s="283"/>
      <c r="EMZ2" s="283"/>
      <c r="ENA2" s="283"/>
      <c r="ENB2" s="283"/>
      <c r="ENC2" s="283"/>
      <c r="END2" s="283"/>
      <c r="ENE2" s="283"/>
      <c r="ENF2" s="283"/>
      <c r="ENG2" s="283"/>
      <c r="ENH2" s="283"/>
      <c r="ENI2" s="283"/>
      <c r="ENJ2" s="283"/>
      <c r="ENK2" s="283"/>
      <c r="ENL2" s="283"/>
      <c r="ENM2" s="283"/>
      <c r="ENN2" s="283"/>
      <c r="ENO2" s="283"/>
      <c r="ENP2" s="283"/>
      <c r="ENQ2" s="283"/>
      <c r="ENR2" s="283"/>
      <c r="ENS2" s="283"/>
      <c r="ENT2" s="283"/>
      <c r="ENU2" s="283"/>
      <c r="ENV2" s="283"/>
      <c r="ENW2" s="283"/>
      <c r="ENX2" s="283"/>
      <c r="ENY2" s="283"/>
      <c r="ENZ2" s="283"/>
      <c r="EOA2" s="283"/>
      <c r="EOB2" s="283"/>
      <c r="EOC2" s="283"/>
      <c r="EOD2" s="283"/>
      <c r="EOE2" s="283"/>
      <c r="EOF2" s="283"/>
      <c r="EOG2" s="283"/>
      <c r="EOH2" s="283"/>
      <c r="EOI2" s="283"/>
      <c r="EOJ2" s="283"/>
      <c r="EOK2" s="283"/>
      <c r="EOL2" s="283"/>
      <c r="EOM2" s="283"/>
      <c r="EON2" s="283"/>
      <c r="EOO2" s="283"/>
      <c r="EOP2" s="283"/>
      <c r="EOQ2" s="283"/>
      <c r="EOR2" s="283"/>
      <c r="EOS2" s="283"/>
      <c r="EOT2" s="283"/>
      <c r="EOU2" s="283"/>
      <c r="EOV2" s="283"/>
      <c r="EOW2" s="283"/>
      <c r="EOX2" s="283"/>
      <c r="EOY2" s="283"/>
      <c r="EOZ2" s="283"/>
      <c r="EPA2" s="283"/>
      <c r="EPB2" s="283"/>
      <c r="EPC2" s="283"/>
      <c r="EPD2" s="283"/>
      <c r="EPE2" s="283"/>
      <c r="EPF2" s="283"/>
      <c r="EPG2" s="283"/>
      <c r="EPH2" s="283"/>
      <c r="EPI2" s="283"/>
      <c r="EPJ2" s="283"/>
      <c r="EPK2" s="283"/>
      <c r="EPL2" s="283"/>
      <c r="EPM2" s="283"/>
      <c r="EPN2" s="283"/>
      <c r="EPO2" s="283"/>
      <c r="EPP2" s="283"/>
      <c r="EPQ2" s="283"/>
      <c r="EPR2" s="283"/>
      <c r="EPS2" s="283"/>
      <c r="EPT2" s="283"/>
      <c r="EPU2" s="283"/>
      <c r="EPV2" s="283"/>
      <c r="EPW2" s="283"/>
      <c r="EPX2" s="283"/>
      <c r="EPY2" s="283"/>
      <c r="EPZ2" s="283"/>
      <c r="EQA2" s="283"/>
      <c r="EQB2" s="283"/>
      <c r="EQC2" s="283"/>
      <c r="EQD2" s="283"/>
      <c r="EQE2" s="283"/>
      <c r="EQF2" s="283"/>
      <c r="EQG2" s="283"/>
      <c r="EQH2" s="283"/>
      <c r="EQI2" s="283"/>
      <c r="EQJ2" s="283"/>
      <c r="EQK2" s="283"/>
      <c r="EQL2" s="283"/>
      <c r="EQM2" s="283"/>
      <c r="EQN2" s="283"/>
      <c r="EQO2" s="283"/>
      <c r="EQP2" s="283"/>
      <c r="EQQ2" s="283"/>
      <c r="EQR2" s="283"/>
      <c r="EQS2" s="283"/>
      <c r="EQT2" s="283"/>
      <c r="EQU2" s="283"/>
      <c r="EQV2" s="283"/>
      <c r="EQW2" s="283"/>
      <c r="EQX2" s="283"/>
      <c r="EQY2" s="283"/>
      <c r="EQZ2" s="283"/>
      <c r="ERA2" s="283"/>
      <c r="ERB2" s="283"/>
      <c r="ERC2" s="283"/>
      <c r="ERD2" s="283"/>
      <c r="ERE2" s="283"/>
      <c r="ERF2" s="283"/>
      <c r="ERG2" s="283"/>
      <c r="ERH2" s="283"/>
      <c r="ERI2" s="283"/>
      <c r="ERJ2" s="283"/>
      <c r="ERK2" s="283"/>
      <c r="ERL2" s="283"/>
      <c r="ERM2" s="283"/>
      <c r="ERN2" s="283"/>
      <c r="ERO2" s="283"/>
      <c r="ERP2" s="283"/>
      <c r="ERQ2" s="283"/>
      <c r="ERR2" s="283"/>
      <c r="ERS2" s="283"/>
      <c r="ERT2" s="283"/>
      <c r="ERU2" s="283"/>
      <c r="ERV2" s="283"/>
      <c r="ERW2" s="283"/>
      <c r="ERX2" s="283"/>
      <c r="ERY2" s="283"/>
      <c r="ERZ2" s="283"/>
      <c r="ESA2" s="283"/>
      <c r="ESB2" s="283"/>
      <c r="ESC2" s="283"/>
      <c r="ESD2" s="283"/>
      <c r="ESE2" s="283"/>
      <c r="ESF2" s="283"/>
      <c r="ESG2" s="283"/>
      <c r="ESH2" s="283"/>
      <c r="ESI2" s="283"/>
      <c r="ESJ2" s="283"/>
      <c r="ESK2" s="283"/>
      <c r="ESL2" s="283"/>
      <c r="ESM2" s="283"/>
      <c r="ESN2" s="283"/>
      <c r="ESO2" s="283"/>
      <c r="ESP2" s="283"/>
      <c r="ESQ2" s="283"/>
      <c r="ESR2" s="283"/>
      <c r="ESS2" s="283"/>
      <c r="EST2" s="283"/>
      <c r="ESU2" s="283"/>
      <c r="ESV2" s="283"/>
      <c r="ESW2" s="283"/>
      <c r="ESX2" s="283"/>
      <c r="ESY2" s="283"/>
      <c r="ESZ2" s="283"/>
      <c r="ETA2" s="283"/>
      <c r="ETB2" s="283"/>
      <c r="ETC2" s="283"/>
      <c r="ETD2" s="283"/>
      <c r="ETE2" s="283"/>
      <c r="ETF2" s="283"/>
      <c r="ETG2" s="283"/>
      <c r="ETH2" s="283"/>
      <c r="ETI2" s="283"/>
      <c r="ETJ2" s="283"/>
      <c r="ETK2" s="283"/>
      <c r="ETL2" s="283"/>
      <c r="ETM2" s="283"/>
      <c r="ETN2" s="283"/>
      <c r="ETO2" s="283"/>
      <c r="ETP2" s="283"/>
      <c r="ETQ2" s="283"/>
      <c r="ETR2" s="283"/>
      <c r="ETS2" s="283"/>
      <c r="ETT2" s="283"/>
      <c r="ETU2" s="283"/>
      <c r="ETV2" s="283"/>
      <c r="ETW2" s="283"/>
      <c r="ETX2" s="283"/>
      <c r="ETY2" s="283"/>
      <c r="ETZ2" s="283"/>
      <c r="EUA2" s="283"/>
      <c r="EUB2" s="283"/>
      <c r="EUC2" s="283"/>
      <c r="EUD2" s="283"/>
      <c r="EUE2" s="283"/>
      <c r="EUF2" s="283"/>
      <c r="EUG2" s="283"/>
      <c r="EUH2" s="283"/>
      <c r="EUI2" s="283"/>
      <c r="EUJ2" s="283"/>
      <c r="EUK2" s="283"/>
      <c r="EUL2" s="283"/>
      <c r="EUM2" s="283"/>
      <c r="EUN2" s="283"/>
      <c r="EUO2" s="283"/>
      <c r="EUP2" s="283"/>
      <c r="EUQ2" s="283"/>
      <c r="EUR2" s="283"/>
      <c r="EUS2" s="283"/>
      <c r="EUT2" s="283"/>
      <c r="EUU2" s="283"/>
      <c r="EUV2" s="283"/>
      <c r="EUW2" s="283"/>
      <c r="EUX2" s="283"/>
      <c r="EUY2" s="283"/>
      <c r="EUZ2" s="283"/>
      <c r="EVA2" s="283"/>
      <c r="EVB2" s="283"/>
      <c r="EVC2" s="283"/>
      <c r="EVD2" s="283"/>
      <c r="EVE2" s="283"/>
      <c r="EVF2" s="283"/>
      <c r="EVG2" s="283"/>
      <c r="EVH2" s="283"/>
      <c r="EVI2" s="283"/>
      <c r="EVJ2" s="283"/>
      <c r="EVK2" s="283"/>
      <c r="EVL2" s="283"/>
      <c r="EVM2" s="283"/>
      <c r="EVN2" s="283"/>
      <c r="EVO2" s="283"/>
      <c r="EVP2" s="283"/>
      <c r="EVQ2" s="283"/>
      <c r="EVR2" s="283"/>
      <c r="EVS2" s="283"/>
      <c r="EVT2" s="283"/>
      <c r="EVU2" s="283"/>
      <c r="EVV2" s="283"/>
      <c r="EVW2" s="283"/>
      <c r="EVX2" s="283"/>
      <c r="EVY2" s="283"/>
      <c r="EVZ2" s="283"/>
      <c r="EWA2" s="283"/>
      <c r="EWB2" s="283"/>
      <c r="EWC2" s="283"/>
      <c r="EWD2" s="283"/>
      <c r="EWE2" s="283"/>
      <c r="EWF2" s="283"/>
      <c r="EWG2" s="283"/>
      <c r="EWH2" s="283"/>
      <c r="EWI2" s="283"/>
      <c r="EWJ2" s="283"/>
      <c r="EWK2" s="283"/>
      <c r="EWL2" s="283"/>
      <c r="EWM2" s="283"/>
      <c r="EWN2" s="283"/>
      <c r="EWO2" s="283"/>
      <c r="EWP2" s="283"/>
      <c r="EWQ2" s="283"/>
      <c r="EWR2" s="283"/>
      <c r="EWS2" s="283"/>
      <c r="EWT2" s="283"/>
      <c r="EWU2" s="283"/>
      <c r="EWV2" s="283"/>
      <c r="EWW2" s="283"/>
      <c r="EWX2" s="283"/>
      <c r="EWY2" s="283"/>
      <c r="EWZ2" s="283"/>
      <c r="EXA2" s="283"/>
      <c r="EXB2" s="283"/>
      <c r="EXC2" s="283"/>
      <c r="EXD2" s="283"/>
      <c r="EXE2" s="283"/>
      <c r="EXF2" s="283"/>
      <c r="EXG2" s="283"/>
      <c r="EXH2" s="283"/>
      <c r="EXI2" s="283"/>
      <c r="EXJ2" s="283"/>
      <c r="EXK2" s="283"/>
      <c r="EXL2" s="283"/>
      <c r="EXM2" s="283"/>
      <c r="EXN2" s="283"/>
      <c r="EXO2" s="283"/>
      <c r="EXP2" s="283"/>
      <c r="EXQ2" s="283"/>
      <c r="EXR2" s="283"/>
      <c r="EXS2" s="283"/>
      <c r="EXT2" s="283"/>
      <c r="EXU2" s="283"/>
      <c r="EXV2" s="283"/>
      <c r="EXW2" s="283"/>
      <c r="EXX2" s="283"/>
      <c r="EXY2" s="283"/>
      <c r="EXZ2" s="283"/>
      <c r="EYA2" s="283"/>
      <c r="EYB2" s="283"/>
      <c r="EYC2" s="283"/>
      <c r="EYD2" s="283"/>
      <c r="EYE2" s="283"/>
      <c r="EYF2" s="283"/>
      <c r="EYG2" s="283"/>
      <c r="EYH2" s="283"/>
      <c r="EYI2" s="283"/>
      <c r="EYJ2" s="283"/>
      <c r="EYK2" s="283"/>
      <c r="EYL2" s="283"/>
      <c r="EYM2" s="283"/>
      <c r="EYN2" s="283"/>
      <c r="EYO2" s="283"/>
      <c r="EYP2" s="283"/>
      <c r="EYQ2" s="283"/>
      <c r="EYR2" s="283"/>
      <c r="EYS2" s="283"/>
      <c r="EYT2" s="283"/>
      <c r="EYU2" s="283"/>
      <c r="EYV2" s="283"/>
      <c r="EYW2" s="283"/>
      <c r="EYX2" s="283"/>
      <c r="EYY2" s="283"/>
      <c r="EYZ2" s="283"/>
      <c r="EZA2" s="283"/>
      <c r="EZB2" s="283"/>
      <c r="EZC2" s="283"/>
      <c r="EZD2" s="283"/>
      <c r="EZE2" s="283"/>
      <c r="EZF2" s="283"/>
      <c r="EZG2" s="283"/>
      <c r="EZH2" s="283"/>
      <c r="EZI2" s="283"/>
      <c r="EZJ2" s="283"/>
      <c r="EZK2" s="283"/>
      <c r="EZL2" s="283"/>
      <c r="EZM2" s="283"/>
      <c r="EZN2" s="283"/>
      <c r="EZO2" s="283"/>
      <c r="EZP2" s="283"/>
      <c r="EZQ2" s="283"/>
      <c r="EZR2" s="283"/>
      <c r="EZS2" s="283"/>
      <c r="EZT2" s="283"/>
      <c r="EZU2" s="283"/>
      <c r="EZV2" s="283"/>
      <c r="EZW2" s="283"/>
      <c r="EZX2" s="283"/>
      <c r="EZY2" s="283"/>
      <c r="EZZ2" s="283"/>
      <c r="FAA2" s="283"/>
      <c r="FAB2" s="283"/>
      <c r="FAC2" s="283"/>
      <c r="FAD2" s="283"/>
      <c r="FAE2" s="283"/>
      <c r="FAF2" s="283"/>
      <c r="FAG2" s="283"/>
      <c r="FAH2" s="283"/>
      <c r="FAI2" s="283"/>
      <c r="FAJ2" s="283"/>
      <c r="FAK2" s="283"/>
      <c r="FAL2" s="283"/>
      <c r="FAM2" s="283"/>
      <c r="FAN2" s="283"/>
      <c r="FAO2" s="283"/>
      <c r="FAP2" s="283"/>
      <c r="FAQ2" s="283"/>
      <c r="FAR2" s="283"/>
      <c r="FAS2" s="283"/>
      <c r="FAT2" s="283"/>
      <c r="FAU2" s="283"/>
      <c r="FAV2" s="283"/>
      <c r="FAW2" s="283"/>
      <c r="FAX2" s="283"/>
      <c r="FAY2" s="283"/>
      <c r="FAZ2" s="283"/>
      <c r="FBA2" s="283"/>
      <c r="FBB2" s="283"/>
      <c r="FBC2" s="283"/>
      <c r="FBD2" s="283"/>
      <c r="FBE2" s="283"/>
      <c r="FBF2" s="283"/>
      <c r="FBG2" s="283"/>
      <c r="FBH2" s="283"/>
      <c r="FBI2" s="283"/>
      <c r="FBJ2" s="283"/>
      <c r="FBK2" s="283"/>
      <c r="FBL2" s="283"/>
      <c r="FBM2" s="283"/>
      <c r="FBN2" s="283"/>
      <c r="FBO2" s="283"/>
      <c r="FBP2" s="283"/>
      <c r="FBQ2" s="283"/>
      <c r="FBR2" s="283"/>
      <c r="FBS2" s="283"/>
      <c r="FBT2" s="283"/>
      <c r="FBU2" s="283"/>
      <c r="FBV2" s="283"/>
      <c r="FBW2" s="283"/>
      <c r="FBX2" s="283"/>
      <c r="FBY2" s="283"/>
      <c r="FBZ2" s="283"/>
      <c r="FCA2" s="283"/>
      <c r="FCB2" s="283"/>
      <c r="FCC2" s="283"/>
      <c r="FCD2" s="283"/>
      <c r="FCE2" s="283"/>
      <c r="FCF2" s="283"/>
      <c r="FCG2" s="283"/>
      <c r="FCH2" s="283"/>
      <c r="FCI2" s="283"/>
      <c r="FCJ2" s="283"/>
      <c r="FCK2" s="283"/>
      <c r="FCL2" s="283"/>
      <c r="FCM2" s="283"/>
      <c r="FCN2" s="283"/>
      <c r="FCO2" s="283"/>
      <c r="FCP2" s="283"/>
      <c r="FCQ2" s="283"/>
      <c r="FCR2" s="283"/>
      <c r="FCS2" s="283"/>
      <c r="FCT2" s="283"/>
      <c r="FCU2" s="283"/>
      <c r="FCV2" s="283"/>
      <c r="FCW2" s="283"/>
      <c r="FCX2" s="283"/>
      <c r="FCY2" s="283"/>
      <c r="FCZ2" s="283"/>
      <c r="FDA2" s="283"/>
      <c r="FDB2" s="283"/>
      <c r="FDC2" s="283"/>
      <c r="FDD2" s="283"/>
      <c r="FDE2" s="283"/>
      <c r="FDF2" s="283"/>
      <c r="FDG2" s="283"/>
      <c r="FDH2" s="283"/>
      <c r="FDI2" s="283"/>
      <c r="FDJ2" s="283"/>
      <c r="FDK2" s="283"/>
      <c r="FDL2" s="283"/>
      <c r="FDM2" s="283"/>
      <c r="FDN2" s="283"/>
      <c r="FDO2" s="283"/>
      <c r="FDP2" s="283"/>
      <c r="FDQ2" s="283"/>
      <c r="FDR2" s="283"/>
      <c r="FDS2" s="283"/>
      <c r="FDT2" s="283"/>
      <c r="FDU2" s="283"/>
      <c r="FDV2" s="283"/>
      <c r="FDW2" s="283"/>
      <c r="FDX2" s="283"/>
      <c r="FDY2" s="283"/>
      <c r="FDZ2" s="283"/>
      <c r="FEA2" s="283"/>
      <c r="FEB2" s="283"/>
      <c r="FEC2" s="283"/>
      <c r="FED2" s="283"/>
      <c r="FEE2" s="283"/>
      <c r="FEF2" s="283"/>
      <c r="FEG2" s="283"/>
      <c r="FEH2" s="283"/>
      <c r="FEI2" s="283"/>
      <c r="FEJ2" s="283"/>
      <c r="FEK2" s="283"/>
      <c r="FEL2" s="283"/>
      <c r="FEM2" s="283"/>
      <c r="FEN2" s="283"/>
      <c r="FEO2" s="283"/>
      <c r="FEP2" s="283"/>
      <c r="FEQ2" s="283"/>
      <c r="FER2" s="283"/>
      <c r="FES2" s="283"/>
      <c r="FET2" s="283"/>
      <c r="FEU2" s="283"/>
      <c r="FEV2" s="283"/>
      <c r="FEW2" s="283"/>
      <c r="FEX2" s="283"/>
      <c r="FEY2" s="283"/>
      <c r="FEZ2" s="283"/>
      <c r="FFA2" s="283"/>
      <c r="FFB2" s="283"/>
      <c r="FFC2" s="283"/>
      <c r="FFD2" s="283"/>
      <c r="FFE2" s="283"/>
      <c r="FFF2" s="283"/>
      <c r="FFG2" s="283"/>
      <c r="FFH2" s="283"/>
      <c r="FFI2" s="283"/>
      <c r="FFJ2" s="283"/>
      <c r="FFK2" s="283"/>
      <c r="FFL2" s="283"/>
      <c r="FFM2" s="283"/>
      <c r="FFN2" s="283"/>
      <c r="FFO2" s="283"/>
      <c r="FFP2" s="283"/>
      <c r="FFQ2" s="283"/>
      <c r="FFR2" s="283"/>
      <c r="FFS2" s="283"/>
      <c r="FFT2" s="283"/>
      <c r="FFU2" s="283"/>
      <c r="FFV2" s="283"/>
      <c r="FFW2" s="283"/>
      <c r="FFX2" s="283"/>
      <c r="FFY2" s="283"/>
      <c r="FFZ2" s="283"/>
      <c r="FGA2" s="283"/>
      <c r="FGB2" s="283"/>
      <c r="FGC2" s="283"/>
      <c r="FGD2" s="283"/>
      <c r="FGE2" s="283"/>
      <c r="FGF2" s="283"/>
      <c r="FGG2" s="283"/>
      <c r="FGH2" s="283"/>
      <c r="FGI2" s="283"/>
      <c r="FGJ2" s="283"/>
      <c r="FGK2" s="283"/>
      <c r="FGL2" s="283"/>
      <c r="FGM2" s="283"/>
      <c r="FGN2" s="283"/>
      <c r="FGO2" s="283"/>
      <c r="FGP2" s="283"/>
      <c r="FGQ2" s="283"/>
      <c r="FGR2" s="283"/>
      <c r="FGS2" s="283"/>
      <c r="FGT2" s="283"/>
      <c r="FGU2" s="283"/>
      <c r="FGV2" s="283"/>
      <c r="FGW2" s="283"/>
      <c r="FGX2" s="283"/>
      <c r="FGY2" s="283"/>
      <c r="FGZ2" s="283"/>
      <c r="FHA2" s="283"/>
      <c r="FHB2" s="283"/>
      <c r="FHC2" s="283"/>
      <c r="FHD2" s="283"/>
      <c r="FHE2" s="283"/>
      <c r="FHF2" s="283"/>
      <c r="FHG2" s="283"/>
      <c r="FHH2" s="283"/>
      <c r="FHI2" s="283"/>
      <c r="FHJ2" s="283"/>
      <c r="FHK2" s="283"/>
      <c r="FHL2" s="283"/>
      <c r="FHM2" s="283"/>
      <c r="FHN2" s="283"/>
      <c r="FHO2" s="283"/>
      <c r="FHP2" s="283"/>
      <c r="FHQ2" s="283"/>
      <c r="FHR2" s="283"/>
      <c r="FHS2" s="283"/>
      <c r="FHT2" s="283"/>
      <c r="FHU2" s="283"/>
      <c r="FHV2" s="283"/>
      <c r="FHW2" s="283"/>
      <c r="FHX2" s="283"/>
      <c r="FHY2" s="283"/>
      <c r="FHZ2" s="283"/>
      <c r="FIA2" s="283"/>
      <c r="FIB2" s="283"/>
      <c r="FIC2" s="283"/>
      <c r="FID2" s="283"/>
      <c r="FIE2" s="283"/>
      <c r="FIF2" s="283"/>
      <c r="FIG2" s="283"/>
      <c r="FIH2" s="283"/>
      <c r="FII2" s="283"/>
      <c r="FIJ2" s="283"/>
      <c r="FIK2" s="283"/>
      <c r="FIL2" s="283"/>
      <c r="FIM2" s="283"/>
      <c r="FIN2" s="283"/>
      <c r="FIO2" s="283"/>
      <c r="FIP2" s="283"/>
      <c r="FIQ2" s="283"/>
      <c r="FIR2" s="283"/>
      <c r="FIS2" s="283"/>
      <c r="FIT2" s="283"/>
      <c r="FIU2" s="283"/>
      <c r="FIV2" s="283"/>
      <c r="FIW2" s="283"/>
      <c r="FIX2" s="283"/>
      <c r="FIY2" s="283"/>
      <c r="FIZ2" s="283"/>
      <c r="FJA2" s="283"/>
      <c r="FJB2" s="283"/>
      <c r="FJC2" s="283"/>
      <c r="FJD2" s="283"/>
      <c r="FJE2" s="283"/>
      <c r="FJF2" s="283"/>
      <c r="FJG2" s="283"/>
      <c r="FJH2" s="283"/>
      <c r="FJI2" s="283"/>
      <c r="FJJ2" s="283"/>
      <c r="FJK2" s="283"/>
      <c r="FJL2" s="283"/>
      <c r="FJM2" s="283"/>
      <c r="FJN2" s="283"/>
      <c r="FJO2" s="283"/>
      <c r="FJP2" s="283"/>
      <c r="FJQ2" s="283"/>
      <c r="FJR2" s="283"/>
      <c r="FJS2" s="283"/>
      <c r="FJT2" s="283"/>
      <c r="FJU2" s="283"/>
      <c r="FJV2" s="283"/>
      <c r="FJW2" s="283"/>
      <c r="FJX2" s="283"/>
      <c r="FJY2" s="283"/>
      <c r="FJZ2" s="283"/>
      <c r="FKA2" s="283"/>
      <c r="FKB2" s="283"/>
      <c r="FKC2" s="283"/>
      <c r="FKD2" s="283"/>
      <c r="FKE2" s="283"/>
      <c r="FKF2" s="283"/>
      <c r="FKG2" s="283"/>
      <c r="FKH2" s="283"/>
      <c r="FKI2" s="283"/>
      <c r="FKJ2" s="283"/>
      <c r="FKK2" s="283"/>
      <c r="FKL2" s="283"/>
      <c r="FKM2" s="283"/>
      <c r="FKN2" s="283"/>
      <c r="FKO2" s="283"/>
      <c r="FKP2" s="283"/>
      <c r="FKQ2" s="283"/>
      <c r="FKR2" s="283"/>
      <c r="FKS2" s="283"/>
      <c r="FKT2" s="283"/>
      <c r="FKU2" s="283"/>
      <c r="FKV2" s="283"/>
      <c r="FKW2" s="283"/>
      <c r="FKX2" s="283"/>
      <c r="FKY2" s="283"/>
      <c r="FKZ2" s="283"/>
      <c r="FLA2" s="283"/>
      <c r="FLB2" s="283"/>
      <c r="FLC2" s="283"/>
      <c r="FLD2" s="283"/>
      <c r="FLE2" s="283"/>
      <c r="FLF2" s="283"/>
      <c r="FLG2" s="283"/>
      <c r="FLH2" s="283"/>
      <c r="FLI2" s="283"/>
      <c r="FLJ2" s="283"/>
      <c r="FLK2" s="283"/>
      <c r="FLL2" s="283"/>
      <c r="FLM2" s="283"/>
      <c r="FLN2" s="283"/>
      <c r="FLO2" s="283"/>
      <c r="FLP2" s="283"/>
      <c r="FLQ2" s="283"/>
      <c r="FLR2" s="283"/>
      <c r="FLS2" s="283"/>
      <c r="FLT2" s="283"/>
      <c r="FLU2" s="283"/>
      <c r="FLV2" s="283"/>
      <c r="FLW2" s="283"/>
      <c r="FLX2" s="283"/>
      <c r="FLY2" s="283"/>
      <c r="FLZ2" s="283"/>
      <c r="FMA2" s="283"/>
      <c r="FMB2" s="283"/>
      <c r="FMC2" s="283"/>
      <c r="FMD2" s="283"/>
      <c r="FME2" s="283"/>
      <c r="FMF2" s="283"/>
      <c r="FMG2" s="283"/>
      <c r="FMH2" s="283"/>
      <c r="FMI2" s="283"/>
      <c r="FMJ2" s="283"/>
      <c r="FMK2" s="283"/>
      <c r="FML2" s="283"/>
      <c r="FMM2" s="283"/>
      <c r="FMN2" s="283"/>
      <c r="FMO2" s="283"/>
      <c r="FMP2" s="283"/>
      <c r="FMQ2" s="283"/>
      <c r="FMR2" s="283"/>
      <c r="FMS2" s="283"/>
      <c r="FMT2" s="283"/>
      <c r="FMU2" s="283"/>
      <c r="FMV2" s="283"/>
      <c r="FMW2" s="283"/>
      <c r="FMX2" s="283"/>
      <c r="FMY2" s="283"/>
      <c r="FMZ2" s="283"/>
      <c r="FNA2" s="283"/>
      <c r="FNB2" s="283"/>
      <c r="FNC2" s="283"/>
      <c r="FND2" s="283"/>
      <c r="FNE2" s="283"/>
      <c r="FNF2" s="283"/>
      <c r="FNG2" s="283"/>
      <c r="FNH2" s="283"/>
      <c r="FNI2" s="283"/>
      <c r="FNJ2" s="283"/>
      <c r="FNK2" s="283"/>
      <c r="FNL2" s="283"/>
      <c r="FNM2" s="283"/>
      <c r="FNN2" s="283"/>
      <c r="FNO2" s="283"/>
      <c r="FNP2" s="283"/>
      <c r="FNQ2" s="283"/>
      <c r="FNR2" s="283"/>
      <c r="FNS2" s="283"/>
      <c r="FNT2" s="283"/>
      <c r="FNU2" s="283"/>
      <c r="FNV2" s="283"/>
      <c r="FNW2" s="283"/>
      <c r="FNX2" s="283"/>
      <c r="FNY2" s="283"/>
      <c r="FNZ2" s="283"/>
      <c r="FOA2" s="283"/>
      <c r="FOB2" s="283"/>
      <c r="FOC2" s="283"/>
      <c r="FOD2" s="283"/>
      <c r="FOE2" s="283"/>
      <c r="FOF2" s="283"/>
      <c r="FOG2" s="283"/>
      <c r="FOH2" s="283"/>
      <c r="FOI2" s="283"/>
      <c r="FOJ2" s="283"/>
      <c r="FOK2" s="283"/>
      <c r="FOL2" s="283"/>
      <c r="FOM2" s="283"/>
      <c r="FON2" s="283"/>
      <c r="FOO2" s="283"/>
      <c r="FOP2" s="283"/>
      <c r="FOQ2" s="283"/>
      <c r="FOR2" s="283"/>
      <c r="FOS2" s="283"/>
      <c r="FOT2" s="283"/>
      <c r="FOU2" s="283"/>
      <c r="FOV2" s="283"/>
      <c r="FOW2" s="283"/>
      <c r="FOX2" s="283"/>
      <c r="FOY2" s="283"/>
      <c r="FOZ2" s="283"/>
      <c r="FPA2" s="283"/>
      <c r="FPB2" s="283"/>
      <c r="FPC2" s="283"/>
      <c r="FPD2" s="283"/>
      <c r="FPE2" s="283"/>
      <c r="FPF2" s="283"/>
      <c r="FPG2" s="283"/>
      <c r="FPH2" s="283"/>
      <c r="FPI2" s="283"/>
      <c r="FPJ2" s="283"/>
      <c r="FPK2" s="283"/>
      <c r="FPL2" s="283"/>
      <c r="FPM2" s="283"/>
      <c r="FPN2" s="283"/>
      <c r="FPO2" s="283"/>
      <c r="FPP2" s="283"/>
      <c r="FPQ2" s="283"/>
      <c r="FPR2" s="283"/>
      <c r="FPS2" s="283"/>
      <c r="FPT2" s="283"/>
      <c r="FPU2" s="283"/>
      <c r="FPV2" s="283"/>
      <c r="FPW2" s="283"/>
      <c r="FPX2" s="283"/>
      <c r="FPY2" s="283"/>
      <c r="FPZ2" s="283"/>
      <c r="FQA2" s="283"/>
      <c r="FQB2" s="283"/>
      <c r="FQC2" s="283"/>
      <c r="FQD2" s="283"/>
      <c r="FQE2" s="283"/>
      <c r="FQF2" s="283"/>
      <c r="FQG2" s="283"/>
      <c r="FQH2" s="283"/>
      <c r="FQI2" s="283"/>
      <c r="FQJ2" s="283"/>
      <c r="FQK2" s="283"/>
      <c r="FQL2" s="283"/>
      <c r="FQM2" s="283"/>
      <c r="FQN2" s="283"/>
      <c r="FQO2" s="283"/>
      <c r="FQP2" s="283"/>
      <c r="FQQ2" s="283"/>
      <c r="FQR2" s="283"/>
      <c r="FQS2" s="283"/>
      <c r="FQT2" s="283"/>
      <c r="FQU2" s="283"/>
      <c r="FQV2" s="283"/>
      <c r="FQW2" s="283"/>
      <c r="FQX2" s="283"/>
      <c r="FQY2" s="283"/>
      <c r="FQZ2" s="283"/>
      <c r="FRA2" s="283"/>
      <c r="FRB2" s="283"/>
      <c r="FRC2" s="283"/>
      <c r="FRD2" s="283"/>
      <c r="FRE2" s="283"/>
      <c r="FRF2" s="283"/>
      <c r="FRG2" s="283"/>
      <c r="FRH2" s="283"/>
      <c r="FRI2" s="283"/>
      <c r="FRJ2" s="283"/>
      <c r="FRK2" s="283"/>
      <c r="FRL2" s="283"/>
      <c r="FRM2" s="283"/>
      <c r="FRN2" s="283"/>
      <c r="FRO2" s="283"/>
      <c r="FRP2" s="283"/>
      <c r="FRQ2" s="283"/>
      <c r="FRR2" s="283"/>
      <c r="FRS2" s="283"/>
      <c r="FRT2" s="283"/>
      <c r="FRU2" s="283"/>
      <c r="FRV2" s="283"/>
      <c r="FRW2" s="283"/>
      <c r="FRX2" s="283"/>
      <c r="FRY2" s="283"/>
      <c r="FRZ2" s="283"/>
      <c r="FSA2" s="283"/>
      <c r="FSB2" s="283"/>
      <c r="FSC2" s="283"/>
      <c r="FSD2" s="283"/>
      <c r="FSE2" s="283"/>
      <c r="FSF2" s="283"/>
      <c r="FSG2" s="283"/>
      <c r="FSH2" s="283"/>
      <c r="FSI2" s="283"/>
      <c r="FSJ2" s="283"/>
      <c r="FSK2" s="283"/>
      <c r="FSL2" s="283"/>
      <c r="FSM2" s="283"/>
      <c r="FSN2" s="283"/>
      <c r="FSO2" s="283"/>
      <c r="FSP2" s="283"/>
      <c r="FSQ2" s="283"/>
      <c r="FSR2" s="283"/>
      <c r="FSS2" s="283"/>
      <c r="FST2" s="283"/>
      <c r="FSU2" s="283"/>
      <c r="FSV2" s="283"/>
      <c r="FSW2" s="283"/>
      <c r="FSX2" s="283"/>
      <c r="FSY2" s="283"/>
      <c r="FSZ2" s="283"/>
      <c r="FTA2" s="283"/>
      <c r="FTB2" s="283"/>
      <c r="FTC2" s="283"/>
      <c r="FTD2" s="283"/>
      <c r="FTE2" s="283"/>
      <c r="FTF2" s="283"/>
      <c r="FTG2" s="283"/>
      <c r="FTH2" s="283"/>
      <c r="FTI2" s="283"/>
      <c r="FTJ2" s="283"/>
      <c r="FTK2" s="283"/>
      <c r="FTL2" s="283"/>
      <c r="FTM2" s="283"/>
      <c r="FTN2" s="283"/>
      <c r="FTO2" s="283"/>
      <c r="FTP2" s="283"/>
      <c r="FTQ2" s="283"/>
      <c r="FTR2" s="283"/>
      <c r="FTS2" s="283"/>
      <c r="FTT2" s="283"/>
      <c r="FTU2" s="283"/>
      <c r="FTV2" s="283"/>
      <c r="FTW2" s="283"/>
      <c r="FTX2" s="283"/>
      <c r="FTY2" s="283"/>
      <c r="FTZ2" s="283"/>
      <c r="FUA2" s="283"/>
      <c r="FUB2" s="283"/>
      <c r="FUC2" s="283"/>
      <c r="FUD2" s="283"/>
      <c r="FUE2" s="283"/>
      <c r="FUF2" s="283"/>
      <c r="FUG2" s="283"/>
      <c r="FUH2" s="283"/>
      <c r="FUI2" s="283"/>
      <c r="FUJ2" s="283"/>
      <c r="FUK2" s="283"/>
      <c r="FUL2" s="283"/>
      <c r="FUM2" s="283"/>
      <c r="FUN2" s="283"/>
      <c r="FUO2" s="283"/>
      <c r="FUP2" s="283"/>
      <c r="FUQ2" s="283"/>
      <c r="FUR2" s="283"/>
      <c r="FUS2" s="283"/>
      <c r="FUT2" s="283"/>
      <c r="FUU2" s="283"/>
      <c r="FUV2" s="283"/>
      <c r="FUW2" s="283"/>
      <c r="FUX2" s="283"/>
      <c r="FUY2" s="283"/>
      <c r="FUZ2" s="283"/>
      <c r="FVA2" s="283"/>
      <c r="FVB2" s="283"/>
      <c r="FVC2" s="283"/>
      <c r="FVD2" s="283"/>
      <c r="FVE2" s="283"/>
      <c r="FVF2" s="283"/>
      <c r="FVG2" s="283"/>
      <c r="FVH2" s="283"/>
      <c r="FVI2" s="283"/>
      <c r="FVJ2" s="283"/>
      <c r="FVK2" s="283"/>
      <c r="FVL2" s="283"/>
      <c r="FVM2" s="283"/>
      <c r="FVN2" s="283"/>
      <c r="FVO2" s="283"/>
      <c r="FVP2" s="283"/>
      <c r="FVQ2" s="283"/>
      <c r="FVR2" s="283"/>
      <c r="FVS2" s="283"/>
      <c r="FVT2" s="283"/>
      <c r="FVU2" s="283"/>
      <c r="FVV2" s="283"/>
      <c r="FVW2" s="283"/>
      <c r="FVX2" s="283"/>
      <c r="FVY2" s="283"/>
      <c r="FVZ2" s="283"/>
      <c r="FWA2" s="283"/>
      <c r="FWB2" s="283"/>
      <c r="FWC2" s="283"/>
      <c r="FWD2" s="283"/>
      <c r="FWE2" s="283"/>
      <c r="FWF2" s="283"/>
      <c r="FWG2" s="283"/>
      <c r="FWH2" s="283"/>
      <c r="FWI2" s="283"/>
      <c r="FWJ2" s="283"/>
      <c r="FWK2" s="283"/>
      <c r="FWL2" s="283"/>
      <c r="FWM2" s="283"/>
      <c r="FWN2" s="283"/>
      <c r="FWO2" s="283"/>
      <c r="FWP2" s="283"/>
      <c r="FWQ2" s="283"/>
      <c r="FWR2" s="283"/>
      <c r="FWS2" s="283"/>
      <c r="FWT2" s="283"/>
      <c r="FWU2" s="283"/>
      <c r="FWV2" s="283"/>
      <c r="FWW2" s="283"/>
      <c r="FWX2" s="283"/>
      <c r="FWY2" s="283"/>
      <c r="FWZ2" s="283"/>
      <c r="FXA2" s="283"/>
      <c r="FXB2" s="283"/>
      <c r="FXC2" s="283"/>
      <c r="FXD2" s="283"/>
      <c r="FXE2" s="283"/>
      <c r="FXF2" s="283"/>
      <c r="FXG2" s="283"/>
      <c r="FXH2" s="283"/>
      <c r="FXI2" s="283"/>
      <c r="FXJ2" s="283"/>
      <c r="FXK2" s="283"/>
      <c r="FXL2" s="283"/>
      <c r="FXM2" s="283"/>
      <c r="FXN2" s="283"/>
      <c r="FXO2" s="283"/>
      <c r="FXP2" s="283"/>
      <c r="FXQ2" s="283"/>
      <c r="FXR2" s="283"/>
      <c r="FXS2" s="283"/>
      <c r="FXT2" s="283"/>
      <c r="FXU2" s="283"/>
      <c r="FXV2" s="283"/>
      <c r="FXW2" s="283"/>
      <c r="FXX2" s="283"/>
      <c r="FXY2" s="283"/>
      <c r="FXZ2" s="283"/>
      <c r="FYA2" s="283"/>
      <c r="FYB2" s="283"/>
      <c r="FYC2" s="283"/>
      <c r="FYD2" s="283"/>
      <c r="FYE2" s="283"/>
      <c r="FYF2" s="283"/>
      <c r="FYG2" s="283"/>
      <c r="FYH2" s="283"/>
      <c r="FYI2" s="283"/>
      <c r="FYJ2" s="283"/>
      <c r="FYK2" s="283"/>
      <c r="FYL2" s="283"/>
      <c r="FYM2" s="283"/>
      <c r="FYN2" s="283"/>
      <c r="FYO2" s="283"/>
      <c r="FYP2" s="283"/>
      <c r="FYQ2" s="283"/>
      <c r="FYR2" s="283"/>
      <c r="FYS2" s="283"/>
      <c r="FYT2" s="283"/>
      <c r="FYU2" s="283"/>
      <c r="FYV2" s="283"/>
      <c r="FYW2" s="283"/>
      <c r="FYX2" s="283"/>
      <c r="FYY2" s="283"/>
      <c r="FYZ2" s="283"/>
      <c r="FZA2" s="283"/>
      <c r="FZB2" s="283"/>
      <c r="FZC2" s="283"/>
      <c r="FZD2" s="283"/>
      <c r="FZE2" s="283"/>
      <c r="FZF2" s="283"/>
      <c r="FZG2" s="283"/>
      <c r="FZH2" s="283"/>
      <c r="FZI2" s="283"/>
      <c r="FZJ2" s="283"/>
      <c r="FZK2" s="283"/>
      <c r="FZL2" s="283"/>
      <c r="FZM2" s="283"/>
      <c r="FZN2" s="283"/>
      <c r="FZO2" s="283"/>
      <c r="FZP2" s="283"/>
      <c r="FZQ2" s="283"/>
      <c r="FZR2" s="283"/>
      <c r="FZS2" s="283"/>
      <c r="FZT2" s="283"/>
      <c r="FZU2" s="283"/>
      <c r="FZV2" s="283"/>
      <c r="FZW2" s="283"/>
      <c r="FZX2" s="283"/>
      <c r="FZY2" s="283"/>
      <c r="FZZ2" s="283"/>
      <c r="GAA2" s="283"/>
      <c r="GAB2" s="283"/>
      <c r="GAC2" s="283"/>
      <c r="GAD2" s="283"/>
      <c r="GAE2" s="283"/>
      <c r="GAF2" s="283"/>
      <c r="GAG2" s="283"/>
      <c r="GAH2" s="283"/>
      <c r="GAI2" s="283"/>
      <c r="GAJ2" s="283"/>
      <c r="GAK2" s="283"/>
      <c r="GAL2" s="283"/>
      <c r="GAM2" s="283"/>
      <c r="GAN2" s="283"/>
      <c r="GAO2" s="283"/>
      <c r="GAP2" s="283"/>
      <c r="GAQ2" s="283"/>
      <c r="GAR2" s="283"/>
      <c r="GAS2" s="283"/>
      <c r="GAT2" s="283"/>
      <c r="GAU2" s="283"/>
      <c r="GAV2" s="283"/>
      <c r="GAW2" s="283"/>
      <c r="GAX2" s="283"/>
      <c r="GAY2" s="283"/>
      <c r="GAZ2" s="283"/>
      <c r="GBA2" s="283"/>
      <c r="GBB2" s="283"/>
      <c r="GBC2" s="283"/>
      <c r="GBD2" s="283"/>
      <c r="GBE2" s="283"/>
      <c r="GBF2" s="283"/>
      <c r="GBG2" s="283"/>
      <c r="GBH2" s="283"/>
      <c r="GBI2" s="283"/>
      <c r="GBJ2" s="283"/>
      <c r="GBK2" s="283"/>
      <c r="GBL2" s="283"/>
      <c r="GBM2" s="283"/>
      <c r="GBN2" s="283"/>
      <c r="GBO2" s="283"/>
      <c r="GBP2" s="283"/>
      <c r="GBQ2" s="283"/>
      <c r="GBR2" s="283"/>
      <c r="GBS2" s="283"/>
      <c r="GBT2" s="283"/>
      <c r="GBU2" s="283"/>
      <c r="GBV2" s="283"/>
      <c r="GBW2" s="283"/>
      <c r="GBX2" s="283"/>
      <c r="GBY2" s="283"/>
      <c r="GBZ2" s="283"/>
      <c r="GCA2" s="283"/>
      <c r="GCB2" s="283"/>
      <c r="GCC2" s="283"/>
      <c r="GCD2" s="283"/>
      <c r="GCE2" s="283"/>
      <c r="GCF2" s="283"/>
      <c r="GCG2" s="283"/>
      <c r="GCH2" s="283"/>
      <c r="GCI2" s="283"/>
      <c r="GCJ2" s="283"/>
      <c r="GCK2" s="283"/>
      <c r="GCL2" s="283"/>
      <c r="GCM2" s="283"/>
      <c r="GCN2" s="283"/>
      <c r="GCO2" s="283"/>
      <c r="GCP2" s="283"/>
      <c r="GCQ2" s="283"/>
      <c r="GCR2" s="283"/>
      <c r="GCS2" s="283"/>
      <c r="GCT2" s="283"/>
      <c r="GCU2" s="283"/>
      <c r="GCV2" s="283"/>
      <c r="GCW2" s="283"/>
      <c r="GCX2" s="283"/>
      <c r="GCY2" s="283"/>
      <c r="GCZ2" s="283"/>
      <c r="GDA2" s="283"/>
      <c r="GDB2" s="283"/>
      <c r="GDC2" s="283"/>
      <c r="GDD2" s="283"/>
      <c r="GDE2" s="283"/>
      <c r="GDF2" s="283"/>
      <c r="GDG2" s="283"/>
      <c r="GDH2" s="283"/>
      <c r="GDI2" s="283"/>
      <c r="GDJ2" s="283"/>
      <c r="GDK2" s="283"/>
      <c r="GDL2" s="283"/>
      <c r="GDM2" s="283"/>
      <c r="GDN2" s="283"/>
      <c r="GDO2" s="283"/>
      <c r="GDP2" s="283"/>
      <c r="GDQ2" s="283"/>
      <c r="GDR2" s="283"/>
      <c r="GDS2" s="283"/>
      <c r="GDT2" s="283"/>
      <c r="GDU2" s="283"/>
      <c r="GDV2" s="283"/>
      <c r="GDW2" s="283"/>
      <c r="GDX2" s="283"/>
      <c r="GDY2" s="283"/>
      <c r="GDZ2" s="283"/>
      <c r="GEA2" s="283"/>
      <c r="GEB2" s="283"/>
      <c r="GEC2" s="283"/>
      <c r="GED2" s="283"/>
      <c r="GEE2" s="283"/>
      <c r="GEF2" s="283"/>
      <c r="GEG2" s="283"/>
      <c r="GEH2" s="283"/>
      <c r="GEI2" s="283"/>
      <c r="GEJ2" s="283"/>
      <c r="GEK2" s="283"/>
      <c r="GEL2" s="283"/>
      <c r="GEM2" s="283"/>
      <c r="GEN2" s="283"/>
      <c r="GEO2" s="283"/>
      <c r="GEP2" s="283"/>
      <c r="GEQ2" s="283"/>
      <c r="GER2" s="283"/>
      <c r="GES2" s="283"/>
      <c r="GET2" s="283"/>
      <c r="GEU2" s="283"/>
      <c r="GEV2" s="283"/>
      <c r="GEW2" s="283"/>
      <c r="GEX2" s="283"/>
      <c r="GEY2" s="283"/>
      <c r="GEZ2" s="283"/>
      <c r="GFA2" s="283"/>
      <c r="GFB2" s="283"/>
      <c r="GFC2" s="283"/>
      <c r="GFD2" s="283"/>
      <c r="GFE2" s="283"/>
      <c r="GFF2" s="283"/>
      <c r="GFG2" s="283"/>
      <c r="GFH2" s="283"/>
      <c r="GFI2" s="283"/>
      <c r="GFJ2" s="283"/>
      <c r="GFK2" s="283"/>
      <c r="GFL2" s="283"/>
      <c r="GFM2" s="283"/>
      <c r="GFN2" s="283"/>
      <c r="GFO2" s="283"/>
      <c r="GFP2" s="283"/>
      <c r="GFQ2" s="283"/>
      <c r="GFR2" s="283"/>
      <c r="GFS2" s="283"/>
      <c r="GFT2" s="283"/>
      <c r="GFU2" s="283"/>
      <c r="GFV2" s="283"/>
      <c r="GFW2" s="283"/>
      <c r="GFX2" s="283"/>
      <c r="GFY2" s="283"/>
      <c r="GFZ2" s="283"/>
      <c r="GGA2" s="283"/>
      <c r="GGB2" s="283"/>
      <c r="GGC2" s="283"/>
      <c r="GGD2" s="283"/>
      <c r="GGE2" s="283"/>
      <c r="GGF2" s="283"/>
      <c r="GGG2" s="283"/>
      <c r="GGH2" s="283"/>
      <c r="GGI2" s="283"/>
      <c r="GGJ2" s="283"/>
      <c r="GGK2" s="283"/>
      <c r="GGL2" s="283"/>
      <c r="GGM2" s="283"/>
      <c r="GGN2" s="283"/>
      <c r="GGO2" s="283"/>
      <c r="GGP2" s="283"/>
      <c r="GGQ2" s="283"/>
      <c r="GGR2" s="283"/>
      <c r="GGS2" s="283"/>
      <c r="GGT2" s="283"/>
      <c r="GGU2" s="283"/>
      <c r="GGV2" s="283"/>
      <c r="GGW2" s="283"/>
      <c r="GGX2" s="283"/>
      <c r="GGY2" s="283"/>
      <c r="GGZ2" s="283"/>
      <c r="GHA2" s="283"/>
      <c r="GHB2" s="283"/>
      <c r="GHC2" s="283"/>
      <c r="GHD2" s="283"/>
      <c r="GHE2" s="283"/>
      <c r="GHF2" s="283"/>
      <c r="GHG2" s="283"/>
      <c r="GHH2" s="283"/>
      <c r="GHI2" s="283"/>
      <c r="GHJ2" s="283"/>
      <c r="GHK2" s="283"/>
      <c r="GHL2" s="283"/>
      <c r="GHM2" s="283"/>
      <c r="GHN2" s="283"/>
      <c r="GHO2" s="283"/>
      <c r="GHP2" s="283"/>
      <c r="GHQ2" s="283"/>
      <c r="GHR2" s="283"/>
      <c r="GHS2" s="283"/>
      <c r="GHT2" s="283"/>
      <c r="GHU2" s="283"/>
      <c r="GHV2" s="283"/>
      <c r="GHW2" s="283"/>
      <c r="GHX2" s="283"/>
      <c r="GHY2" s="283"/>
      <c r="GHZ2" s="283"/>
      <c r="GIA2" s="283"/>
      <c r="GIB2" s="283"/>
      <c r="GIC2" s="283"/>
      <c r="GID2" s="283"/>
      <c r="GIE2" s="283"/>
      <c r="GIF2" s="283"/>
      <c r="GIG2" s="283"/>
      <c r="GIH2" s="283"/>
      <c r="GII2" s="283"/>
      <c r="GIJ2" s="283"/>
      <c r="GIK2" s="283"/>
      <c r="GIL2" s="283"/>
      <c r="GIM2" s="283"/>
      <c r="GIN2" s="283"/>
      <c r="GIO2" s="283"/>
      <c r="GIP2" s="283"/>
      <c r="GIQ2" s="283"/>
      <c r="GIR2" s="283"/>
      <c r="GIS2" s="283"/>
      <c r="GIT2" s="283"/>
      <c r="GIU2" s="283"/>
      <c r="GIV2" s="283"/>
      <c r="GIW2" s="283"/>
      <c r="GIX2" s="283"/>
      <c r="GIY2" s="283"/>
      <c r="GIZ2" s="283"/>
      <c r="GJA2" s="283"/>
      <c r="GJB2" s="283"/>
      <c r="GJC2" s="283"/>
      <c r="GJD2" s="283"/>
      <c r="GJE2" s="283"/>
      <c r="GJF2" s="283"/>
      <c r="GJG2" s="283"/>
      <c r="GJH2" s="283"/>
      <c r="GJI2" s="283"/>
      <c r="GJJ2" s="283"/>
      <c r="GJK2" s="283"/>
      <c r="GJL2" s="283"/>
      <c r="GJM2" s="283"/>
      <c r="GJN2" s="283"/>
      <c r="GJO2" s="283"/>
      <c r="GJP2" s="283"/>
      <c r="GJQ2" s="283"/>
      <c r="GJR2" s="283"/>
      <c r="GJS2" s="283"/>
      <c r="GJT2" s="283"/>
      <c r="GJU2" s="283"/>
      <c r="GJV2" s="283"/>
      <c r="GJW2" s="283"/>
      <c r="GJX2" s="283"/>
      <c r="GJY2" s="283"/>
      <c r="GJZ2" s="283"/>
      <c r="GKA2" s="283"/>
      <c r="GKB2" s="283"/>
      <c r="GKC2" s="283"/>
      <c r="GKD2" s="283"/>
      <c r="GKE2" s="283"/>
      <c r="GKF2" s="283"/>
      <c r="GKG2" s="283"/>
      <c r="GKH2" s="283"/>
      <c r="GKI2" s="283"/>
      <c r="GKJ2" s="283"/>
      <c r="GKK2" s="283"/>
      <c r="GKL2" s="283"/>
      <c r="GKM2" s="283"/>
      <c r="GKN2" s="283"/>
      <c r="GKO2" s="283"/>
      <c r="GKP2" s="283"/>
      <c r="GKQ2" s="283"/>
      <c r="GKR2" s="283"/>
      <c r="GKS2" s="283"/>
      <c r="GKT2" s="283"/>
      <c r="GKU2" s="283"/>
      <c r="GKV2" s="283"/>
      <c r="GKW2" s="283"/>
      <c r="GKX2" s="283"/>
      <c r="GKY2" s="283"/>
      <c r="GKZ2" s="283"/>
      <c r="GLA2" s="283"/>
      <c r="GLB2" s="283"/>
      <c r="GLC2" s="283"/>
      <c r="GLD2" s="283"/>
      <c r="GLE2" s="283"/>
      <c r="GLF2" s="283"/>
      <c r="GLG2" s="283"/>
      <c r="GLH2" s="283"/>
      <c r="GLI2" s="283"/>
      <c r="GLJ2" s="283"/>
      <c r="GLK2" s="283"/>
      <c r="GLL2" s="283"/>
      <c r="GLM2" s="283"/>
      <c r="GLN2" s="283"/>
      <c r="GLO2" s="283"/>
      <c r="GLP2" s="283"/>
      <c r="GLQ2" s="283"/>
      <c r="GLR2" s="283"/>
      <c r="GLS2" s="283"/>
      <c r="GLT2" s="283"/>
      <c r="GLU2" s="283"/>
      <c r="GLV2" s="283"/>
      <c r="GLW2" s="283"/>
      <c r="GLX2" s="283"/>
      <c r="GLY2" s="283"/>
      <c r="GLZ2" s="283"/>
      <c r="GMA2" s="283"/>
      <c r="GMB2" s="283"/>
      <c r="GMC2" s="283"/>
      <c r="GMD2" s="283"/>
      <c r="GME2" s="283"/>
      <c r="GMF2" s="283"/>
      <c r="GMG2" s="283"/>
      <c r="GMH2" s="283"/>
      <c r="GMI2" s="283"/>
      <c r="GMJ2" s="283"/>
      <c r="GMK2" s="283"/>
      <c r="GML2" s="283"/>
      <c r="GMM2" s="283"/>
      <c r="GMN2" s="283"/>
      <c r="GMO2" s="283"/>
      <c r="GMP2" s="283"/>
      <c r="GMQ2" s="283"/>
      <c r="GMR2" s="283"/>
      <c r="GMS2" s="283"/>
      <c r="GMT2" s="283"/>
      <c r="GMU2" s="283"/>
      <c r="GMV2" s="283"/>
      <c r="GMW2" s="283"/>
      <c r="GMX2" s="283"/>
      <c r="GMY2" s="283"/>
      <c r="GMZ2" s="283"/>
      <c r="GNA2" s="283"/>
      <c r="GNB2" s="283"/>
      <c r="GNC2" s="283"/>
      <c r="GND2" s="283"/>
      <c r="GNE2" s="283"/>
      <c r="GNF2" s="283"/>
      <c r="GNG2" s="283"/>
      <c r="GNH2" s="283"/>
      <c r="GNI2" s="283"/>
      <c r="GNJ2" s="283"/>
      <c r="GNK2" s="283"/>
      <c r="GNL2" s="283"/>
      <c r="GNM2" s="283"/>
      <c r="GNN2" s="283"/>
      <c r="GNO2" s="283"/>
      <c r="GNP2" s="283"/>
      <c r="GNQ2" s="283"/>
      <c r="GNR2" s="283"/>
      <c r="GNS2" s="283"/>
      <c r="GNT2" s="283"/>
      <c r="GNU2" s="283"/>
      <c r="GNV2" s="283"/>
      <c r="GNW2" s="283"/>
      <c r="GNX2" s="283"/>
      <c r="GNY2" s="283"/>
      <c r="GNZ2" s="283"/>
      <c r="GOA2" s="283"/>
      <c r="GOB2" s="283"/>
      <c r="GOC2" s="283"/>
      <c r="GOD2" s="283"/>
      <c r="GOE2" s="283"/>
      <c r="GOF2" s="283"/>
      <c r="GOG2" s="283"/>
      <c r="GOH2" s="283"/>
      <c r="GOI2" s="283"/>
      <c r="GOJ2" s="283"/>
      <c r="GOK2" s="283"/>
      <c r="GOL2" s="283"/>
      <c r="GOM2" s="283"/>
      <c r="GON2" s="283"/>
      <c r="GOO2" s="283"/>
      <c r="GOP2" s="283"/>
      <c r="GOQ2" s="283"/>
      <c r="GOR2" s="283"/>
      <c r="GOS2" s="283"/>
      <c r="GOT2" s="283"/>
      <c r="GOU2" s="283"/>
      <c r="GOV2" s="283"/>
      <c r="GOW2" s="283"/>
      <c r="GOX2" s="283"/>
      <c r="GOY2" s="283"/>
      <c r="GOZ2" s="283"/>
      <c r="GPA2" s="283"/>
      <c r="GPB2" s="283"/>
      <c r="GPC2" s="283"/>
      <c r="GPD2" s="283"/>
      <c r="GPE2" s="283"/>
      <c r="GPF2" s="283"/>
      <c r="GPG2" s="283"/>
      <c r="GPH2" s="283"/>
      <c r="GPI2" s="283"/>
      <c r="GPJ2" s="283"/>
      <c r="GPK2" s="283"/>
      <c r="GPL2" s="283"/>
      <c r="GPM2" s="283"/>
      <c r="GPN2" s="283"/>
      <c r="GPO2" s="283"/>
      <c r="GPP2" s="283"/>
      <c r="GPQ2" s="283"/>
      <c r="GPR2" s="283"/>
      <c r="GPS2" s="283"/>
      <c r="GPT2" s="283"/>
      <c r="GPU2" s="283"/>
      <c r="GPV2" s="283"/>
      <c r="GPW2" s="283"/>
      <c r="GPX2" s="283"/>
      <c r="GPY2" s="283"/>
      <c r="GPZ2" s="283"/>
      <c r="GQA2" s="283"/>
      <c r="GQB2" s="283"/>
      <c r="GQC2" s="283"/>
      <c r="GQD2" s="283"/>
      <c r="GQE2" s="283"/>
      <c r="GQF2" s="283"/>
      <c r="GQG2" s="283"/>
      <c r="GQH2" s="283"/>
      <c r="GQI2" s="283"/>
      <c r="GQJ2" s="283"/>
      <c r="GQK2" s="283"/>
      <c r="GQL2" s="283"/>
      <c r="GQM2" s="283"/>
      <c r="GQN2" s="283"/>
      <c r="GQO2" s="283"/>
      <c r="GQP2" s="283"/>
      <c r="GQQ2" s="283"/>
      <c r="GQR2" s="283"/>
      <c r="GQS2" s="283"/>
      <c r="GQT2" s="283"/>
      <c r="GQU2" s="283"/>
      <c r="GQV2" s="283"/>
      <c r="GQW2" s="283"/>
      <c r="GQX2" s="283"/>
      <c r="GQY2" s="283"/>
      <c r="GQZ2" s="283"/>
      <c r="GRA2" s="283"/>
      <c r="GRB2" s="283"/>
      <c r="GRC2" s="283"/>
      <c r="GRD2" s="283"/>
      <c r="GRE2" s="283"/>
      <c r="GRF2" s="283"/>
      <c r="GRG2" s="283"/>
      <c r="GRH2" s="283"/>
      <c r="GRI2" s="283"/>
      <c r="GRJ2" s="283"/>
      <c r="GRK2" s="283"/>
      <c r="GRL2" s="283"/>
      <c r="GRM2" s="283"/>
      <c r="GRN2" s="283"/>
      <c r="GRO2" s="283"/>
      <c r="GRP2" s="283"/>
      <c r="GRQ2" s="283"/>
      <c r="GRR2" s="283"/>
      <c r="GRS2" s="283"/>
      <c r="GRT2" s="283"/>
      <c r="GRU2" s="283"/>
      <c r="GRV2" s="283"/>
      <c r="GRW2" s="283"/>
      <c r="GRX2" s="283"/>
      <c r="GRY2" s="283"/>
      <c r="GRZ2" s="283"/>
      <c r="GSA2" s="283"/>
      <c r="GSB2" s="283"/>
      <c r="GSC2" s="283"/>
      <c r="GSD2" s="283"/>
      <c r="GSE2" s="283"/>
      <c r="GSF2" s="283"/>
      <c r="GSG2" s="283"/>
      <c r="GSH2" s="283"/>
      <c r="GSI2" s="283"/>
      <c r="GSJ2" s="283"/>
      <c r="GSK2" s="283"/>
      <c r="GSL2" s="283"/>
      <c r="GSM2" s="283"/>
      <c r="GSN2" s="283"/>
      <c r="GSO2" s="283"/>
      <c r="GSP2" s="283"/>
      <c r="GSQ2" s="283"/>
      <c r="GSR2" s="283"/>
      <c r="GSS2" s="283"/>
      <c r="GST2" s="283"/>
      <c r="GSU2" s="283"/>
      <c r="GSV2" s="283"/>
      <c r="GSW2" s="283"/>
      <c r="GSX2" s="283"/>
      <c r="GSY2" s="283"/>
      <c r="GSZ2" s="283"/>
      <c r="GTA2" s="283"/>
      <c r="GTB2" s="283"/>
      <c r="GTC2" s="283"/>
      <c r="GTD2" s="283"/>
      <c r="GTE2" s="283"/>
      <c r="GTF2" s="283"/>
      <c r="GTG2" s="283"/>
      <c r="GTH2" s="283"/>
      <c r="GTI2" s="283"/>
      <c r="GTJ2" s="283"/>
      <c r="GTK2" s="283"/>
      <c r="GTL2" s="283"/>
      <c r="GTM2" s="283"/>
      <c r="GTN2" s="283"/>
      <c r="GTO2" s="283"/>
      <c r="GTP2" s="283"/>
      <c r="GTQ2" s="283"/>
      <c r="GTR2" s="283"/>
      <c r="GTS2" s="283"/>
      <c r="GTT2" s="283"/>
      <c r="GTU2" s="283"/>
      <c r="GTV2" s="283"/>
      <c r="GTW2" s="283"/>
      <c r="GTX2" s="283"/>
      <c r="GTY2" s="283"/>
      <c r="GTZ2" s="283"/>
      <c r="GUA2" s="283"/>
      <c r="GUB2" s="283"/>
      <c r="GUC2" s="283"/>
      <c r="GUD2" s="283"/>
      <c r="GUE2" s="283"/>
      <c r="GUF2" s="283"/>
      <c r="GUG2" s="283"/>
      <c r="GUH2" s="283"/>
      <c r="GUI2" s="283"/>
      <c r="GUJ2" s="283"/>
      <c r="GUK2" s="283"/>
      <c r="GUL2" s="283"/>
      <c r="GUM2" s="283"/>
      <c r="GUN2" s="283"/>
      <c r="GUO2" s="283"/>
      <c r="GUP2" s="283"/>
      <c r="GUQ2" s="283"/>
      <c r="GUR2" s="283"/>
      <c r="GUS2" s="283"/>
      <c r="GUT2" s="283"/>
      <c r="GUU2" s="283"/>
      <c r="GUV2" s="283"/>
      <c r="GUW2" s="283"/>
      <c r="GUX2" s="283"/>
      <c r="GUY2" s="283"/>
      <c r="GUZ2" s="283"/>
      <c r="GVA2" s="283"/>
      <c r="GVB2" s="283"/>
      <c r="GVC2" s="283"/>
      <c r="GVD2" s="283"/>
      <c r="GVE2" s="283"/>
      <c r="GVF2" s="283"/>
      <c r="GVG2" s="283"/>
      <c r="GVH2" s="283"/>
      <c r="GVI2" s="283"/>
      <c r="GVJ2" s="283"/>
      <c r="GVK2" s="283"/>
      <c r="GVL2" s="283"/>
      <c r="GVM2" s="283"/>
      <c r="GVN2" s="283"/>
      <c r="GVO2" s="283"/>
      <c r="GVP2" s="283"/>
      <c r="GVQ2" s="283"/>
      <c r="GVR2" s="283"/>
      <c r="GVS2" s="283"/>
      <c r="GVT2" s="283"/>
      <c r="GVU2" s="283"/>
      <c r="GVV2" s="283"/>
      <c r="GVW2" s="283"/>
      <c r="GVX2" s="283"/>
      <c r="GVY2" s="283"/>
      <c r="GVZ2" s="283"/>
      <c r="GWA2" s="283"/>
      <c r="GWB2" s="283"/>
      <c r="GWC2" s="283"/>
      <c r="GWD2" s="283"/>
      <c r="GWE2" s="283"/>
      <c r="GWF2" s="283"/>
      <c r="GWG2" s="283"/>
      <c r="GWH2" s="283"/>
      <c r="GWI2" s="283"/>
      <c r="GWJ2" s="283"/>
      <c r="GWK2" s="283"/>
      <c r="GWL2" s="283"/>
      <c r="GWM2" s="283"/>
      <c r="GWN2" s="283"/>
      <c r="GWO2" s="283"/>
      <c r="GWP2" s="283"/>
      <c r="GWQ2" s="283"/>
      <c r="GWR2" s="283"/>
      <c r="GWS2" s="283"/>
      <c r="GWT2" s="283"/>
      <c r="GWU2" s="283"/>
      <c r="GWV2" s="283"/>
      <c r="GWW2" s="283"/>
      <c r="GWX2" s="283"/>
      <c r="GWY2" s="283"/>
      <c r="GWZ2" s="283"/>
      <c r="GXA2" s="283"/>
      <c r="GXB2" s="283"/>
      <c r="GXC2" s="283"/>
      <c r="GXD2" s="283"/>
      <c r="GXE2" s="283"/>
      <c r="GXF2" s="283"/>
      <c r="GXG2" s="283"/>
      <c r="GXH2" s="283"/>
      <c r="GXI2" s="283"/>
      <c r="GXJ2" s="283"/>
      <c r="GXK2" s="283"/>
      <c r="GXL2" s="283"/>
      <c r="GXM2" s="283"/>
      <c r="GXN2" s="283"/>
      <c r="GXO2" s="283"/>
      <c r="GXP2" s="283"/>
      <c r="GXQ2" s="283"/>
      <c r="GXR2" s="283"/>
      <c r="GXS2" s="283"/>
      <c r="GXT2" s="283"/>
      <c r="GXU2" s="283"/>
      <c r="GXV2" s="283"/>
      <c r="GXW2" s="283"/>
      <c r="GXX2" s="283"/>
      <c r="GXY2" s="283"/>
      <c r="GXZ2" s="283"/>
      <c r="GYA2" s="283"/>
      <c r="GYB2" s="283"/>
      <c r="GYC2" s="283"/>
      <c r="GYD2" s="283"/>
      <c r="GYE2" s="283"/>
      <c r="GYF2" s="283"/>
      <c r="GYG2" s="283"/>
      <c r="GYH2" s="283"/>
      <c r="GYI2" s="283"/>
      <c r="GYJ2" s="283"/>
      <c r="GYK2" s="283"/>
      <c r="GYL2" s="283"/>
      <c r="GYM2" s="283"/>
      <c r="GYN2" s="283"/>
      <c r="GYO2" s="283"/>
      <c r="GYP2" s="283"/>
      <c r="GYQ2" s="283"/>
      <c r="GYR2" s="283"/>
      <c r="GYS2" s="283"/>
      <c r="GYT2" s="283"/>
      <c r="GYU2" s="283"/>
      <c r="GYV2" s="283"/>
      <c r="GYW2" s="283"/>
      <c r="GYX2" s="283"/>
      <c r="GYY2" s="283"/>
      <c r="GYZ2" s="283"/>
      <c r="GZA2" s="283"/>
      <c r="GZB2" s="283"/>
      <c r="GZC2" s="283"/>
      <c r="GZD2" s="283"/>
      <c r="GZE2" s="283"/>
      <c r="GZF2" s="283"/>
      <c r="GZG2" s="283"/>
      <c r="GZH2" s="283"/>
      <c r="GZI2" s="283"/>
      <c r="GZJ2" s="283"/>
      <c r="GZK2" s="283"/>
      <c r="GZL2" s="283"/>
      <c r="GZM2" s="283"/>
      <c r="GZN2" s="283"/>
      <c r="GZO2" s="283"/>
      <c r="GZP2" s="283"/>
      <c r="GZQ2" s="283"/>
      <c r="GZR2" s="283"/>
      <c r="GZS2" s="283"/>
      <c r="GZT2" s="283"/>
      <c r="GZU2" s="283"/>
      <c r="GZV2" s="283"/>
      <c r="GZW2" s="283"/>
      <c r="GZX2" s="283"/>
      <c r="GZY2" s="283"/>
      <c r="GZZ2" s="283"/>
      <c r="HAA2" s="283"/>
      <c r="HAB2" s="283"/>
      <c r="HAC2" s="283"/>
      <c r="HAD2" s="283"/>
      <c r="HAE2" s="283"/>
      <c r="HAF2" s="283"/>
      <c r="HAG2" s="283"/>
      <c r="HAH2" s="283"/>
      <c r="HAI2" s="283"/>
      <c r="HAJ2" s="283"/>
      <c r="HAK2" s="283"/>
      <c r="HAL2" s="283"/>
      <c r="HAM2" s="283"/>
      <c r="HAN2" s="283"/>
      <c r="HAO2" s="283"/>
      <c r="HAP2" s="283"/>
      <c r="HAQ2" s="283"/>
      <c r="HAR2" s="283"/>
      <c r="HAS2" s="283"/>
      <c r="HAT2" s="283"/>
      <c r="HAU2" s="283"/>
      <c r="HAV2" s="283"/>
      <c r="HAW2" s="283"/>
      <c r="HAX2" s="283"/>
      <c r="HAY2" s="283"/>
      <c r="HAZ2" s="283"/>
      <c r="HBA2" s="283"/>
      <c r="HBB2" s="283"/>
      <c r="HBC2" s="283"/>
      <c r="HBD2" s="283"/>
      <c r="HBE2" s="283"/>
      <c r="HBF2" s="283"/>
      <c r="HBG2" s="283"/>
      <c r="HBH2" s="283"/>
      <c r="HBI2" s="283"/>
      <c r="HBJ2" s="283"/>
      <c r="HBK2" s="283"/>
      <c r="HBL2" s="283"/>
      <c r="HBM2" s="283"/>
      <c r="HBN2" s="283"/>
      <c r="HBO2" s="283"/>
      <c r="HBP2" s="283"/>
      <c r="HBQ2" s="283"/>
      <c r="HBR2" s="283"/>
      <c r="HBS2" s="283"/>
      <c r="HBT2" s="283"/>
      <c r="HBU2" s="283"/>
      <c r="HBV2" s="283"/>
      <c r="HBW2" s="283"/>
      <c r="HBX2" s="283"/>
      <c r="HBY2" s="283"/>
      <c r="HBZ2" s="283"/>
      <c r="HCA2" s="283"/>
      <c r="HCB2" s="283"/>
      <c r="HCC2" s="283"/>
      <c r="HCD2" s="283"/>
      <c r="HCE2" s="283"/>
      <c r="HCF2" s="283"/>
      <c r="HCG2" s="283"/>
      <c r="HCH2" s="283"/>
      <c r="HCI2" s="283"/>
      <c r="HCJ2" s="283"/>
      <c r="HCK2" s="283"/>
      <c r="HCL2" s="283"/>
      <c r="HCM2" s="283"/>
      <c r="HCN2" s="283"/>
      <c r="HCO2" s="283"/>
      <c r="HCP2" s="283"/>
      <c r="HCQ2" s="283"/>
      <c r="HCR2" s="283"/>
      <c r="HCS2" s="283"/>
      <c r="HCT2" s="283"/>
      <c r="HCU2" s="283"/>
      <c r="HCV2" s="283"/>
      <c r="HCW2" s="283"/>
      <c r="HCX2" s="283"/>
      <c r="HCY2" s="283"/>
      <c r="HCZ2" s="283"/>
      <c r="HDA2" s="283"/>
      <c r="HDB2" s="283"/>
      <c r="HDC2" s="283"/>
      <c r="HDD2" s="283"/>
      <c r="HDE2" s="283"/>
      <c r="HDF2" s="283"/>
      <c r="HDG2" s="283"/>
      <c r="HDH2" s="283"/>
      <c r="HDI2" s="283"/>
      <c r="HDJ2" s="283"/>
      <c r="HDK2" s="283"/>
      <c r="HDL2" s="283"/>
      <c r="HDM2" s="283"/>
      <c r="HDN2" s="283"/>
      <c r="HDO2" s="283"/>
      <c r="HDP2" s="283"/>
      <c r="HDQ2" s="283"/>
      <c r="HDR2" s="283"/>
      <c r="HDS2" s="283"/>
      <c r="HDT2" s="283"/>
      <c r="HDU2" s="283"/>
      <c r="HDV2" s="283"/>
      <c r="HDW2" s="283"/>
      <c r="HDX2" s="283"/>
      <c r="HDY2" s="283"/>
      <c r="HDZ2" s="283"/>
      <c r="HEA2" s="283"/>
      <c r="HEB2" s="283"/>
      <c r="HEC2" s="283"/>
      <c r="HED2" s="283"/>
      <c r="HEE2" s="283"/>
      <c r="HEF2" s="283"/>
      <c r="HEG2" s="283"/>
      <c r="HEH2" s="283"/>
      <c r="HEI2" s="283"/>
      <c r="HEJ2" s="283"/>
      <c r="HEK2" s="283"/>
      <c r="HEL2" s="283"/>
      <c r="HEM2" s="283"/>
      <c r="HEN2" s="283"/>
      <c r="HEO2" s="283"/>
      <c r="HEP2" s="283"/>
      <c r="HEQ2" s="283"/>
      <c r="HER2" s="283"/>
      <c r="HES2" s="283"/>
      <c r="HET2" s="283"/>
      <c r="HEU2" s="283"/>
      <c r="HEV2" s="283"/>
      <c r="HEW2" s="283"/>
      <c r="HEX2" s="283"/>
      <c r="HEY2" s="283"/>
      <c r="HEZ2" s="283"/>
      <c r="HFA2" s="283"/>
      <c r="HFB2" s="283"/>
      <c r="HFC2" s="283"/>
      <c r="HFD2" s="283"/>
      <c r="HFE2" s="283"/>
      <c r="HFF2" s="283"/>
      <c r="HFG2" s="283"/>
      <c r="HFH2" s="283"/>
      <c r="HFI2" s="283"/>
      <c r="HFJ2" s="283"/>
      <c r="HFK2" s="283"/>
      <c r="HFL2" s="283"/>
      <c r="HFM2" s="283"/>
      <c r="HFN2" s="283"/>
      <c r="HFO2" s="283"/>
      <c r="HFP2" s="283"/>
      <c r="HFQ2" s="283"/>
      <c r="HFR2" s="283"/>
      <c r="HFS2" s="283"/>
      <c r="HFT2" s="283"/>
      <c r="HFU2" s="283"/>
      <c r="HFV2" s="283"/>
      <c r="HFW2" s="283"/>
      <c r="HFX2" s="283"/>
      <c r="HFY2" s="283"/>
      <c r="HFZ2" s="283"/>
      <c r="HGA2" s="283"/>
      <c r="HGB2" s="283"/>
      <c r="HGC2" s="283"/>
      <c r="HGD2" s="283"/>
      <c r="HGE2" s="283"/>
      <c r="HGF2" s="283"/>
      <c r="HGG2" s="283"/>
      <c r="HGH2" s="283"/>
      <c r="HGI2" s="283"/>
      <c r="HGJ2" s="283"/>
      <c r="HGK2" s="283"/>
      <c r="HGL2" s="283"/>
      <c r="HGM2" s="283"/>
      <c r="HGN2" s="283"/>
      <c r="HGO2" s="283"/>
      <c r="HGP2" s="283"/>
      <c r="HGQ2" s="283"/>
      <c r="HGR2" s="283"/>
      <c r="HGS2" s="283"/>
      <c r="HGT2" s="283"/>
      <c r="HGU2" s="283"/>
      <c r="HGV2" s="283"/>
      <c r="HGW2" s="283"/>
      <c r="HGX2" s="283"/>
      <c r="HGY2" s="283"/>
      <c r="HGZ2" s="283"/>
      <c r="HHA2" s="283"/>
      <c r="HHB2" s="283"/>
      <c r="HHC2" s="283"/>
      <c r="HHD2" s="283"/>
      <c r="HHE2" s="283"/>
      <c r="HHF2" s="283"/>
      <c r="HHG2" s="283"/>
      <c r="HHH2" s="283"/>
      <c r="HHI2" s="283"/>
      <c r="HHJ2" s="283"/>
      <c r="HHK2" s="283"/>
      <c r="HHL2" s="283"/>
      <c r="HHM2" s="283"/>
      <c r="HHN2" s="283"/>
      <c r="HHO2" s="283"/>
      <c r="HHP2" s="283"/>
      <c r="HHQ2" s="283"/>
      <c r="HHR2" s="283"/>
      <c r="HHS2" s="283"/>
      <c r="HHT2" s="283"/>
      <c r="HHU2" s="283"/>
      <c r="HHV2" s="283"/>
      <c r="HHW2" s="283"/>
      <c r="HHX2" s="283"/>
      <c r="HHY2" s="283"/>
      <c r="HHZ2" s="283"/>
      <c r="HIA2" s="283"/>
      <c r="HIB2" s="283"/>
      <c r="HIC2" s="283"/>
      <c r="HID2" s="283"/>
      <c r="HIE2" s="283"/>
      <c r="HIF2" s="283"/>
      <c r="HIG2" s="283"/>
      <c r="HIH2" s="283"/>
      <c r="HII2" s="283"/>
      <c r="HIJ2" s="283"/>
      <c r="HIK2" s="283"/>
      <c r="HIL2" s="283"/>
      <c r="HIM2" s="283"/>
      <c r="HIN2" s="283"/>
      <c r="HIO2" s="283"/>
      <c r="HIP2" s="283"/>
      <c r="HIQ2" s="283"/>
      <c r="HIR2" s="283"/>
      <c r="HIS2" s="283"/>
      <c r="HIT2" s="283"/>
      <c r="HIU2" s="283"/>
      <c r="HIV2" s="283"/>
      <c r="HIW2" s="283"/>
      <c r="HIX2" s="283"/>
      <c r="HIY2" s="283"/>
      <c r="HIZ2" s="283"/>
      <c r="HJA2" s="283"/>
      <c r="HJB2" s="283"/>
      <c r="HJC2" s="283"/>
      <c r="HJD2" s="283"/>
      <c r="HJE2" s="283"/>
      <c r="HJF2" s="283"/>
      <c r="HJG2" s="283"/>
      <c r="HJH2" s="283"/>
      <c r="HJI2" s="283"/>
      <c r="HJJ2" s="283"/>
      <c r="HJK2" s="283"/>
      <c r="HJL2" s="283"/>
      <c r="HJM2" s="283"/>
      <c r="HJN2" s="283"/>
      <c r="HJO2" s="283"/>
      <c r="HJP2" s="283"/>
      <c r="HJQ2" s="283"/>
      <c r="HJR2" s="283"/>
      <c r="HJS2" s="283"/>
      <c r="HJT2" s="283"/>
      <c r="HJU2" s="283"/>
      <c r="HJV2" s="283"/>
      <c r="HJW2" s="283"/>
      <c r="HJX2" s="283"/>
      <c r="HJY2" s="283"/>
      <c r="HJZ2" s="283"/>
      <c r="HKA2" s="283"/>
      <c r="HKB2" s="283"/>
      <c r="HKC2" s="283"/>
      <c r="HKD2" s="283"/>
      <c r="HKE2" s="283"/>
      <c r="HKF2" s="283"/>
      <c r="HKG2" s="283"/>
      <c r="HKH2" s="283"/>
      <c r="HKI2" s="283"/>
      <c r="HKJ2" s="283"/>
      <c r="HKK2" s="283"/>
      <c r="HKL2" s="283"/>
      <c r="HKM2" s="283"/>
      <c r="HKN2" s="283"/>
      <c r="HKO2" s="283"/>
      <c r="HKP2" s="283"/>
      <c r="HKQ2" s="283"/>
      <c r="HKR2" s="283"/>
      <c r="HKS2" s="283"/>
      <c r="HKT2" s="283"/>
      <c r="HKU2" s="283"/>
      <c r="HKV2" s="283"/>
      <c r="HKW2" s="283"/>
      <c r="HKX2" s="283"/>
      <c r="HKY2" s="283"/>
      <c r="HKZ2" s="283"/>
      <c r="HLA2" s="283"/>
      <c r="HLB2" s="283"/>
      <c r="HLC2" s="283"/>
      <c r="HLD2" s="283"/>
      <c r="HLE2" s="283"/>
      <c r="HLF2" s="283"/>
      <c r="HLG2" s="283"/>
      <c r="HLH2" s="283"/>
      <c r="HLI2" s="283"/>
      <c r="HLJ2" s="283"/>
      <c r="HLK2" s="283"/>
      <c r="HLL2" s="283"/>
      <c r="HLM2" s="283"/>
      <c r="HLN2" s="283"/>
      <c r="HLO2" s="283"/>
      <c r="HLP2" s="283"/>
      <c r="HLQ2" s="283"/>
      <c r="HLR2" s="283"/>
      <c r="HLS2" s="283"/>
      <c r="HLT2" s="283"/>
      <c r="HLU2" s="283"/>
      <c r="HLV2" s="283"/>
      <c r="HLW2" s="283"/>
      <c r="HLX2" s="283"/>
      <c r="HLY2" s="283"/>
      <c r="HLZ2" s="283"/>
      <c r="HMA2" s="283"/>
      <c r="HMB2" s="283"/>
      <c r="HMC2" s="283"/>
      <c r="HMD2" s="283"/>
      <c r="HME2" s="283"/>
      <c r="HMF2" s="283"/>
      <c r="HMG2" s="283"/>
      <c r="HMH2" s="283"/>
      <c r="HMI2" s="283"/>
      <c r="HMJ2" s="283"/>
      <c r="HMK2" s="283"/>
      <c r="HML2" s="283"/>
      <c r="HMM2" s="283"/>
      <c r="HMN2" s="283"/>
      <c r="HMO2" s="283"/>
      <c r="HMP2" s="283"/>
      <c r="HMQ2" s="283"/>
      <c r="HMR2" s="283"/>
      <c r="HMS2" s="283"/>
      <c r="HMT2" s="283"/>
      <c r="HMU2" s="283"/>
      <c r="HMV2" s="283"/>
      <c r="HMW2" s="283"/>
      <c r="HMX2" s="283"/>
      <c r="HMY2" s="283"/>
      <c r="HMZ2" s="283"/>
      <c r="HNA2" s="283"/>
      <c r="HNB2" s="283"/>
      <c r="HNC2" s="283"/>
      <c r="HND2" s="283"/>
      <c r="HNE2" s="283"/>
      <c r="HNF2" s="283"/>
      <c r="HNG2" s="283"/>
      <c r="HNH2" s="283"/>
      <c r="HNI2" s="283"/>
      <c r="HNJ2" s="283"/>
      <c r="HNK2" s="283"/>
      <c r="HNL2" s="283"/>
      <c r="HNM2" s="283"/>
      <c r="HNN2" s="283"/>
      <c r="HNO2" s="283"/>
      <c r="HNP2" s="283"/>
      <c r="HNQ2" s="283"/>
      <c r="HNR2" s="283"/>
      <c r="HNS2" s="283"/>
      <c r="HNT2" s="283"/>
      <c r="HNU2" s="283"/>
      <c r="HNV2" s="283"/>
      <c r="HNW2" s="283"/>
      <c r="HNX2" s="283"/>
      <c r="HNY2" s="283"/>
      <c r="HNZ2" s="283"/>
      <c r="HOA2" s="283"/>
      <c r="HOB2" s="283"/>
      <c r="HOC2" s="283"/>
      <c r="HOD2" s="283"/>
      <c r="HOE2" s="283"/>
      <c r="HOF2" s="283"/>
      <c r="HOG2" s="283"/>
      <c r="HOH2" s="283"/>
      <c r="HOI2" s="283"/>
      <c r="HOJ2" s="283"/>
      <c r="HOK2" s="283"/>
      <c r="HOL2" s="283"/>
      <c r="HOM2" s="283"/>
      <c r="HON2" s="283"/>
      <c r="HOO2" s="283"/>
      <c r="HOP2" s="283"/>
      <c r="HOQ2" s="283"/>
      <c r="HOR2" s="283"/>
      <c r="HOS2" s="283"/>
      <c r="HOT2" s="283"/>
      <c r="HOU2" s="283"/>
      <c r="HOV2" s="283"/>
      <c r="HOW2" s="283"/>
      <c r="HOX2" s="283"/>
      <c r="HOY2" s="283"/>
      <c r="HOZ2" s="283"/>
      <c r="HPA2" s="283"/>
      <c r="HPB2" s="283"/>
      <c r="HPC2" s="283"/>
      <c r="HPD2" s="283"/>
      <c r="HPE2" s="283"/>
      <c r="HPF2" s="283"/>
      <c r="HPG2" s="283"/>
      <c r="HPH2" s="283"/>
      <c r="HPI2" s="283"/>
      <c r="HPJ2" s="283"/>
      <c r="HPK2" s="283"/>
      <c r="HPL2" s="283"/>
      <c r="HPM2" s="283"/>
      <c r="HPN2" s="283"/>
      <c r="HPO2" s="283"/>
      <c r="HPP2" s="283"/>
      <c r="HPQ2" s="283"/>
      <c r="HPR2" s="283"/>
      <c r="HPS2" s="283"/>
      <c r="HPT2" s="283"/>
      <c r="HPU2" s="283"/>
      <c r="HPV2" s="283"/>
      <c r="HPW2" s="283"/>
      <c r="HPX2" s="283"/>
      <c r="HPY2" s="283"/>
      <c r="HPZ2" s="283"/>
      <c r="HQA2" s="283"/>
      <c r="HQB2" s="283"/>
      <c r="HQC2" s="283"/>
      <c r="HQD2" s="283"/>
      <c r="HQE2" s="283"/>
      <c r="HQF2" s="283"/>
      <c r="HQG2" s="283"/>
      <c r="HQH2" s="283"/>
      <c r="HQI2" s="283"/>
      <c r="HQJ2" s="283"/>
      <c r="HQK2" s="283"/>
      <c r="HQL2" s="283"/>
      <c r="HQM2" s="283"/>
      <c r="HQN2" s="283"/>
      <c r="HQO2" s="283"/>
      <c r="HQP2" s="283"/>
      <c r="HQQ2" s="283"/>
      <c r="HQR2" s="283"/>
      <c r="HQS2" s="283"/>
      <c r="HQT2" s="283"/>
      <c r="HQU2" s="283"/>
      <c r="HQV2" s="283"/>
      <c r="HQW2" s="283"/>
      <c r="HQX2" s="283"/>
      <c r="HQY2" s="283"/>
      <c r="HQZ2" s="283"/>
      <c r="HRA2" s="283"/>
      <c r="HRB2" s="283"/>
      <c r="HRC2" s="283"/>
      <c r="HRD2" s="283"/>
      <c r="HRE2" s="283"/>
      <c r="HRF2" s="283"/>
      <c r="HRG2" s="283"/>
      <c r="HRH2" s="283"/>
      <c r="HRI2" s="283"/>
      <c r="HRJ2" s="283"/>
      <c r="HRK2" s="283"/>
      <c r="HRL2" s="283"/>
      <c r="HRM2" s="283"/>
      <c r="HRN2" s="283"/>
      <c r="HRO2" s="283"/>
      <c r="HRP2" s="283"/>
      <c r="HRQ2" s="283"/>
      <c r="HRR2" s="283"/>
      <c r="HRS2" s="283"/>
      <c r="HRT2" s="283"/>
      <c r="HRU2" s="283"/>
      <c r="HRV2" s="283"/>
      <c r="HRW2" s="283"/>
      <c r="HRX2" s="283"/>
      <c r="HRY2" s="283"/>
      <c r="HRZ2" s="283"/>
      <c r="HSA2" s="283"/>
      <c r="HSB2" s="283"/>
      <c r="HSC2" s="283"/>
      <c r="HSD2" s="283"/>
      <c r="HSE2" s="283"/>
      <c r="HSF2" s="283"/>
      <c r="HSG2" s="283"/>
      <c r="HSH2" s="283"/>
      <c r="HSI2" s="283"/>
      <c r="HSJ2" s="283"/>
      <c r="HSK2" s="283"/>
      <c r="HSL2" s="283"/>
      <c r="HSM2" s="283"/>
      <c r="HSN2" s="283"/>
      <c r="HSO2" s="283"/>
      <c r="HSP2" s="283"/>
      <c r="HSQ2" s="283"/>
      <c r="HSR2" s="283"/>
      <c r="HSS2" s="283"/>
      <c r="HST2" s="283"/>
      <c r="HSU2" s="283"/>
      <c r="HSV2" s="283"/>
      <c r="HSW2" s="283"/>
      <c r="HSX2" s="283"/>
      <c r="HSY2" s="283"/>
      <c r="HSZ2" s="283"/>
      <c r="HTA2" s="283"/>
      <c r="HTB2" s="283"/>
      <c r="HTC2" s="283"/>
      <c r="HTD2" s="283"/>
      <c r="HTE2" s="283"/>
      <c r="HTF2" s="283"/>
      <c r="HTG2" s="283"/>
      <c r="HTH2" s="283"/>
      <c r="HTI2" s="283"/>
      <c r="HTJ2" s="283"/>
      <c r="HTK2" s="283"/>
      <c r="HTL2" s="283"/>
      <c r="HTM2" s="283"/>
      <c r="HTN2" s="283"/>
      <c r="HTO2" s="283"/>
      <c r="HTP2" s="283"/>
      <c r="HTQ2" s="283"/>
      <c r="HTR2" s="283"/>
      <c r="HTS2" s="283"/>
      <c r="HTT2" s="283"/>
      <c r="HTU2" s="283"/>
      <c r="HTV2" s="283"/>
      <c r="HTW2" s="283"/>
      <c r="HTX2" s="283"/>
      <c r="HTY2" s="283"/>
      <c r="HTZ2" s="283"/>
      <c r="HUA2" s="283"/>
      <c r="HUB2" s="283"/>
      <c r="HUC2" s="283"/>
      <c r="HUD2" s="283"/>
      <c r="HUE2" s="283"/>
      <c r="HUF2" s="283"/>
      <c r="HUG2" s="283"/>
      <c r="HUH2" s="283"/>
      <c r="HUI2" s="283"/>
      <c r="HUJ2" s="283"/>
      <c r="HUK2" s="283"/>
      <c r="HUL2" s="283"/>
      <c r="HUM2" s="283"/>
      <c r="HUN2" s="283"/>
      <c r="HUO2" s="283"/>
      <c r="HUP2" s="283"/>
      <c r="HUQ2" s="283"/>
      <c r="HUR2" s="283"/>
      <c r="HUS2" s="283"/>
      <c r="HUT2" s="283"/>
      <c r="HUU2" s="283"/>
      <c r="HUV2" s="283"/>
      <c r="HUW2" s="283"/>
      <c r="HUX2" s="283"/>
      <c r="HUY2" s="283"/>
      <c r="HUZ2" s="283"/>
      <c r="HVA2" s="283"/>
      <c r="HVB2" s="283"/>
      <c r="HVC2" s="283"/>
      <c r="HVD2" s="283"/>
      <c r="HVE2" s="283"/>
      <c r="HVF2" s="283"/>
      <c r="HVG2" s="283"/>
      <c r="HVH2" s="283"/>
      <c r="HVI2" s="283"/>
      <c r="HVJ2" s="283"/>
      <c r="HVK2" s="283"/>
      <c r="HVL2" s="283"/>
      <c r="HVM2" s="283"/>
      <c r="HVN2" s="283"/>
      <c r="HVO2" s="283"/>
      <c r="HVP2" s="283"/>
      <c r="HVQ2" s="283"/>
      <c r="HVR2" s="283"/>
      <c r="HVS2" s="283"/>
      <c r="HVT2" s="283"/>
      <c r="HVU2" s="283"/>
      <c r="HVV2" s="283"/>
      <c r="HVW2" s="283"/>
      <c r="HVX2" s="283"/>
      <c r="HVY2" s="283"/>
      <c r="HVZ2" s="283"/>
      <c r="HWA2" s="283"/>
      <c r="HWB2" s="283"/>
      <c r="HWC2" s="283"/>
      <c r="HWD2" s="283"/>
      <c r="HWE2" s="283"/>
      <c r="HWF2" s="283"/>
      <c r="HWG2" s="283"/>
      <c r="HWH2" s="283"/>
      <c r="HWI2" s="283"/>
      <c r="HWJ2" s="283"/>
      <c r="HWK2" s="283"/>
      <c r="HWL2" s="283"/>
      <c r="HWM2" s="283"/>
      <c r="HWN2" s="283"/>
      <c r="HWO2" s="283"/>
      <c r="HWP2" s="283"/>
      <c r="HWQ2" s="283"/>
      <c r="HWR2" s="283"/>
      <c r="HWS2" s="283"/>
      <c r="HWT2" s="283"/>
      <c r="HWU2" s="283"/>
      <c r="HWV2" s="283"/>
      <c r="HWW2" s="283"/>
      <c r="HWX2" s="283"/>
      <c r="HWY2" s="283"/>
      <c r="HWZ2" s="283"/>
      <c r="HXA2" s="283"/>
      <c r="HXB2" s="283"/>
      <c r="HXC2" s="283"/>
      <c r="HXD2" s="283"/>
      <c r="HXE2" s="283"/>
      <c r="HXF2" s="283"/>
      <c r="HXG2" s="283"/>
      <c r="HXH2" s="283"/>
      <c r="HXI2" s="283"/>
      <c r="HXJ2" s="283"/>
      <c r="HXK2" s="283"/>
      <c r="HXL2" s="283"/>
      <c r="HXM2" s="283"/>
      <c r="HXN2" s="283"/>
      <c r="HXO2" s="283"/>
      <c r="HXP2" s="283"/>
      <c r="HXQ2" s="283"/>
      <c r="HXR2" s="283"/>
      <c r="HXS2" s="283"/>
      <c r="HXT2" s="283"/>
      <c r="HXU2" s="283"/>
      <c r="HXV2" s="283"/>
      <c r="HXW2" s="283"/>
      <c r="HXX2" s="283"/>
      <c r="HXY2" s="283"/>
      <c r="HXZ2" s="283"/>
      <c r="HYA2" s="283"/>
      <c r="HYB2" s="283"/>
      <c r="HYC2" s="283"/>
      <c r="HYD2" s="283"/>
      <c r="HYE2" s="283"/>
      <c r="HYF2" s="283"/>
      <c r="HYG2" s="283"/>
      <c r="HYH2" s="283"/>
      <c r="HYI2" s="283"/>
      <c r="HYJ2" s="283"/>
      <c r="HYK2" s="283"/>
      <c r="HYL2" s="283"/>
      <c r="HYM2" s="283"/>
      <c r="HYN2" s="283"/>
      <c r="HYO2" s="283"/>
      <c r="HYP2" s="283"/>
      <c r="HYQ2" s="283"/>
      <c r="HYR2" s="283"/>
      <c r="HYS2" s="283"/>
      <c r="HYT2" s="283"/>
      <c r="HYU2" s="283"/>
      <c r="HYV2" s="283"/>
      <c r="HYW2" s="283"/>
      <c r="HYX2" s="283"/>
      <c r="HYY2" s="283"/>
      <c r="HYZ2" s="283"/>
      <c r="HZA2" s="283"/>
      <c r="HZB2" s="283"/>
      <c r="HZC2" s="283"/>
      <c r="HZD2" s="283"/>
      <c r="HZE2" s="283"/>
      <c r="HZF2" s="283"/>
      <c r="HZG2" s="283"/>
      <c r="HZH2" s="283"/>
      <c r="HZI2" s="283"/>
      <c r="HZJ2" s="283"/>
      <c r="HZK2" s="283"/>
      <c r="HZL2" s="283"/>
      <c r="HZM2" s="283"/>
      <c r="HZN2" s="283"/>
      <c r="HZO2" s="283"/>
      <c r="HZP2" s="283"/>
      <c r="HZQ2" s="283"/>
      <c r="HZR2" s="283"/>
      <c r="HZS2" s="283"/>
      <c r="HZT2" s="283"/>
      <c r="HZU2" s="283"/>
      <c r="HZV2" s="283"/>
      <c r="HZW2" s="283"/>
      <c r="HZX2" s="283"/>
      <c r="HZY2" s="283"/>
      <c r="HZZ2" s="283"/>
      <c r="IAA2" s="283"/>
      <c r="IAB2" s="283"/>
      <c r="IAC2" s="283"/>
      <c r="IAD2" s="283"/>
      <c r="IAE2" s="283"/>
      <c r="IAF2" s="283"/>
      <c r="IAG2" s="283"/>
      <c r="IAH2" s="283"/>
      <c r="IAI2" s="283"/>
      <c r="IAJ2" s="283"/>
      <c r="IAK2" s="283"/>
      <c r="IAL2" s="283"/>
      <c r="IAM2" s="283"/>
      <c r="IAN2" s="283"/>
      <c r="IAO2" s="283"/>
      <c r="IAP2" s="283"/>
      <c r="IAQ2" s="283"/>
      <c r="IAR2" s="283"/>
      <c r="IAS2" s="283"/>
      <c r="IAT2" s="283"/>
      <c r="IAU2" s="283"/>
      <c r="IAV2" s="283"/>
      <c r="IAW2" s="283"/>
      <c r="IAX2" s="283"/>
      <c r="IAY2" s="283"/>
      <c r="IAZ2" s="283"/>
      <c r="IBA2" s="283"/>
      <c r="IBB2" s="283"/>
      <c r="IBC2" s="283"/>
      <c r="IBD2" s="283"/>
      <c r="IBE2" s="283"/>
      <c r="IBF2" s="283"/>
      <c r="IBG2" s="283"/>
      <c r="IBH2" s="283"/>
      <c r="IBI2" s="283"/>
      <c r="IBJ2" s="283"/>
      <c r="IBK2" s="283"/>
      <c r="IBL2" s="283"/>
      <c r="IBM2" s="283"/>
      <c r="IBN2" s="283"/>
      <c r="IBO2" s="283"/>
      <c r="IBP2" s="283"/>
      <c r="IBQ2" s="283"/>
      <c r="IBR2" s="283"/>
      <c r="IBS2" s="283"/>
      <c r="IBT2" s="283"/>
      <c r="IBU2" s="283"/>
      <c r="IBV2" s="283"/>
      <c r="IBW2" s="283"/>
      <c r="IBX2" s="283"/>
      <c r="IBY2" s="283"/>
      <c r="IBZ2" s="283"/>
      <c r="ICA2" s="283"/>
      <c r="ICB2" s="283"/>
      <c r="ICC2" s="283"/>
      <c r="ICD2" s="283"/>
      <c r="ICE2" s="283"/>
      <c r="ICF2" s="283"/>
      <c r="ICG2" s="283"/>
      <c r="ICH2" s="283"/>
      <c r="ICI2" s="283"/>
      <c r="ICJ2" s="283"/>
      <c r="ICK2" s="283"/>
      <c r="ICL2" s="283"/>
      <c r="ICM2" s="283"/>
      <c r="ICN2" s="283"/>
      <c r="ICO2" s="283"/>
      <c r="ICP2" s="283"/>
      <c r="ICQ2" s="283"/>
      <c r="ICR2" s="283"/>
      <c r="ICS2" s="283"/>
      <c r="ICT2" s="283"/>
      <c r="ICU2" s="283"/>
      <c r="ICV2" s="283"/>
      <c r="ICW2" s="283"/>
      <c r="ICX2" s="283"/>
      <c r="ICY2" s="283"/>
      <c r="ICZ2" s="283"/>
      <c r="IDA2" s="283"/>
      <c r="IDB2" s="283"/>
      <c r="IDC2" s="283"/>
      <c r="IDD2" s="283"/>
      <c r="IDE2" s="283"/>
      <c r="IDF2" s="283"/>
      <c r="IDG2" s="283"/>
      <c r="IDH2" s="283"/>
      <c r="IDI2" s="283"/>
      <c r="IDJ2" s="283"/>
      <c r="IDK2" s="283"/>
      <c r="IDL2" s="283"/>
      <c r="IDM2" s="283"/>
      <c r="IDN2" s="283"/>
      <c r="IDO2" s="283"/>
      <c r="IDP2" s="283"/>
      <c r="IDQ2" s="283"/>
      <c r="IDR2" s="283"/>
      <c r="IDS2" s="283"/>
      <c r="IDT2" s="283"/>
      <c r="IDU2" s="283"/>
      <c r="IDV2" s="283"/>
      <c r="IDW2" s="283"/>
      <c r="IDX2" s="283"/>
      <c r="IDY2" s="283"/>
      <c r="IDZ2" s="283"/>
      <c r="IEA2" s="283"/>
      <c r="IEB2" s="283"/>
      <c r="IEC2" s="283"/>
      <c r="IED2" s="283"/>
      <c r="IEE2" s="283"/>
      <c r="IEF2" s="283"/>
      <c r="IEG2" s="283"/>
      <c r="IEH2" s="283"/>
      <c r="IEI2" s="283"/>
      <c r="IEJ2" s="283"/>
      <c r="IEK2" s="283"/>
      <c r="IEL2" s="283"/>
      <c r="IEM2" s="283"/>
      <c r="IEN2" s="283"/>
      <c r="IEO2" s="283"/>
      <c r="IEP2" s="283"/>
      <c r="IEQ2" s="283"/>
      <c r="IER2" s="283"/>
      <c r="IES2" s="283"/>
      <c r="IET2" s="283"/>
      <c r="IEU2" s="283"/>
      <c r="IEV2" s="283"/>
      <c r="IEW2" s="283"/>
      <c r="IEX2" s="283"/>
      <c r="IEY2" s="283"/>
      <c r="IEZ2" s="283"/>
      <c r="IFA2" s="283"/>
      <c r="IFB2" s="283"/>
      <c r="IFC2" s="283"/>
      <c r="IFD2" s="283"/>
      <c r="IFE2" s="283"/>
      <c r="IFF2" s="283"/>
      <c r="IFG2" s="283"/>
      <c r="IFH2" s="283"/>
      <c r="IFI2" s="283"/>
      <c r="IFJ2" s="283"/>
      <c r="IFK2" s="283"/>
      <c r="IFL2" s="283"/>
      <c r="IFM2" s="283"/>
      <c r="IFN2" s="283"/>
      <c r="IFO2" s="283"/>
      <c r="IFP2" s="283"/>
      <c r="IFQ2" s="283"/>
      <c r="IFR2" s="283"/>
      <c r="IFS2" s="283"/>
      <c r="IFT2" s="283"/>
      <c r="IFU2" s="283"/>
      <c r="IFV2" s="283"/>
      <c r="IFW2" s="283"/>
      <c r="IFX2" s="283"/>
      <c r="IFY2" s="283"/>
      <c r="IFZ2" s="283"/>
      <c r="IGA2" s="283"/>
      <c r="IGB2" s="283"/>
      <c r="IGC2" s="283"/>
      <c r="IGD2" s="283"/>
      <c r="IGE2" s="283"/>
      <c r="IGF2" s="283"/>
      <c r="IGG2" s="283"/>
      <c r="IGH2" s="283"/>
      <c r="IGI2" s="283"/>
      <c r="IGJ2" s="283"/>
      <c r="IGK2" s="283"/>
      <c r="IGL2" s="283"/>
      <c r="IGM2" s="283"/>
      <c r="IGN2" s="283"/>
      <c r="IGO2" s="283"/>
      <c r="IGP2" s="283"/>
      <c r="IGQ2" s="283"/>
      <c r="IGR2" s="283"/>
      <c r="IGS2" s="283"/>
      <c r="IGT2" s="283"/>
      <c r="IGU2" s="283"/>
      <c r="IGV2" s="283"/>
      <c r="IGW2" s="283"/>
      <c r="IGX2" s="283"/>
      <c r="IGY2" s="283"/>
      <c r="IGZ2" s="283"/>
      <c r="IHA2" s="283"/>
      <c r="IHB2" s="283"/>
      <c r="IHC2" s="283"/>
      <c r="IHD2" s="283"/>
      <c r="IHE2" s="283"/>
      <c r="IHF2" s="283"/>
      <c r="IHG2" s="283"/>
      <c r="IHH2" s="283"/>
      <c r="IHI2" s="283"/>
      <c r="IHJ2" s="283"/>
      <c r="IHK2" s="283"/>
      <c r="IHL2" s="283"/>
      <c r="IHM2" s="283"/>
      <c r="IHN2" s="283"/>
      <c r="IHO2" s="283"/>
      <c r="IHP2" s="283"/>
      <c r="IHQ2" s="283"/>
      <c r="IHR2" s="283"/>
      <c r="IHS2" s="283"/>
      <c r="IHT2" s="283"/>
      <c r="IHU2" s="283"/>
      <c r="IHV2" s="283"/>
      <c r="IHW2" s="283"/>
      <c r="IHX2" s="283"/>
      <c r="IHY2" s="283"/>
      <c r="IHZ2" s="283"/>
      <c r="IIA2" s="283"/>
      <c r="IIB2" s="283"/>
      <c r="IIC2" s="283"/>
      <c r="IID2" s="283"/>
      <c r="IIE2" s="283"/>
      <c r="IIF2" s="283"/>
      <c r="IIG2" s="283"/>
      <c r="IIH2" s="283"/>
      <c r="III2" s="283"/>
      <c r="IIJ2" s="283"/>
      <c r="IIK2" s="283"/>
      <c r="IIL2" s="283"/>
      <c r="IIM2" s="283"/>
      <c r="IIN2" s="283"/>
      <c r="IIO2" s="283"/>
      <c r="IIP2" s="283"/>
      <c r="IIQ2" s="283"/>
      <c r="IIR2" s="283"/>
      <c r="IIS2" s="283"/>
      <c r="IIT2" s="283"/>
      <c r="IIU2" s="283"/>
      <c r="IIV2" s="283"/>
      <c r="IIW2" s="283"/>
      <c r="IIX2" s="283"/>
      <c r="IIY2" s="283"/>
      <c r="IIZ2" s="283"/>
      <c r="IJA2" s="283"/>
      <c r="IJB2" s="283"/>
      <c r="IJC2" s="283"/>
      <c r="IJD2" s="283"/>
      <c r="IJE2" s="283"/>
      <c r="IJF2" s="283"/>
      <c r="IJG2" s="283"/>
      <c r="IJH2" s="283"/>
      <c r="IJI2" s="283"/>
      <c r="IJJ2" s="283"/>
      <c r="IJK2" s="283"/>
      <c r="IJL2" s="283"/>
      <c r="IJM2" s="283"/>
      <c r="IJN2" s="283"/>
      <c r="IJO2" s="283"/>
      <c r="IJP2" s="283"/>
      <c r="IJQ2" s="283"/>
      <c r="IJR2" s="283"/>
      <c r="IJS2" s="283"/>
      <c r="IJT2" s="283"/>
      <c r="IJU2" s="283"/>
      <c r="IJV2" s="283"/>
      <c r="IJW2" s="283"/>
      <c r="IJX2" s="283"/>
      <c r="IJY2" s="283"/>
      <c r="IJZ2" s="283"/>
      <c r="IKA2" s="283"/>
      <c r="IKB2" s="283"/>
      <c r="IKC2" s="283"/>
      <c r="IKD2" s="283"/>
      <c r="IKE2" s="283"/>
      <c r="IKF2" s="283"/>
      <c r="IKG2" s="283"/>
      <c r="IKH2" s="283"/>
      <c r="IKI2" s="283"/>
      <c r="IKJ2" s="283"/>
      <c r="IKK2" s="283"/>
      <c r="IKL2" s="283"/>
      <c r="IKM2" s="283"/>
      <c r="IKN2" s="283"/>
      <c r="IKO2" s="283"/>
      <c r="IKP2" s="283"/>
      <c r="IKQ2" s="283"/>
      <c r="IKR2" s="283"/>
      <c r="IKS2" s="283"/>
      <c r="IKT2" s="283"/>
      <c r="IKU2" s="283"/>
      <c r="IKV2" s="283"/>
      <c r="IKW2" s="283"/>
      <c r="IKX2" s="283"/>
      <c r="IKY2" s="283"/>
      <c r="IKZ2" s="283"/>
      <c r="ILA2" s="283"/>
      <c r="ILB2" s="283"/>
      <c r="ILC2" s="283"/>
      <c r="ILD2" s="283"/>
      <c r="ILE2" s="283"/>
      <c r="ILF2" s="283"/>
      <c r="ILG2" s="283"/>
      <c r="ILH2" s="283"/>
      <c r="ILI2" s="283"/>
      <c r="ILJ2" s="283"/>
      <c r="ILK2" s="283"/>
      <c r="ILL2" s="283"/>
      <c r="ILM2" s="283"/>
      <c r="ILN2" s="283"/>
      <c r="ILO2" s="283"/>
      <c r="ILP2" s="283"/>
      <c r="ILQ2" s="283"/>
      <c r="ILR2" s="283"/>
      <c r="ILS2" s="283"/>
      <c r="ILT2" s="283"/>
      <c r="ILU2" s="283"/>
      <c r="ILV2" s="283"/>
      <c r="ILW2" s="283"/>
      <c r="ILX2" s="283"/>
      <c r="ILY2" s="283"/>
      <c r="ILZ2" s="283"/>
      <c r="IMA2" s="283"/>
      <c r="IMB2" s="283"/>
      <c r="IMC2" s="283"/>
      <c r="IMD2" s="283"/>
      <c r="IME2" s="283"/>
      <c r="IMF2" s="283"/>
      <c r="IMG2" s="283"/>
      <c r="IMH2" s="283"/>
      <c r="IMI2" s="283"/>
      <c r="IMJ2" s="283"/>
      <c r="IMK2" s="283"/>
      <c r="IML2" s="283"/>
      <c r="IMM2" s="283"/>
      <c r="IMN2" s="283"/>
      <c r="IMO2" s="283"/>
      <c r="IMP2" s="283"/>
      <c r="IMQ2" s="283"/>
      <c r="IMR2" s="283"/>
      <c r="IMS2" s="283"/>
      <c r="IMT2" s="283"/>
      <c r="IMU2" s="283"/>
      <c r="IMV2" s="283"/>
      <c r="IMW2" s="283"/>
      <c r="IMX2" s="283"/>
      <c r="IMY2" s="283"/>
      <c r="IMZ2" s="283"/>
      <c r="INA2" s="283"/>
      <c r="INB2" s="283"/>
      <c r="INC2" s="283"/>
      <c r="IND2" s="283"/>
      <c r="INE2" s="283"/>
      <c r="INF2" s="283"/>
      <c r="ING2" s="283"/>
      <c r="INH2" s="283"/>
      <c r="INI2" s="283"/>
      <c r="INJ2" s="283"/>
      <c r="INK2" s="283"/>
      <c r="INL2" s="283"/>
      <c r="INM2" s="283"/>
      <c r="INN2" s="283"/>
      <c r="INO2" s="283"/>
      <c r="INP2" s="283"/>
      <c r="INQ2" s="283"/>
      <c r="INR2" s="283"/>
      <c r="INS2" s="283"/>
      <c r="INT2" s="283"/>
      <c r="INU2" s="283"/>
      <c r="INV2" s="283"/>
      <c r="INW2" s="283"/>
      <c r="INX2" s="283"/>
      <c r="INY2" s="283"/>
      <c r="INZ2" s="283"/>
      <c r="IOA2" s="283"/>
      <c r="IOB2" s="283"/>
      <c r="IOC2" s="283"/>
      <c r="IOD2" s="283"/>
      <c r="IOE2" s="283"/>
      <c r="IOF2" s="283"/>
      <c r="IOG2" s="283"/>
      <c r="IOH2" s="283"/>
      <c r="IOI2" s="283"/>
      <c r="IOJ2" s="283"/>
      <c r="IOK2" s="283"/>
      <c r="IOL2" s="283"/>
      <c r="IOM2" s="283"/>
      <c r="ION2" s="283"/>
      <c r="IOO2" s="283"/>
      <c r="IOP2" s="283"/>
      <c r="IOQ2" s="283"/>
      <c r="IOR2" s="283"/>
      <c r="IOS2" s="283"/>
      <c r="IOT2" s="283"/>
      <c r="IOU2" s="283"/>
      <c r="IOV2" s="283"/>
      <c r="IOW2" s="283"/>
      <c r="IOX2" s="283"/>
      <c r="IOY2" s="283"/>
      <c r="IOZ2" s="283"/>
      <c r="IPA2" s="283"/>
      <c r="IPB2" s="283"/>
      <c r="IPC2" s="283"/>
      <c r="IPD2" s="283"/>
      <c r="IPE2" s="283"/>
      <c r="IPF2" s="283"/>
      <c r="IPG2" s="283"/>
      <c r="IPH2" s="283"/>
      <c r="IPI2" s="283"/>
      <c r="IPJ2" s="283"/>
      <c r="IPK2" s="283"/>
      <c r="IPL2" s="283"/>
      <c r="IPM2" s="283"/>
      <c r="IPN2" s="283"/>
      <c r="IPO2" s="283"/>
      <c r="IPP2" s="283"/>
      <c r="IPQ2" s="283"/>
      <c r="IPR2" s="283"/>
      <c r="IPS2" s="283"/>
      <c r="IPT2" s="283"/>
      <c r="IPU2" s="283"/>
      <c r="IPV2" s="283"/>
      <c r="IPW2" s="283"/>
      <c r="IPX2" s="283"/>
      <c r="IPY2" s="283"/>
      <c r="IPZ2" s="283"/>
      <c r="IQA2" s="283"/>
      <c r="IQB2" s="283"/>
      <c r="IQC2" s="283"/>
      <c r="IQD2" s="283"/>
      <c r="IQE2" s="283"/>
      <c r="IQF2" s="283"/>
      <c r="IQG2" s="283"/>
      <c r="IQH2" s="283"/>
      <c r="IQI2" s="283"/>
      <c r="IQJ2" s="283"/>
      <c r="IQK2" s="283"/>
      <c r="IQL2" s="283"/>
      <c r="IQM2" s="283"/>
      <c r="IQN2" s="283"/>
      <c r="IQO2" s="283"/>
      <c r="IQP2" s="283"/>
      <c r="IQQ2" s="283"/>
      <c r="IQR2" s="283"/>
      <c r="IQS2" s="283"/>
      <c r="IQT2" s="283"/>
      <c r="IQU2" s="283"/>
      <c r="IQV2" s="283"/>
      <c r="IQW2" s="283"/>
      <c r="IQX2" s="283"/>
      <c r="IQY2" s="283"/>
      <c r="IQZ2" s="283"/>
      <c r="IRA2" s="283"/>
      <c r="IRB2" s="283"/>
      <c r="IRC2" s="283"/>
      <c r="IRD2" s="283"/>
      <c r="IRE2" s="283"/>
      <c r="IRF2" s="283"/>
      <c r="IRG2" s="283"/>
      <c r="IRH2" s="283"/>
      <c r="IRI2" s="283"/>
      <c r="IRJ2" s="283"/>
      <c r="IRK2" s="283"/>
      <c r="IRL2" s="283"/>
      <c r="IRM2" s="283"/>
      <c r="IRN2" s="283"/>
      <c r="IRO2" s="283"/>
      <c r="IRP2" s="283"/>
      <c r="IRQ2" s="283"/>
      <c r="IRR2" s="283"/>
      <c r="IRS2" s="283"/>
      <c r="IRT2" s="283"/>
      <c r="IRU2" s="283"/>
      <c r="IRV2" s="283"/>
      <c r="IRW2" s="283"/>
      <c r="IRX2" s="283"/>
      <c r="IRY2" s="283"/>
      <c r="IRZ2" s="283"/>
      <c r="ISA2" s="283"/>
      <c r="ISB2" s="283"/>
      <c r="ISC2" s="283"/>
      <c r="ISD2" s="283"/>
      <c r="ISE2" s="283"/>
      <c r="ISF2" s="283"/>
      <c r="ISG2" s="283"/>
      <c r="ISH2" s="283"/>
      <c r="ISI2" s="283"/>
      <c r="ISJ2" s="283"/>
      <c r="ISK2" s="283"/>
      <c r="ISL2" s="283"/>
      <c r="ISM2" s="283"/>
      <c r="ISN2" s="283"/>
      <c r="ISO2" s="283"/>
      <c r="ISP2" s="283"/>
      <c r="ISQ2" s="283"/>
      <c r="ISR2" s="283"/>
      <c r="ISS2" s="283"/>
      <c r="IST2" s="283"/>
      <c r="ISU2" s="283"/>
      <c r="ISV2" s="283"/>
      <c r="ISW2" s="283"/>
      <c r="ISX2" s="283"/>
      <c r="ISY2" s="283"/>
      <c r="ISZ2" s="283"/>
      <c r="ITA2" s="283"/>
      <c r="ITB2" s="283"/>
      <c r="ITC2" s="283"/>
      <c r="ITD2" s="283"/>
      <c r="ITE2" s="283"/>
      <c r="ITF2" s="283"/>
      <c r="ITG2" s="283"/>
      <c r="ITH2" s="283"/>
      <c r="ITI2" s="283"/>
      <c r="ITJ2" s="283"/>
      <c r="ITK2" s="283"/>
      <c r="ITL2" s="283"/>
      <c r="ITM2" s="283"/>
      <c r="ITN2" s="283"/>
      <c r="ITO2" s="283"/>
      <c r="ITP2" s="283"/>
      <c r="ITQ2" s="283"/>
      <c r="ITR2" s="283"/>
      <c r="ITS2" s="283"/>
      <c r="ITT2" s="283"/>
      <c r="ITU2" s="283"/>
      <c r="ITV2" s="283"/>
      <c r="ITW2" s="283"/>
      <c r="ITX2" s="283"/>
      <c r="ITY2" s="283"/>
      <c r="ITZ2" s="283"/>
      <c r="IUA2" s="283"/>
      <c r="IUB2" s="283"/>
      <c r="IUC2" s="283"/>
      <c r="IUD2" s="283"/>
      <c r="IUE2" s="283"/>
      <c r="IUF2" s="283"/>
      <c r="IUG2" s="283"/>
      <c r="IUH2" s="283"/>
      <c r="IUI2" s="283"/>
      <c r="IUJ2" s="283"/>
      <c r="IUK2" s="283"/>
      <c r="IUL2" s="283"/>
      <c r="IUM2" s="283"/>
      <c r="IUN2" s="283"/>
      <c r="IUO2" s="283"/>
      <c r="IUP2" s="283"/>
      <c r="IUQ2" s="283"/>
      <c r="IUR2" s="283"/>
      <c r="IUS2" s="283"/>
      <c r="IUT2" s="283"/>
      <c r="IUU2" s="283"/>
      <c r="IUV2" s="283"/>
      <c r="IUW2" s="283"/>
      <c r="IUX2" s="283"/>
      <c r="IUY2" s="283"/>
      <c r="IUZ2" s="283"/>
      <c r="IVA2" s="283"/>
      <c r="IVB2" s="283"/>
      <c r="IVC2" s="283"/>
      <c r="IVD2" s="283"/>
      <c r="IVE2" s="283"/>
      <c r="IVF2" s="283"/>
      <c r="IVG2" s="283"/>
      <c r="IVH2" s="283"/>
      <c r="IVI2" s="283"/>
      <c r="IVJ2" s="283"/>
      <c r="IVK2" s="283"/>
      <c r="IVL2" s="283"/>
      <c r="IVM2" s="283"/>
      <c r="IVN2" s="283"/>
      <c r="IVO2" s="283"/>
      <c r="IVP2" s="283"/>
      <c r="IVQ2" s="283"/>
      <c r="IVR2" s="283"/>
      <c r="IVS2" s="283"/>
      <c r="IVT2" s="283"/>
      <c r="IVU2" s="283"/>
      <c r="IVV2" s="283"/>
      <c r="IVW2" s="283"/>
      <c r="IVX2" s="283"/>
      <c r="IVY2" s="283"/>
      <c r="IVZ2" s="283"/>
      <c r="IWA2" s="283"/>
      <c r="IWB2" s="283"/>
      <c r="IWC2" s="283"/>
      <c r="IWD2" s="283"/>
      <c r="IWE2" s="283"/>
      <c r="IWF2" s="283"/>
      <c r="IWG2" s="283"/>
      <c r="IWH2" s="283"/>
      <c r="IWI2" s="283"/>
      <c r="IWJ2" s="283"/>
      <c r="IWK2" s="283"/>
      <c r="IWL2" s="283"/>
      <c r="IWM2" s="283"/>
      <c r="IWN2" s="283"/>
      <c r="IWO2" s="283"/>
      <c r="IWP2" s="283"/>
      <c r="IWQ2" s="283"/>
      <c r="IWR2" s="283"/>
      <c r="IWS2" s="283"/>
      <c r="IWT2" s="283"/>
      <c r="IWU2" s="283"/>
      <c r="IWV2" s="283"/>
      <c r="IWW2" s="283"/>
      <c r="IWX2" s="283"/>
      <c r="IWY2" s="283"/>
      <c r="IWZ2" s="283"/>
      <c r="IXA2" s="283"/>
      <c r="IXB2" s="283"/>
      <c r="IXC2" s="283"/>
      <c r="IXD2" s="283"/>
      <c r="IXE2" s="283"/>
      <c r="IXF2" s="283"/>
      <c r="IXG2" s="283"/>
      <c r="IXH2" s="283"/>
      <c r="IXI2" s="283"/>
      <c r="IXJ2" s="283"/>
      <c r="IXK2" s="283"/>
      <c r="IXL2" s="283"/>
      <c r="IXM2" s="283"/>
      <c r="IXN2" s="283"/>
      <c r="IXO2" s="283"/>
      <c r="IXP2" s="283"/>
      <c r="IXQ2" s="283"/>
      <c r="IXR2" s="283"/>
      <c r="IXS2" s="283"/>
      <c r="IXT2" s="283"/>
      <c r="IXU2" s="283"/>
      <c r="IXV2" s="283"/>
      <c r="IXW2" s="283"/>
      <c r="IXX2" s="283"/>
      <c r="IXY2" s="283"/>
      <c r="IXZ2" s="283"/>
      <c r="IYA2" s="283"/>
      <c r="IYB2" s="283"/>
      <c r="IYC2" s="283"/>
      <c r="IYD2" s="283"/>
      <c r="IYE2" s="283"/>
      <c r="IYF2" s="283"/>
      <c r="IYG2" s="283"/>
      <c r="IYH2" s="283"/>
      <c r="IYI2" s="283"/>
      <c r="IYJ2" s="283"/>
      <c r="IYK2" s="283"/>
      <c r="IYL2" s="283"/>
      <c r="IYM2" s="283"/>
      <c r="IYN2" s="283"/>
      <c r="IYO2" s="283"/>
      <c r="IYP2" s="283"/>
      <c r="IYQ2" s="283"/>
      <c r="IYR2" s="283"/>
      <c r="IYS2" s="283"/>
      <c r="IYT2" s="283"/>
      <c r="IYU2" s="283"/>
      <c r="IYV2" s="283"/>
      <c r="IYW2" s="283"/>
      <c r="IYX2" s="283"/>
      <c r="IYY2" s="283"/>
      <c r="IYZ2" s="283"/>
      <c r="IZA2" s="283"/>
      <c r="IZB2" s="283"/>
      <c r="IZC2" s="283"/>
      <c r="IZD2" s="283"/>
      <c r="IZE2" s="283"/>
      <c r="IZF2" s="283"/>
      <c r="IZG2" s="283"/>
      <c r="IZH2" s="283"/>
      <c r="IZI2" s="283"/>
      <c r="IZJ2" s="283"/>
      <c r="IZK2" s="283"/>
      <c r="IZL2" s="283"/>
      <c r="IZM2" s="283"/>
      <c r="IZN2" s="283"/>
      <c r="IZO2" s="283"/>
      <c r="IZP2" s="283"/>
      <c r="IZQ2" s="283"/>
      <c r="IZR2" s="283"/>
      <c r="IZS2" s="283"/>
      <c r="IZT2" s="283"/>
      <c r="IZU2" s="283"/>
      <c r="IZV2" s="283"/>
      <c r="IZW2" s="283"/>
      <c r="IZX2" s="283"/>
      <c r="IZY2" s="283"/>
      <c r="IZZ2" s="283"/>
      <c r="JAA2" s="283"/>
      <c r="JAB2" s="283"/>
      <c r="JAC2" s="283"/>
      <c r="JAD2" s="283"/>
      <c r="JAE2" s="283"/>
      <c r="JAF2" s="283"/>
      <c r="JAG2" s="283"/>
      <c r="JAH2" s="283"/>
      <c r="JAI2" s="283"/>
      <c r="JAJ2" s="283"/>
      <c r="JAK2" s="283"/>
      <c r="JAL2" s="283"/>
      <c r="JAM2" s="283"/>
      <c r="JAN2" s="283"/>
      <c r="JAO2" s="283"/>
      <c r="JAP2" s="283"/>
      <c r="JAQ2" s="283"/>
      <c r="JAR2" s="283"/>
      <c r="JAS2" s="283"/>
      <c r="JAT2" s="283"/>
      <c r="JAU2" s="283"/>
      <c r="JAV2" s="283"/>
      <c r="JAW2" s="283"/>
      <c r="JAX2" s="283"/>
      <c r="JAY2" s="283"/>
      <c r="JAZ2" s="283"/>
      <c r="JBA2" s="283"/>
      <c r="JBB2" s="283"/>
      <c r="JBC2" s="283"/>
      <c r="JBD2" s="283"/>
      <c r="JBE2" s="283"/>
      <c r="JBF2" s="283"/>
      <c r="JBG2" s="283"/>
      <c r="JBH2" s="283"/>
      <c r="JBI2" s="283"/>
      <c r="JBJ2" s="283"/>
      <c r="JBK2" s="283"/>
      <c r="JBL2" s="283"/>
      <c r="JBM2" s="283"/>
      <c r="JBN2" s="283"/>
      <c r="JBO2" s="283"/>
      <c r="JBP2" s="283"/>
      <c r="JBQ2" s="283"/>
      <c r="JBR2" s="283"/>
      <c r="JBS2" s="283"/>
      <c r="JBT2" s="283"/>
      <c r="JBU2" s="283"/>
      <c r="JBV2" s="283"/>
      <c r="JBW2" s="283"/>
      <c r="JBX2" s="283"/>
      <c r="JBY2" s="283"/>
      <c r="JBZ2" s="283"/>
      <c r="JCA2" s="283"/>
      <c r="JCB2" s="283"/>
      <c r="JCC2" s="283"/>
      <c r="JCD2" s="283"/>
      <c r="JCE2" s="283"/>
      <c r="JCF2" s="283"/>
      <c r="JCG2" s="283"/>
      <c r="JCH2" s="283"/>
      <c r="JCI2" s="283"/>
      <c r="JCJ2" s="283"/>
      <c r="JCK2" s="283"/>
      <c r="JCL2" s="283"/>
      <c r="JCM2" s="283"/>
      <c r="JCN2" s="283"/>
      <c r="JCO2" s="283"/>
      <c r="JCP2" s="283"/>
      <c r="JCQ2" s="283"/>
      <c r="JCR2" s="283"/>
      <c r="JCS2" s="283"/>
      <c r="JCT2" s="283"/>
      <c r="JCU2" s="283"/>
      <c r="JCV2" s="283"/>
      <c r="JCW2" s="283"/>
      <c r="JCX2" s="283"/>
      <c r="JCY2" s="283"/>
      <c r="JCZ2" s="283"/>
      <c r="JDA2" s="283"/>
      <c r="JDB2" s="283"/>
      <c r="JDC2" s="283"/>
      <c r="JDD2" s="283"/>
      <c r="JDE2" s="283"/>
      <c r="JDF2" s="283"/>
      <c r="JDG2" s="283"/>
      <c r="JDH2" s="283"/>
      <c r="JDI2" s="283"/>
      <c r="JDJ2" s="283"/>
      <c r="JDK2" s="283"/>
      <c r="JDL2" s="283"/>
      <c r="JDM2" s="283"/>
      <c r="JDN2" s="283"/>
      <c r="JDO2" s="283"/>
      <c r="JDP2" s="283"/>
      <c r="JDQ2" s="283"/>
      <c r="JDR2" s="283"/>
      <c r="JDS2" s="283"/>
      <c r="JDT2" s="283"/>
      <c r="JDU2" s="283"/>
      <c r="JDV2" s="283"/>
      <c r="JDW2" s="283"/>
      <c r="JDX2" s="283"/>
      <c r="JDY2" s="283"/>
      <c r="JDZ2" s="283"/>
      <c r="JEA2" s="283"/>
      <c r="JEB2" s="283"/>
      <c r="JEC2" s="283"/>
      <c r="JED2" s="283"/>
      <c r="JEE2" s="283"/>
      <c r="JEF2" s="283"/>
      <c r="JEG2" s="283"/>
      <c r="JEH2" s="283"/>
      <c r="JEI2" s="283"/>
      <c r="JEJ2" s="283"/>
      <c r="JEK2" s="283"/>
      <c r="JEL2" s="283"/>
      <c r="JEM2" s="283"/>
      <c r="JEN2" s="283"/>
      <c r="JEO2" s="283"/>
      <c r="JEP2" s="283"/>
      <c r="JEQ2" s="283"/>
      <c r="JER2" s="283"/>
      <c r="JES2" s="283"/>
      <c r="JET2" s="283"/>
      <c r="JEU2" s="283"/>
      <c r="JEV2" s="283"/>
      <c r="JEW2" s="283"/>
      <c r="JEX2" s="283"/>
      <c r="JEY2" s="283"/>
      <c r="JEZ2" s="283"/>
      <c r="JFA2" s="283"/>
      <c r="JFB2" s="283"/>
      <c r="JFC2" s="283"/>
      <c r="JFD2" s="283"/>
      <c r="JFE2" s="283"/>
      <c r="JFF2" s="283"/>
      <c r="JFG2" s="283"/>
      <c r="JFH2" s="283"/>
      <c r="JFI2" s="283"/>
      <c r="JFJ2" s="283"/>
      <c r="JFK2" s="283"/>
      <c r="JFL2" s="283"/>
      <c r="JFM2" s="283"/>
      <c r="JFN2" s="283"/>
      <c r="JFO2" s="283"/>
      <c r="JFP2" s="283"/>
      <c r="JFQ2" s="283"/>
      <c r="JFR2" s="283"/>
      <c r="JFS2" s="283"/>
      <c r="JFT2" s="283"/>
      <c r="JFU2" s="283"/>
      <c r="JFV2" s="283"/>
      <c r="JFW2" s="283"/>
      <c r="JFX2" s="283"/>
      <c r="JFY2" s="283"/>
      <c r="JFZ2" s="283"/>
      <c r="JGA2" s="283"/>
      <c r="JGB2" s="283"/>
      <c r="JGC2" s="283"/>
      <c r="JGD2" s="283"/>
      <c r="JGE2" s="283"/>
      <c r="JGF2" s="283"/>
      <c r="JGG2" s="283"/>
      <c r="JGH2" s="283"/>
      <c r="JGI2" s="283"/>
      <c r="JGJ2" s="283"/>
      <c r="JGK2" s="283"/>
      <c r="JGL2" s="283"/>
      <c r="JGM2" s="283"/>
      <c r="JGN2" s="283"/>
      <c r="JGO2" s="283"/>
      <c r="JGP2" s="283"/>
      <c r="JGQ2" s="283"/>
      <c r="JGR2" s="283"/>
      <c r="JGS2" s="283"/>
      <c r="JGT2" s="283"/>
      <c r="JGU2" s="283"/>
      <c r="JGV2" s="283"/>
      <c r="JGW2" s="283"/>
      <c r="JGX2" s="283"/>
      <c r="JGY2" s="283"/>
      <c r="JGZ2" s="283"/>
      <c r="JHA2" s="283"/>
      <c r="JHB2" s="283"/>
      <c r="JHC2" s="283"/>
      <c r="JHD2" s="283"/>
      <c r="JHE2" s="283"/>
      <c r="JHF2" s="283"/>
      <c r="JHG2" s="283"/>
      <c r="JHH2" s="283"/>
      <c r="JHI2" s="283"/>
      <c r="JHJ2" s="283"/>
      <c r="JHK2" s="283"/>
      <c r="JHL2" s="283"/>
      <c r="JHM2" s="283"/>
      <c r="JHN2" s="283"/>
      <c r="JHO2" s="283"/>
      <c r="JHP2" s="283"/>
      <c r="JHQ2" s="283"/>
      <c r="JHR2" s="283"/>
      <c r="JHS2" s="283"/>
      <c r="JHT2" s="283"/>
      <c r="JHU2" s="283"/>
      <c r="JHV2" s="283"/>
      <c r="JHW2" s="283"/>
      <c r="JHX2" s="283"/>
      <c r="JHY2" s="283"/>
      <c r="JHZ2" s="283"/>
      <c r="JIA2" s="283"/>
      <c r="JIB2" s="283"/>
      <c r="JIC2" s="283"/>
      <c r="JID2" s="283"/>
      <c r="JIE2" s="283"/>
      <c r="JIF2" s="283"/>
      <c r="JIG2" s="283"/>
      <c r="JIH2" s="283"/>
      <c r="JII2" s="283"/>
      <c r="JIJ2" s="283"/>
      <c r="JIK2" s="283"/>
      <c r="JIL2" s="283"/>
      <c r="JIM2" s="283"/>
      <c r="JIN2" s="283"/>
      <c r="JIO2" s="283"/>
      <c r="JIP2" s="283"/>
      <c r="JIQ2" s="283"/>
      <c r="JIR2" s="283"/>
      <c r="JIS2" s="283"/>
      <c r="JIT2" s="283"/>
      <c r="JIU2" s="283"/>
      <c r="JIV2" s="283"/>
      <c r="JIW2" s="283"/>
      <c r="JIX2" s="283"/>
      <c r="JIY2" s="283"/>
      <c r="JIZ2" s="283"/>
      <c r="JJA2" s="283"/>
      <c r="JJB2" s="283"/>
      <c r="JJC2" s="283"/>
      <c r="JJD2" s="283"/>
      <c r="JJE2" s="283"/>
      <c r="JJF2" s="283"/>
      <c r="JJG2" s="283"/>
      <c r="JJH2" s="283"/>
      <c r="JJI2" s="283"/>
      <c r="JJJ2" s="283"/>
      <c r="JJK2" s="283"/>
      <c r="JJL2" s="283"/>
      <c r="JJM2" s="283"/>
      <c r="JJN2" s="283"/>
      <c r="JJO2" s="283"/>
      <c r="JJP2" s="283"/>
      <c r="JJQ2" s="283"/>
      <c r="JJR2" s="283"/>
      <c r="JJS2" s="283"/>
      <c r="JJT2" s="283"/>
      <c r="JJU2" s="283"/>
      <c r="JJV2" s="283"/>
      <c r="JJW2" s="283"/>
      <c r="JJX2" s="283"/>
      <c r="JJY2" s="283"/>
      <c r="JJZ2" s="283"/>
      <c r="JKA2" s="283"/>
      <c r="JKB2" s="283"/>
      <c r="JKC2" s="283"/>
      <c r="JKD2" s="283"/>
      <c r="JKE2" s="283"/>
      <c r="JKF2" s="283"/>
      <c r="JKG2" s="283"/>
      <c r="JKH2" s="283"/>
      <c r="JKI2" s="283"/>
      <c r="JKJ2" s="283"/>
      <c r="JKK2" s="283"/>
      <c r="JKL2" s="283"/>
      <c r="JKM2" s="283"/>
      <c r="JKN2" s="283"/>
      <c r="JKO2" s="283"/>
      <c r="JKP2" s="283"/>
      <c r="JKQ2" s="283"/>
      <c r="JKR2" s="283"/>
      <c r="JKS2" s="283"/>
      <c r="JKT2" s="283"/>
      <c r="JKU2" s="283"/>
      <c r="JKV2" s="283"/>
      <c r="JKW2" s="283"/>
      <c r="JKX2" s="283"/>
      <c r="JKY2" s="283"/>
      <c r="JKZ2" s="283"/>
      <c r="JLA2" s="283"/>
      <c r="JLB2" s="283"/>
      <c r="JLC2" s="283"/>
      <c r="JLD2" s="283"/>
      <c r="JLE2" s="283"/>
      <c r="JLF2" s="283"/>
      <c r="JLG2" s="283"/>
      <c r="JLH2" s="283"/>
      <c r="JLI2" s="283"/>
      <c r="JLJ2" s="283"/>
      <c r="JLK2" s="283"/>
      <c r="JLL2" s="283"/>
      <c r="JLM2" s="283"/>
      <c r="JLN2" s="283"/>
      <c r="JLO2" s="283"/>
      <c r="JLP2" s="283"/>
      <c r="JLQ2" s="283"/>
      <c r="JLR2" s="283"/>
      <c r="JLS2" s="283"/>
      <c r="JLT2" s="283"/>
      <c r="JLU2" s="283"/>
      <c r="JLV2" s="283"/>
      <c r="JLW2" s="283"/>
      <c r="JLX2" s="283"/>
      <c r="JLY2" s="283"/>
      <c r="JLZ2" s="283"/>
      <c r="JMA2" s="283"/>
      <c r="JMB2" s="283"/>
      <c r="JMC2" s="283"/>
      <c r="JMD2" s="283"/>
      <c r="JME2" s="283"/>
      <c r="JMF2" s="283"/>
      <c r="JMG2" s="283"/>
      <c r="JMH2" s="283"/>
      <c r="JMI2" s="283"/>
      <c r="JMJ2" s="283"/>
      <c r="JMK2" s="283"/>
      <c r="JML2" s="283"/>
      <c r="JMM2" s="283"/>
      <c r="JMN2" s="283"/>
      <c r="JMO2" s="283"/>
      <c r="JMP2" s="283"/>
      <c r="JMQ2" s="283"/>
      <c r="JMR2" s="283"/>
      <c r="JMS2" s="283"/>
      <c r="JMT2" s="283"/>
      <c r="JMU2" s="283"/>
      <c r="JMV2" s="283"/>
      <c r="JMW2" s="283"/>
      <c r="JMX2" s="283"/>
      <c r="JMY2" s="283"/>
      <c r="JMZ2" s="283"/>
      <c r="JNA2" s="283"/>
      <c r="JNB2" s="283"/>
      <c r="JNC2" s="283"/>
      <c r="JND2" s="283"/>
      <c r="JNE2" s="283"/>
      <c r="JNF2" s="283"/>
      <c r="JNG2" s="283"/>
      <c r="JNH2" s="283"/>
      <c r="JNI2" s="283"/>
      <c r="JNJ2" s="283"/>
      <c r="JNK2" s="283"/>
      <c r="JNL2" s="283"/>
      <c r="JNM2" s="283"/>
      <c r="JNN2" s="283"/>
      <c r="JNO2" s="283"/>
      <c r="JNP2" s="283"/>
      <c r="JNQ2" s="283"/>
      <c r="JNR2" s="283"/>
      <c r="JNS2" s="283"/>
      <c r="JNT2" s="283"/>
      <c r="JNU2" s="283"/>
      <c r="JNV2" s="283"/>
      <c r="JNW2" s="283"/>
      <c r="JNX2" s="283"/>
      <c r="JNY2" s="283"/>
      <c r="JNZ2" s="283"/>
      <c r="JOA2" s="283"/>
      <c r="JOB2" s="283"/>
      <c r="JOC2" s="283"/>
      <c r="JOD2" s="283"/>
      <c r="JOE2" s="283"/>
      <c r="JOF2" s="283"/>
      <c r="JOG2" s="283"/>
      <c r="JOH2" s="283"/>
      <c r="JOI2" s="283"/>
      <c r="JOJ2" s="283"/>
      <c r="JOK2" s="283"/>
      <c r="JOL2" s="283"/>
      <c r="JOM2" s="283"/>
      <c r="JON2" s="283"/>
      <c r="JOO2" s="283"/>
      <c r="JOP2" s="283"/>
      <c r="JOQ2" s="283"/>
      <c r="JOR2" s="283"/>
      <c r="JOS2" s="283"/>
      <c r="JOT2" s="283"/>
      <c r="JOU2" s="283"/>
      <c r="JOV2" s="283"/>
      <c r="JOW2" s="283"/>
      <c r="JOX2" s="283"/>
      <c r="JOY2" s="283"/>
      <c r="JOZ2" s="283"/>
      <c r="JPA2" s="283"/>
      <c r="JPB2" s="283"/>
      <c r="JPC2" s="283"/>
      <c r="JPD2" s="283"/>
      <c r="JPE2" s="283"/>
      <c r="JPF2" s="283"/>
      <c r="JPG2" s="283"/>
      <c r="JPH2" s="283"/>
      <c r="JPI2" s="283"/>
      <c r="JPJ2" s="283"/>
      <c r="JPK2" s="283"/>
      <c r="JPL2" s="283"/>
      <c r="JPM2" s="283"/>
      <c r="JPN2" s="283"/>
      <c r="JPO2" s="283"/>
      <c r="JPP2" s="283"/>
      <c r="JPQ2" s="283"/>
      <c r="JPR2" s="283"/>
      <c r="JPS2" s="283"/>
      <c r="JPT2" s="283"/>
      <c r="JPU2" s="283"/>
      <c r="JPV2" s="283"/>
      <c r="JPW2" s="283"/>
      <c r="JPX2" s="283"/>
      <c r="JPY2" s="283"/>
      <c r="JPZ2" s="283"/>
      <c r="JQA2" s="283"/>
      <c r="JQB2" s="283"/>
      <c r="JQC2" s="283"/>
      <c r="JQD2" s="283"/>
      <c r="JQE2" s="283"/>
      <c r="JQF2" s="283"/>
      <c r="JQG2" s="283"/>
      <c r="JQH2" s="283"/>
      <c r="JQI2" s="283"/>
      <c r="JQJ2" s="283"/>
      <c r="JQK2" s="283"/>
      <c r="JQL2" s="283"/>
      <c r="JQM2" s="283"/>
      <c r="JQN2" s="283"/>
      <c r="JQO2" s="283"/>
      <c r="JQP2" s="283"/>
      <c r="JQQ2" s="283"/>
      <c r="JQR2" s="283"/>
      <c r="JQS2" s="283"/>
      <c r="JQT2" s="283"/>
      <c r="JQU2" s="283"/>
      <c r="JQV2" s="283"/>
      <c r="JQW2" s="283"/>
      <c r="JQX2" s="283"/>
      <c r="JQY2" s="283"/>
      <c r="JQZ2" s="283"/>
      <c r="JRA2" s="283"/>
      <c r="JRB2" s="283"/>
      <c r="JRC2" s="283"/>
      <c r="JRD2" s="283"/>
      <c r="JRE2" s="283"/>
      <c r="JRF2" s="283"/>
      <c r="JRG2" s="283"/>
      <c r="JRH2" s="283"/>
      <c r="JRI2" s="283"/>
      <c r="JRJ2" s="283"/>
      <c r="JRK2" s="283"/>
      <c r="JRL2" s="283"/>
      <c r="JRM2" s="283"/>
      <c r="JRN2" s="283"/>
      <c r="JRO2" s="283"/>
      <c r="JRP2" s="283"/>
      <c r="JRQ2" s="283"/>
      <c r="JRR2" s="283"/>
      <c r="JRS2" s="283"/>
      <c r="JRT2" s="283"/>
      <c r="JRU2" s="283"/>
      <c r="JRV2" s="283"/>
      <c r="JRW2" s="283"/>
      <c r="JRX2" s="283"/>
      <c r="JRY2" s="283"/>
      <c r="JRZ2" s="283"/>
      <c r="JSA2" s="283"/>
      <c r="JSB2" s="283"/>
      <c r="JSC2" s="283"/>
      <c r="JSD2" s="283"/>
      <c r="JSE2" s="283"/>
      <c r="JSF2" s="283"/>
      <c r="JSG2" s="283"/>
      <c r="JSH2" s="283"/>
      <c r="JSI2" s="283"/>
      <c r="JSJ2" s="283"/>
      <c r="JSK2" s="283"/>
      <c r="JSL2" s="283"/>
      <c r="JSM2" s="283"/>
      <c r="JSN2" s="283"/>
      <c r="JSO2" s="283"/>
      <c r="JSP2" s="283"/>
      <c r="JSQ2" s="283"/>
      <c r="JSR2" s="283"/>
      <c r="JSS2" s="283"/>
      <c r="JST2" s="283"/>
      <c r="JSU2" s="283"/>
      <c r="JSV2" s="283"/>
      <c r="JSW2" s="283"/>
      <c r="JSX2" s="283"/>
      <c r="JSY2" s="283"/>
      <c r="JSZ2" s="283"/>
      <c r="JTA2" s="283"/>
      <c r="JTB2" s="283"/>
      <c r="JTC2" s="283"/>
      <c r="JTD2" s="283"/>
      <c r="JTE2" s="283"/>
      <c r="JTF2" s="283"/>
      <c r="JTG2" s="283"/>
      <c r="JTH2" s="283"/>
      <c r="JTI2" s="283"/>
      <c r="JTJ2" s="283"/>
      <c r="JTK2" s="283"/>
      <c r="JTL2" s="283"/>
      <c r="JTM2" s="283"/>
      <c r="JTN2" s="283"/>
      <c r="JTO2" s="283"/>
      <c r="JTP2" s="283"/>
      <c r="JTQ2" s="283"/>
      <c r="JTR2" s="283"/>
      <c r="JTS2" s="283"/>
      <c r="JTT2" s="283"/>
      <c r="JTU2" s="283"/>
      <c r="JTV2" s="283"/>
      <c r="JTW2" s="283"/>
      <c r="JTX2" s="283"/>
      <c r="JTY2" s="283"/>
      <c r="JTZ2" s="283"/>
      <c r="JUA2" s="283"/>
      <c r="JUB2" s="283"/>
      <c r="JUC2" s="283"/>
      <c r="JUD2" s="283"/>
      <c r="JUE2" s="283"/>
      <c r="JUF2" s="283"/>
      <c r="JUG2" s="283"/>
      <c r="JUH2" s="283"/>
      <c r="JUI2" s="283"/>
      <c r="JUJ2" s="283"/>
      <c r="JUK2" s="283"/>
      <c r="JUL2" s="283"/>
      <c r="JUM2" s="283"/>
      <c r="JUN2" s="283"/>
      <c r="JUO2" s="283"/>
      <c r="JUP2" s="283"/>
      <c r="JUQ2" s="283"/>
      <c r="JUR2" s="283"/>
      <c r="JUS2" s="283"/>
      <c r="JUT2" s="283"/>
      <c r="JUU2" s="283"/>
      <c r="JUV2" s="283"/>
      <c r="JUW2" s="283"/>
      <c r="JUX2" s="283"/>
      <c r="JUY2" s="283"/>
      <c r="JUZ2" s="283"/>
      <c r="JVA2" s="283"/>
      <c r="JVB2" s="283"/>
      <c r="JVC2" s="283"/>
      <c r="JVD2" s="283"/>
      <c r="JVE2" s="283"/>
      <c r="JVF2" s="283"/>
      <c r="JVG2" s="283"/>
      <c r="JVH2" s="283"/>
      <c r="JVI2" s="283"/>
      <c r="JVJ2" s="283"/>
      <c r="JVK2" s="283"/>
      <c r="JVL2" s="283"/>
      <c r="JVM2" s="283"/>
      <c r="JVN2" s="283"/>
      <c r="JVO2" s="283"/>
      <c r="JVP2" s="283"/>
      <c r="JVQ2" s="283"/>
      <c r="JVR2" s="283"/>
      <c r="JVS2" s="283"/>
      <c r="JVT2" s="283"/>
      <c r="JVU2" s="283"/>
      <c r="JVV2" s="283"/>
      <c r="JVW2" s="283"/>
      <c r="JVX2" s="283"/>
      <c r="JVY2" s="283"/>
      <c r="JVZ2" s="283"/>
      <c r="JWA2" s="283"/>
      <c r="JWB2" s="283"/>
      <c r="JWC2" s="283"/>
      <c r="JWD2" s="283"/>
      <c r="JWE2" s="283"/>
      <c r="JWF2" s="283"/>
      <c r="JWG2" s="283"/>
      <c r="JWH2" s="283"/>
      <c r="JWI2" s="283"/>
      <c r="JWJ2" s="283"/>
      <c r="JWK2" s="283"/>
      <c r="JWL2" s="283"/>
      <c r="JWM2" s="283"/>
      <c r="JWN2" s="283"/>
      <c r="JWO2" s="283"/>
      <c r="JWP2" s="283"/>
      <c r="JWQ2" s="283"/>
      <c r="JWR2" s="283"/>
      <c r="JWS2" s="283"/>
      <c r="JWT2" s="283"/>
      <c r="JWU2" s="283"/>
      <c r="JWV2" s="283"/>
      <c r="JWW2" s="283"/>
      <c r="JWX2" s="283"/>
      <c r="JWY2" s="283"/>
      <c r="JWZ2" s="283"/>
      <c r="JXA2" s="283"/>
      <c r="JXB2" s="283"/>
      <c r="JXC2" s="283"/>
      <c r="JXD2" s="283"/>
      <c r="JXE2" s="283"/>
      <c r="JXF2" s="283"/>
      <c r="JXG2" s="283"/>
      <c r="JXH2" s="283"/>
      <c r="JXI2" s="283"/>
      <c r="JXJ2" s="283"/>
      <c r="JXK2" s="283"/>
      <c r="JXL2" s="283"/>
      <c r="JXM2" s="283"/>
      <c r="JXN2" s="283"/>
      <c r="JXO2" s="283"/>
      <c r="JXP2" s="283"/>
      <c r="JXQ2" s="283"/>
      <c r="JXR2" s="283"/>
      <c r="JXS2" s="283"/>
      <c r="JXT2" s="283"/>
      <c r="JXU2" s="283"/>
      <c r="JXV2" s="283"/>
      <c r="JXW2" s="283"/>
      <c r="JXX2" s="283"/>
      <c r="JXY2" s="283"/>
      <c r="JXZ2" s="283"/>
      <c r="JYA2" s="283"/>
      <c r="JYB2" s="283"/>
      <c r="JYC2" s="283"/>
      <c r="JYD2" s="283"/>
      <c r="JYE2" s="283"/>
      <c r="JYF2" s="283"/>
      <c r="JYG2" s="283"/>
      <c r="JYH2" s="283"/>
      <c r="JYI2" s="283"/>
      <c r="JYJ2" s="283"/>
      <c r="JYK2" s="283"/>
      <c r="JYL2" s="283"/>
      <c r="JYM2" s="283"/>
      <c r="JYN2" s="283"/>
      <c r="JYO2" s="283"/>
      <c r="JYP2" s="283"/>
      <c r="JYQ2" s="283"/>
      <c r="JYR2" s="283"/>
      <c r="JYS2" s="283"/>
      <c r="JYT2" s="283"/>
      <c r="JYU2" s="283"/>
      <c r="JYV2" s="283"/>
      <c r="JYW2" s="283"/>
      <c r="JYX2" s="283"/>
      <c r="JYY2" s="283"/>
      <c r="JYZ2" s="283"/>
      <c r="JZA2" s="283"/>
      <c r="JZB2" s="283"/>
      <c r="JZC2" s="283"/>
      <c r="JZD2" s="283"/>
      <c r="JZE2" s="283"/>
      <c r="JZF2" s="283"/>
      <c r="JZG2" s="283"/>
      <c r="JZH2" s="283"/>
      <c r="JZI2" s="283"/>
      <c r="JZJ2" s="283"/>
      <c r="JZK2" s="283"/>
      <c r="JZL2" s="283"/>
      <c r="JZM2" s="283"/>
      <c r="JZN2" s="283"/>
      <c r="JZO2" s="283"/>
      <c r="JZP2" s="283"/>
      <c r="JZQ2" s="283"/>
      <c r="JZR2" s="283"/>
      <c r="JZS2" s="283"/>
      <c r="JZT2" s="283"/>
      <c r="JZU2" s="283"/>
      <c r="JZV2" s="283"/>
      <c r="JZW2" s="283"/>
      <c r="JZX2" s="283"/>
      <c r="JZY2" s="283"/>
      <c r="JZZ2" s="283"/>
      <c r="KAA2" s="283"/>
      <c r="KAB2" s="283"/>
      <c r="KAC2" s="283"/>
      <c r="KAD2" s="283"/>
      <c r="KAE2" s="283"/>
      <c r="KAF2" s="283"/>
      <c r="KAG2" s="283"/>
      <c r="KAH2" s="283"/>
      <c r="KAI2" s="283"/>
      <c r="KAJ2" s="283"/>
      <c r="KAK2" s="283"/>
      <c r="KAL2" s="283"/>
      <c r="KAM2" s="283"/>
      <c r="KAN2" s="283"/>
      <c r="KAO2" s="283"/>
      <c r="KAP2" s="283"/>
      <c r="KAQ2" s="283"/>
      <c r="KAR2" s="283"/>
      <c r="KAS2" s="283"/>
      <c r="KAT2" s="283"/>
      <c r="KAU2" s="283"/>
      <c r="KAV2" s="283"/>
      <c r="KAW2" s="283"/>
      <c r="KAX2" s="283"/>
      <c r="KAY2" s="283"/>
      <c r="KAZ2" s="283"/>
      <c r="KBA2" s="283"/>
      <c r="KBB2" s="283"/>
      <c r="KBC2" s="283"/>
      <c r="KBD2" s="283"/>
      <c r="KBE2" s="283"/>
      <c r="KBF2" s="283"/>
      <c r="KBG2" s="283"/>
      <c r="KBH2" s="283"/>
      <c r="KBI2" s="283"/>
      <c r="KBJ2" s="283"/>
      <c r="KBK2" s="283"/>
      <c r="KBL2" s="283"/>
      <c r="KBM2" s="283"/>
      <c r="KBN2" s="283"/>
      <c r="KBO2" s="283"/>
      <c r="KBP2" s="283"/>
      <c r="KBQ2" s="283"/>
      <c r="KBR2" s="283"/>
      <c r="KBS2" s="283"/>
      <c r="KBT2" s="283"/>
      <c r="KBU2" s="283"/>
      <c r="KBV2" s="283"/>
      <c r="KBW2" s="283"/>
      <c r="KBX2" s="283"/>
      <c r="KBY2" s="283"/>
      <c r="KBZ2" s="283"/>
      <c r="KCA2" s="283"/>
      <c r="KCB2" s="283"/>
      <c r="KCC2" s="283"/>
      <c r="KCD2" s="283"/>
      <c r="KCE2" s="283"/>
      <c r="KCF2" s="283"/>
      <c r="KCG2" s="283"/>
      <c r="KCH2" s="283"/>
      <c r="KCI2" s="283"/>
      <c r="KCJ2" s="283"/>
      <c r="KCK2" s="283"/>
      <c r="KCL2" s="283"/>
      <c r="KCM2" s="283"/>
      <c r="KCN2" s="283"/>
      <c r="KCO2" s="283"/>
      <c r="KCP2" s="283"/>
      <c r="KCQ2" s="283"/>
      <c r="KCR2" s="283"/>
      <c r="KCS2" s="283"/>
      <c r="KCT2" s="283"/>
      <c r="KCU2" s="283"/>
      <c r="KCV2" s="283"/>
      <c r="KCW2" s="283"/>
      <c r="KCX2" s="283"/>
      <c r="KCY2" s="283"/>
      <c r="KCZ2" s="283"/>
      <c r="KDA2" s="283"/>
      <c r="KDB2" s="283"/>
      <c r="KDC2" s="283"/>
      <c r="KDD2" s="283"/>
      <c r="KDE2" s="283"/>
      <c r="KDF2" s="283"/>
      <c r="KDG2" s="283"/>
      <c r="KDH2" s="283"/>
      <c r="KDI2" s="283"/>
      <c r="KDJ2" s="283"/>
      <c r="KDK2" s="283"/>
      <c r="KDL2" s="283"/>
      <c r="KDM2" s="283"/>
      <c r="KDN2" s="283"/>
      <c r="KDO2" s="283"/>
      <c r="KDP2" s="283"/>
      <c r="KDQ2" s="283"/>
      <c r="KDR2" s="283"/>
      <c r="KDS2" s="283"/>
      <c r="KDT2" s="283"/>
      <c r="KDU2" s="283"/>
      <c r="KDV2" s="283"/>
      <c r="KDW2" s="283"/>
      <c r="KDX2" s="283"/>
      <c r="KDY2" s="283"/>
      <c r="KDZ2" s="283"/>
      <c r="KEA2" s="283"/>
      <c r="KEB2" s="283"/>
      <c r="KEC2" s="283"/>
      <c r="KED2" s="283"/>
      <c r="KEE2" s="283"/>
      <c r="KEF2" s="283"/>
      <c r="KEG2" s="283"/>
      <c r="KEH2" s="283"/>
      <c r="KEI2" s="283"/>
      <c r="KEJ2" s="283"/>
      <c r="KEK2" s="283"/>
      <c r="KEL2" s="283"/>
      <c r="KEM2" s="283"/>
      <c r="KEN2" s="283"/>
      <c r="KEO2" s="283"/>
      <c r="KEP2" s="283"/>
      <c r="KEQ2" s="283"/>
      <c r="KER2" s="283"/>
      <c r="KES2" s="283"/>
      <c r="KET2" s="283"/>
      <c r="KEU2" s="283"/>
      <c r="KEV2" s="283"/>
      <c r="KEW2" s="283"/>
      <c r="KEX2" s="283"/>
      <c r="KEY2" s="283"/>
      <c r="KEZ2" s="283"/>
      <c r="KFA2" s="283"/>
      <c r="KFB2" s="283"/>
      <c r="KFC2" s="283"/>
      <c r="KFD2" s="283"/>
      <c r="KFE2" s="283"/>
      <c r="KFF2" s="283"/>
      <c r="KFG2" s="283"/>
      <c r="KFH2" s="283"/>
      <c r="KFI2" s="283"/>
      <c r="KFJ2" s="283"/>
      <c r="KFK2" s="283"/>
      <c r="KFL2" s="283"/>
      <c r="KFM2" s="283"/>
      <c r="KFN2" s="283"/>
      <c r="KFO2" s="283"/>
      <c r="KFP2" s="283"/>
      <c r="KFQ2" s="283"/>
      <c r="KFR2" s="283"/>
      <c r="KFS2" s="283"/>
      <c r="KFT2" s="283"/>
      <c r="KFU2" s="283"/>
      <c r="KFV2" s="283"/>
      <c r="KFW2" s="283"/>
      <c r="KFX2" s="283"/>
      <c r="KFY2" s="283"/>
      <c r="KFZ2" s="283"/>
      <c r="KGA2" s="283"/>
      <c r="KGB2" s="283"/>
      <c r="KGC2" s="283"/>
      <c r="KGD2" s="283"/>
      <c r="KGE2" s="283"/>
      <c r="KGF2" s="283"/>
      <c r="KGG2" s="283"/>
      <c r="KGH2" s="283"/>
      <c r="KGI2" s="283"/>
      <c r="KGJ2" s="283"/>
      <c r="KGK2" s="283"/>
      <c r="KGL2" s="283"/>
      <c r="KGM2" s="283"/>
      <c r="KGN2" s="283"/>
      <c r="KGO2" s="283"/>
      <c r="KGP2" s="283"/>
      <c r="KGQ2" s="283"/>
      <c r="KGR2" s="283"/>
      <c r="KGS2" s="283"/>
      <c r="KGT2" s="283"/>
      <c r="KGU2" s="283"/>
      <c r="KGV2" s="283"/>
      <c r="KGW2" s="283"/>
      <c r="KGX2" s="283"/>
      <c r="KGY2" s="283"/>
      <c r="KGZ2" s="283"/>
      <c r="KHA2" s="283"/>
      <c r="KHB2" s="283"/>
      <c r="KHC2" s="283"/>
      <c r="KHD2" s="283"/>
      <c r="KHE2" s="283"/>
      <c r="KHF2" s="283"/>
      <c r="KHG2" s="283"/>
      <c r="KHH2" s="283"/>
      <c r="KHI2" s="283"/>
      <c r="KHJ2" s="283"/>
      <c r="KHK2" s="283"/>
      <c r="KHL2" s="283"/>
      <c r="KHM2" s="283"/>
      <c r="KHN2" s="283"/>
      <c r="KHO2" s="283"/>
      <c r="KHP2" s="283"/>
      <c r="KHQ2" s="283"/>
      <c r="KHR2" s="283"/>
      <c r="KHS2" s="283"/>
      <c r="KHT2" s="283"/>
      <c r="KHU2" s="283"/>
      <c r="KHV2" s="283"/>
      <c r="KHW2" s="283"/>
      <c r="KHX2" s="283"/>
      <c r="KHY2" s="283"/>
      <c r="KHZ2" s="283"/>
      <c r="KIA2" s="283"/>
      <c r="KIB2" s="283"/>
      <c r="KIC2" s="283"/>
      <c r="KID2" s="283"/>
      <c r="KIE2" s="283"/>
      <c r="KIF2" s="283"/>
      <c r="KIG2" s="283"/>
      <c r="KIH2" s="283"/>
      <c r="KII2" s="283"/>
      <c r="KIJ2" s="283"/>
      <c r="KIK2" s="283"/>
      <c r="KIL2" s="283"/>
      <c r="KIM2" s="283"/>
      <c r="KIN2" s="283"/>
      <c r="KIO2" s="283"/>
      <c r="KIP2" s="283"/>
      <c r="KIQ2" s="283"/>
      <c r="KIR2" s="283"/>
      <c r="KIS2" s="283"/>
      <c r="KIT2" s="283"/>
      <c r="KIU2" s="283"/>
      <c r="KIV2" s="283"/>
      <c r="KIW2" s="283"/>
      <c r="KIX2" s="283"/>
      <c r="KIY2" s="283"/>
      <c r="KIZ2" s="283"/>
      <c r="KJA2" s="283"/>
      <c r="KJB2" s="283"/>
      <c r="KJC2" s="283"/>
      <c r="KJD2" s="283"/>
      <c r="KJE2" s="283"/>
      <c r="KJF2" s="283"/>
      <c r="KJG2" s="283"/>
      <c r="KJH2" s="283"/>
      <c r="KJI2" s="283"/>
      <c r="KJJ2" s="283"/>
      <c r="KJK2" s="283"/>
      <c r="KJL2" s="283"/>
      <c r="KJM2" s="283"/>
      <c r="KJN2" s="283"/>
      <c r="KJO2" s="283"/>
      <c r="KJP2" s="283"/>
      <c r="KJQ2" s="283"/>
      <c r="KJR2" s="283"/>
      <c r="KJS2" s="283"/>
      <c r="KJT2" s="283"/>
      <c r="KJU2" s="283"/>
      <c r="KJV2" s="283"/>
      <c r="KJW2" s="283"/>
      <c r="KJX2" s="283"/>
      <c r="KJY2" s="283"/>
      <c r="KJZ2" s="283"/>
      <c r="KKA2" s="283"/>
      <c r="KKB2" s="283"/>
      <c r="KKC2" s="283"/>
      <c r="KKD2" s="283"/>
      <c r="KKE2" s="283"/>
      <c r="KKF2" s="283"/>
      <c r="KKG2" s="283"/>
      <c r="KKH2" s="283"/>
      <c r="KKI2" s="283"/>
      <c r="KKJ2" s="283"/>
      <c r="KKK2" s="283"/>
      <c r="KKL2" s="283"/>
      <c r="KKM2" s="283"/>
      <c r="KKN2" s="283"/>
      <c r="KKO2" s="283"/>
      <c r="KKP2" s="283"/>
      <c r="KKQ2" s="283"/>
      <c r="KKR2" s="283"/>
      <c r="KKS2" s="283"/>
      <c r="KKT2" s="283"/>
      <c r="KKU2" s="283"/>
      <c r="KKV2" s="283"/>
      <c r="KKW2" s="283"/>
      <c r="KKX2" s="283"/>
      <c r="KKY2" s="283"/>
      <c r="KKZ2" s="283"/>
      <c r="KLA2" s="283"/>
      <c r="KLB2" s="283"/>
      <c r="KLC2" s="283"/>
      <c r="KLD2" s="283"/>
      <c r="KLE2" s="283"/>
      <c r="KLF2" s="283"/>
      <c r="KLG2" s="283"/>
      <c r="KLH2" s="283"/>
      <c r="KLI2" s="283"/>
      <c r="KLJ2" s="283"/>
      <c r="KLK2" s="283"/>
      <c r="KLL2" s="283"/>
      <c r="KLM2" s="283"/>
      <c r="KLN2" s="283"/>
      <c r="KLO2" s="283"/>
      <c r="KLP2" s="283"/>
      <c r="KLQ2" s="283"/>
      <c r="KLR2" s="283"/>
      <c r="KLS2" s="283"/>
      <c r="KLT2" s="283"/>
      <c r="KLU2" s="283"/>
      <c r="KLV2" s="283"/>
      <c r="KLW2" s="283"/>
      <c r="KLX2" s="283"/>
      <c r="KLY2" s="283"/>
      <c r="KLZ2" s="283"/>
      <c r="KMA2" s="283"/>
      <c r="KMB2" s="283"/>
      <c r="KMC2" s="283"/>
      <c r="KMD2" s="283"/>
      <c r="KME2" s="283"/>
      <c r="KMF2" s="283"/>
      <c r="KMG2" s="283"/>
      <c r="KMH2" s="283"/>
      <c r="KMI2" s="283"/>
      <c r="KMJ2" s="283"/>
      <c r="KMK2" s="283"/>
      <c r="KML2" s="283"/>
      <c r="KMM2" s="283"/>
      <c r="KMN2" s="283"/>
      <c r="KMO2" s="283"/>
      <c r="KMP2" s="283"/>
      <c r="KMQ2" s="283"/>
      <c r="KMR2" s="283"/>
      <c r="KMS2" s="283"/>
      <c r="KMT2" s="283"/>
      <c r="KMU2" s="283"/>
      <c r="KMV2" s="283"/>
      <c r="KMW2" s="283"/>
      <c r="KMX2" s="283"/>
      <c r="KMY2" s="283"/>
      <c r="KMZ2" s="283"/>
      <c r="KNA2" s="283"/>
      <c r="KNB2" s="283"/>
      <c r="KNC2" s="283"/>
      <c r="KND2" s="283"/>
      <c r="KNE2" s="283"/>
      <c r="KNF2" s="283"/>
      <c r="KNG2" s="283"/>
      <c r="KNH2" s="283"/>
      <c r="KNI2" s="283"/>
      <c r="KNJ2" s="283"/>
      <c r="KNK2" s="283"/>
      <c r="KNL2" s="283"/>
      <c r="KNM2" s="283"/>
      <c r="KNN2" s="283"/>
      <c r="KNO2" s="283"/>
      <c r="KNP2" s="283"/>
      <c r="KNQ2" s="283"/>
      <c r="KNR2" s="283"/>
      <c r="KNS2" s="283"/>
      <c r="KNT2" s="283"/>
      <c r="KNU2" s="283"/>
      <c r="KNV2" s="283"/>
      <c r="KNW2" s="283"/>
      <c r="KNX2" s="283"/>
      <c r="KNY2" s="283"/>
      <c r="KNZ2" s="283"/>
      <c r="KOA2" s="283"/>
      <c r="KOB2" s="283"/>
      <c r="KOC2" s="283"/>
      <c r="KOD2" s="283"/>
      <c r="KOE2" s="283"/>
      <c r="KOF2" s="283"/>
      <c r="KOG2" s="283"/>
      <c r="KOH2" s="283"/>
      <c r="KOI2" s="283"/>
      <c r="KOJ2" s="283"/>
      <c r="KOK2" s="283"/>
      <c r="KOL2" s="283"/>
      <c r="KOM2" s="283"/>
      <c r="KON2" s="283"/>
      <c r="KOO2" s="283"/>
      <c r="KOP2" s="283"/>
      <c r="KOQ2" s="283"/>
      <c r="KOR2" s="283"/>
      <c r="KOS2" s="283"/>
      <c r="KOT2" s="283"/>
      <c r="KOU2" s="283"/>
      <c r="KOV2" s="283"/>
      <c r="KOW2" s="283"/>
      <c r="KOX2" s="283"/>
      <c r="KOY2" s="283"/>
      <c r="KOZ2" s="283"/>
      <c r="KPA2" s="283"/>
      <c r="KPB2" s="283"/>
      <c r="KPC2" s="283"/>
      <c r="KPD2" s="283"/>
      <c r="KPE2" s="283"/>
      <c r="KPF2" s="283"/>
      <c r="KPG2" s="283"/>
      <c r="KPH2" s="283"/>
      <c r="KPI2" s="283"/>
      <c r="KPJ2" s="283"/>
      <c r="KPK2" s="283"/>
      <c r="KPL2" s="283"/>
      <c r="KPM2" s="283"/>
      <c r="KPN2" s="283"/>
      <c r="KPO2" s="283"/>
      <c r="KPP2" s="283"/>
      <c r="KPQ2" s="283"/>
      <c r="KPR2" s="283"/>
      <c r="KPS2" s="283"/>
      <c r="KPT2" s="283"/>
      <c r="KPU2" s="283"/>
      <c r="KPV2" s="283"/>
      <c r="KPW2" s="283"/>
      <c r="KPX2" s="283"/>
      <c r="KPY2" s="283"/>
      <c r="KPZ2" s="283"/>
      <c r="KQA2" s="283"/>
      <c r="KQB2" s="283"/>
      <c r="KQC2" s="283"/>
      <c r="KQD2" s="283"/>
      <c r="KQE2" s="283"/>
      <c r="KQF2" s="283"/>
      <c r="KQG2" s="283"/>
      <c r="KQH2" s="283"/>
      <c r="KQI2" s="283"/>
      <c r="KQJ2" s="283"/>
      <c r="KQK2" s="283"/>
      <c r="KQL2" s="283"/>
      <c r="KQM2" s="283"/>
      <c r="KQN2" s="283"/>
      <c r="KQO2" s="283"/>
      <c r="KQP2" s="283"/>
      <c r="KQQ2" s="283"/>
      <c r="KQR2" s="283"/>
      <c r="KQS2" s="283"/>
      <c r="KQT2" s="283"/>
      <c r="KQU2" s="283"/>
      <c r="KQV2" s="283"/>
      <c r="KQW2" s="283"/>
      <c r="KQX2" s="283"/>
      <c r="KQY2" s="283"/>
      <c r="KQZ2" s="283"/>
      <c r="KRA2" s="283"/>
      <c r="KRB2" s="283"/>
      <c r="KRC2" s="283"/>
      <c r="KRD2" s="283"/>
      <c r="KRE2" s="283"/>
      <c r="KRF2" s="283"/>
      <c r="KRG2" s="283"/>
      <c r="KRH2" s="283"/>
      <c r="KRI2" s="283"/>
      <c r="KRJ2" s="283"/>
      <c r="KRK2" s="283"/>
      <c r="KRL2" s="283"/>
      <c r="KRM2" s="283"/>
      <c r="KRN2" s="283"/>
      <c r="KRO2" s="283"/>
      <c r="KRP2" s="283"/>
      <c r="KRQ2" s="283"/>
      <c r="KRR2" s="283"/>
      <c r="KRS2" s="283"/>
      <c r="KRT2" s="283"/>
      <c r="KRU2" s="283"/>
      <c r="KRV2" s="283"/>
      <c r="KRW2" s="283"/>
      <c r="KRX2" s="283"/>
      <c r="KRY2" s="283"/>
      <c r="KRZ2" s="283"/>
      <c r="KSA2" s="283"/>
      <c r="KSB2" s="283"/>
      <c r="KSC2" s="283"/>
      <c r="KSD2" s="283"/>
      <c r="KSE2" s="283"/>
      <c r="KSF2" s="283"/>
      <c r="KSG2" s="283"/>
      <c r="KSH2" s="283"/>
      <c r="KSI2" s="283"/>
      <c r="KSJ2" s="283"/>
      <c r="KSK2" s="283"/>
      <c r="KSL2" s="283"/>
      <c r="KSM2" s="283"/>
      <c r="KSN2" s="283"/>
      <c r="KSO2" s="283"/>
      <c r="KSP2" s="283"/>
      <c r="KSQ2" s="283"/>
      <c r="KSR2" s="283"/>
      <c r="KSS2" s="283"/>
      <c r="KST2" s="283"/>
      <c r="KSU2" s="283"/>
      <c r="KSV2" s="283"/>
      <c r="KSW2" s="283"/>
      <c r="KSX2" s="283"/>
      <c r="KSY2" s="283"/>
      <c r="KSZ2" s="283"/>
      <c r="KTA2" s="283"/>
      <c r="KTB2" s="283"/>
      <c r="KTC2" s="283"/>
      <c r="KTD2" s="283"/>
      <c r="KTE2" s="283"/>
      <c r="KTF2" s="283"/>
      <c r="KTG2" s="283"/>
      <c r="KTH2" s="283"/>
      <c r="KTI2" s="283"/>
      <c r="KTJ2" s="283"/>
      <c r="KTK2" s="283"/>
      <c r="KTL2" s="283"/>
      <c r="KTM2" s="283"/>
      <c r="KTN2" s="283"/>
      <c r="KTO2" s="283"/>
      <c r="KTP2" s="283"/>
      <c r="KTQ2" s="283"/>
      <c r="KTR2" s="283"/>
      <c r="KTS2" s="283"/>
      <c r="KTT2" s="283"/>
      <c r="KTU2" s="283"/>
      <c r="KTV2" s="283"/>
      <c r="KTW2" s="283"/>
      <c r="KTX2" s="283"/>
      <c r="KTY2" s="283"/>
      <c r="KTZ2" s="283"/>
      <c r="KUA2" s="283"/>
      <c r="KUB2" s="283"/>
      <c r="KUC2" s="283"/>
      <c r="KUD2" s="283"/>
      <c r="KUE2" s="283"/>
      <c r="KUF2" s="283"/>
      <c r="KUG2" s="283"/>
      <c r="KUH2" s="283"/>
      <c r="KUI2" s="283"/>
      <c r="KUJ2" s="283"/>
      <c r="KUK2" s="283"/>
      <c r="KUL2" s="283"/>
      <c r="KUM2" s="283"/>
      <c r="KUN2" s="283"/>
      <c r="KUO2" s="283"/>
      <c r="KUP2" s="283"/>
      <c r="KUQ2" s="283"/>
      <c r="KUR2" s="283"/>
      <c r="KUS2" s="283"/>
      <c r="KUT2" s="283"/>
      <c r="KUU2" s="283"/>
      <c r="KUV2" s="283"/>
      <c r="KUW2" s="283"/>
      <c r="KUX2" s="283"/>
      <c r="KUY2" s="283"/>
      <c r="KUZ2" s="283"/>
      <c r="KVA2" s="283"/>
      <c r="KVB2" s="283"/>
      <c r="KVC2" s="283"/>
      <c r="KVD2" s="283"/>
      <c r="KVE2" s="283"/>
      <c r="KVF2" s="283"/>
      <c r="KVG2" s="283"/>
      <c r="KVH2" s="283"/>
      <c r="KVI2" s="283"/>
      <c r="KVJ2" s="283"/>
      <c r="KVK2" s="283"/>
      <c r="KVL2" s="283"/>
      <c r="KVM2" s="283"/>
      <c r="KVN2" s="283"/>
      <c r="KVO2" s="283"/>
      <c r="KVP2" s="283"/>
      <c r="KVQ2" s="283"/>
      <c r="KVR2" s="283"/>
      <c r="KVS2" s="283"/>
      <c r="KVT2" s="283"/>
      <c r="KVU2" s="283"/>
      <c r="KVV2" s="283"/>
      <c r="KVW2" s="283"/>
      <c r="KVX2" s="283"/>
      <c r="KVY2" s="283"/>
      <c r="KVZ2" s="283"/>
      <c r="KWA2" s="283"/>
      <c r="KWB2" s="283"/>
      <c r="KWC2" s="283"/>
      <c r="KWD2" s="283"/>
      <c r="KWE2" s="283"/>
      <c r="KWF2" s="283"/>
      <c r="KWG2" s="283"/>
      <c r="KWH2" s="283"/>
      <c r="KWI2" s="283"/>
      <c r="KWJ2" s="283"/>
      <c r="KWK2" s="283"/>
      <c r="KWL2" s="283"/>
      <c r="KWM2" s="283"/>
      <c r="KWN2" s="283"/>
      <c r="KWO2" s="283"/>
      <c r="KWP2" s="283"/>
      <c r="KWQ2" s="283"/>
      <c r="KWR2" s="283"/>
      <c r="KWS2" s="283"/>
      <c r="KWT2" s="283"/>
      <c r="KWU2" s="283"/>
      <c r="KWV2" s="283"/>
      <c r="KWW2" s="283"/>
      <c r="KWX2" s="283"/>
      <c r="KWY2" s="283"/>
      <c r="KWZ2" s="283"/>
      <c r="KXA2" s="283"/>
      <c r="KXB2" s="283"/>
      <c r="KXC2" s="283"/>
      <c r="KXD2" s="283"/>
      <c r="KXE2" s="283"/>
      <c r="KXF2" s="283"/>
      <c r="KXG2" s="283"/>
      <c r="KXH2" s="283"/>
      <c r="KXI2" s="283"/>
      <c r="KXJ2" s="283"/>
      <c r="KXK2" s="283"/>
      <c r="KXL2" s="283"/>
      <c r="KXM2" s="283"/>
      <c r="KXN2" s="283"/>
      <c r="KXO2" s="283"/>
      <c r="KXP2" s="283"/>
      <c r="KXQ2" s="283"/>
      <c r="KXR2" s="283"/>
      <c r="KXS2" s="283"/>
      <c r="KXT2" s="283"/>
      <c r="KXU2" s="283"/>
      <c r="KXV2" s="283"/>
      <c r="KXW2" s="283"/>
      <c r="KXX2" s="283"/>
      <c r="KXY2" s="283"/>
      <c r="KXZ2" s="283"/>
      <c r="KYA2" s="283"/>
      <c r="KYB2" s="283"/>
      <c r="KYC2" s="283"/>
      <c r="KYD2" s="283"/>
      <c r="KYE2" s="283"/>
      <c r="KYF2" s="283"/>
      <c r="KYG2" s="283"/>
      <c r="KYH2" s="283"/>
      <c r="KYI2" s="283"/>
      <c r="KYJ2" s="283"/>
      <c r="KYK2" s="283"/>
      <c r="KYL2" s="283"/>
      <c r="KYM2" s="283"/>
      <c r="KYN2" s="283"/>
      <c r="KYO2" s="283"/>
      <c r="KYP2" s="283"/>
      <c r="KYQ2" s="283"/>
      <c r="KYR2" s="283"/>
      <c r="KYS2" s="283"/>
      <c r="KYT2" s="283"/>
      <c r="KYU2" s="283"/>
      <c r="KYV2" s="283"/>
      <c r="KYW2" s="283"/>
      <c r="KYX2" s="283"/>
      <c r="KYY2" s="283"/>
      <c r="KYZ2" s="283"/>
      <c r="KZA2" s="283"/>
      <c r="KZB2" s="283"/>
      <c r="KZC2" s="283"/>
      <c r="KZD2" s="283"/>
      <c r="KZE2" s="283"/>
      <c r="KZF2" s="283"/>
      <c r="KZG2" s="283"/>
      <c r="KZH2" s="283"/>
      <c r="KZI2" s="283"/>
      <c r="KZJ2" s="283"/>
      <c r="KZK2" s="283"/>
      <c r="KZL2" s="283"/>
      <c r="KZM2" s="283"/>
      <c r="KZN2" s="283"/>
      <c r="KZO2" s="283"/>
      <c r="KZP2" s="283"/>
      <c r="KZQ2" s="283"/>
      <c r="KZR2" s="283"/>
      <c r="KZS2" s="283"/>
      <c r="KZT2" s="283"/>
      <c r="KZU2" s="283"/>
      <c r="KZV2" s="283"/>
      <c r="KZW2" s="283"/>
      <c r="KZX2" s="283"/>
      <c r="KZY2" s="283"/>
      <c r="KZZ2" s="283"/>
      <c r="LAA2" s="283"/>
      <c r="LAB2" s="283"/>
      <c r="LAC2" s="283"/>
      <c r="LAD2" s="283"/>
      <c r="LAE2" s="283"/>
      <c r="LAF2" s="283"/>
      <c r="LAG2" s="283"/>
      <c r="LAH2" s="283"/>
      <c r="LAI2" s="283"/>
      <c r="LAJ2" s="283"/>
      <c r="LAK2" s="283"/>
      <c r="LAL2" s="283"/>
      <c r="LAM2" s="283"/>
      <c r="LAN2" s="283"/>
      <c r="LAO2" s="283"/>
      <c r="LAP2" s="283"/>
      <c r="LAQ2" s="283"/>
      <c r="LAR2" s="283"/>
      <c r="LAS2" s="283"/>
      <c r="LAT2" s="283"/>
      <c r="LAU2" s="283"/>
      <c r="LAV2" s="283"/>
      <c r="LAW2" s="283"/>
      <c r="LAX2" s="283"/>
      <c r="LAY2" s="283"/>
      <c r="LAZ2" s="283"/>
      <c r="LBA2" s="283"/>
      <c r="LBB2" s="283"/>
      <c r="LBC2" s="283"/>
      <c r="LBD2" s="283"/>
      <c r="LBE2" s="283"/>
      <c r="LBF2" s="283"/>
      <c r="LBG2" s="283"/>
      <c r="LBH2" s="283"/>
      <c r="LBI2" s="283"/>
      <c r="LBJ2" s="283"/>
      <c r="LBK2" s="283"/>
      <c r="LBL2" s="283"/>
      <c r="LBM2" s="283"/>
      <c r="LBN2" s="283"/>
      <c r="LBO2" s="283"/>
      <c r="LBP2" s="283"/>
      <c r="LBQ2" s="283"/>
      <c r="LBR2" s="283"/>
      <c r="LBS2" s="283"/>
      <c r="LBT2" s="283"/>
      <c r="LBU2" s="283"/>
      <c r="LBV2" s="283"/>
      <c r="LBW2" s="283"/>
      <c r="LBX2" s="283"/>
      <c r="LBY2" s="283"/>
      <c r="LBZ2" s="283"/>
      <c r="LCA2" s="283"/>
      <c r="LCB2" s="283"/>
      <c r="LCC2" s="283"/>
      <c r="LCD2" s="283"/>
      <c r="LCE2" s="283"/>
      <c r="LCF2" s="283"/>
      <c r="LCG2" s="283"/>
      <c r="LCH2" s="283"/>
      <c r="LCI2" s="283"/>
      <c r="LCJ2" s="283"/>
      <c r="LCK2" s="283"/>
      <c r="LCL2" s="283"/>
      <c r="LCM2" s="283"/>
      <c r="LCN2" s="283"/>
      <c r="LCO2" s="283"/>
      <c r="LCP2" s="283"/>
      <c r="LCQ2" s="283"/>
      <c r="LCR2" s="283"/>
      <c r="LCS2" s="283"/>
      <c r="LCT2" s="283"/>
      <c r="LCU2" s="283"/>
      <c r="LCV2" s="283"/>
      <c r="LCW2" s="283"/>
      <c r="LCX2" s="283"/>
      <c r="LCY2" s="283"/>
      <c r="LCZ2" s="283"/>
      <c r="LDA2" s="283"/>
      <c r="LDB2" s="283"/>
      <c r="LDC2" s="283"/>
      <c r="LDD2" s="283"/>
      <c r="LDE2" s="283"/>
      <c r="LDF2" s="283"/>
      <c r="LDG2" s="283"/>
      <c r="LDH2" s="283"/>
      <c r="LDI2" s="283"/>
      <c r="LDJ2" s="283"/>
      <c r="LDK2" s="283"/>
      <c r="LDL2" s="283"/>
      <c r="LDM2" s="283"/>
      <c r="LDN2" s="283"/>
      <c r="LDO2" s="283"/>
      <c r="LDP2" s="283"/>
      <c r="LDQ2" s="283"/>
      <c r="LDR2" s="283"/>
      <c r="LDS2" s="283"/>
      <c r="LDT2" s="283"/>
      <c r="LDU2" s="283"/>
      <c r="LDV2" s="283"/>
      <c r="LDW2" s="283"/>
      <c r="LDX2" s="283"/>
      <c r="LDY2" s="283"/>
      <c r="LDZ2" s="283"/>
      <c r="LEA2" s="283"/>
      <c r="LEB2" s="283"/>
      <c r="LEC2" s="283"/>
      <c r="LED2" s="283"/>
      <c r="LEE2" s="283"/>
      <c r="LEF2" s="283"/>
      <c r="LEG2" s="283"/>
      <c r="LEH2" s="283"/>
      <c r="LEI2" s="283"/>
      <c r="LEJ2" s="283"/>
      <c r="LEK2" s="283"/>
      <c r="LEL2" s="283"/>
      <c r="LEM2" s="283"/>
      <c r="LEN2" s="283"/>
      <c r="LEO2" s="283"/>
      <c r="LEP2" s="283"/>
      <c r="LEQ2" s="283"/>
      <c r="LER2" s="283"/>
      <c r="LES2" s="283"/>
      <c r="LET2" s="283"/>
      <c r="LEU2" s="283"/>
      <c r="LEV2" s="283"/>
      <c r="LEW2" s="283"/>
      <c r="LEX2" s="283"/>
      <c r="LEY2" s="283"/>
      <c r="LEZ2" s="283"/>
      <c r="LFA2" s="283"/>
      <c r="LFB2" s="283"/>
      <c r="LFC2" s="283"/>
      <c r="LFD2" s="283"/>
      <c r="LFE2" s="283"/>
      <c r="LFF2" s="283"/>
      <c r="LFG2" s="283"/>
      <c r="LFH2" s="283"/>
      <c r="LFI2" s="283"/>
      <c r="LFJ2" s="283"/>
      <c r="LFK2" s="283"/>
      <c r="LFL2" s="283"/>
      <c r="LFM2" s="283"/>
      <c r="LFN2" s="283"/>
      <c r="LFO2" s="283"/>
      <c r="LFP2" s="283"/>
      <c r="LFQ2" s="283"/>
      <c r="LFR2" s="283"/>
      <c r="LFS2" s="283"/>
      <c r="LFT2" s="283"/>
      <c r="LFU2" s="283"/>
      <c r="LFV2" s="283"/>
      <c r="LFW2" s="283"/>
      <c r="LFX2" s="283"/>
      <c r="LFY2" s="283"/>
      <c r="LFZ2" s="283"/>
      <c r="LGA2" s="283"/>
      <c r="LGB2" s="283"/>
      <c r="LGC2" s="283"/>
      <c r="LGD2" s="283"/>
      <c r="LGE2" s="283"/>
      <c r="LGF2" s="283"/>
      <c r="LGG2" s="283"/>
      <c r="LGH2" s="283"/>
      <c r="LGI2" s="283"/>
      <c r="LGJ2" s="283"/>
      <c r="LGK2" s="283"/>
      <c r="LGL2" s="283"/>
      <c r="LGM2" s="283"/>
      <c r="LGN2" s="283"/>
      <c r="LGO2" s="283"/>
      <c r="LGP2" s="283"/>
      <c r="LGQ2" s="283"/>
      <c r="LGR2" s="283"/>
      <c r="LGS2" s="283"/>
      <c r="LGT2" s="283"/>
      <c r="LGU2" s="283"/>
      <c r="LGV2" s="283"/>
      <c r="LGW2" s="283"/>
      <c r="LGX2" s="283"/>
      <c r="LGY2" s="283"/>
      <c r="LGZ2" s="283"/>
      <c r="LHA2" s="283"/>
      <c r="LHB2" s="283"/>
      <c r="LHC2" s="283"/>
      <c r="LHD2" s="283"/>
      <c r="LHE2" s="283"/>
      <c r="LHF2" s="283"/>
      <c r="LHG2" s="283"/>
      <c r="LHH2" s="283"/>
      <c r="LHI2" s="283"/>
      <c r="LHJ2" s="283"/>
      <c r="LHK2" s="283"/>
      <c r="LHL2" s="283"/>
      <c r="LHM2" s="283"/>
      <c r="LHN2" s="283"/>
      <c r="LHO2" s="283"/>
      <c r="LHP2" s="283"/>
      <c r="LHQ2" s="283"/>
      <c r="LHR2" s="283"/>
      <c r="LHS2" s="283"/>
      <c r="LHT2" s="283"/>
      <c r="LHU2" s="283"/>
      <c r="LHV2" s="283"/>
      <c r="LHW2" s="283"/>
      <c r="LHX2" s="283"/>
      <c r="LHY2" s="283"/>
      <c r="LHZ2" s="283"/>
      <c r="LIA2" s="283"/>
      <c r="LIB2" s="283"/>
      <c r="LIC2" s="283"/>
      <c r="LID2" s="283"/>
      <c r="LIE2" s="283"/>
      <c r="LIF2" s="283"/>
      <c r="LIG2" s="283"/>
      <c r="LIH2" s="283"/>
      <c r="LII2" s="283"/>
      <c r="LIJ2" s="283"/>
      <c r="LIK2" s="283"/>
      <c r="LIL2" s="283"/>
      <c r="LIM2" s="283"/>
      <c r="LIN2" s="283"/>
      <c r="LIO2" s="283"/>
      <c r="LIP2" s="283"/>
      <c r="LIQ2" s="283"/>
      <c r="LIR2" s="283"/>
      <c r="LIS2" s="283"/>
      <c r="LIT2" s="283"/>
      <c r="LIU2" s="283"/>
      <c r="LIV2" s="283"/>
      <c r="LIW2" s="283"/>
      <c r="LIX2" s="283"/>
      <c r="LIY2" s="283"/>
      <c r="LIZ2" s="283"/>
      <c r="LJA2" s="283"/>
      <c r="LJB2" s="283"/>
      <c r="LJC2" s="283"/>
      <c r="LJD2" s="283"/>
      <c r="LJE2" s="283"/>
      <c r="LJF2" s="283"/>
      <c r="LJG2" s="283"/>
      <c r="LJH2" s="283"/>
      <c r="LJI2" s="283"/>
      <c r="LJJ2" s="283"/>
      <c r="LJK2" s="283"/>
      <c r="LJL2" s="283"/>
      <c r="LJM2" s="283"/>
      <c r="LJN2" s="283"/>
      <c r="LJO2" s="283"/>
      <c r="LJP2" s="283"/>
      <c r="LJQ2" s="283"/>
      <c r="LJR2" s="283"/>
      <c r="LJS2" s="283"/>
      <c r="LJT2" s="283"/>
      <c r="LJU2" s="283"/>
      <c r="LJV2" s="283"/>
      <c r="LJW2" s="283"/>
      <c r="LJX2" s="283"/>
      <c r="LJY2" s="283"/>
      <c r="LJZ2" s="283"/>
      <c r="LKA2" s="283"/>
      <c r="LKB2" s="283"/>
      <c r="LKC2" s="283"/>
      <c r="LKD2" s="283"/>
      <c r="LKE2" s="283"/>
      <c r="LKF2" s="283"/>
      <c r="LKG2" s="283"/>
      <c r="LKH2" s="283"/>
      <c r="LKI2" s="283"/>
      <c r="LKJ2" s="283"/>
      <c r="LKK2" s="283"/>
      <c r="LKL2" s="283"/>
      <c r="LKM2" s="283"/>
      <c r="LKN2" s="283"/>
      <c r="LKO2" s="283"/>
      <c r="LKP2" s="283"/>
      <c r="LKQ2" s="283"/>
      <c r="LKR2" s="283"/>
      <c r="LKS2" s="283"/>
      <c r="LKT2" s="283"/>
      <c r="LKU2" s="283"/>
      <c r="LKV2" s="283"/>
      <c r="LKW2" s="283"/>
      <c r="LKX2" s="283"/>
      <c r="LKY2" s="283"/>
      <c r="LKZ2" s="283"/>
      <c r="LLA2" s="283"/>
      <c r="LLB2" s="283"/>
      <c r="LLC2" s="283"/>
      <c r="LLD2" s="283"/>
      <c r="LLE2" s="283"/>
      <c r="LLF2" s="283"/>
      <c r="LLG2" s="283"/>
      <c r="LLH2" s="283"/>
      <c r="LLI2" s="283"/>
      <c r="LLJ2" s="283"/>
      <c r="LLK2" s="283"/>
      <c r="LLL2" s="283"/>
      <c r="LLM2" s="283"/>
      <c r="LLN2" s="283"/>
      <c r="LLO2" s="283"/>
      <c r="LLP2" s="283"/>
      <c r="LLQ2" s="283"/>
      <c r="LLR2" s="283"/>
      <c r="LLS2" s="283"/>
      <c r="LLT2" s="283"/>
      <c r="LLU2" s="283"/>
      <c r="LLV2" s="283"/>
      <c r="LLW2" s="283"/>
      <c r="LLX2" s="283"/>
      <c r="LLY2" s="283"/>
      <c r="LLZ2" s="283"/>
      <c r="LMA2" s="283"/>
      <c r="LMB2" s="283"/>
      <c r="LMC2" s="283"/>
      <c r="LMD2" s="283"/>
      <c r="LME2" s="283"/>
      <c r="LMF2" s="283"/>
      <c r="LMG2" s="283"/>
      <c r="LMH2" s="283"/>
      <c r="LMI2" s="283"/>
      <c r="LMJ2" s="283"/>
      <c r="LMK2" s="283"/>
      <c r="LML2" s="283"/>
      <c r="LMM2" s="283"/>
      <c r="LMN2" s="283"/>
      <c r="LMO2" s="283"/>
      <c r="LMP2" s="283"/>
      <c r="LMQ2" s="283"/>
      <c r="LMR2" s="283"/>
      <c r="LMS2" s="283"/>
      <c r="LMT2" s="283"/>
      <c r="LMU2" s="283"/>
      <c r="LMV2" s="283"/>
      <c r="LMW2" s="283"/>
      <c r="LMX2" s="283"/>
      <c r="LMY2" s="283"/>
      <c r="LMZ2" s="283"/>
      <c r="LNA2" s="283"/>
      <c r="LNB2" s="283"/>
      <c r="LNC2" s="283"/>
      <c r="LND2" s="283"/>
      <c r="LNE2" s="283"/>
      <c r="LNF2" s="283"/>
      <c r="LNG2" s="283"/>
      <c r="LNH2" s="283"/>
      <c r="LNI2" s="283"/>
      <c r="LNJ2" s="283"/>
      <c r="LNK2" s="283"/>
      <c r="LNL2" s="283"/>
      <c r="LNM2" s="283"/>
      <c r="LNN2" s="283"/>
      <c r="LNO2" s="283"/>
      <c r="LNP2" s="283"/>
      <c r="LNQ2" s="283"/>
      <c r="LNR2" s="283"/>
      <c r="LNS2" s="283"/>
      <c r="LNT2" s="283"/>
      <c r="LNU2" s="283"/>
      <c r="LNV2" s="283"/>
      <c r="LNW2" s="283"/>
      <c r="LNX2" s="283"/>
      <c r="LNY2" s="283"/>
      <c r="LNZ2" s="283"/>
      <c r="LOA2" s="283"/>
      <c r="LOB2" s="283"/>
      <c r="LOC2" s="283"/>
      <c r="LOD2" s="283"/>
      <c r="LOE2" s="283"/>
      <c r="LOF2" s="283"/>
      <c r="LOG2" s="283"/>
      <c r="LOH2" s="283"/>
      <c r="LOI2" s="283"/>
      <c r="LOJ2" s="283"/>
      <c r="LOK2" s="283"/>
      <c r="LOL2" s="283"/>
      <c r="LOM2" s="283"/>
      <c r="LON2" s="283"/>
      <c r="LOO2" s="283"/>
      <c r="LOP2" s="283"/>
      <c r="LOQ2" s="283"/>
      <c r="LOR2" s="283"/>
      <c r="LOS2" s="283"/>
      <c r="LOT2" s="283"/>
      <c r="LOU2" s="283"/>
      <c r="LOV2" s="283"/>
      <c r="LOW2" s="283"/>
      <c r="LOX2" s="283"/>
      <c r="LOY2" s="283"/>
      <c r="LOZ2" s="283"/>
      <c r="LPA2" s="283"/>
      <c r="LPB2" s="283"/>
      <c r="LPC2" s="283"/>
      <c r="LPD2" s="283"/>
      <c r="LPE2" s="283"/>
      <c r="LPF2" s="283"/>
      <c r="LPG2" s="283"/>
      <c r="LPH2" s="283"/>
      <c r="LPI2" s="283"/>
      <c r="LPJ2" s="283"/>
      <c r="LPK2" s="283"/>
      <c r="LPL2" s="283"/>
      <c r="LPM2" s="283"/>
      <c r="LPN2" s="283"/>
      <c r="LPO2" s="283"/>
      <c r="LPP2" s="283"/>
      <c r="LPQ2" s="283"/>
      <c r="LPR2" s="283"/>
      <c r="LPS2" s="283"/>
      <c r="LPT2" s="283"/>
      <c r="LPU2" s="283"/>
      <c r="LPV2" s="283"/>
      <c r="LPW2" s="283"/>
      <c r="LPX2" s="283"/>
      <c r="LPY2" s="283"/>
      <c r="LPZ2" s="283"/>
      <c r="LQA2" s="283"/>
      <c r="LQB2" s="283"/>
      <c r="LQC2" s="283"/>
      <c r="LQD2" s="283"/>
      <c r="LQE2" s="283"/>
      <c r="LQF2" s="283"/>
      <c r="LQG2" s="283"/>
      <c r="LQH2" s="283"/>
      <c r="LQI2" s="283"/>
      <c r="LQJ2" s="283"/>
      <c r="LQK2" s="283"/>
      <c r="LQL2" s="283"/>
      <c r="LQM2" s="283"/>
      <c r="LQN2" s="283"/>
      <c r="LQO2" s="283"/>
      <c r="LQP2" s="283"/>
      <c r="LQQ2" s="283"/>
      <c r="LQR2" s="283"/>
      <c r="LQS2" s="283"/>
      <c r="LQT2" s="283"/>
      <c r="LQU2" s="283"/>
      <c r="LQV2" s="283"/>
      <c r="LQW2" s="283"/>
      <c r="LQX2" s="283"/>
      <c r="LQY2" s="283"/>
      <c r="LQZ2" s="283"/>
      <c r="LRA2" s="283"/>
      <c r="LRB2" s="283"/>
      <c r="LRC2" s="283"/>
      <c r="LRD2" s="283"/>
      <c r="LRE2" s="283"/>
      <c r="LRF2" s="283"/>
      <c r="LRG2" s="283"/>
      <c r="LRH2" s="283"/>
      <c r="LRI2" s="283"/>
      <c r="LRJ2" s="283"/>
      <c r="LRK2" s="283"/>
      <c r="LRL2" s="283"/>
      <c r="LRM2" s="283"/>
      <c r="LRN2" s="283"/>
      <c r="LRO2" s="283"/>
      <c r="LRP2" s="283"/>
      <c r="LRQ2" s="283"/>
      <c r="LRR2" s="283"/>
      <c r="LRS2" s="283"/>
      <c r="LRT2" s="283"/>
      <c r="LRU2" s="283"/>
      <c r="LRV2" s="283"/>
      <c r="LRW2" s="283"/>
      <c r="LRX2" s="283"/>
      <c r="LRY2" s="283"/>
      <c r="LRZ2" s="283"/>
      <c r="LSA2" s="283"/>
      <c r="LSB2" s="283"/>
      <c r="LSC2" s="283"/>
      <c r="LSD2" s="283"/>
      <c r="LSE2" s="283"/>
      <c r="LSF2" s="283"/>
      <c r="LSG2" s="283"/>
      <c r="LSH2" s="283"/>
      <c r="LSI2" s="283"/>
      <c r="LSJ2" s="283"/>
      <c r="LSK2" s="283"/>
      <c r="LSL2" s="283"/>
      <c r="LSM2" s="283"/>
      <c r="LSN2" s="283"/>
      <c r="LSO2" s="283"/>
      <c r="LSP2" s="283"/>
      <c r="LSQ2" s="283"/>
      <c r="LSR2" s="283"/>
      <c r="LSS2" s="283"/>
      <c r="LST2" s="283"/>
      <c r="LSU2" s="283"/>
      <c r="LSV2" s="283"/>
      <c r="LSW2" s="283"/>
      <c r="LSX2" s="283"/>
      <c r="LSY2" s="283"/>
      <c r="LSZ2" s="283"/>
      <c r="LTA2" s="283"/>
      <c r="LTB2" s="283"/>
      <c r="LTC2" s="283"/>
      <c r="LTD2" s="283"/>
      <c r="LTE2" s="283"/>
      <c r="LTF2" s="283"/>
      <c r="LTG2" s="283"/>
      <c r="LTH2" s="283"/>
      <c r="LTI2" s="283"/>
      <c r="LTJ2" s="283"/>
      <c r="LTK2" s="283"/>
      <c r="LTL2" s="283"/>
      <c r="LTM2" s="283"/>
      <c r="LTN2" s="283"/>
      <c r="LTO2" s="283"/>
      <c r="LTP2" s="283"/>
      <c r="LTQ2" s="283"/>
      <c r="LTR2" s="283"/>
      <c r="LTS2" s="283"/>
      <c r="LTT2" s="283"/>
      <c r="LTU2" s="283"/>
      <c r="LTV2" s="283"/>
      <c r="LTW2" s="283"/>
      <c r="LTX2" s="283"/>
      <c r="LTY2" s="283"/>
      <c r="LTZ2" s="283"/>
      <c r="LUA2" s="283"/>
      <c r="LUB2" s="283"/>
      <c r="LUC2" s="283"/>
      <c r="LUD2" s="283"/>
      <c r="LUE2" s="283"/>
      <c r="LUF2" s="283"/>
      <c r="LUG2" s="283"/>
      <c r="LUH2" s="283"/>
      <c r="LUI2" s="283"/>
      <c r="LUJ2" s="283"/>
      <c r="LUK2" s="283"/>
      <c r="LUL2" s="283"/>
      <c r="LUM2" s="283"/>
      <c r="LUN2" s="283"/>
      <c r="LUO2" s="283"/>
      <c r="LUP2" s="283"/>
      <c r="LUQ2" s="283"/>
      <c r="LUR2" s="283"/>
      <c r="LUS2" s="283"/>
      <c r="LUT2" s="283"/>
      <c r="LUU2" s="283"/>
      <c r="LUV2" s="283"/>
      <c r="LUW2" s="283"/>
      <c r="LUX2" s="283"/>
      <c r="LUY2" s="283"/>
      <c r="LUZ2" s="283"/>
      <c r="LVA2" s="283"/>
      <c r="LVB2" s="283"/>
      <c r="LVC2" s="283"/>
      <c r="LVD2" s="283"/>
      <c r="LVE2" s="283"/>
      <c r="LVF2" s="283"/>
      <c r="LVG2" s="283"/>
      <c r="LVH2" s="283"/>
      <c r="LVI2" s="283"/>
      <c r="LVJ2" s="283"/>
      <c r="LVK2" s="283"/>
      <c r="LVL2" s="283"/>
      <c r="LVM2" s="283"/>
      <c r="LVN2" s="283"/>
      <c r="LVO2" s="283"/>
      <c r="LVP2" s="283"/>
      <c r="LVQ2" s="283"/>
      <c r="LVR2" s="283"/>
      <c r="LVS2" s="283"/>
      <c r="LVT2" s="283"/>
      <c r="LVU2" s="283"/>
      <c r="LVV2" s="283"/>
      <c r="LVW2" s="283"/>
      <c r="LVX2" s="283"/>
      <c r="LVY2" s="283"/>
      <c r="LVZ2" s="283"/>
      <c r="LWA2" s="283"/>
      <c r="LWB2" s="283"/>
      <c r="LWC2" s="283"/>
      <c r="LWD2" s="283"/>
      <c r="LWE2" s="283"/>
      <c r="LWF2" s="283"/>
      <c r="LWG2" s="283"/>
      <c r="LWH2" s="283"/>
      <c r="LWI2" s="283"/>
      <c r="LWJ2" s="283"/>
      <c r="LWK2" s="283"/>
      <c r="LWL2" s="283"/>
      <c r="LWM2" s="283"/>
      <c r="LWN2" s="283"/>
      <c r="LWO2" s="283"/>
      <c r="LWP2" s="283"/>
      <c r="LWQ2" s="283"/>
      <c r="LWR2" s="283"/>
      <c r="LWS2" s="283"/>
      <c r="LWT2" s="283"/>
      <c r="LWU2" s="283"/>
      <c r="LWV2" s="283"/>
      <c r="LWW2" s="283"/>
      <c r="LWX2" s="283"/>
      <c r="LWY2" s="283"/>
      <c r="LWZ2" s="283"/>
      <c r="LXA2" s="283"/>
      <c r="LXB2" s="283"/>
      <c r="LXC2" s="283"/>
      <c r="LXD2" s="283"/>
      <c r="LXE2" s="283"/>
      <c r="LXF2" s="283"/>
      <c r="LXG2" s="283"/>
      <c r="LXH2" s="283"/>
      <c r="LXI2" s="283"/>
      <c r="LXJ2" s="283"/>
      <c r="LXK2" s="283"/>
      <c r="LXL2" s="283"/>
      <c r="LXM2" s="283"/>
      <c r="LXN2" s="283"/>
      <c r="LXO2" s="283"/>
      <c r="LXP2" s="283"/>
      <c r="LXQ2" s="283"/>
      <c r="LXR2" s="283"/>
      <c r="LXS2" s="283"/>
      <c r="LXT2" s="283"/>
      <c r="LXU2" s="283"/>
      <c r="LXV2" s="283"/>
      <c r="LXW2" s="283"/>
      <c r="LXX2" s="283"/>
      <c r="LXY2" s="283"/>
      <c r="LXZ2" s="283"/>
      <c r="LYA2" s="283"/>
      <c r="LYB2" s="283"/>
      <c r="LYC2" s="283"/>
      <c r="LYD2" s="283"/>
      <c r="LYE2" s="283"/>
      <c r="LYF2" s="283"/>
      <c r="LYG2" s="283"/>
      <c r="LYH2" s="283"/>
      <c r="LYI2" s="283"/>
      <c r="LYJ2" s="283"/>
      <c r="LYK2" s="283"/>
      <c r="LYL2" s="283"/>
      <c r="LYM2" s="283"/>
      <c r="LYN2" s="283"/>
      <c r="LYO2" s="283"/>
      <c r="LYP2" s="283"/>
      <c r="LYQ2" s="283"/>
      <c r="LYR2" s="283"/>
      <c r="LYS2" s="283"/>
      <c r="LYT2" s="283"/>
      <c r="LYU2" s="283"/>
      <c r="LYV2" s="283"/>
      <c r="LYW2" s="283"/>
      <c r="LYX2" s="283"/>
      <c r="LYY2" s="283"/>
      <c r="LYZ2" s="283"/>
      <c r="LZA2" s="283"/>
      <c r="LZB2" s="283"/>
      <c r="LZC2" s="283"/>
      <c r="LZD2" s="283"/>
      <c r="LZE2" s="283"/>
      <c r="LZF2" s="283"/>
      <c r="LZG2" s="283"/>
      <c r="LZH2" s="283"/>
      <c r="LZI2" s="283"/>
      <c r="LZJ2" s="283"/>
      <c r="LZK2" s="283"/>
      <c r="LZL2" s="283"/>
      <c r="LZM2" s="283"/>
      <c r="LZN2" s="283"/>
      <c r="LZO2" s="283"/>
      <c r="LZP2" s="283"/>
      <c r="LZQ2" s="283"/>
      <c r="LZR2" s="283"/>
      <c r="LZS2" s="283"/>
      <c r="LZT2" s="283"/>
      <c r="LZU2" s="283"/>
      <c r="LZV2" s="283"/>
      <c r="LZW2" s="283"/>
      <c r="LZX2" s="283"/>
      <c r="LZY2" s="283"/>
      <c r="LZZ2" s="283"/>
      <c r="MAA2" s="283"/>
      <c r="MAB2" s="283"/>
      <c r="MAC2" s="283"/>
      <c r="MAD2" s="283"/>
      <c r="MAE2" s="283"/>
      <c r="MAF2" s="283"/>
      <c r="MAG2" s="283"/>
      <c r="MAH2" s="283"/>
      <c r="MAI2" s="283"/>
      <c r="MAJ2" s="283"/>
      <c r="MAK2" s="283"/>
      <c r="MAL2" s="283"/>
      <c r="MAM2" s="283"/>
      <c r="MAN2" s="283"/>
      <c r="MAO2" s="283"/>
      <c r="MAP2" s="283"/>
      <c r="MAQ2" s="283"/>
      <c r="MAR2" s="283"/>
      <c r="MAS2" s="283"/>
      <c r="MAT2" s="283"/>
      <c r="MAU2" s="283"/>
      <c r="MAV2" s="283"/>
      <c r="MAW2" s="283"/>
      <c r="MAX2" s="283"/>
      <c r="MAY2" s="283"/>
      <c r="MAZ2" s="283"/>
      <c r="MBA2" s="283"/>
      <c r="MBB2" s="283"/>
      <c r="MBC2" s="283"/>
      <c r="MBD2" s="283"/>
      <c r="MBE2" s="283"/>
      <c r="MBF2" s="283"/>
      <c r="MBG2" s="283"/>
      <c r="MBH2" s="283"/>
      <c r="MBI2" s="283"/>
      <c r="MBJ2" s="283"/>
      <c r="MBK2" s="283"/>
      <c r="MBL2" s="283"/>
      <c r="MBM2" s="283"/>
      <c r="MBN2" s="283"/>
      <c r="MBO2" s="283"/>
      <c r="MBP2" s="283"/>
      <c r="MBQ2" s="283"/>
      <c r="MBR2" s="283"/>
      <c r="MBS2" s="283"/>
      <c r="MBT2" s="283"/>
      <c r="MBU2" s="283"/>
      <c r="MBV2" s="283"/>
      <c r="MBW2" s="283"/>
      <c r="MBX2" s="283"/>
      <c r="MBY2" s="283"/>
      <c r="MBZ2" s="283"/>
      <c r="MCA2" s="283"/>
      <c r="MCB2" s="283"/>
      <c r="MCC2" s="283"/>
      <c r="MCD2" s="283"/>
      <c r="MCE2" s="283"/>
      <c r="MCF2" s="283"/>
      <c r="MCG2" s="283"/>
      <c r="MCH2" s="283"/>
      <c r="MCI2" s="283"/>
      <c r="MCJ2" s="283"/>
      <c r="MCK2" s="283"/>
      <c r="MCL2" s="283"/>
      <c r="MCM2" s="283"/>
      <c r="MCN2" s="283"/>
      <c r="MCO2" s="283"/>
      <c r="MCP2" s="283"/>
      <c r="MCQ2" s="283"/>
      <c r="MCR2" s="283"/>
      <c r="MCS2" s="283"/>
      <c r="MCT2" s="283"/>
      <c r="MCU2" s="283"/>
      <c r="MCV2" s="283"/>
      <c r="MCW2" s="283"/>
      <c r="MCX2" s="283"/>
      <c r="MCY2" s="283"/>
      <c r="MCZ2" s="283"/>
      <c r="MDA2" s="283"/>
      <c r="MDB2" s="283"/>
      <c r="MDC2" s="283"/>
      <c r="MDD2" s="283"/>
      <c r="MDE2" s="283"/>
      <c r="MDF2" s="283"/>
      <c r="MDG2" s="283"/>
      <c r="MDH2" s="283"/>
      <c r="MDI2" s="283"/>
      <c r="MDJ2" s="283"/>
      <c r="MDK2" s="283"/>
      <c r="MDL2" s="283"/>
      <c r="MDM2" s="283"/>
      <c r="MDN2" s="283"/>
      <c r="MDO2" s="283"/>
      <c r="MDP2" s="283"/>
      <c r="MDQ2" s="283"/>
      <c r="MDR2" s="283"/>
      <c r="MDS2" s="283"/>
      <c r="MDT2" s="283"/>
      <c r="MDU2" s="283"/>
      <c r="MDV2" s="283"/>
      <c r="MDW2" s="283"/>
      <c r="MDX2" s="283"/>
      <c r="MDY2" s="283"/>
      <c r="MDZ2" s="283"/>
      <c r="MEA2" s="283"/>
      <c r="MEB2" s="283"/>
      <c r="MEC2" s="283"/>
      <c r="MED2" s="283"/>
      <c r="MEE2" s="283"/>
      <c r="MEF2" s="283"/>
      <c r="MEG2" s="283"/>
      <c r="MEH2" s="283"/>
      <c r="MEI2" s="283"/>
      <c r="MEJ2" s="283"/>
      <c r="MEK2" s="283"/>
      <c r="MEL2" s="283"/>
      <c r="MEM2" s="283"/>
      <c r="MEN2" s="283"/>
      <c r="MEO2" s="283"/>
      <c r="MEP2" s="283"/>
      <c r="MEQ2" s="283"/>
      <c r="MER2" s="283"/>
      <c r="MES2" s="283"/>
      <c r="MET2" s="283"/>
      <c r="MEU2" s="283"/>
      <c r="MEV2" s="283"/>
      <c r="MEW2" s="283"/>
      <c r="MEX2" s="283"/>
      <c r="MEY2" s="283"/>
      <c r="MEZ2" s="283"/>
      <c r="MFA2" s="283"/>
      <c r="MFB2" s="283"/>
      <c r="MFC2" s="283"/>
      <c r="MFD2" s="283"/>
      <c r="MFE2" s="283"/>
      <c r="MFF2" s="283"/>
      <c r="MFG2" s="283"/>
      <c r="MFH2" s="283"/>
      <c r="MFI2" s="283"/>
      <c r="MFJ2" s="283"/>
      <c r="MFK2" s="283"/>
      <c r="MFL2" s="283"/>
      <c r="MFM2" s="283"/>
      <c r="MFN2" s="283"/>
      <c r="MFO2" s="283"/>
      <c r="MFP2" s="283"/>
      <c r="MFQ2" s="283"/>
      <c r="MFR2" s="283"/>
      <c r="MFS2" s="283"/>
      <c r="MFT2" s="283"/>
      <c r="MFU2" s="283"/>
      <c r="MFV2" s="283"/>
      <c r="MFW2" s="283"/>
      <c r="MFX2" s="283"/>
      <c r="MFY2" s="283"/>
      <c r="MFZ2" s="283"/>
      <c r="MGA2" s="283"/>
      <c r="MGB2" s="283"/>
      <c r="MGC2" s="283"/>
      <c r="MGD2" s="283"/>
      <c r="MGE2" s="283"/>
      <c r="MGF2" s="283"/>
      <c r="MGG2" s="283"/>
      <c r="MGH2" s="283"/>
      <c r="MGI2" s="283"/>
      <c r="MGJ2" s="283"/>
      <c r="MGK2" s="283"/>
      <c r="MGL2" s="283"/>
      <c r="MGM2" s="283"/>
      <c r="MGN2" s="283"/>
      <c r="MGO2" s="283"/>
      <c r="MGP2" s="283"/>
      <c r="MGQ2" s="283"/>
      <c r="MGR2" s="283"/>
      <c r="MGS2" s="283"/>
      <c r="MGT2" s="283"/>
      <c r="MGU2" s="283"/>
      <c r="MGV2" s="283"/>
      <c r="MGW2" s="283"/>
      <c r="MGX2" s="283"/>
      <c r="MGY2" s="283"/>
      <c r="MGZ2" s="283"/>
      <c r="MHA2" s="283"/>
      <c r="MHB2" s="283"/>
      <c r="MHC2" s="283"/>
      <c r="MHD2" s="283"/>
      <c r="MHE2" s="283"/>
      <c r="MHF2" s="283"/>
      <c r="MHG2" s="283"/>
      <c r="MHH2" s="283"/>
      <c r="MHI2" s="283"/>
      <c r="MHJ2" s="283"/>
      <c r="MHK2" s="283"/>
      <c r="MHL2" s="283"/>
      <c r="MHM2" s="283"/>
      <c r="MHN2" s="283"/>
      <c r="MHO2" s="283"/>
      <c r="MHP2" s="283"/>
      <c r="MHQ2" s="283"/>
      <c r="MHR2" s="283"/>
      <c r="MHS2" s="283"/>
      <c r="MHT2" s="283"/>
      <c r="MHU2" s="283"/>
      <c r="MHV2" s="283"/>
      <c r="MHW2" s="283"/>
      <c r="MHX2" s="283"/>
      <c r="MHY2" s="283"/>
      <c r="MHZ2" s="283"/>
      <c r="MIA2" s="283"/>
      <c r="MIB2" s="283"/>
      <c r="MIC2" s="283"/>
      <c r="MID2" s="283"/>
      <c r="MIE2" s="283"/>
      <c r="MIF2" s="283"/>
      <c r="MIG2" s="283"/>
      <c r="MIH2" s="283"/>
      <c r="MII2" s="283"/>
      <c r="MIJ2" s="283"/>
      <c r="MIK2" s="283"/>
      <c r="MIL2" s="283"/>
      <c r="MIM2" s="283"/>
      <c r="MIN2" s="283"/>
      <c r="MIO2" s="283"/>
      <c r="MIP2" s="283"/>
      <c r="MIQ2" s="283"/>
      <c r="MIR2" s="283"/>
      <c r="MIS2" s="283"/>
      <c r="MIT2" s="283"/>
      <c r="MIU2" s="283"/>
      <c r="MIV2" s="283"/>
      <c r="MIW2" s="283"/>
      <c r="MIX2" s="283"/>
      <c r="MIY2" s="283"/>
      <c r="MIZ2" s="283"/>
      <c r="MJA2" s="283"/>
      <c r="MJB2" s="283"/>
      <c r="MJC2" s="283"/>
      <c r="MJD2" s="283"/>
      <c r="MJE2" s="283"/>
      <c r="MJF2" s="283"/>
      <c r="MJG2" s="283"/>
      <c r="MJH2" s="283"/>
      <c r="MJI2" s="283"/>
      <c r="MJJ2" s="283"/>
      <c r="MJK2" s="283"/>
      <c r="MJL2" s="283"/>
      <c r="MJM2" s="283"/>
      <c r="MJN2" s="283"/>
      <c r="MJO2" s="283"/>
      <c r="MJP2" s="283"/>
      <c r="MJQ2" s="283"/>
      <c r="MJR2" s="283"/>
      <c r="MJS2" s="283"/>
      <c r="MJT2" s="283"/>
      <c r="MJU2" s="283"/>
      <c r="MJV2" s="283"/>
      <c r="MJW2" s="283"/>
      <c r="MJX2" s="283"/>
      <c r="MJY2" s="283"/>
      <c r="MJZ2" s="283"/>
      <c r="MKA2" s="283"/>
      <c r="MKB2" s="283"/>
      <c r="MKC2" s="283"/>
      <c r="MKD2" s="283"/>
      <c r="MKE2" s="283"/>
      <c r="MKF2" s="283"/>
      <c r="MKG2" s="283"/>
      <c r="MKH2" s="283"/>
      <c r="MKI2" s="283"/>
      <c r="MKJ2" s="283"/>
      <c r="MKK2" s="283"/>
      <c r="MKL2" s="283"/>
      <c r="MKM2" s="283"/>
      <c r="MKN2" s="283"/>
      <c r="MKO2" s="283"/>
      <c r="MKP2" s="283"/>
      <c r="MKQ2" s="283"/>
      <c r="MKR2" s="283"/>
      <c r="MKS2" s="283"/>
      <c r="MKT2" s="283"/>
      <c r="MKU2" s="283"/>
      <c r="MKV2" s="283"/>
      <c r="MKW2" s="283"/>
      <c r="MKX2" s="283"/>
      <c r="MKY2" s="283"/>
      <c r="MKZ2" s="283"/>
      <c r="MLA2" s="283"/>
      <c r="MLB2" s="283"/>
      <c r="MLC2" s="283"/>
      <c r="MLD2" s="283"/>
      <c r="MLE2" s="283"/>
      <c r="MLF2" s="283"/>
      <c r="MLG2" s="283"/>
      <c r="MLH2" s="283"/>
      <c r="MLI2" s="283"/>
      <c r="MLJ2" s="283"/>
      <c r="MLK2" s="283"/>
      <c r="MLL2" s="283"/>
      <c r="MLM2" s="283"/>
      <c r="MLN2" s="283"/>
      <c r="MLO2" s="283"/>
      <c r="MLP2" s="283"/>
      <c r="MLQ2" s="283"/>
      <c r="MLR2" s="283"/>
      <c r="MLS2" s="283"/>
      <c r="MLT2" s="283"/>
      <c r="MLU2" s="283"/>
      <c r="MLV2" s="283"/>
      <c r="MLW2" s="283"/>
      <c r="MLX2" s="283"/>
      <c r="MLY2" s="283"/>
      <c r="MLZ2" s="283"/>
      <c r="MMA2" s="283"/>
      <c r="MMB2" s="283"/>
      <c r="MMC2" s="283"/>
      <c r="MMD2" s="283"/>
      <c r="MME2" s="283"/>
      <c r="MMF2" s="283"/>
      <c r="MMG2" s="283"/>
      <c r="MMH2" s="283"/>
      <c r="MMI2" s="283"/>
      <c r="MMJ2" s="283"/>
      <c r="MMK2" s="283"/>
      <c r="MML2" s="283"/>
      <c r="MMM2" s="283"/>
      <c r="MMN2" s="283"/>
      <c r="MMO2" s="283"/>
      <c r="MMP2" s="283"/>
      <c r="MMQ2" s="283"/>
      <c r="MMR2" s="283"/>
      <c r="MMS2" s="283"/>
      <c r="MMT2" s="283"/>
      <c r="MMU2" s="283"/>
      <c r="MMV2" s="283"/>
      <c r="MMW2" s="283"/>
      <c r="MMX2" s="283"/>
      <c r="MMY2" s="283"/>
      <c r="MMZ2" s="283"/>
      <c r="MNA2" s="283"/>
      <c r="MNB2" s="283"/>
      <c r="MNC2" s="283"/>
      <c r="MND2" s="283"/>
      <c r="MNE2" s="283"/>
      <c r="MNF2" s="283"/>
      <c r="MNG2" s="283"/>
      <c r="MNH2" s="283"/>
      <c r="MNI2" s="283"/>
      <c r="MNJ2" s="283"/>
      <c r="MNK2" s="283"/>
      <c r="MNL2" s="283"/>
      <c r="MNM2" s="283"/>
      <c r="MNN2" s="283"/>
      <c r="MNO2" s="283"/>
      <c r="MNP2" s="283"/>
      <c r="MNQ2" s="283"/>
      <c r="MNR2" s="283"/>
      <c r="MNS2" s="283"/>
      <c r="MNT2" s="283"/>
      <c r="MNU2" s="283"/>
      <c r="MNV2" s="283"/>
      <c r="MNW2" s="283"/>
      <c r="MNX2" s="283"/>
      <c r="MNY2" s="283"/>
      <c r="MNZ2" s="283"/>
      <c r="MOA2" s="283"/>
      <c r="MOB2" s="283"/>
      <c r="MOC2" s="283"/>
      <c r="MOD2" s="283"/>
      <c r="MOE2" s="283"/>
      <c r="MOF2" s="283"/>
      <c r="MOG2" s="283"/>
      <c r="MOH2" s="283"/>
      <c r="MOI2" s="283"/>
      <c r="MOJ2" s="283"/>
      <c r="MOK2" s="283"/>
      <c r="MOL2" s="283"/>
      <c r="MOM2" s="283"/>
      <c r="MON2" s="283"/>
      <c r="MOO2" s="283"/>
      <c r="MOP2" s="283"/>
      <c r="MOQ2" s="283"/>
      <c r="MOR2" s="283"/>
      <c r="MOS2" s="283"/>
      <c r="MOT2" s="283"/>
      <c r="MOU2" s="283"/>
      <c r="MOV2" s="283"/>
      <c r="MOW2" s="283"/>
      <c r="MOX2" s="283"/>
      <c r="MOY2" s="283"/>
      <c r="MOZ2" s="283"/>
      <c r="MPA2" s="283"/>
      <c r="MPB2" s="283"/>
      <c r="MPC2" s="283"/>
      <c r="MPD2" s="283"/>
      <c r="MPE2" s="283"/>
      <c r="MPF2" s="283"/>
      <c r="MPG2" s="283"/>
      <c r="MPH2" s="283"/>
      <c r="MPI2" s="283"/>
      <c r="MPJ2" s="283"/>
      <c r="MPK2" s="283"/>
      <c r="MPL2" s="283"/>
      <c r="MPM2" s="283"/>
      <c r="MPN2" s="283"/>
      <c r="MPO2" s="283"/>
      <c r="MPP2" s="283"/>
      <c r="MPQ2" s="283"/>
      <c r="MPR2" s="283"/>
      <c r="MPS2" s="283"/>
      <c r="MPT2" s="283"/>
      <c r="MPU2" s="283"/>
      <c r="MPV2" s="283"/>
      <c r="MPW2" s="283"/>
      <c r="MPX2" s="283"/>
      <c r="MPY2" s="283"/>
      <c r="MPZ2" s="283"/>
      <c r="MQA2" s="283"/>
      <c r="MQB2" s="283"/>
      <c r="MQC2" s="283"/>
      <c r="MQD2" s="283"/>
      <c r="MQE2" s="283"/>
      <c r="MQF2" s="283"/>
      <c r="MQG2" s="283"/>
      <c r="MQH2" s="283"/>
      <c r="MQI2" s="283"/>
      <c r="MQJ2" s="283"/>
      <c r="MQK2" s="283"/>
      <c r="MQL2" s="283"/>
      <c r="MQM2" s="283"/>
      <c r="MQN2" s="283"/>
      <c r="MQO2" s="283"/>
      <c r="MQP2" s="283"/>
      <c r="MQQ2" s="283"/>
      <c r="MQR2" s="283"/>
      <c r="MQS2" s="283"/>
      <c r="MQT2" s="283"/>
      <c r="MQU2" s="283"/>
      <c r="MQV2" s="283"/>
      <c r="MQW2" s="283"/>
      <c r="MQX2" s="283"/>
      <c r="MQY2" s="283"/>
      <c r="MQZ2" s="283"/>
      <c r="MRA2" s="283"/>
      <c r="MRB2" s="283"/>
      <c r="MRC2" s="283"/>
      <c r="MRD2" s="283"/>
      <c r="MRE2" s="283"/>
      <c r="MRF2" s="283"/>
      <c r="MRG2" s="283"/>
      <c r="MRH2" s="283"/>
      <c r="MRI2" s="283"/>
      <c r="MRJ2" s="283"/>
      <c r="MRK2" s="283"/>
      <c r="MRL2" s="283"/>
      <c r="MRM2" s="283"/>
      <c r="MRN2" s="283"/>
      <c r="MRO2" s="283"/>
      <c r="MRP2" s="283"/>
      <c r="MRQ2" s="283"/>
      <c r="MRR2" s="283"/>
      <c r="MRS2" s="283"/>
      <c r="MRT2" s="283"/>
      <c r="MRU2" s="283"/>
      <c r="MRV2" s="283"/>
      <c r="MRW2" s="283"/>
      <c r="MRX2" s="283"/>
      <c r="MRY2" s="283"/>
      <c r="MRZ2" s="283"/>
      <c r="MSA2" s="283"/>
      <c r="MSB2" s="283"/>
      <c r="MSC2" s="283"/>
      <c r="MSD2" s="283"/>
      <c r="MSE2" s="283"/>
      <c r="MSF2" s="283"/>
      <c r="MSG2" s="283"/>
      <c r="MSH2" s="283"/>
      <c r="MSI2" s="283"/>
      <c r="MSJ2" s="283"/>
      <c r="MSK2" s="283"/>
      <c r="MSL2" s="283"/>
      <c r="MSM2" s="283"/>
      <c r="MSN2" s="283"/>
      <c r="MSO2" s="283"/>
      <c r="MSP2" s="283"/>
      <c r="MSQ2" s="283"/>
      <c r="MSR2" s="283"/>
      <c r="MSS2" s="283"/>
      <c r="MST2" s="283"/>
      <c r="MSU2" s="283"/>
      <c r="MSV2" s="283"/>
      <c r="MSW2" s="283"/>
      <c r="MSX2" s="283"/>
      <c r="MSY2" s="283"/>
      <c r="MSZ2" s="283"/>
      <c r="MTA2" s="283"/>
      <c r="MTB2" s="283"/>
      <c r="MTC2" s="283"/>
      <c r="MTD2" s="283"/>
      <c r="MTE2" s="283"/>
      <c r="MTF2" s="283"/>
      <c r="MTG2" s="283"/>
      <c r="MTH2" s="283"/>
      <c r="MTI2" s="283"/>
      <c r="MTJ2" s="283"/>
      <c r="MTK2" s="283"/>
      <c r="MTL2" s="283"/>
      <c r="MTM2" s="283"/>
      <c r="MTN2" s="283"/>
      <c r="MTO2" s="283"/>
      <c r="MTP2" s="283"/>
      <c r="MTQ2" s="283"/>
      <c r="MTR2" s="283"/>
      <c r="MTS2" s="283"/>
      <c r="MTT2" s="283"/>
      <c r="MTU2" s="283"/>
      <c r="MTV2" s="283"/>
      <c r="MTW2" s="283"/>
      <c r="MTX2" s="283"/>
      <c r="MTY2" s="283"/>
      <c r="MTZ2" s="283"/>
      <c r="MUA2" s="283"/>
      <c r="MUB2" s="283"/>
      <c r="MUC2" s="283"/>
      <c r="MUD2" s="283"/>
      <c r="MUE2" s="283"/>
      <c r="MUF2" s="283"/>
      <c r="MUG2" s="283"/>
      <c r="MUH2" s="283"/>
      <c r="MUI2" s="283"/>
      <c r="MUJ2" s="283"/>
      <c r="MUK2" s="283"/>
      <c r="MUL2" s="283"/>
      <c r="MUM2" s="283"/>
      <c r="MUN2" s="283"/>
      <c r="MUO2" s="283"/>
      <c r="MUP2" s="283"/>
      <c r="MUQ2" s="283"/>
      <c r="MUR2" s="283"/>
      <c r="MUS2" s="283"/>
      <c r="MUT2" s="283"/>
      <c r="MUU2" s="283"/>
      <c r="MUV2" s="283"/>
      <c r="MUW2" s="283"/>
      <c r="MUX2" s="283"/>
      <c r="MUY2" s="283"/>
      <c r="MUZ2" s="283"/>
      <c r="MVA2" s="283"/>
      <c r="MVB2" s="283"/>
      <c r="MVC2" s="283"/>
      <c r="MVD2" s="283"/>
      <c r="MVE2" s="283"/>
      <c r="MVF2" s="283"/>
      <c r="MVG2" s="283"/>
      <c r="MVH2" s="283"/>
      <c r="MVI2" s="283"/>
      <c r="MVJ2" s="283"/>
      <c r="MVK2" s="283"/>
      <c r="MVL2" s="283"/>
      <c r="MVM2" s="283"/>
      <c r="MVN2" s="283"/>
      <c r="MVO2" s="283"/>
      <c r="MVP2" s="283"/>
      <c r="MVQ2" s="283"/>
      <c r="MVR2" s="283"/>
      <c r="MVS2" s="283"/>
      <c r="MVT2" s="283"/>
      <c r="MVU2" s="283"/>
      <c r="MVV2" s="283"/>
      <c r="MVW2" s="283"/>
      <c r="MVX2" s="283"/>
      <c r="MVY2" s="283"/>
      <c r="MVZ2" s="283"/>
      <c r="MWA2" s="283"/>
      <c r="MWB2" s="283"/>
      <c r="MWC2" s="283"/>
      <c r="MWD2" s="283"/>
      <c r="MWE2" s="283"/>
      <c r="MWF2" s="283"/>
      <c r="MWG2" s="283"/>
      <c r="MWH2" s="283"/>
      <c r="MWI2" s="283"/>
      <c r="MWJ2" s="283"/>
      <c r="MWK2" s="283"/>
      <c r="MWL2" s="283"/>
      <c r="MWM2" s="283"/>
      <c r="MWN2" s="283"/>
      <c r="MWO2" s="283"/>
      <c r="MWP2" s="283"/>
      <c r="MWQ2" s="283"/>
      <c r="MWR2" s="283"/>
      <c r="MWS2" s="283"/>
      <c r="MWT2" s="283"/>
      <c r="MWU2" s="283"/>
      <c r="MWV2" s="283"/>
      <c r="MWW2" s="283"/>
      <c r="MWX2" s="283"/>
      <c r="MWY2" s="283"/>
      <c r="MWZ2" s="283"/>
      <c r="MXA2" s="283"/>
      <c r="MXB2" s="283"/>
      <c r="MXC2" s="283"/>
      <c r="MXD2" s="283"/>
      <c r="MXE2" s="283"/>
      <c r="MXF2" s="283"/>
      <c r="MXG2" s="283"/>
      <c r="MXH2" s="283"/>
      <c r="MXI2" s="283"/>
      <c r="MXJ2" s="283"/>
      <c r="MXK2" s="283"/>
      <c r="MXL2" s="283"/>
      <c r="MXM2" s="283"/>
      <c r="MXN2" s="283"/>
      <c r="MXO2" s="283"/>
      <c r="MXP2" s="283"/>
      <c r="MXQ2" s="283"/>
      <c r="MXR2" s="283"/>
      <c r="MXS2" s="283"/>
      <c r="MXT2" s="283"/>
      <c r="MXU2" s="283"/>
      <c r="MXV2" s="283"/>
      <c r="MXW2" s="283"/>
      <c r="MXX2" s="283"/>
      <c r="MXY2" s="283"/>
      <c r="MXZ2" s="283"/>
      <c r="MYA2" s="283"/>
      <c r="MYB2" s="283"/>
      <c r="MYC2" s="283"/>
      <c r="MYD2" s="283"/>
      <c r="MYE2" s="283"/>
      <c r="MYF2" s="283"/>
      <c r="MYG2" s="283"/>
      <c r="MYH2" s="283"/>
      <c r="MYI2" s="283"/>
      <c r="MYJ2" s="283"/>
      <c r="MYK2" s="283"/>
      <c r="MYL2" s="283"/>
      <c r="MYM2" s="283"/>
      <c r="MYN2" s="283"/>
      <c r="MYO2" s="283"/>
      <c r="MYP2" s="283"/>
      <c r="MYQ2" s="283"/>
      <c r="MYR2" s="283"/>
      <c r="MYS2" s="283"/>
      <c r="MYT2" s="283"/>
      <c r="MYU2" s="283"/>
      <c r="MYV2" s="283"/>
      <c r="MYW2" s="283"/>
      <c r="MYX2" s="283"/>
      <c r="MYY2" s="283"/>
      <c r="MYZ2" s="283"/>
      <c r="MZA2" s="283"/>
      <c r="MZB2" s="283"/>
      <c r="MZC2" s="283"/>
      <c r="MZD2" s="283"/>
      <c r="MZE2" s="283"/>
      <c r="MZF2" s="283"/>
      <c r="MZG2" s="283"/>
      <c r="MZH2" s="283"/>
      <c r="MZI2" s="283"/>
      <c r="MZJ2" s="283"/>
      <c r="MZK2" s="283"/>
      <c r="MZL2" s="283"/>
      <c r="MZM2" s="283"/>
      <c r="MZN2" s="283"/>
      <c r="MZO2" s="283"/>
      <c r="MZP2" s="283"/>
      <c r="MZQ2" s="283"/>
      <c r="MZR2" s="283"/>
      <c r="MZS2" s="283"/>
      <c r="MZT2" s="283"/>
      <c r="MZU2" s="283"/>
      <c r="MZV2" s="283"/>
      <c r="MZW2" s="283"/>
      <c r="MZX2" s="283"/>
      <c r="MZY2" s="283"/>
      <c r="MZZ2" s="283"/>
      <c r="NAA2" s="283"/>
      <c r="NAB2" s="283"/>
      <c r="NAC2" s="283"/>
      <c r="NAD2" s="283"/>
      <c r="NAE2" s="283"/>
      <c r="NAF2" s="283"/>
      <c r="NAG2" s="283"/>
      <c r="NAH2" s="283"/>
      <c r="NAI2" s="283"/>
      <c r="NAJ2" s="283"/>
      <c r="NAK2" s="283"/>
      <c r="NAL2" s="283"/>
      <c r="NAM2" s="283"/>
      <c r="NAN2" s="283"/>
      <c r="NAO2" s="283"/>
      <c r="NAP2" s="283"/>
      <c r="NAQ2" s="283"/>
      <c r="NAR2" s="283"/>
      <c r="NAS2" s="283"/>
      <c r="NAT2" s="283"/>
      <c r="NAU2" s="283"/>
      <c r="NAV2" s="283"/>
      <c r="NAW2" s="283"/>
      <c r="NAX2" s="283"/>
      <c r="NAY2" s="283"/>
      <c r="NAZ2" s="283"/>
      <c r="NBA2" s="283"/>
      <c r="NBB2" s="283"/>
      <c r="NBC2" s="283"/>
      <c r="NBD2" s="283"/>
      <c r="NBE2" s="283"/>
      <c r="NBF2" s="283"/>
      <c r="NBG2" s="283"/>
      <c r="NBH2" s="283"/>
      <c r="NBI2" s="283"/>
      <c r="NBJ2" s="283"/>
      <c r="NBK2" s="283"/>
      <c r="NBL2" s="283"/>
      <c r="NBM2" s="283"/>
      <c r="NBN2" s="283"/>
      <c r="NBO2" s="283"/>
      <c r="NBP2" s="283"/>
      <c r="NBQ2" s="283"/>
      <c r="NBR2" s="283"/>
      <c r="NBS2" s="283"/>
      <c r="NBT2" s="283"/>
      <c r="NBU2" s="283"/>
      <c r="NBV2" s="283"/>
      <c r="NBW2" s="283"/>
      <c r="NBX2" s="283"/>
      <c r="NBY2" s="283"/>
      <c r="NBZ2" s="283"/>
      <c r="NCA2" s="283"/>
      <c r="NCB2" s="283"/>
      <c r="NCC2" s="283"/>
      <c r="NCD2" s="283"/>
      <c r="NCE2" s="283"/>
      <c r="NCF2" s="283"/>
      <c r="NCG2" s="283"/>
      <c r="NCH2" s="283"/>
      <c r="NCI2" s="283"/>
      <c r="NCJ2" s="283"/>
      <c r="NCK2" s="283"/>
      <c r="NCL2" s="283"/>
      <c r="NCM2" s="283"/>
      <c r="NCN2" s="283"/>
      <c r="NCO2" s="283"/>
      <c r="NCP2" s="283"/>
      <c r="NCQ2" s="283"/>
      <c r="NCR2" s="283"/>
      <c r="NCS2" s="283"/>
      <c r="NCT2" s="283"/>
      <c r="NCU2" s="283"/>
      <c r="NCV2" s="283"/>
      <c r="NCW2" s="283"/>
      <c r="NCX2" s="283"/>
      <c r="NCY2" s="283"/>
      <c r="NCZ2" s="283"/>
      <c r="NDA2" s="283"/>
      <c r="NDB2" s="283"/>
      <c r="NDC2" s="283"/>
      <c r="NDD2" s="283"/>
      <c r="NDE2" s="283"/>
      <c r="NDF2" s="283"/>
      <c r="NDG2" s="283"/>
      <c r="NDH2" s="283"/>
      <c r="NDI2" s="283"/>
      <c r="NDJ2" s="283"/>
      <c r="NDK2" s="283"/>
      <c r="NDL2" s="283"/>
      <c r="NDM2" s="283"/>
      <c r="NDN2" s="283"/>
      <c r="NDO2" s="283"/>
      <c r="NDP2" s="283"/>
      <c r="NDQ2" s="283"/>
      <c r="NDR2" s="283"/>
      <c r="NDS2" s="283"/>
      <c r="NDT2" s="283"/>
      <c r="NDU2" s="283"/>
      <c r="NDV2" s="283"/>
      <c r="NDW2" s="283"/>
      <c r="NDX2" s="283"/>
      <c r="NDY2" s="283"/>
      <c r="NDZ2" s="283"/>
      <c r="NEA2" s="283"/>
      <c r="NEB2" s="283"/>
      <c r="NEC2" s="283"/>
      <c r="NED2" s="283"/>
      <c r="NEE2" s="283"/>
      <c r="NEF2" s="283"/>
      <c r="NEG2" s="283"/>
      <c r="NEH2" s="283"/>
      <c r="NEI2" s="283"/>
      <c r="NEJ2" s="283"/>
      <c r="NEK2" s="283"/>
      <c r="NEL2" s="283"/>
      <c r="NEM2" s="283"/>
      <c r="NEN2" s="283"/>
      <c r="NEO2" s="283"/>
      <c r="NEP2" s="283"/>
      <c r="NEQ2" s="283"/>
      <c r="NER2" s="283"/>
      <c r="NES2" s="283"/>
      <c r="NET2" s="283"/>
      <c r="NEU2" s="283"/>
      <c r="NEV2" s="283"/>
      <c r="NEW2" s="283"/>
      <c r="NEX2" s="283"/>
      <c r="NEY2" s="283"/>
      <c r="NEZ2" s="283"/>
      <c r="NFA2" s="283"/>
      <c r="NFB2" s="283"/>
      <c r="NFC2" s="283"/>
      <c r="NFD2" s="283"/>
      <c r="NFE2" s="283"/>
      <c r="NFF2" s="283"/>
      <c r="NFG2" s="283"/>
      <c r="NFH2" s="283"/>
      <c r="NFI2" s="283"/>
      <c r="NFJ2" s="283"/>
      <c r="NFK2" s="283"/>
      <c r="NFL2" s="283"/>
      <c r="NFM2" s="283"/>
      <c r="NFN2" s="283"/>
      <c r="NFO2" s="283"/>
      <c r="NFP2" s="283"/>
      <c r="NFQ2" s="283"/>
      <c r="NFR2" s="283"/>
      <c r="NFS2" s="283"/>
      <c r="NFT2" s="283"/>
      <c r="NFU2" s="283"/>
      <c r="NFV2" s="283"/>
      <c r="NFW2" s="283"/>
      <c r="NFX2" s="283"/>
      <c r="NFY2" s="283"/>
      <c r="NFZ2" s="283"/>
      <c r="NGA2" s="283"/>
      <c r="NGB2" s="283"/>
      <c r="NGC2" s="283"/>
      <c r="NGD2" s="283"/>
      <c r="NGE2" s="283"/>
      <c r="NGF2" s="283"/>
      <c r="NGG2" s="283"/>
      <c r="NGH2" s="283"/>
      <c r="NGI2" s="283"/>
      <c r="NGJ2" s="283"/>
      <c r="NGK2" s="283"/>
      <c r="NGL2" s="283"/>
      <c r="NGM2" s="283"/>
      <c r="NGN2" s="283"/>
      <c r="NGO2" s="283"/>
      <c r="NGP2" s="283"/>
      <c r="NGQ2" s="283"/>
      <c r="NGR2" s="283"/>
      <c r="NGS2" s="283"/>
      <c r="NGT2" s="283"/>
      <c r="NGU2" s="283"/>
      <c r="NGV2" s="283"/>
      <c r="NGW2" s="283"/>
      <c r="NGX2" s="283"/>
      <c r="NGY2" s="283"/>
      <c r="NGZ2" s="283"/>
      <c r="NHA2" s="283"/>
      <c r="NHB2" s="283"/>
      <c r="NHC2" s="283"/>
      <c r="NHD2" s="283"/>
      <c r="NHE2" s="283"/>
      <c r="NHF2" s="283"/>
      <c r="NHG2" s="283"/>
      <c r="NHH2" s="283"/>
      <c r="NHI2" s="283"/>
      <c r="NHJ2" s="283"/>
      <c r="NHK2" s="283"/>
      <c r="NHL2" s="283"/>
      <c r="NHM2" s="283"/>
      <c r="NHN2" s="283"/>
      <c r="NHO2" s="283"/>
      <c r="NHP2" s="283"/>
      <c r="NHQ2" s="283"/>
      <c r="NHR2" s="283"/>
      <c r="NHS2" s="283"/>
      <c r="NHT2" s="283"/>
      <c r="NHU2" s="283"/>
      <c r="NHV2" s="283"/>
      <c r="NHW2" s="283"/>
      <c r="NHX2" s="283"/>
      <c r="NHY2" s="283"/>
      <c r="NHZ2" s="283"/>
      <c r="NIA2" s="283"/>
      <c r="NIB2" s="283"/>
      <c r="NIC2" s="283"/>
      <c r="NID2" s="283"/>
      <c r="NIE2" s="283"/>
      <c r="NIF2" s="283"/>
      <c r="NIG2" s="283"/>
      <c r="NIH2" s="283"/>
      <c r="NII2" s="283"/>
      <c r="NIJ2" s="283"/>
      <c r="NIK2" s="283"/>
      <c r="NIL2" s="283"/>
      <c r="NIM2" s="283"/>
      <c r="NIN2" s="283"/>
      <c r="NIO2" s="283"/>
      <c r="NIP2" s="283"/>
      <c r="NIQ2" s="283"/>
      <c r="NIR2" s="283"/>
      <c r="NIS2" s="283"/>
      <c r="NIT2" s="283"/>
      <c r="NIU2" s="283"/>
      <c r="NIV2" s="283"/>
      <c r="NIW2" s="283"/>
      <c r="NIX2" s="283"/>
      <c r="NIY2" s="283"/>
      <c r="NIZ2" s="283"/>
      <c r="NJA2" s="283"/>
      <c r="NJB2" s="283"/>
      <c r="NJC2" s="283"/>
      <c r="NJD2" s="283"/>
      <c r="NJE2" s="283"/>
      <c r="NJF2" s="283"/>
      <c r="NJG2" s="283"/>
      <c r="NJH2" s="283"/>
      <c r="NJI2" s="283"/>
      <c r="NJJ2" s="283"/>
      <c r="NJK2" s="283"/>
      <c r="NJL2" s="283"/>
      <c r="NJM2" s="283"/>
      <c r="NJN2" s="283"/>
      <c r="NJO2" s="283"/>
      <c r="NJP2" s="283"/>
      <c r="NJQ2" s="283"/>
      <c r="NJR2" s="283"/>
      <c r="NJS2" s="283"/>
      <c r="NJT2" s="283"/>
      <c r="NJU2" s="283"/>
      <c r="NJV2" s="283"/>
      <c r="NJW2" s="283"/>
      <c r="NJX2" s="283"/>
      <c r="NJY2" s="283"/>
      <c r="NJZ2" s="283"/>
      <c r="NKA2" s="283"/>
      <c r="NKB2" s="283"/>
      <c r="NKC2" s="283"/>
      <c r="NKD2" s="283"/>
      <c r="NKE2" s="283"/>
      <c r="NKF2" s="283"/>
      <c r="NKG2" s="283"/>
      <c r="NKH2" s="283"/>
      <c r="NKI2" s="283"/>
      <c r="NKJ2" s="283"/>
      <c r="NKK2" s="283"/>
      <c r="NKL2" s="283"/>
      <c r="NKM2" s="283"/>
      <c r="NKN2" s="283"/>
      <c r="NKO2" s="283"/>
      <c r="NKP2" s="283"/>
      <c r="NKQ2" s="283"/>
      <c r="NKR2" s="283"/>
      <c r="NKS2" s="283"/>
      <c r="NKT2" s="283"/>
      <c r="NKU2" s="283"/>
      <c r="NKV2" s="283"/>
      <c r="NKW2" s="283"/>
      <c r="NKX2" s="283"/>
      <c r="NKY2" s="283"/>
      <c r="NKZ2" s="283"/>
      <c r="NLA2" s="283"/>
      <c r="NLB2" s="283"/>
      <c r="NLC2" s="283"/>
      <c r="NLD2" s="283"/>
      <c r="NLE2" s="283"/>
      <c r="NLF2" s="283"/>
      <c r="NLG2" s="283"/>
      <c r="NLH2" s="283"/>
      <c r="NLI2" s="283"/>
      <c r="NLJ2" s="283"/>
      <c r="NLK2" s="283"/>
      <c r="NLL2" s="283"/>
      <c r="NLM2" s="283"/>
      <c r="NLN2" s="283"/>
      <c r="NLO2" s="283"/>
      <c r="NLP2" s="283"/>
      <c r="NLQ2" s="283"/>
      <c r="NLR2" s="283"/>
      <c r="NLS2" s="283"/>
      <c r="NLT2" s="283"/>
      <c r="NLU2" s="283"/>
      <c r="NLV2" s="283"/>
      <c r="NLW2" s="283"/>
      <c r="NLX2" s="283"/>
      <c r="NLY2" s="283"/>
      <c r="NLZ2" s="283"/>
      <c r="NMA2" s="283"/>
      <c r="NMB2" s="283"/>
      <c r="NMC2" s="283"/>
      <c r="NMD2" s="283"/>
      <c r="NME2" s="283"/>
      <c r="NMF2" s="283"/>
      <c r="NMG2" s="283"/>
      <c r="NMH2" s="283"/>
      <c r="NMI2" s="283"/>
      <c r="NMJ2" s="283"/>
      <c r="NMK2" s="283"/>
      <c r="NML2" s="283"/>
      <c r="NMM2" s="283"/>
      <c r="NMN2" s="283"/>
      <c r="NMO2" s="283"/>
      <c r="NMP2" s="283"/>
      <c r="NMQ2" s="283"/>
      <c r="NMR2" s="283"/>
      <c r="NMS2" s="283"/>
      <c r="NMT2" s="283"/>
      <c r="NMU2" s="283"/>
      <c r="NMV2" s="283"/>
      <c r="NMW2" s="283"/>
      <c r="NMX2" s="283"/>
      <c r="NMY2" s="283"/>
      <c r="NMZ2" s="283"/>
      <c r="NNA2" s="283"/>
      <c r="NNB2" s="283"/>
      <c r="NNC2" s="283"/>
      <c r="NND2" s="283"/>
      <c r="NNE2" s="283"/>
      <c r="NNF2" s="283"/>
      <c r="NNG2" s="283"/>
      <c r="NNH2" s="283"/>
      <c r="NNI2" s="283"/>
      <c r="NNJ2" s="283"/>
      <c r="NNK2" s="283"/>
      <c r="NNL2" s="283"/>
      <c r="NNM2" s="283"/>
      <c r="NNN2" s="283"/>
      <c r="NNO2" s="283"/>
      <c r="NNP2" s="283"/>
      <c r="NNQ2" s="283"/>
      <c r="NNR2" s="283"/>
      <c r="NNS2" s="283"/>
      <c r="NNT2" s="283"/>
      <c r="NNU2" s="283"/>
      <c r="NNV2" s="283"/>
      <c r="NNW2" s="283"/>
      <c r="NNX2" s="283"/>
      <c r="NNY2" s="283"/>
      <c r="NNZ2" s="283"/>
      <c r="NOA2" s="283"/>
      <c r="NOB2" s="283"/>
      <c r="NOC2" s="283"/>
      <c r="NOD2" s="283"/>
      <c r="NOE2" s="283"/>
      <c r="NOF2" s="283"/>
      <c r="NOG2" s="283"/>
      <c r="NOH2" s="283"/>
      <c r="NOI2" s="283"/>
      <c r="NOJ2" s="283"/>
      <c r="NOK2" s="283"/>
      <c r="NOL2" s="283"/>
      <c r="NOM2" s="283"/>
      <c r="NON2" s="283"/>
      <c r="NOO2" s="283"/>
      <c r="NOP2" s="283"/>
      <c r="NOQ2" s="283"/>
      <c r="NOR2" s="283"/>
      <c r="NOS2" s="283"/>
      <c r="NOT2" s="283"/>
      <c r="NOU2" s="283"/>
      <c r="NOV2" s="283"/>
      <c r="NOW2" s="283"/>
      <c r="NOX2" s="283"/>
      <c r="NOY2" s="283"/>
      <c r="NOZ2" s="283"/>
      <c r="NPA2" s="283"/>
      <c r="NPB2" s="283"/>
      <c r="NPC2" s="283"/>
      <c r="NPD2" s="283"/>
      <c r="NPE2" s="283"/>
      <c r="NPF2" s="283"/>
      <c r="NPG2" s="283"/>
      <c r="NPH2" s="283"/>
      <c r="NPI2" s="283"/>
      <c r="NPJ2" s="283"/>
      <c r="NPK2" s="283"/>
      <c r="NPL2" s="283"/>
      <c r="NPM2" s="283"/>
      <c r="NPN2" s="283"/>
      <c r="NPO2" s="283"/>
      <c r="NPP2" s="283"/>
      <c r="NPQ2" s="283"/>
      <c r="NPR2" s="283"/>
      <c r="NPS2" s="283"/>
      <c r="NPT2" s="283"/>
      <c r="NPU2" s="283"/>
      <c r="NPV2" s="283"/>
      <c r="NPW2" s="283"/>
      <c r="NPX2" s="283"/>
      <c r="NPY2" s="283"/>
      <c r="NPZ2" s="283"/>
      <c r="NQA2" s="283"/>
      <c r="NQB2" s="283"/>
      <c r="NQC2" s="283"/>
      <c r="NQD2" s="283"/>
      <c r="NQE2" s="283"/>
      <c r="NQF2" s="283"/>
      <c r="NQG2" s="283"/>
      <c r="NQH2" s="283"/>
      <c r="NQI2" s="283"/>
      <c r="NQJ2" s="283"/>
      <c r="NQK2" s="283"/>
      <c r="NQL2" s="283"/>
      <c r="NQM2" s="283"/>
      <c r="NQN2" s="283"/>
      <c r="NQO2" s="283"/>
      <c r="NQP2" s="283"/>
      <c r="NQQ2" s="283"/>
      <c r="NQR2" s="283"/>
      <c r="NQS2" s="283"/>
      <c r="NQT2" s="283"/>
      <c r="NQU2" s="283"/>
      <c r="NQV2" s="283"/>
      <c r="NQW2" s="283"/>
      <c r="NQX2" s="283"/>
      <c r="NQY2" s="283"/>
      <c r="NQZ2" s="283"/>
      <c r="NRA2" s="283"/>
      <c r="NRB2" s="283"/>
      <c r="NRC2" s="283"/>
      <c r="NRD2" s="283"/>
      <c r="NRE2" s="283"/>
      <c r="NRF2" s="283"/>
      <c r="NRG2" s="283"/>
      <c r="NRH2" s="283"/>
      <c r="NRI2" s="283"/>
      <c r="NRJ2" s="283"/>
      <c r="NRK2" s="283"/>
      <c r="NRL2" s="283"/>
      <c r="NRM2" s="283"/>
      <c r="NRN2" s="283"/>
      <c r="NRO2" s="283"/>
      <c r="NRP2" s="283"/>
      <c r="NRQ2" s="283"/>
      <c r="NRR2" s="283"/>
      <c r="NRS2" s="283"/>
      <c r="NRT2" s="283"/>
      <c r="NRU2" s="283"/>
      <c r="NRV2" s="283"/>
      <c r="NRW2" s="283"/>
      <c r="NRX2" s="283"/>
      <c r="NRY2" s="283"/>
      <c r="NRZ2" s="283"/>
      <c r="NSA2" s="283"/>
      <c r="NSB2" s="283"/>
      <c r="NSC2" s="283"/>
      <c r="NSD2" s="283"/>
      <c r="NSE2" s="283"/>
      <c r="NSF2" s="283"/>
      <c r="NSG2" s="283"/>
      <c r="NSH2" s="283"/>
      <c r="NSI2" s="283"/>
      <c r="NSJ2" s="283"/>
      <c r="NSK2" s="283"/>
      <c r="NSL2" s="283"/>
      <c r="NSM2" s="283"/>
      <c r="NSN2" s="283"/>
      <c r="NSO2" s="283"/>
      <c r="NSP2" s="283"/>
      <c r="NSQ2" s="283"/>
      <c r="NSR2" s="283"/>
      <c r="NSS2" s="283"/>
      <c r="NST2" s="283"/>
      <c r="NSU2" s="283"/>
      <c r="NSV2" s="283"/>
      <c r="NSW2" s="283"/>
      <c r="NSX2" s="283"/>
      <c r="NSY2" s="283"/>
      <c r="NSZ2" s="283"/>
      <c r="NTA2" s="283"/>
      <c r="NTB2" s="283"/>
      <c r="NTC2" s="283"/>
      <c r="NTD2" s="283"/>
      <c r="NTE2" s="283"/>
      <c r="NTF2" s="283"/>
      <c r="NTG2" s="283"/>
      <c r="NTH2" s="283"/>
      <c r="NTI2" s="283"/>
      <c r="NTJ2" s="283"/>
      <c r="NTK2" s="283"/>
      <c r="NTL2" s="283"/>
      <c r="NTM2" s="283"/>
      <c r="NTN2" s="283"/>
      <c r="NTO2" s="283"/>
      <c r="NTP2" s="283"/>
      <c r="NTQ2" s="283"/>
      <c r="NTR2" s="283"/>
      <c r="NTS2" s="283"/>
      <c r="NTT2" s="283"/>
      <c r="NTU2" s="283"/>
      <c r="NTV2" s="283"/>
      <c r="NTW2" s="283"/>
      <c r="NTX2" s="283"/>
      <c r="NTY2" s="283"/>
      <c r="NTZ2" s="283"/>
      <c r="NUA2" s="283"/>
      <c r="NUB2" s="283"/>
      <c r="NUC2" s="283"/>
      <c r="NUD2" s="283"/>
      <c r="NUE2" s="283"/>
      <c r="NUF2" s="283"/>
      <c r="NUG2" s="283"/>
      <c r="NUH2" s="283"/>
      <c r="NUI2" s="283"/>
      <c r="NUJ2" s="283"/>
      <c r="NUK2" s="283"/>
      <c r="NUL2" s="283"/>
      <c r="NUM2" s="283"/>
      <c r="NUN2" s="283"/>
      <c r="NUO2" s="283"/>
      <c r="NUP2" s="283"/>
      <c r="NUQ2" s="283"/>
      <c r="NUR2" s="283"/>
      <c r="NUS2" s="283"/>
      <c r="NUT2" s="283"/>
      <c r="NUU2" s="283"/>
      <c r="NUV2" s="283"/>
      <c r="NUW2" s="283"/>
      <c r="NUX2" s="283"/>
      <c r="NUY2" s="283"/>
      <c r="NUZ2" s="283"/>
      <c r="NVA2" s="283"/>
      <c r="NVB2" s="283"/>
      <c r="NVC2" s="283"/>
      <c r="NVD2" s="283"/>
      <c r="NVE2" s="283"/>
      <c r="NVF2" s="283"/>
      <c r="NVG2" s="283"/>
      <c r="NVH2" s="283"/>
      <c r="NVI2" s="283"/>
      <c r="NVJ2" s="283"/>
      <c r="NVK2" s="283"/>
      <c r="NVL2" s="283"/>
      <c r="NVM2" s="283"/>
      <c r="NVN2" s="283"/>
      <c r="NVO2" s="283"/>
      <c r="NVP2" s="283"/>
      <c r="NVQ2" s="283"/>
      <c r="NVR2" s="283"/>
      <c r="NVS2" s="283"/>
      <c r="NVT2" s="283"/>
      <c r="NVU2" s="283"/>
      <c r="NVV2" s="283"/>
      <c r="NVW2" s="283"/>
      <c r="NVX2" s="283"/>
      <c r="NVY2" s="283"/>
      <c r="NVZ2" s="283"/>
      <c r="NWA2" s="283"/>
      <c r="NWB2" s="283"/>
      <c r="NWC2" s="283"/>
      <c r="NWD2" s="283"/>
      <c r="NWE2" s="283"/>
      <c r="NWF2" s="283"/>
      <c r="NWG2" s="283"/>
      <c r="NWH2" s="283"/>
      <c r="NWI2" s="283"/>
      <c r="NWJ2" s="283"/>
      <c r="NWK2" s="283"/>
      <c r="NWL2" s="283"/>
      <c r="NWM2" s="283"/>
      <c r="NWN2" s="283"/>
      <c r="NWO2" s="283"/>
      <c r="NWP2" s="283"/>
      <c r="NWQ2" s="283"/>
      <c r="NWR2" s="283"/>
      <c r="NWS2" s="283"/>
      <c r="NWT2" s="283"/>
      <c r="NWU2" s="283"/>
      <c r="NWV2" s="283"/>
      <c r="NWW2" s="283"/>
      <c r="NWX2" s="283"/>
      <c r="NWY2" s="283"/>
      <c r="NWZ2" s="283"/>
      <c r="NXA2" s="283"/>
      <c r="NXB2" s="283"/>
      <c r="NXC2" s="283"/>
      <c r="NXD2" s="283"/>
      <c r="NXE2" s="283"/>
      <c r="NXF2" s="283"/>
      <c r="NXG2" s="283"/>
      <c r="NXH2" s="283"/>
      <c r="NXI2" s="283"/>
      <c r="NXJ2" s="283"/>
      <c r="NXK2" s="283"/>
      <c r="NXL2" s="283"/>
      <c r="NXM2" s="283"/>
      <c r="NXN2" s="283"/>
      <c r="NXO2" s="283"/>
      <c r="NXP2" s="283"/>
      <c r="NXQ2" s="283"/>
      <c r="NXR2" s="283"/>
      <c r="NXS2" s="283"/>
      <c r="NXT2" s="283"/>
      <c r="NXU2" s="283"/>
      <c r="NXV2" s="283"/>
      <c r="NXW2" s="283"/>
      <c r="NXX2" s="283"/>
      <c r="NXY2" s="283"/>
      <c r="NXZ2" s="283"/>
      <c r="NYA2" s="283"/>
      <c r="NYB2" s="283"/>
      <c r="NYC2" s="283"/>
      <c r="NYD2" s="283"/>
      <c r="NYE2" s="283"/>
      <c r="NYF2" s="283"/>
      <c r="NYG2" s="283"/>
      <c r="NYH2" s="283"/>
      <c r="NYI2" s="283"/>
      <c r="NYJ2" s="283"/>
      <c r="NYK2" s="283"/>
      <c r="NYL2" s="283"/>
      <c r="NYM2" s="283"/>
      <c r="NYN2" s="283"/>
      <c r="NYO2" s="283"/>
      <c r="NYP2" s="283"/>
      <c r="NYQ2" s="283"/>
      <c r="NYR2" s="283"/>
      <c r="NYS2" s="283"/>
      <c r="NYT2" s="283"/>
      <c r="NYU2" s="283"/>
      <c r="NYV2" s="283"/>
      <c r="NYW2" s="283"/>
      <c r="NYX2" s="283"/>
      <c r="NYY2" s="283"/>
      <c r="NYZ2" s="283"/>
      <c r="NZA2" s="283"/>
      <c r="NZB2" s="283"/>
      <c r="NZC2" s="283"/>
      <c r="NZD2" s="283"/>
      <c r="NZE2" s="283"/>
      <c r="NZF2" s="283"/>
      <c r="NZG2" s="283"/>
      <c r="NZH2" s="283"/>
      <c r="NZI2" s="283"/>
      <c r="NZJ2" s="283"/>
      <c r="NZK2" s="283"/>
      <c r="NZL2" s="283"/>
      <c r="NZM2" s="283"/>
      <c r="NZN2" s="283"/>
      <c r="NZO2" s="283"/>
      <c r="NZP2" s="283"/>
      <c r="NZQ2" s="283"/>
      <c r="NZR2" s="283"/>
      <c r="NZS2" s="283"/>
      <c r="NZT2" s="283"/>
      <c r="NZU2" s="283"/>
      <c r="NZV2" s="283"/>
      <c r="NZW2" s="283"/>
      <c r="NZX2" s="283"/>
      <c r="NZY2" s="283"/>
      <c r="NZZ2" s="283"/>
      <c r="OAA2" s="283"/>
      <c r="OAB2" s="283"/>
      <c r="OAC2" s="283"/>
      <c r="OAD2" s="283"/>
      <c r="OAE2" s="283"/>
      <c r="OAF2" s="283"/>
      <c r="OAG2" s="283"/>
      <c r="OAH2" s="283"/>
      <c r="OAI2" s="283"/>
      <c r="OAJ2" s="283"/>
      <c r="OAK2" s="283"/>
      <c r="OAL2" s="283"/>
      <c r="OAM2" s="283"/>
      <c r="OAN2" s="283"/>
      <c r="OAO2" s="283"/>
      <c r="OAP2" s="283"/>
      <c r="OAQ2" s="283"/>
      <c r="OAR2" s="283"/>
      <c r="OAS2" s="283"/>
      <c r="OAT2" s="283"/>
      <c r="OAU2" s="283"/>
      <c r="OAV2" s="283"/>
      <c r="OAW2" s="283"/>
      <c r="OAX2" s="283"/>
      <c r="OAY2" s="283"/>
      <c r="OAZ2" s="283"/>
      <c r="OBA2" s="283"/>
      <c r="OBB2" s="283"/>
      <c r="OBC2" s="283"/>
      <c r="OBD2" s="283"/>
      <c r="OBE2" s="283"/>
      <c r="OBF2" s="283"/>
      <c r="OBG2" s="283"/>
      <c r="OBH2" s="283"/>
      <c r="OBI2" s="283"/>
      <c r="OBJ2" s="283"/>
      <c r="OBK2" s="283"/>
      <c r="OBL2" s="283"/>
      <c r="OBM2" s="283"/>
      <c r="OBN2" s="283"/>
      <c r="OBO2" s="283"/>
      <c r="OBP2" s="283"/>
      <c r="OBQ2" s="283"/>
      <c r="OBR2" s="283"/>
      <c r="OBS2" s="283"/>
      <c r="OBT2" s="283"/>
      <c r="OBU2" s="283"/>
      <c r="OBV2" s="283"/>
      <c r="OBW2" s="283"/>
      <c r="OBX2" s="283"/>
      <c r="OBY2" s="283"/>
      <c r="OBZ2" s="283"/>
      <c r="OCA2" s="283"/>
      <c r="OCB2" s="283"/>
      <c r="OCC2" s="283"/>
      <c r="OCD2" s="283"/>
      <c r="OCE2" s="283"/>
      <c r="OCF2" s="283"/>
      <c r="OCG2" s="283"/>
      <c r="OCH2" s="283"/>
      <c r="OCI2" s="283"/>
      <c r="OCJ2" s="283"/>
      <c r="OCK2" s="283"/>
      <c r="OCL2" s="283"/>
      <c r="OCM2" s="283"/>
      <c r="OCN2" s="283"/>
      <c r="OCO2" s="283"/>
      <c r="OCP2" s="283"/>
      <c r="OCQ2" s="283"/>
      <c r="OCR2" s="283"/>
      <c r="OCS2" s="283"/>
      <c r="OCT2" s="283"/>
      <c r="OCU2" s="283"/>
      <c r="OCV2" s="283"/>
      <c r="OCW2" s="283"/>
      <c r="OCX2" s="283"/>
      <c r="OCY2" s="283"/>
      <c r="OCZ2" s="283"/>
      <c r="ODA2" s="283"/>
      <c r="ODB2" s="283"/>
      <c r="ODC2" s="283"/>
      <c r="ODD2" s="283"/>
      <c r="ODE2" s="283"/>
      <c r="ODF2" s="283"/>
      <c r="ODG2" s="283"/>
      <c r="ODH2" s="283"/>
      <c r="ODI2" s="283"/>
      <c r="ODJ2" s="283"/>
      <c r="ODK2" s="283"/>
      <c r="ODL2" s="283"/>
      <c r="ODM2" s="283"/>
      <c r="ODN2" s="283"/>
      <c r="ODO2" s="283"/>
      <c r="ODP2" s="283"/>
      <c r="ODQ2" s="283"/>
      <c r="ODR2" s="283"/>
      <c r="ODS2" s="283"/>
      <c r="ODT2" s="283"/>
      <c r="ODU2" s="283"/>
      <c r="ODV2" s="283"/>
      <c r="ODW2" s="283"/>
      <c r="ODX2" s="283"/>
      <c r="ODY2" s="283"/>
      <c r="ODZ2" s="283"/>
      <c r="OEA2" s="283"/>
      <c r="OEB2" s="283"/>
      <c r="OEC2" s="283"/>
      <c r="OED2" s="283"/>
      <c r="OEE2" s="283"/>
      <c r="OEF2" s="283"/>
      <c r="OEG2" s="283"/>
      <c r="OEH2" s="283"/>
      <c r="OEI2" s="283"/>
      <c r="OEJ2" s="283"/>
      <c r="OEK2" s="283"/>
      <c r="OEL2" s="283"/>
      <c r="OEM2" s="283"/>
      <c r="OEN2" s="283"/>
      <c r="OEO2" s="283"/>
      <c r="OEP2" s="283"/>
      <c r="OEQ2" s="283"/>
      <c r="OER2" s="283"/>
      <c r="OES2" s="283"/>
      <c r="OET2" s="283"/>
      <c r="OEU2" s="283"/>
      <c r="OEV2" s="283"/>
      <c r="OEW2" s="283"/>
      <c r="OEX2" s="283"/>
      <c r="OEY2" s="283"/>
      <c r="OEZ2" s="283"/>
      <c r="OFA2" s="283"/>
      <c r="OFB2" s="283"/>
      <c r="OFC2" s="283"/>
      <c r="OFD2" s="283"/>
      <c r="OFE2" s="283"/>
      <c r="OFF2" s="283"/>
      <c r="OFG2" s="283"/>
      <c r="OFH2" s="283"/>
      <c r="OFI2" s="283"/>
      <c r="OFJ2" s="283"/>
      <c r="OFK2" s="283"/>
      <c r="OFL2" s="283"/>
      <c r="OFM2" s="283"/>
      <c r="OFN2" s="283"/>
      <c r="OFO2" s="283"/>
      <c r="OFP2" s="283"/>
      <c r="OFQ2" s="283"/>
      <c r="OFR2" s="283"/>
      <c r="OFS2" s="283"/>
      <c r="OFT2" s="283"/>
      <c r="OFU2" s="283"/>
      <c r="OFV2" s="283"/>
      <c r="OFW2" s="283"/>
      <c r="OFX2" s="283"/>
      <c r="OFY2" s="283"/>
      <c r="OFZ2" s="283"/>
      <c r="OGA2" s="283"/>
      <c r="OGB2" s="283"/>
      <c r="OGC2" s="283"/>
      <c r="OGD2" s="283"/>
      <c r="OGE2" s="283"/>
      <c r="OGF2" s="283"/>
      <c r="OGG2" s="283"/>
      <c r="OGH2" s="283"/>
      <c r="OGI2" s="283"/>
      <c r="OGJ2" s="283"/>
      <c r="OGK2" s="283"/>
      <c r="OGL2" s="283"/>
      <c r="OGM2" s="283"/>
      <c r="OGN2" s="283"/>
      <c r="OGO2" s="283"/>
      <c r="OGP2" s="283"/>
      <c r="OGQ2" s="283"/>
      <c r="OGR2" s="283"/>
      <c r="OGS2" s="283"/>
      <c r="OGT2" s="283"/>
      <c r="OGU2" s="283"/>
      <c r="OGV2" s="283"/>
      <c r="OGW2" s="283"/>
      <c r="OGX2" s="283"/>
      <c r="OGY2" s="283"/>
      <c r="OGZ2" s="283"/>
      <c r="OHA2" s="283"/>
      <c r="OHB2" s="283"/>
      <c r="OHC2" s="283"/>
      <c r="OHD2" s="283"/>
      <c r="OHE2" s="283"/>
      <c r="OHF2" s="283"/>
      <c r="OHG2" s="283"/>
      <c r="OHH2" s="283"/>
      <c r="OHI2" s="283"/>
      <c r="OHJ2" s="283"/>
      <c r="OHK2" s="283"/>
      <c r="OHL2" s="283"/>
      <c r="OHM2" s="283"/>
      <c r="OHN2" s="283"/>
      <c r="OHO2" s="283"/>
      <c r="OHP2" s="283"/>
      <c r="OHQ2" s="283"/>
      <c r="OHR2" s="283"/>
      <c r="OHS2" s="283"/>
      <c r="OHT2" s="283"/>
      <c r="OHU2" s="283"/>
      <c r="OHV2" s="283"/>
      <c r="OHW2" s="283"/>
      <c r="OHX2" s="283"/>
      <c r="OHY2" s="283"/>
      <c r="OHZ2" s="283"/>
      <c r="OIA2" s="283"/>
      <c r="OIB2" s="283"/>
      <c r="OIC2" s="283"/>
      <c r="OID2" s="283"/>
      <c r="OIE2" s="283"/>
      <c r="OIF2" s="283"/>
      <c r="OIG2" s="283"/>
      <c r="OIH2" s="283"/>
      <c r="OII2" s="283"/>
      <c r="OIJ2" s="283"/>
      <c r="OIK2" s="283"/>
      <c r="OIL2" s="283"/>
      <c r="OIM2" s="283"/>
      <c r="OIN2" s="283"/>
      <c r="OIO2" s="283"/>
      <c r="OIP2" s="283"/>
      <c r="OIQ2" s="283"/>
      <c r="OIR2" s="283"/>
      <c r="OIS2" s="283"/>
      <c r="OIT2" s="283"/>
      <c r="OIU2" s="283"/>
      <c r="OIV2" s="283"/>
      <c r="OIW2" s="283"/>
      <c r="OIX2" s="283"/>
      <c r="OIY2" s="283"/>
      <c r="OIZ2" s="283"/>
      <c r="OJA2" s="283"/>
      <c r="OJB2" s="283"/>
      <c r="OJC2" s="283"/>
      <c r="OJD2" s="283"/>
      <c r="OJE2" s="283"/>
      <c r="OJF2" s="283"/>
      <c r="OJG2" s="283"/>
      <c r="OJH2" s="283"/>
      <c r="OJI2" s="283"/>
      <c r="OJJ2" s="283"/>
      <c r="OJK2" s="283"/>
      <c r="OJL2" s="283"/>
      <c r="OJM2" s="283"/>
      <c r="OJN2" s="283"/>
      <c r="OJO2" s="283"/>
      <c r="OJP2" s="283"/>
      <c r="OJQ2" s="283"/>
      <c r="OJR2" s="283"/>
      <c r="OJS2" s="283"/>
      <c r="OJT2" s="283"/>
      <c r="OJU2" s="283"/>
      <c r="OJV2" s="283"/>
      <c r="OJW2" s="283"/>
      <c r="OJX2" s="283"/>
      <c r="OJY2" s="283"/>
      <c r="OJZ2" s="283"/>
      <c r="OKA2" s="283"/>
      <c r="OKB2" s="283"/>
      <c r="OKC2" s="283"/>
      <c r="OKD2" s="283"/>
      <c r="OKE2" s="283"/>
      <c r="OKF2" s="283"/>
      <c r="OKG2" s="283"/>
      <c r="OKH2" s="283"/>
      <c r="OKI2" s="283"/>
      <c r="OKJ2" s="283"/>
      <c r="OKK2" s="283"/>
      <c r="OKL2" s="283"/>
      <c r="OKM2" s="283"/>
      <c r="OKN2" s="283"/>
      <c r="OKO2" s="283"/>
      <c r="OKP2" s="283"/>
      <c r="OKQ2" s="283"/>
      <c r="OKR2" s="283"/>
      <c r="OKS2" s="283"/>
      <c r="OKT2" s="283"/>
      <c r="OKU2" s="283"/>
      <c r="OKV2" s="283"/>
      <c r="OKW2" s="283"/>
      <c r="OKX2" s="283"/>
      <c r="OKY2" s="283"/>
      <c r="OKZ2" s="283"/>
      <c r="OLA2" s="283"/>
      <c r="OLB2" s="283"/>
      <c r="OLC2" s="283"/>
      <c r="OLD2" s="283"/>
      <c r="OLE2" s="283"/>
      <c r="OLF2" s="283"/>
      <c r="OLG2" s="283"/>
      <c r="OLH2" s="283"/>
      <c r="OLI2" s="283"/>
      <c r="OLJ2" s="283"/>
      <c r="OLK2" s="283"/>
      <c r="OLL2" s="283"/>
      <c r="OLM2" s="283"/>
      <c r="OLN2" s="283"/>
      <c r="OLO2" s="283"/>
      <c r="OLP2" s="283"/>
      <c r="OLQ2" s="283"/>
      <c r="OLR2" s="283"/>
      <c r="OLS2" s="283"/>
      <c r="OLT2" s="283"/>
      <c r="OLU2" s="283"/>
      <c r="OLV2" s="283"/>
      <c r="OLW2" s="283"/>
      <c r="OLX2" s="283"/>
      <c r="OLY2" s="283"/>
      <c r="OLZ2" s="283"/>
      <c r="OMA2" s="283"/>
      <c r="OMB2" s="283"/>
      <c r="OMC2" s="283"/>
      <c r="OMD2" s="283"/>
      <c r="OME2" s="283"/>
      <c r="OMF2" s="283"/>
      <c r="OMG2" s="283"/>
      <c r="OMH2" s="283"/>
      <c r="OMI2" s="283"/>
      <c r="OMJ2" s="283"/>
      <c r="OMK2" s="283"/>
      <c r="OML2" s="283"/>
      <c r="OMM2" s="283"/>
      <c r="OMN2" s="283"/>
      <c r="OMO2" s="283"/>
      <c r="OMP2" s="283"/>
      <c r="OMQ2" s="283"/>
      <c r="OMR2" s="283"/>
      <c r="OMS2" s="283"/>
      <c r="OMT2" s="283"/>
      <c r="OMU2" s="283"/>
      <c r="OMV2" s="283"/>
      <c r="OMW2" s="283"/>
      <c r="OMX2" s="283"/>
      <c r="OMY2" s="283"/>
      <c r="OMZ2" s="283"/>
      <c r="ONA2" s="283"/>
      <c r="ONB2" s="283"/>
      <c r="ONC2" s="283"/>
      <c r="OND2" s="283"/>
      <c r="ONE2" s="283"/>
      <c r="ONF2" s="283"/>
      <c r="ONG2" s="283"/>
      <c r="ONH2" s="283"/>
      <c r="ONI2" s="283"/>
      <c r="ONJ2" s="283"/>
      <c r="ONK2" s="283"/>
      <c r="ONL2" s="283"/>
      <c r="ONM2" s="283"/>
      <c r="ONN2" s="283"/>
      <c r="ONO2" s="283"/>
      <c r="ONP2" s="283"/>
      <c r="ONQ2" s="283"/>
      <c r="ONR2" s="283"/>
      <c r="ONS2" s="283"/>
      <c r="ONT2" s="283"/>
      <c r="ONU2" s="283"/>
      <c r="ONV2" s="283"/>
      <c r="ONW2" s="283"/>
      <c r="ONX2" s="283"/>
      <c r="ONY2" s="283"/>
      <c r="ONZ2" s="283"/>
      <c r="OOA2" s="283"/>
      <c r="OOB2" s="283"/>
      <c r="OOC2" s="283"/>
      <c r="OOD2" s="283"/>
      <c r="OOE2" s="283"/>
      <c r="OOF2" s="283"/>
      <c r="OOG2" s="283"/>
      <c r="OOH2" s="283"/>
      <c r="OOI2" s="283"/>
      <c r="OOJ2" s="283"/>
      <c r="OOK2" s="283"/>
      <c r="OOL2" s="283"/>
      <c r="OOM2" s="283"/>
      <c r="OON2" s="283"/>
      <c r="OOO2" s="283"/>
      <c r="OOP2" s="283"/>
      <c r="OOQ2" s="283"/>
      <c r="OOR2" s="283"/>
      <c r="OOS2" s="283"/>
      <c r="OOT2" s="283"/>
      <c r="OOU2" s="283"/>
      <c r="OOV2" s="283"/>
      <c r="OOW2" s="283"/>
      <c r="OOX2" s="283"/>
      <c r="OOY2" s="283"/>
      <c r="OOZ2" s="283"/>
      <c r="OPA2" s="283"/>
      <c r="OPB2" s="283"/>
      <c r="OPC2" s="283"/>
      <c r="OPD2" s="283"/>
      <c r="OPE2" s="283"/>
      <c r="OPF2" s="283"/>
      <c r="OPG2" s="283"/>
      <c r="OPH2" s="283"/>
      <c r="OPI2" s="283"/>
      <c r="OPJ2" s="283"/>
      <c r="OPK2" s="283"/>
      <c r="OPL2" s="283"/>
      <c r="OPM2" s="283"/>
      <c r="OPN2" s="283"/>
      <c r="OPO2" s="283"/>
      <c r="OPP2" s="283"/>
      <c r="OPQ2" s="283"/>
      <c r="OPR2" s="283"/>
      <c r="OPS2" s="283"/>
      <c r="OPT2" s="283"/>
      <c r="OPU2" s="283"/>
      <c r="OPV2" s="283"/>
      <c r="OPW2" s="283"/>
      <c r="OPX2" s="283"/>
      <c r="OPY2" s="283"/>
      <c r="OPZ2" s="283"/>
      <c r="OQA2" s="283"/>
      <c r="OQB2" s="283"/>
      <c r="OQC2" s="283"/>
      <c r="OQD2" s="283"/>
      <c r="OQE2" s="283"/>
      <c r="OQF2" s="283"/>
      <c r="OQG2" s="283"/>
      <c r="OQH2" s="283"/>
      <c r="OQI2" s="283"/>
      <c r="OQJ2" s="283"/>
      <c r="OQK2" s="283"/>
      <c r="OQL2" s="283"/>
      <c r="OQM2" s="283"/>
      <c r="OQN2" s="283"/>
      <c r="OQO2" s="283"/>
      <c r="OQP2" s="283"/>
      <c r="OQQ2" s="283"/>
      <c r="OQR2" s="283"/>
      <c r="OQS2" s="283"/>
      <c r="OQT2" s="283"/>
      <c r="OQU2" s="283"/>
      <c r="OQV2" s="283"/>
      <c r="OQW2" s="283"/>
      <c r="OQX2" s="283"/>
      <c r="OQY2" s="283"/>
      <c r="OQZ2" s="283"/>
      <c r="ORA2" s="283"/>
      <c r="ORB2" s="283"/>
      <c r="ORC2" s="283"/>
      <c r="ORD2" s="283"/>
      <c r="ORE2" s="283"/>
      <c r="ORF2" s="283"/>
      <c r="ORG2" s="283"/>
      <c r="ORH2" s="283"/>
      <c r="ORI2" s="283"/>
      <c r="ORJ2" s="283"/>
      <c r="ORK2" s="283"/>
      <c r="ORL2" s="283"/>
      <c r="ORM2" s="283"/>
      <c r="ORN2" s="283"/>
      <c r="ORO2" s="283"/>
      <c r="ORP2" s="283"/>
      <c r="ORQ2" s="283"/>
      <c r="ORR2" s="283"/>
      <c r="ORS2" s="283"/>
      <c r="ORT2" s="283"/>
      <c r="ORU2" s="283"/>
      <c r="ORV2" s="283"/>
      <c r="ORW2" s="283"/>
      <c r="ORX2" s="283"/>
      <c r="ORY2" s="283"/>
      <c r="ORZ2" s="283"/>
      <c r="OSA2" s="283"/>
      <c r="OSB2" s="283"/>
      <c r="OSC2" s="283"/>
      <c r="OSD2" s="283"/>
      <c r="OSE2" s="283"/>
      <c r="OSF2" s="283"/>
      <c r="OSG2" s="283"/>
      <c r="OSH2" s="283"/>
      <c r="OSI2" s="283"/>
      <c r="OSJ2" s="283"/>
      <c r="OSK2" s="283"/>
      <c r="OSL2" s="283"/>
      <c r="OSM2" s="283"/>
      <c r="OSN2" s="283"/>
      <c r="OSO2" s="283"/>
      <c r="OSP2" s="283"/>
      <c r="OSQ2" s="283"/>
      <c r="OSR2" s="283"/>
      <c r="OSS2" s="283"/>
      <c r="OST2" s="283"/>
      <c r="OSU2" s="283"/>
      <c r="OSV2" s="283"/>
      <c r="OSW2" s="283"/>
      <c r="OSX2" s="283"/>
      <c r="OSY2" s="283"/>
      <c r="OSZ2" s="283"/>
      <c r="OTA2" s="283"/>
      <c r="OTB2" s="283"/>
      <c r="OTC2" s="283"/>
      <c r="OTD2" s="283"/>
      <c r="OTE2" s="283"/>
      <c r="OTF2" s="283"/>
      <c r="OTG2" s="283"/>
      <c r="OTH2" s="283"/>
      <c r="OTI2" s="283"/>
      <c r="OTJ2" s="283"/>
      <c r="OTK2" s="283"/>
      <c r="OTL2" s="283"/>
      <c r="OTM2" s="283"/>
      <c r="OTN2" s="283"/>
      <c r="OTO2" s="283"/>
      <c r="OTP2" s="283"/>
      <c r="OTQ2" s="283"/>
      <c r="OTR2" s="283"/>
      <c r="OTS2" s="283"/>
      <c r="OTT2" s="283"/>
      <c r="OTU2" s="283"/>
      <c r="OTV2" s="283"/>
      <c r="OTW2" s="283"/>
      <c r="OTX2" s="283"/>
      <c r="OTY2" s="283"/>
      <c r="OTZ2" s="283"/>
      <c r="OUA2" s="283"/>
      <c r="OUB2" s="283"/>
      <c r="OUC2" s="283"/>
      <c r="OUD2" s="283"/>
      <c r="OUE2" s="283"/>
      <c r="OUF2" s="283"/>
      <c r="OUG2" s="283"/>
      <c r="OUH2" s="283"/>
      <c r="OUI2" s="283"/>
      <c r="OUJ2" s="283"/>
      <c r="OUK2" s="283"/>
      <c r="OUL2" s="283"/>
      <c r="OUM2" s="283"/>
      <c r="OUN2" s="283"/>
      <c r="OUO2" s="283"/>
      <c r="OUP2" s="283"/>
      <c r="OUQ2" s="283"/>
      <c r="OUR2" s="283"/>
      <c r="OUS2" s="283"/>
      <c r="OUT2" s="283"/>
      <c r="OUU2" s="283"/>
      <c r="OUV2" s="283"/>
      <c r="OUW2" s="283"/>
      <c r="OUX2" s="283"/>
      <c r="OUY2" s="283"/>
      <c r="OUZ2" s="283"/>
      <c r="OVA2" s="283"/>
      <c r="OVB2" s="283"/>
      <c r="OVC2" s="283"/>
      <c r="OVD2" s="283"/>
      <c r="OVE2" s="283"/>
      <c r="OVF2" s="283"/>
      <c r="OVG2" s="283"/>
      <c r="OVH2" s="283"/>
      <c r="OVI2" s="283"/>
      <c r="OVJ2" s="283"/>
      <c r="OVK2" s="283"/>
      <c r="OVL2" s="283"/>
      <c r="OVM2" s="283"/>
      <c r="OVN2" s="283"/>
      <c r="OVO2" s="283"/>
      <c r="OVP2" s="283"/>
      <c r="OVQ2" s="283"/>
      <c r="OVR2" s="283"/>
      <c r="OVS2" s="283"/>
      <c r="OVT2" s="283"/>
      <c r="OVU2" s="283"/>
      <c r="OVV2" s="283"/>
      <c r="OVW2" s="283"/>
      <c r="OVX2" s="283"/>
      <c r="OVY2" s="283"/>
      <c r="OVZ2" s="283"/>
      <c r="OWA2" s="283"/>
      <c r="OWB2" s="283"/>
      <c r="OWC2" s="283"/>
      <c r="OWD2" s="283"/>
      <c r="OWE2" s="283"/>
      <c r="OWF2" s="283"/>
      <c r="OWG2" s="283"/>
      <c r="OWH2" s="283"/>
      <c r="OWI2" s="283"/>
      <c r="OWJ2" s="283"/>
      <c r="OWK2" s="283"/>
      <c r="OWL2" s="283"/>
      <c r="OWM2" s="283"/>
      <c r="OWN2" s="283"/>
      <c r="OWO2" s="283"/>
      <c r="OWP2" s="283"/>
      <c r="OWQ2" s="283"/>
      <c r="OWR2" s="283"/>
      <c r="OWS2" s="283"/>
      <c r="OWT2" s="283"/>
      <c r="OWU2" s="283"/>
      <c r="OWV2" s="283"/>
      <c r="OWW2" s="283"/>
      <c r="OWX2" s="283"/>
      <c r="OWY2" s="283"/>
      <c r="OWZ2" s="283"/>
      <c r="OXA2" s="283"/>
      <c r="OXB2" s="283"/>
      <c r="OXC2" s="283"/>
      <c r="OXD2" s="283"/>
      <c r="OXE2" s="283"/>
      <c r="OXF2" s="283"/>
      <c r="OXG2" s="283"/>
      <c r="OXH2" s="283"/>
      <c r="OXI2" s="283"/>
      <c r="OXJ2" s="283"/>
      <c r="OXK2" s="283"/>
      <c r="OXL2" s="283"/>
      <c r="OXM2" s="283"/>
      <c r="OXN2" s="283"/>
      <c r="OXO2" s="283"/>
      <c r="OXP2" s="283"/>
      <c r="OXQ2" s="283"/>
      <c r="OXR2" s="283"/>
      <c r="OXS2" s="283"/>
      <c r="OXT2" s="283"/>
      <c r="OXU2" s="283"/>
      <c r="OXV2" s="283"/>
      <c r="OXW2" s="283"/>
      <c r="OXX2" s="283"/>
      <c r="OXY2" s="283"/>
      <c r="OXZ2" s="283"/>
      <c r="OYA2" s="283"/>
      <c r="OYB2" s="283"/>
      <c r="OYC2" s="283"/>
      <c r="OYD2" s="283"/>
      <c r="OYE2" s="283"/>
      <c r="OYF2" s="283"/>
      <c r="OYG2" s="283"/>
      <c r="OYH2" s="283"/>
      <c r="OYI2" s="283"/>
      <c r="OYJ2" s="283"/>
      <c r="OYK2" s="283"/>
      <c r="OYL2" s="283"/>
      <c r="OYM2" s="283"/>
      <c r="OYN2" s="283"/>
      <c r="OYO2" s="283"/>
      <c r="OYP2" s="283"/>
      <c r="OYQ2" s="283"/>
      <c r="OYR2" s="283"/>
      <c r="OYS2" s="283"/>
      <c r="OYT2" s="283"/>
      <c r="OYU2" s="283"/>
      <c r="OYV2" s="283"/>
      <c r="OYW2" s="283"/>
      <c r="OYX2" s="283"/>
      <c r="OYY2" s="283"/>
      <c r="OYZ2" s="283"/>
      <c r="OZA2" s="283"/>
      <c r="OZB2" s="283"/>
      <c r="OZC2" s="283"/>
      <c r="OZD2" s="283"/>
      <c r="OZE2" s="283"/>
      <c r="OZF2" s="283"/>
      <c r="OZG2" s="283"/>
      <c r="OZH2" s="283"/>
      <c r="OZI2" s="283"/>
      <c r="OZJ2" s="283"/>
      <c r="OZK2" s="283"/>
      <c r="OZL2" s="283"/>
      <c r="OZM2" s="283"/>
      <c r="OZN2" s="283"/>
      <c r="OZO2" s="283"/>
      <c r="OZP2" s="283"/>
      <c r="OZQ2" s="283"/>
      <c r="OZR2" s="283"/>
      <c r="OZS2" s="283"/>
      <c r="OZT2" s="283"/>
      <c r="OZU2" s="283"/>
      <c r="OZV2" s="283"/>
      <c r="OZW2" s="283"/>
      <c r="OZX2" s="283"/>
      <c r="OZY2" s="283"/>
      <c r="OZZ2" s="283"/>
      <c r="PAA2" s="283"/>
      <c r="PAB2" s="283"/>
      <c r="PAC2" s="283"/>
      <c r="PAD2" s="283"/>
      <c r="PAE2" s="283"/>
      <c r="PAF2" s="283"/>
      <c r="PAG2" s="283"/>
      <c r="PAH2" s="283"/>
      <c r="PAI2" s="283"/>
      <c r="PAJ2" s="283"/>
      <c r="PAK2" s="283"/>
      <c r="PAL2" s="283"/>
      <c r="PAM2" s="283"/>
      <c r="PAN2" s="283"/>
      <c r="PAO2" s="283"/>
      <c r="PAP2" s="283"/>
      <c r="PAQ2" s="283"/>
      <c r="PAR2" s="283"/>
      <c r="PAS2" s="283"/>
      <c r="PAT2" s="283"/>
      <c r="PAU2" s="283"/>
      <c r="PAV2" s="283"/>
      <c r="PAW2" s="283"/>
      <c r="PAX2" s="283"/>
      <c r="PAY2" s="283"/>
      <c r="PAZ2" s="283"/>
      <c r="PBA2" s="283"/>
      <c r="PBB2" s="283"/>
      <c r="PBC2" s="283"/>
      <c r="PBD2" s="283"/>
      <c r="PBE2" s="283"/>
      <c r="PBF2" s="283"/>
      <c r="PBG2" s="283"/>
      <c r="PBH2" s="283"/>
      <c r="PBI2" s="283"/>
      <c r="PBJ2" s="283"/>
      <c r="PBK2" s="283"/>
      <c r="PBL2" s="283"/>
      <c r="PBM2" s="283"/>
      <c r="PBN2" s="283"/>
      <c r="PBO2" s="283"/>
      <c r="PBP2" s="283"/>
      <c r="PBQ2" s="283"/>
      <c r="PBR2" s="283"/>
      <c r="PBS2" s="283"/>
      <c r="PBT2" s="283"/>
      <c r="PBU2" s="283"/>
      <c r="PBV2" s="283"/>
      <c r="PBW2" s="283"/>
      <c r="PBX2" s="283"/>
      <c r="PBY2" s="283"/>
      <c r="PBZ2" s="283"/>
      <c r="PCA2" s="283"/>
      <c r="PCB2" s="283"/>
      <c r="PCC2" s="283"/>
      <c r="PCD2" s="283"/>
      <c r="PCE2" s="283"/>
      <c r="PCF2" s="283"/>
      <c r="PCG2" s="283"/>
      <c r="PCH2" s="283"/>
      <c r="PCI2" s="283"/>
      <c r="PCJ2" s="283"/>
      <c r="PCK2" s="283"/>
      <c r="PCL2" s="283"/>
      <c r="PCM2" s="283"/>
      <c r="PCN2" s="283"/>
      <c r="PCO2" s="283"/>
      <c r="PCP2" s="283"/>
      <c r="PCQ2" s="283"/>
      <c r="PCR2" s="283"/>
      <c r="PCS2" s="283"/>
      <c r="PCT2" s="283"/>
      <c r="PCU2" s="283"/>
      <c r="PCV2" s="283"/>
      <c r="PCW2" s="283"/>
      <c r="PCX2" s="283"/>
      <c r="PCY2" s="283"/>
      <c r="PCZ2" s="283"/>
      <c r="PDA2" s="283"/>
      <c r="PDB2" s="283"/>
      <c r="PDC2" s="283"/>
      <c r="PDD2" s="283"/>
      <c r="PDE2" s="283"/>
      <c r="PDF2" s="283"/>
      <c r="PDG2" s="283"/>
      <c r="PDH2" s="283"/>
      <c r="PDI2" s="283"/>
      <c r="PDJ2" s="283"/>
      <c r="PDK2" s="283"/>
      <c r="PDL2" s="283"/>
      <c r="PDM2" s="283"/>
      <c r="PDN2" s="283"/>
      <c r="PDO2" s="283"/>
      <c r="PDP2" s="283"/>
      <c r="PDQ2" s="283"/>
      <c r="PDR2" s="283"/>
      <c r="PDS2" s="283"/>
      <c r="PDT2" s="283"/>
      <c r="PDU2" s="283"/>
      <c r="PDV2" s="283"/>
      <c r="PDW2" s="283"/>
      <c r="PDX2" s="283"/>
      <c r="PDY2" s="283"/>
      <c r="PDZ2" s="283"/>
      <c r="PEA2" s="283"/>
      <c r="PEB2" s="283"/>
      <c r="PEC2" s="283"/>
      <c r="PED2" s="283"/>
      <c r="PEE2" s="283"/>
      <c r="PEF2" s="283"/>
      <c r="PEG2" s="283"/>
      <c r="PEH2" s="283"/>
      <c r="PEI2" s="283"/>
      <c r="PEJ2" s="283"/>
      <c r="PEK2" s="283"/>
      <c r="PEL2" s="283"/>
      <c r="PEM2" s="283"/>
      <c r="PEN2" s="283"/>
      <c r="PEO2" s="283"/>
      <c r="PEP2" s="283"/>
      <c r="PEQ2" s="283"/>
      <c r="PER2" s="283"/>
      <c r="PES2" s="283"/>
      <c r="PET2" s="283"/>
      <c r="PEU2" s="283"/>
      <c r="PEV2" s="283"/>
      <c r="PEW2" s="283"/>
      <c r="PEX2" s="283"/>
      <c r="PEY2" s="283"/>
      <c r="PEZ2" s="283"/>
      <c r="PFA2" s="283"/>
      <c r="PFB2" s="283"/>
      <c r="PFC2" s="283"/>
      <c r="PFD2" s="283"/>
      <c r="PFE2" s="283"/>
      <c r="PFF2" s="283"/>
      <c r="PFG2" s="283"/>
      <c r="PFH2" s="283"/>
      <c r="PFI2" s="283"/>
      <c r="PFJ2" s="283"/>
      <c r="PFK2" s="283"/>
      <c r="PFL2" s="283"/>
      <c r="PFM2" s="283"/>
      <c r="PFN2" s="283"/>
      <c r="PFO2" s="283"/>
      <c r="PFP2" s="283"/>
      <c r="PFQ2" s="283"/>
      <c r="PFR2" s="283"/>
      <c r="PFS2" s="283"/>
      <c r="PFT2" s="283"/>
      <c r="PFU2" s="283"/>
      <c r="PFV2" s="283"/>
      <c r="PFW2" s="283"/>
      <c r="PFX2" s="283"/>
      <c r="PFY2" s="283"/>
      <c r="PFZ2" s="283"/>
      <c r="PGA2" s="283"/>
      <c r="PGB2" s="283"/>
      <c r="PGC2" s="283"/>
      <c r="PGD2" s="283"/>
      <c r="PGE2" s="283"/>
      <c r="PGF2" s="283"/>
      <c r="PGG2" s="283"/>
      <c r="PGH2" s="283"/>
      <c r="PGI2" s="283"/>
      <c r="PGJ2" s="283"/>
      <c r="PGK2" s="283"/>
      <c r="PGL2" s="283"/>
      <c r="PGM2" s="283"/>
      <c r="PGN2" s="283"/>
      <c r="PGO2" s="283"/>
      <c r="PGP2" s="283"/>
      <c r="PGQ2" s="283"/>
      <c r="PGR2" s="283"/>
      <c r="PGS2" s="283"/>
      <c r="PGT2" s="283"/>
      <c r="PGU2" s="283"/>
      <c r="PGV2" s="283"/>
      <c r="PGW2" s="283"/>
      <c r="PGX2" s="283"/>
      <c r="PGY2" s="283"/>
      <c r="PGZ2" s="283"/>
      <c r="PHA2" s="283"/>
      <c r="PHB2" s="283"/>
      <c r="PHC2" s="283"/>
      <c r="PHD2" s="283"/>
      <c r="PHE2" s="283"/>
      <c r="PHF2" s="283"/>
      <c r="PHG2" s="283"/>
      <c r="PHH2" s="283"/>
      <c r="PHI2" s="283"/>
      <c r="PHJ2" s="283"/>
      <c r="PHK2" s="283"/>
      <c r="PHL2" s="283"/>
      <c r="PHM2" s="283"/>
      <c r="PHN2" s="283"/>
      <c r="PHO2" s="283"/>
      <c r="PHP2" s="283"/>
      <c r="PHQ2" s="283"/>
      <c r="PHR2" s="283"/>
      <c r="PHS2" s="283"/>
      <c r="PHT2" s="283"/>
      <c r="PHU2" s="283"/>
      <c r="PHV2" s="283"/>
      <c r="PHW2" s="283"/>
      <c r="PHX2" s="283"/>
      <c r="PHY2" s="283"/>
      <c r="PHZ2" s="283"/>
      <c r="PIA2" s="283"/>
      <c r="PIB2" s="283"/>
      <c r="PIC2" s="283"/>
      <c r="PID2" s="283"/>
      <c r="PIE2" s="283"/>
      <c r="PIF2" s="283"/>
      <c r="PIG2" s="283"/>
      <c r="PIH2" s="283"/>
      <c r="PII2" s="283"/>
      <c r="PIJ2" s="283"/>
      <c r="PIK2" s="283"/>
      <c r="PIL2" s="283"/>
      <c r="PIM2" s="283"/>
      <c r="PIN2" s="283"/>
      <c r="PIO2" s="283"/>
      <c r="PIP2" s="283"/>
      <c r="PIQ2" s="283"/>
      <c r="PIR2" s="283"/>
      <c r="PIS2" s="283"/>
      <c r="PIT2" s="283"/>
      <c r="PIU2" s="283"/>
      <c r="PIV2" s="283"/>
      <c r="PIW2" s="283"/>
      <c r="PIX2" s="283"/>
      <c r="PIY2" s="283"/>
      <c r="PIZ2" s="283"/>
      <c r="PJA2" s="283"/>
      <c r="PJB2" s="283"/>
      <c r="PJC2" s="283"/>
      <c r="PJD2" s="283"/>
      <c r="PJE2" s="283"/>
      <c r="PJF2" s="283"/>
      <c r="PJG2" s="283"/>
      <c r="PJH2" s="283"/>
      <c r="PJI2" s="283"/>
      <c r="PJJ2" s="283"/>
      <c r="PJK2" s="283"/>
      <c r="PJL2" s="283"/>
      <c r="PJM2" s="283"/>
      <c r="PJN2" s="283"/>
      <c r="PJO2" s="283"/>
      <c r="PJP2" s="283"/>
      <c r="PJQ2" s="283"/>
      <c r="PJR2" s="283"/>
      <c r="PJS2" s="283"/>
      <c r="PJT2" s="283"/>
      <c r="PJU2" s="283"/>
      <c r="PJV2" s="283"/>
      <c r="PJW2" s="283"/>
      <c r="PJX2" s="283"/>
      <c r="PJY2" s="283"/>
      <c r="PJZ2" s="283"/>
      <c r="PKA2" s="283"/>
      <c r="PKB2" s="283"/>
      <c r="PKC2" s="283"/>
      <c r="PKD2" s="283"/>
      <c r="PKE2" s="283"/>
      <c r="PKF2" s="283"/>
      <c r="PKG2" s="283"/>
      <c r="PKH2" s="283"/>
      <c r="PKI2" s="283"/>
      <c r="PKJ2" s="283"/>
      <c r="PKK2" s="283"/>
      <c r="PKL2" s="283"/>
      <c r="PKM2" s="283"/>
      <c r="PKN2" s="283"/>
      <c r="PKO2" s="283"/>
      <c r="PKP2" s="283"/>
      <c r="PKQ2" s="283"/>
      <c r="PKR2" s="283"/>
      <c r="PKS2" s="283"/>
      <c r="PKT2" s="283"/>
      <c r="PKU2" s="283"/>
      <c r="PKV2" s="283"/>
      <c r="PKW2" s="283"/>
      <c r="PKX2" s="283"/>
      <c r="PKY2" s="283"/>
      <c r="PKZ2" s="283"/>
      <c r="PLA2" s="283"/>
      <c r="PLB2" s="283"/>
      <c r="PLC2" s="283"/>
      <c r="PLD2" s="283"/>
      <c r="PLE2" s="283"/>
      <c r="PLF2" s="283"/>
      <c r="PLG2" s="283"/>
      <c r="PLH2" s="283"/>
      <c r="PLI2" s="283"/>
      <c r="PLJ2" s="283"/>
      <c r="PLK2" s="283"/>
      <c r="PLL2" s="283"/>
      <c r="PLM2" s="283"/>
      <c r="PLN2" s="283"/>
      <c r="PLO2" s="283"/>
      <c r="PLP2" s="283"/>
      <c r="PLQ2" s="283"/>
      <c r="PLR2" s="283"/>
      <c r="PLS2" s="283"/>
      <c r="PLT2" s="283"/>
      <c r="PLU2" s="283"/>
      <c r="PLV2" s="283"/>
      <c r="PLW2" s="283"/>
      <c r="PLX2" s="283"/>
      <c r="PLY2" s="283"/>
      <c r="PLZ2" s="283"/>
      <c r="PMA2" s="283"/>
      <c r="PMB2" s="283"/>
      <c r="PMC2" s="283"/>
      <c r="PMD2" s="283"/>
      <c r="PME2" s="283"/>
      <c r="PMF2" s="283"/>
      <c r="PMG2" s="283"/>
      <c r="PMH2" s="283"/>
      <c r="PMI2" s="283"/>
      <c r="PMJ2" s="283"/>
      <c r="PMK2" s="283"/>
      <c r="PML2" s="283"/>
      <c r="PMM2" s="283"/>
      <c r="PMN2" s="283"/>
      <c r="PMO2" s="283"/>
      <c r="PMP2" s="283"/>
      <c r="PMQ2" s="283"/>
      <c r="PMR2" s="283"/>
      <c r="PMS2" s="283"/>
      <c r="PMT2" s="283"/>
      <c r="PMU2" s="283"/>
      <c r="PMV2" s="283"/>
      <c r="PMW2" s="283"/>
      <c r="PMX2" s="283"/>
      <c r="PMY2" s="283"/>
      <c r="PMZ2" s="283"/>
      <c r="PNA2" s="283"/>
      <c r="PNB2" s="283"/>
      <c r="PNC2" s="283"/>
      <c r="PND2" s="283"/>
      <c r="PNE2" s="283"/>
      <c r="PNF2" s="283"/>
      <c r="PNG2" s="283"/>
      <c r="PNH2" s="283"/>
      <c r="PNI2" s="283"/>
      <c r="PNJ2" s="283"/>
      <c r="PNK2" s="283"/>
      <c r="PNL2" s="283"/>
      <c r="PNM2" s="283"/>
      <c r="PNN2" s="283"/>
      <c r="PNO2" s="283"/>
      <c r="PNP2" s="283"/>
      <c r="PNQ2" s="283"/>
      <c r="PNR2" s="283"/>
      <c r="PNS2" s="283"/>
      <c r="PNT2" s="283"/>
      <c r="PNU2" s="283"/>
      <c r="PNV2" s="283"/>
      <c r="PNW2" s="283"/>
      <c r="PNX2" s="283"/>
      <c r="PNY2" s="283"/>
      <c r="PNZ2" s="283"/>
      <c r="POA2" s="283"/>
      <c r="POB2" s="283"/>
      <c r="POC2" s="283"/>
      <c r="POD2" s="283"/>
      <c r="POE2" s="283"/>
      <c r="POF2" s="283"/>
      <c r="POG2" s="283"/>
      <c r="POH2" s="283"/>
      <c r="POI2" s="283"/>
      <c r="POJ2" s="283"/>
      <c r="POK2" s="283"/>
      <c r="POL2" s="283"/>
      <c r="POM2" s="283"/>
      <c r="PON2" s="283"/>
      <c r="POO2" s="283"/>
      <c r="POP2" s="283"/>
      <c r="POQ2" s="283"/>
      <c r="POR2" s="283"/>
      <c r="POS2" s="283"/>
      <c r="POT2" s="283"/>
      <c r="POU2" s="283"/>
      <c r="POV2" s="283"/>
      <c r="POW2" s="283"/>
      <c r="POX2" s="283"/>
      <c r="POY2" s="283"/>
      <c r="POZ2" s="283"/>
      <c r="PPA2" s="283"/>
      <c r="PPB2" s="283"/>
      <c r="PPC2" s="283"/>
      <c r="PPD2" s="283"/>
      <c r="PPE2" s="283"/>
      <c r="PPF2" s="283"/>
      <c r="PPG2" s="283"/>
      <c r="PPH2" s="283"/>
      <c r="PPI2" s="283"/>
      <c r="PPJ2" s="283"/>
      <c r="PPK2" s="283"/>
      <c r="PPL2" s="283"/>
      <c r="PPM2" s="283"/>
      <c r="PPN2" s="283"/>
      <c r="PPO2" s="283"/>
      <c r="PPP2" s="283"/>
      <c r="PPQ2" s="283"/>
      <c r="PPR2" s="283"/>
      <c r="PPS2" s="283"/>
      <c r="PPT2" s="283"/>
      <c r="PPU2" s="283"/>
      <c r="PPV2" s="283"/>
      <c r="PPW2" s="283"/>
      <c r="PPX2" s="283"/>
      <c r="PPY2" s="283"/>
      <c r="PPZ2" s="283"/>
      <c r="PQA2" s="283"/>
      <c r="PQB2" s="283"/>
      <c r="PQC2" s="283"/>
      <c r="PQD2" s="283"/>
      <c r="PQE2" s="283"/>
      <c r="PQF2" s="283"/>
      <c r="PQG2" s="283"/>
      <c r="PQH2" s="283"/>
      <c r="PQI2" s="283"/>
      <c r="PQJ2" s="283"/>
      <c r="PQK2" s="283"/>
      <c r="PQL2" s="283"/>
      <c r="PQM2" s="283"/>
      <c r="PQN2" s="283"/>
      <c r="PQO2" s="283"/>
      <c r="PQP2" s="283"/>
      <c r="PQQ2" s="283"/>
      <c r="PQR2" s="283"/>
      <c r="PQS2" s="283"/>
      <c r="PQT2" s="283"/>
      <c r="PQU2" s="283"/>
      <c r="PQV2" s="283"/>
      <c r="PQW2" s="283"/>
      <c r="PQX2" s="283"/>
      <c r="PQY2" s="283"/>
      <c r="PQZ2" s="283"/>
      <c r="PRA2" s="283"/>
      <c r="PRB2" s="283"/>
      <c r="PRC2" s="283"/>
      <c r="PRD2" s="283"/>
      <c r="PRE2" s="283"/>
      <c r="PRF2" s="283"/>
      <c r="PRG2" s="283"/>
      <c r="PRH2" s="283"/>
      <c r="PRI2" s="283"/>
      <c r="PRJ2" s="283"/>
      <c r="PRK2" s="283"/>
      <c r="PRL2" s="283"/>
      <c r="PRM2" s="283"/>
      <c r="PRN2" s="283"/>
      <c r="PRO2" s="283"/>
      <c r="PRP2" s="283"/>
      <c r="PRQ2" s="283"/>
      <c r="PRR2" s="283"/>
      <c r="PRS2" s="283"/>
      <c r="PRT2" s="283"/>
      <c r="PRU2" s="283"/>
      <c r="PRV2" s="283"/>
      <c r="PRW2" s="283"/>
      <c r="PRX2" s="283"/>
      <c r="PRY2" s="283"/>
      <c r="PRZ2" s="283"/>
      <c r="PSA2" s="283"/>
      <c r="PSB2" s="283"/>
      <c r="PSC2" s="283"/>
      <c r="PSD2" s="283"/>
      <c r="PSE2" s="283"/>
      <c r="PSF2" s="283"/>
      <c r="PSG2" s="283"/>
      <c r="PSH2" s="283"/>
      <c r="PSI2" s="283"/>
      <c r="PSJ2" s="283"/>
      <c r="PSK2" s="283"/>
      <c r="PSL2" s="283"/>
      <c r="PSM2" s="283"/>
      <c r="PSN2" s="283"/>
      <c r="PSO2" s="283"/>
      <c r="PSP2" s="283"/>
      <c r="PSQ2" s="283"/>
      <c r="PSR2" s="283"/>
      <c r="PSS2" s="283"/>
      <c r="PST2" s="283"/>
      <c r="PSU2" s="283"/>
      <c r="PSV2" s="283"/>
      <c r="PSW2" s="283"/>
      <c r="PSX2" s="283"/>
      <c r="PSY2" s="283"/>
      <c r="PSZ2" s="283"/>
      <c r="PTA2" s="283"/>
      <c r="PTB2" s="283"/>
      <c r="PTC2" s="283"/>
      <c r="PTD2" s="283"/>
      <c r="PTE2" s="283"/>
      <c r="PTF2" s="283"/>
      <c r="PTG2" s="283"/>
      <c r="PTH2" s="283"/>
      <c r="PTI2" s="283"/>
      <c r="PTJ2" s="283"/>
      <c r="PTK2" s="283"/>
      <c r="PTL2" s="283"/>
      <c r="PTM2" s="283"/>
      <c r="PTN2" s="283"/>
      <c r="PTO2" s="283"/>
      <c r="PTP2" s="283"/>
      <c r="PTQ2" s="283"/>
      <c r="PTR2" s="283"/>
      <c r="PTS2" s="283"/>
      <c r="PTT2" s="283"/>
      <c r="PTU2" s="283"/>
      <c r="PTV2" s="283"/>
      <c r="PTW2" s="283"/>
      <c r="PTX2" s="283"/>
      <c r="PTY2" s="283"/>
      <c r="PTZ2" s="283"/>
      <c r="PUA2" s="283"/>
      <c r="PUB2" s="283"/>
      <c r="PUC2" s="283"/>
      <c r="PUD2" s="283"/>
      <c r="PUE2" s="283"/>
      <c r="PUF2" s="283"/>
      <c r="PUG2" s="283"/>
      <c r="PUH2" s="283"/>
      <c r="PUI2" s="283"/>
      <c r="PUJ2" s="283"/>
      <c r="PUK2" s="283"/>
      <c r="PUL2" s="283"/>
      <c r="PUM2" s="283"/>
      <c r="PUN2" s="283"/>
      <c r="PUO2" s="283"/>
      <c r="PUP2" s="283"/>
      <c r="PUQ2" s="283"/>
      <c r="PUR2" s="283"/>
      <c r="PUS2" s="283"/>
      <c r="PUT2" s="283"/>
      <c r="PUU2" s="283"/>
      <c r="PUV2" s="283"/>
      <c r="PUW2" s="283"/>
      <c r="PUX2" s="283"/>
      <c r="PUY2" s="283"/>
      <c r="PUZ2" s="283"/>
      <c r="PVA2" s="283"/>
      <c r="PVB2" s="283"/>
      <c r="PVC2" s="283"/>
      <c r="PVD2" s="283"/>
      <c r="PVE2" s="283"/>
      <c r="PVF2" s="283"/>
      <c r="PVG2" s="283"/>
      <c r="PVH2" s="283"/>
      <c r="PVI2" s="283"/>
      <c r="PVJ2" s="283"/>
      <c r="PVK2" s="283"/>
      <c r="PVL2" s="283"/>
      <c r="PVM2" s="283"/>
      <c r="PVN2" s="283"/>
      <c r="PVO2" s="283"/>
      <c r="PVP2" s="283"/>
      <c r="PVQ2" s="283"/>
      <c r="PVR2" s="283"/>
      <c r="PVS2" s="283"/>
      <c r="PVT2" s="283"/>
      <c r="PVU2" s="283"/>
      <c r="PVV2" s="283"/>
      <c r="PVW2" s="283"/>
      <c r="PVX2" s="283"/>
      <c r="PVY2" s="283"/>
      <c r="PVZ2" s="283"/>
      <c r="PWA2" s="283"/>
      <c r="PWB2" s="283"/>
      <c r="PWC2" s="283"/>
      <c r="PWD2" s="283"/>
      <c r="PWE2" s="283"/>
      <c r="PWF2" s="283"/>
      <c r="PWG2" s="283"/>
      <c r="PWH2" s="283"/>
      <c r="PWI2" s="283"/>
      <c r="PWJ2" s="283"/>
      <c r="PWK2" s="283"/>
      <c r="PWL2" s="283"/>
      <c r="PWM2" s="283"/>
      <c r="PWN2" s="283"/>
      <c r="PWO2" s="283"/>
      <c r="PWP2" s="283"/>
      <c r="PWQ2" s="283"/>
      <c r="PWR2" s="283"/>
      <c r="PWS2" s="283"/>
      <c r="PWT2" s="283"/>
      <c r="PWU2" s="283"/>
      <c r="PWV2" s="283"/>
      <c r="PWW2" s="283"/>
      <c r="PWX2" s="283"/>
      <c r="PWY2" s="283"/>
      <c r="PWZ2" s="283"/>
      <c r="PXA2" s="283"/>
      <c r="PXB2" s="283"/>
      <c r="PXC2" s="283"/>
      <c r="PXD2" s="283"/>
      <c r="PXE2" s="283"/>
      <c r="PXF2" s="283"/>
      <c r="PXG2" s="283"/>
      <c r="PXH2" s="283"/>
      <c r="PXI2" s="283"/>
      <c r="PXJ2" s="283"/>
      <c r="PXK2" s="283"/>
      <c r="PXL2" s="283"/>
      <c r="PXM2" s="283"/>
      <c r="PXN2" s="283"/>
      <c r="PXO2" s="283"/>
      <c r="PXP2" s="283"/>
      <c r="PXQ2" s="283"/>
      <c r="PXR2" s="283"/>
      <c r="PXS2" s="283"/>
      <c r="PXT2" s="283"/>
      <c r="PXU2" s="283"/>
      <c r="PXV2" s="283"/>
      <c r="PXW2" s="283"/>
      <c r="PXX2" s="283"/>
      <c r="PXY2" s="283"/>
      <c r="PXZ2" s="283"/>
      <c r="PYA2" s="283"/>
      <c r="PYB2" s="283"/>
      <c r="PYC2" s="283"/>
      <c r="PYD2" s="283"/>
      <c r="PYE2" s="283"/>
      <c r="PYF2" s="283"/>
      <c r="PYG2" s="283"/>
      <c r="PYH2" s="283"/>
      <c r="PYI2" s="283"/>
      <c r="PYJ2" s="283"/>
      <c r="PYK2" s="283"/>
      <c r="PYL2" s="283"/>
      <c r="PYM2" s="283"/>
      <c r="PYN2" s="283"/>
      <c r="PYO2" s="283"/>
      <c r="PYP2" s="283"/>
      <c r="PYQ2" s="283"/>
      <c r="PYR2" s="283"/>
      <c r="PYS2" s="283"/>
      <c r="PYT2" s="283"/>
      <c r="PYU2" s="283"/>
      <c r="PYV2" s="283"/>
      <c r="PYW2" s="283"/>
      <c r="PYX2" s="283"/>
      <c r="PYY2" s="283"/>
      <c r="PYZ2" s="283"/>
      <c r="PZA2" s="283"/>
      <c r="PZB2" s="283"/>
      <c r="PZC2" s="283"/>
      <c r="PZD2" s="283"/>
      <c r="PZE2" s="283"/>
      <c r="PZF2" s="283"/>
      <c r="PZG2" s="283"/>
      <c r="PZH2" s="283"/>
      <c r="PZI2" s="283"/>
      <c r="PZJ2" s="283"/>
      <c r="PZK2" s="283"/>
      <c r="PZL2" s="283"/>
      <c r="PZM2" s="283"/>
      <c r="PZN2" s="283"/>
      <c r="PZO2" s="283"/>
      <c r="PZP2" s="283"/>
      <c r="PZQ2" s="283"/>
      <c r="PZR2" s="283"/>
      <c r="PZS2" s="283"/>
      <c r="PZT2" s="283"/>
      <c r="PZU2" s="283"/>
      <c r="PZV2" s="283"/>
      <c r="PZW2" s="283"/>
      <c r="PZX2" s="283"/>
      <c r="PZY2" s="283"/>
      <c r="PZZ2" s="283"/>
      <c r="QAA2" s="283"/>
      <c r="QAB2" s="283"/>
      <c r="QAC2" s="283"/>
      <c r="QAD2" s="283"/>
      <c r="QAE2" s="283"/>
      <c r="QAF2" s="283"/>
      <c r="QAG2" s="283"/>
      <c r="QAH2" s="283"/>
      <c r="QAI2" s="283"/>
      <c r="QAJ2" s="283"/>
      <c r="QAK2" s="283"/>
      <c r="QAL2" s="283"/>
      <c r="QAM2" s="283"/>
      <c r="QAN2" s="283"/>
      <c r="QAO2" s="283"/>
      <c r="QAP2" s="283"/>
      <c r="QAQ2" s="283"/>
      <c r="QAR2" s="283"/>
      <c r="QAS2" s="283"/>
      <c r="QAT2" s="283"/>
      <c r="QAU2" s="283"/>
      <c r="QAV2" s="283"/>
      <c r="QAW2" s="283"/>
      <c r="QAX2" s="283"/>
      <c r="QAY2" s="283"/>
      <c r="QAZ2" s="283"/>
      <c r="QBA2" s="283"/>
      <c r="QBB2" s="283"/>
      <c r="QBC2" s="283"/>
      <c r="QBD2" s="283"/>
      <c r="QBE2" s="283"/>
      <c r="QBF2" s="283"/>
      <c r="QBG2" s="283"/>
      <c r="QBH2" s="283"/>
      <c r="QBI2" s="283"/>
      <c r="QBJ2" s="283"/>
      <c r="QBK2" s="283"/>
      <c r="QBL2" s="283"/>
      <c r="QBM2" s="283"/>
      <c r="QBN2" s="283"/>
      <c r="QBO2" s="283"/>
      <c r="QBP2" s="283"/>
      <c r="QBQ2" s="283"/>
      <c r="QBR2" s="283"/>
      <c r="QBS2" s="283"/>
      <c r="QBT2" s="283"/>
      <c r="QBU2" s="283"/>
      <c r="QBV2" s="283"/>
      <c r="QBW2" s="283"/>
      <c r="QBX2" s="283"/>
      <c r="QBY2" s="283"/>
      <c r="QBZ2" s="283"/>
      <c r="QCA2" s="283"/>
      <c r="QCB2" s="283"/>
      <c r="QCC2" s="283"/>
      <c r="QCD2" s="283"/>
      <c r="QCE2" s="283"/>
      <c r="QCF2" s="283"/>
      <c r="QCG2" s="283"/>
      <c r="QCH2" s="283"/>
      <c r="QCI2" s="283"/>
      <c r="QCJ2" s="283"/>
      <c r="QCK2" s="283"/>
      <c r="QCL2" s="283"/>
      <c r="QCM2" s="283"/>
      <c r="QCN2" s="283"/>
      <c r="QCO2" s="283"/>
      <c r="QCP2" s="283"/>
      <c r="QCQ2" s="283"/>
      <c r="QCR2" s="283"/>
      <c r="QCS2" s="283"/>
      <c r="QCT2" s="283"/>
      <c r="QCU2" s="283"/>
      <c r="QCV2" s="283"/>
      <c r="QCW2" s="283"/>
      <c r="QCX2" s="283"/>
      <c r="QCY2" s="283"/>
      <c r="QCZ2" s="283"/>
      <c r="QDA2" s="283"/>
      <c r="QDB2" s="283"/>
      <c r="QDC2" s="283"/>
      <c r="QDD2" s="283"/>
      <c r="QDE2" s="283"/>
      <c r="QDF2" s="283"/>
      <c r="QDG2" s="283"/>
      <c r="QDH2" s="283"/>
      <c r="QDI2" s="283"/>
      <c r="QDJ2" s="283"/>
      <c r="QDK2" s="283"/>
      <c r="QDL2" s="283"/>
      <c r="QDM2" s="283"/>
      <c r="QDN2" s="283"/>
      <c r="QDO2" s="283"/>
      <c r="QDP2" s="283"/>
      <c r="QDQ2" s="283"/>
      <c r="QDR2" s="283"/>
      <c r="QDS2" s="283"/>
      <c r="QDT2" s="283"/>
      <c r="QDU2" s="283"/>
      <c r="QDV2" s="283"/>
      <c r="QDW2" s="283"/>
      <c r="QDX2" s="283"/>
      <c r="QDY2" s="283"/>
      <c r="QDZ2" s="283"/>
      <c r="QEA2" s="283"/>
      <c r="QEB2" s="283"/>
      <c r="QEC2" s="283"/>
      <c r="QED2" s="283"/>
      <c r="QEE2" s="283"/>
      <c r="QEF2" s="283"/>
      <c r="QEG2" s="283"/>
      <c r="QEH2" s="283"/>
      <c r="QEI2" s="283"/>
      <c r="QEJ2" s="283"/>
      <c r="QEK2" s="283"/>
      <c r="QEL2" s="283"/>
      <c r="QEM2" s="283"/>
      <c r="QEN2" s="283"/>
      <c r="QEO2" s="283"/>
      <c r="QEP2" s="283"/>
      <c r="QEQ2" s="283"/>
      <c r="QER2" s="283"/>
      <c r="QES2" s="283"/>
      <c r="QET2" s="283"/>
      <c r="QEU2" s="283"/>
      <c r="QEV2" s="283"/>
      <c r="QEW2" s="283"/>
      <c r="QEX2" s="283"/>
      <c r="QEY2" s="283"/>
      <c r="QEZ2" s="283"/>
      <c r="QFA2" s="283"/>
      <c r="QFB2" s="283"/>
      <c r="QFC2" s="283"/>
      <c r="QFD2" s="283"/>
      <c r="QFE2" s="283"/>
      <c r="QFF2" s="283"/>
      <c r="QFG2" s="283"/>
      <c r="QFH2" s="283"/>
      <c r="QFI2" s="283"/>
      <c r="QFJ2" s="283"/>
      <c r="QFK2" s="283"/>
      <c r="QFL2" s="283"/>
      <c r="QFM2" s="283"/>
      <c r="QFN2" s="283"/>
      <c r="QFO2" s="283"/>
      <c r="QFP2" s="283"/>
      <c r="QFQ2" s="283"/>
      <c r="QFR2" s="283"/>
      <c r="QFS2" s="283"/>
      <c r="QFT2" s="283"/>
      <c r="QFU2" s="283"/>
      <c r="QFV2" s="283"/>
      <c r="QFW2" s="283"/>
      <c r="QFX2" s="283"/>
      <c r="QFY2" s="283"/>
      <c r="QFZ2" s="283"/>
      <c r="QGA2" s="283"/>
      <c r="QGB2" s="283"/>
      <c r="QGC2" s="283"/>
      <c r="QGD2" s="283"/>
      <c r="QGE2" s="283"/>
      <c r="QGF2" s="283"/>
      <c r="QGG2" s="283"/>
      <c r="QGH2" s="283"/>
      <c r="QGI2" s="283"/>
      <c r="QGJ2" s="283"/>
      <c r="QGK2" s="283"/>
      <c r="QGL2" s="283"/>
      <c r="QGM2" s="283"/>
      <c r="QGN2" s="283"/>
      <c r="QGO2" s="283"/>
      <c r="QGP2" s="283"/>
      <c r="QGQ2" s="283"/>
      <c r="QGR2" s="283"/>
      <c r="QGS2" s="283"/>
      <c r="QGT2" s="283"/>
      <c r="QGU2" s="283"/>
      <c r="QGV2" s="283"/>
      <c r="QGW2" s="283"/>
      <c r="QGX2" s="283"/>
      <c r="QGY2" s="283"/>
      <c r="QGZ2" s="283"/>
      <c r="QHA2" s="283"/>
      <c r="QHB2" s="283"/>
      <c r="QHC2" s="283"/>
      <c r="QHD2" s="283"/>
      <c r="QHE2" s="283"/>
      <c r="QHF2" s="283"/>
      <c r="QHG2" s="283"/>
      <c r="QHH2" s="283"/>
      <c r="QHI2" s="283"/>
      <c r="QHJ2" s="283"/>
      <c r="QHK2" s="283"/>
      <c r="QHL2" s="283"/>
      <c r="QHM2" s="283"/>
      <c r="QHN2" s="283"/>
      <c r="QHO2" s="283"/>
      <c r="QHP2" s="283"/>
      <c r="QHQ2" s="283"/>
      <c r="QHR2" s="283"/>
      <c r="QHS2" s="283"/>
      <c r="QHT2" s="283"/>
      <c r="QHU2" s="283"/>
      <c r="QHV2" s="283"/>
      <c r="QHW2" s="283"/>
      <c r="QHX2" s="283"/>
      <c r="QHY2" s="283"/>
      <c r="QHZ2" s="283"/>
      <c r="QIA2" s="283"/>
      <c r="QIB2" s="283"/>
      <c r="QIC2" s="283"/>
      <c r="QID2" s="283"/>
      <c r="QIE2" s="283"/>
      <c r="QIF2" s="283"/>
      <c r="QIG2" s="283"/>
      <c r="QIH2" s="283"/>
      <c r="QII2" s="283"/>
      <c r="QIJ2" s="283"/>
      <c r="QIK2" s="283"/>
      <c r="QIL2" s="283"/>
      <c r="QIM2" s="283"/>
      <c r="QIN2" s="283"/>
      <c r="QIO2" s="283"/>
      <c r="QIP2" s="283"/>
      <c r="QIQ2" s="283"/>
      <c r="QIR2" s="283"/>
      <c r="QIS2" s="283"/>
      <c r="QIT2" s="283"/>
      <c r="QIU2" s="283"/>
      <c r="QIV2" s="283"/>
      <c r="QIW2" s="283"/>
      <c r="QIX2" s="283"/>
      <c r="QIY2" s="283"/>
      <c r="QIZ2" s="283"/>
      <c r="QJA2" s="283"/>
      <c r="QJB2" s="283"/>
      <c r="QJC2" s="283"/>
      <c r="QJD2" s="283"/>
      <c r="QJE2" s="283"/>
      <c r="QJF2" s="283"/>
      <c r="QJG2" s="283"/>
      <c r="QJH2" s="283"/>
      <c r="QJI2" s="283"/>
      <c r="QJJ2" s="283"/>
      <c r="QJK2" s="283"/>
      <c r="QJL2" s="283"/>
      <c r="QJM2" s="283"/>
      <c r="QJN2" s="283"/>
      <c r="QJO2" s="283"/>
      <c r="QJP2" s="283"/>
      <c r="QJQ2" s="283"/>
      <c r="QJR2" s="283"/>
      <c r="QJS2" s="283"/>
      <c r="QJT2" s="283"/>
      <c r="QJU2" s="283"/>
      <c r="QJV2" s="283"/>
      <c r="QJW2" s="283"/>
      <c r="QJX2" s="283"/>
      <c r="QJY2" s="283"/>
      <c r="QJZ2" s="283"/>
      <c r="QKA2" s="283"/>
      <c r="QKB2" s="283"/>
      <c r="QKC2" s="283"/>
      <c r="QKD2" s="283"/>
      <c r="QKE2" s="283"/>
      <c r="QKF2" s="283"/>
      <c r="QKG2" s="283"/>
      <c r="QKH2" s="283"/>
      <c r="QKI2" s="283"/>
      <c r="QKJ2" s="283"/>
      <c r="QKK2" s="283"/>
      <c r="QKL2" s="283"/>
      <c r="QKM2" s="283"/>
      <c r="QKN2" s="283"/>
      <c r="QKO2" s="283"/>
      <c r="QKP2" s="283"/>
      <c r="QKQ2" s="283"/>
      <c r="QKR2" s="283"/>
      <c r="QKS2" s="283"/>
      <c r="QKT2" s="283"/>
      <c r="QKU2" s="283"/>
      <c r="QKV2" s="283"/>
      <c r="QKW2" s="283"/>
      <c r="QKX2" s="283"/>
      <c r="QKY2" s="283"/>
      <c r="QKZ2" s="283"/>
      <c r="QLA2" s="283"/>
      <c r="QLB2" s="283"/>
      <c r="QLC2" s="283"/>
      <c r="QLD2" s="283"/>
      <c r="QLE2" s="283"/>
      <c r="QLF2" s="283"/>
      <c r="QLG2" s="283"/>
      <c r="QLH2" s="283"/>
      <c r="QLI2" s="283"/>
      <c r="QLJ2" s="283"/>
      <c r="QLK2" s="283"/>
      <c r="QLL2" s="283"/>
      <c r="QLM2" s="283"/>
      <c r="QLN2" s="283"/>
      <c r="QLO2" s="283"/>
      <c r="QLP2" s="283"/>
      <c r="QLQ2" s="283"/>
      <c r="QLR2" s="283"/>
      <c r="QLS2" s="283"/>
      <c r="QLT2" s="283"/>
      <c r="QLU2" s="283"/>
      <c r="QLV2" s="283"/>
      <c r="QLW2" s="283"/>
      <c r="QLX2" s="283"/>
      <c r="QLY2" s="283"/>
      <c r="QLZ2" s="283"/>
      <c r="QMA2" s="283"/>
      <c r="QMB2" s="283"/>
      <c r="QMC2" s="283"/>
      <c r="QMD2" s="283"/>
      <c r="QME2" s="283"/>
      <c r="QMF2" s="283"/>
      <c r="QMG2" s="283"/>
      <c r="QMH2" s="283"/>
      <c r="QMI2" s="283"/>
      <c r="QMJ2" s="283"/>
      <c r="QMK2" s="283"/>
      <c r="QML2" s="283"/>
      <c r="QMM2" s="283"/>
      <c r="QMN2" s="283"/>
      <c r="QMO2" s="283"/>
      <c r="QMP2" s="283"/>
      <c r="QMQ2" s="283"/>
      <c r="QMR2" s="283"/>
      <c r="QMS2" s="283"/>
      <c r="QMT2" s="283"/>
      <c r="QMU2" s="283"/>
      <c r="QMV2" s="283"/>
      <c r="QMW2" s="283"/>
      <c r="QMX2" s="283"/>
      <c r="QMY2" s="283"/>
      <c r="QMZ2" s="283"/>
      <c r="QNA2" s="283"/>
      <c r="QNB2" s="283"/>
      <c r="QNC2" s="283"/>
      <c r="QND2" s="283"/>
      <c r="QNE2" s="283"/>
      <c r="QNF2" s="283"/>
      <c r="QNG2" s="283"/>
      <c r="QNH2" s="283"/>
      <c r="QNI2" s="283"/>
      <c r="QNJ2" s="283"/>
      <c r="QNK2" s="283"/>
      <c r="QNL2" s="283"/>
      <c r="QNM2" s="283"/>
      <c r="QNN2" s="283"/>
      <c r="QNO2" s="283"/>
      <c r="QNP2" s="283"/>
      <c r="QNQ2" s="283"/>
      <c r="QNR2" s="283"/>
      <c r="QNS2" s="283"/>
      <c r="QNT2" s="283"/>
      <c r="QNU2" s="283"/>
      <c r="QNV2" s="283"/>
      <c r="QNW2" s="283"/>
      <c r="QNX2" s="283"/>
      <c r="QNY2" s="283"/>
      <c r="QNZ2" s="283"/>
      <c r="QOA2" s="283"/>
      <c r="QOB2" s="283"/>
      <c r="QOC2" s="283"/>
      <c r="QOD2" s="283"/>
      <c r="QOE2" s="283"/>
      <c r="QOF2" s="283"/>
      <c r="QOG2" s="283"/>
      <c r="QOH2" s="283"/>
      <c r="QOI2" s="283"/>
      <c r="QOJ2" s="283"/>
      <c r="QOK2" s="283"/>
      <c r="QOL2" s="283"/>
      <c r="QOM2" s="283"/>
      <c r="QON2" s="283"/>
      <c r="QOO2" s="283"/>
      <c r="QOP2" s="283"/>
      <c r="QOQ2" s="283"/>
      <c r="QOR2" s="283"/>
      <c r="QOS2" s="283"/>
      <c r="QOT2" s="283"/>
      <c r="QOU2" s="283"/>
      <c r="QOV2" s="283"/>
      <c r="QOW2" s="283"/>
      <c r="QOX2" s="283"/>
      <c r="QOY2" s="283"/>
      <c r="QOZ2" s="283"/>
      <c r="QPA2" s="283"/>
      <c r="QPB2" s="283"/>
      <c r="QPC2" s="283"/>
      <c r="QPD2" s="283"/>
      <c r="QPE2" s="283"/>
      <c r="QPF2" s="283"/>
      <c r="QPG2" s="283"/>
      <c r="QPH2" s="283"/>
      <c r="QPI2" s="283"/>
      <c r="QPJ2" s="283"/>
      <c r="QPK2" s="283"/>
      <c r="QPL2" s="283"/>
      <c r="QPM2" s="283"/>
      <c r="QPN2" s="283"/>
      <c r="QPO2" s="283"/>
      <c r="QPP2" s="283"/>
      <c r="QPQ2" s="283"/>
      <c r="QPR2" s="283"/>
      <c r="QPS2" s="283"/>
      <c r="QPT2" s="283"/>
      <c r="QPU2" s="283"/>
      <c r="QPV2" s="283"/>
      <c r="QPW2" s="283"/>
      <c r="QPX2" s="283"/>
      <c r="QPY2" s="283"/>
      <c r="QPZ2" s="283"/>
      <c r="QQA2" s="283"/>
      <c r="QQB2" s="283"/>
      <c r="QQC2" s="283"/>
      <c r="QQD2" s="283"/>
      <c r="QQE2" s="283"/>
      <c r="QQF2" s="283"/>
      <c r="QQG2" s="283"/>
      <c r="QQH2" s="283"/>
      <c r="QQI2" s="283"/>
      <c r="QQJ2" s="283"/>
      <c r="QQK2" s="283"/>
      <c r="QQL2" s="283"/>
      <c r="QQM2" s="283"/>
      <c r="QQN2" s="283"/>
      <c r="QQO2" s="283"/>
      <c r="QQP2" s="283"/>
      <c r="QQQ2" s="283"/>
      <c r="QQR2" s="283"/>
      <c r="QQS2" s="283"/>
      <c r="QQT2" s="283"/>
      <c r="QQU2" s="283"/>
      <c r="QQV2" s="283"/>
      <c r="QQW2" s="283"/>
      <c r="QQX2" s="283"/>
      <c r="QQY2" s="283"/>
      <c r="QQZ2" s="283"/>
      <c r="QRA2" s="283"/>
      <c r="QRB2" s="283"/>
      <c r="QRC2" s="283"/>
      <c r="QRD2" s="283"/>
      <c r="QRE2" s="283"/>
      <c r="QRF2" s="283"/>
      <c r="QRG2" s="283"/>
      <c r="QRH2" s="283"/>
      <c r="QRI2" s="283"/>
      <c r="QRJ2" s="283"/>
      <c r="QRK2" s="283"/>
      <c r="QRL2" s="283"/>
      <c r="QRM2" s="283"/>
      <c r="QRN2" s="283"/>
      <c r="QRO2" s="283"/>
      <c r="QRP2" s="283"/>
      <c r="QRQ2" s="283"/>
      <c r="QRR2" s="283"/>
      <c r="QRS2" s="283"/>
      <c r="QRT2" s="283"/>
      <c r="QRU2" s="283"/>
      <c r="QRV2" s="283"/>
      <c r="QRW2" s="283"/>
      <c r="QRX2" s="283"/>
      <c r="QRY2" s="283"/>
      <c r="QRZ2" s="283"/>
      <c r="QSA2" s="283"/>
      <c r="QSB2" s="283"/>
      <c r="QSC2" s="283"/>
      <c r="QSD2" s="283"/>
      <c r="QSE2" s="283"/>
      <c r="QSF2" s="283"/>
      <c r="QSG2" s="283"/>
      <c r="QSH2" s="283"/>
      <c r="QSI2" s="283"/>
      <c r="QSJ2" s="283"/>
      <c r="QSK2" s="283"/>
      <c r="QSL2" s="283"/>
      <c r="QSM2" s="283"/>
      <c r="QSN2" s="283"/>
      <c r="QSO2" s="283"/>
      <c r="QSP2" s="283"/>
      <c r="QSQ2" s="283"/>
      <c r="QSR2" s="283"/>
      <c r="QSS2" s="283"/>
      <c r="QST2" s="283"/>
      <c r="QSU2" s="283"/>
      <c r="QSV2" s="283"/>
      <c r="QSW2" s="283"/>
      <c r="QSX2" s="283"/>
      <c r="QSY2" s="283"/>
      <c r="QSZ2" s="283"/>
      <c r="QTA2" s="283"/>
      <c r="QTB2" s="283"/>
      <c r="QTC2" s="283"/>
      <c r="QTD2" s="283"/>
      <c r="QTE2" s="283"/>
      <c r="QTF2" s="283"/>
      <c r="QTG2" s="283"/>
      <c r="QTH2" s="283"/>
      <c r="QTI2" s="283"/>
      <c r="QTJ2" s="283"/>
      <c r="QTK2" s="283"/>
      <c r="QTL2" s="283"/>
      <c r="QTM2" s="283"/>
      <c r="QTN2" s="283"/>
      <c r="QTO2" s="283"/>
      <c r="QTP2" s="283"/>
      <c r="QTQ2" s="283"/>
      <c r="QTR2" s="283"/>
      <c r="QTS2" s="283"/>
      <c r="QTT2" s="283"/>
      <c r="QTU2" s="283"/>
      <c r="QTV2" s="283"/>
      <c r="QTW2" s="283"/>
      <c r="QTX2" s="283"/>
      <c r="QTY2" s="283"/>
      <c r="QTZ2" s="283"/>
      <c r="QUA2" s="283"/>
      <c r="QUB2" s="283"/>
      <c r="QUC2" s="283"/>
      <c r="QUD2" s="283"/>
      <c r="QUE2" s="283"/>
      <c r="QUF2" s="283"/>
      <c r="QUG2" s="283"/>
      <c r="QUH2" s="283"/>
      <c r="QUI2" s="283"/>
      <c r="QUJ2" s="283"/>
      <c r="QUK2" s="283"/>
      <c r="QUL2" s="283"/>
      <c r="QUM2" s="283"/>
      <c r="QUN2" s="283"/>
      <c r="QUO2" s="283"/>
      <c r="QUP2" s="283"/>
      <c r="QUQ2" s="283"/>
      <c r="QUR2" s="283"/>
      <c r="QUS2" s="283"/>
      <c r="QUT2" s="283"/>
      <c r="QUU2" s="283"/>
      <c r="QUV2" s="283"/>
      <c r="QUW2" s="283"/>
      <c r="QUX2" s="283"/>
      <c r="QUY2" s="283"/>
      <c r="QUZ2" s="283"/>
      <c r="QVA2" s="283"/>
      <c r="QVB2" s="283"/>
      <c r="QVC2" s="283"/>
      <c r="QVD2" s="283"/>
      <c r="QVE2" s="283"/>
      <c r="QVF2" s="283"/>
      <c r="QVG2" s="283"/>
      <c r="QVH2" s="283"/>
      <c r="QVI2" s="283"/>
      <c r="QVJ2" s="283"/>
      <c r="QVK2" s="283"/>
      <c r="QVL2" s="283"/>
      <c r="QVM2" s="283"/>
      <c r="QVN2" s="283"/>
      <c r="QVO2" s="283"/>
      <c r="QVP2" s="283"/>
      <c r="QVQ2" s="283"/>
      <c r="QVR2" s="283"/>
      <c r="QVS2" s="283"/>
      <c r="QVT2" s="283"/>
      <c r="QVU2" s="283"/>
      <c r="QVV2" s="283"/>
      <c r="QVW2" s="283"/>
      <c r="QVX2" s="283"/>
      <c r="QVY2" s="283"/>
      <c r="QVZ2" s="283"/>
      <c r="QWA2" s="283"/>
      <c r="QWB2" s="283"/>
      <c r="QWC2" s="283"/>
      <c r="QWD2" s="283"/>
      <c r="QWE2" s="283"/>
      <c r="QWF2" s="283"/>
      <c r="QWG2" s="283"/>
      <c r="QWH2" s="283"/>
      <c r="QWI2" s="283"/>
      <c r="QWJ2" s="283"/>
      <c r="QWK2" s="283"/>
      <c r="QWL2" s="283"/>
      <c r="QWM2" s="283"/>
      <c r="QWN2" s="283"/>
      <c r="QWO2" s="283"/>
      <c r="QWP2" s="283"/>
      <c r="QWQ2" s="283"/>
      <c r="QWR2" s="283"/>
      <c r="QWS2" s="283"/>
      <c r="QWT2" s="283"/>
      <c r="QWU2" s="283"/>
      <c r="QWV2" s="283"/>
      <c r="QWW2" s="283"/>
      <c r="QWX2" s="283"/>
      <c r="QWY2" s="283"/>
      <c r="QWZ2" s="283"/>
      <c r="QXA2" s="283"/>
      <c r="QXB2" s="283"/>
      <c r="QXC2" s="283"/>
      <c r="QXD2" s="283"/>
      <c r="QXE2" s="283"/>
      <c r="QXF2" s="283"/>
      <c r="QXG2" s="283"/>
      <c r="QXH2" s="283"/>
      <c r="QXI2" s="283"/>
      <c r="QXJ2" s="283"/>
      <c r="QXK2" s="283"/>
      <c r="QXL2" s="283"/>
      <c r="QXM2" s="283"/>
      <c r="QXN2" s="283"/>
      <c r="QXO2" s="283"/>
      <c r="QXP2" s="283"/>
      <c r="QXQ2" s="283"/>
      <c r="QXR2" s="283"/>
      <c r="QXS2" s="283"/>
      <c r="QXT2" s="283"/>
      <c r="QXU2" s="283"/>
      <c r="QXV2" s="283"/>
      <c r="QXW2" s="283"/>
      <c r="QXX2" s="283"/>
      <c r="QXY2" s="283"/>
      <c r="QXZ2" s="283"/>
      <c r="QYA2" s="283"/>
      <c r="QYB2" s="283"/>
      <c r="QYC2" s="283"/>
      <c r="QYD2" s="283"/>
      <c r="QYE2" s="283"/>
      <c r="QYF2" s="283"/>
      <c r="QYG2" s="283"/>
      <c r="QYH2" s="283"/>
      <c r="QYI2" s="283"/>
      <c r="QYJ2" s="283"/>
      <c r="QYK2" s="283"/>
      <c r="QYL2" s="283"/>
      <c r="QYM2" s="283"/>
      <c r="QYN2" s="283"/>
      <c r="QYO2" s="283"/>
      <c r="QYP2" s="283"/>
      <c r="QYQ2" s="283"/>
      <c r="QYR2" s="283"/>
      <c r="QYS2" s="283"/>
      <c r="QYT2" s="283"/>
      <c r="QYU2" s="283"/>
      <c r="QYV2" s="283"/>
      <c r="QYW2" s="283"/>
      <c r="QYX2" s="283"/>
      <c r="QYY2" s="283"/>
      <c r="QYZ2" s="283"/>
      <c r="QZA2" s="283"/>
      <c r="QZB2" s="283"/>
      <c r="QZC2" s="283"/>
      <c r="QZD2" s="283"/>
      <c r="QZE2" s="283"/>
      <c r="QZF2" s="283"/>
      <c r="QZG2" s="283"/>
      <c r="QZH2" s="283"/>
      <c r="QZI2" s="283"/>
      <c r="QZJ2" s="283"/>
      <c r="QZK2" s="283"/>
      <c r="QZL2" s="283"/>
      <c r="QZM2" s="283"/>
      <c r="QZN2" s="283"/>
      <c r="QZO2" s="283"/>
      <c r="QZP2" s="283"/>
      <c r="QZQ2" s="283"/>
      <c r="QZR2" s="283"/>
      <c r="QZS2" s="283"/>
      <c r="QZT2" s="283"/>
      <c r="QZU2" s="283"/>
      <c r="QZV2" s="283"/>
      <c r="QZW2" s="283"/>
      <c r="QZX2" s="283"/>
      <c r="QZY2" s="283"/>
      <c r="QZZ2" s="283"/>
      <c r="RAA2" s="283"/>
      <c r="RAB2" s="283"/>
      <c r="RAC2" s="283"/>
      <c r="RAD2" s="283"/>
      <c r="RAE2" s="283"/>
      <c r="RAF2" s="283"/>
      <c r="RAG2" s="283"/>
      <c r="RAH2" s="283"/>
      <c r="RAI2" s="283"/>
      <c r="RAJ2" s="283"/>
      <c r="RAK2" s="283"/>
      <c r="RAL2" s="283"/>
      <c r="RAM2" s="283"/>
      <c r="RAN2" s="283"/>
      <c r="RAO2" s="283"/>
      <c r="RAP2" s="283"/>
      <c r="RAQ2" s="283"/>
      <c r="RAR2" s="283"/>
      <c r="RAS2" s="283"/>
      <c r="RAT2" s="283"/>
      <c r="RAU2" s="283"/>
      <c r="RAV2" s="283"/>
      <c r="RAW2" s="283"/>
      <c r="RAX2" s="283"/>
      <c r="RAY2" s="283"/>
      <c r="RAZ2" s="283"/>
      <c r="RBA2" s="283"/>
      <c r="RBB2" s="283"/>
      <c r="RBC2" s="283"/>
      <c r="RBD2" s="283"/>
      <c r="RBE2" s="283"/>
      <c r="RBF2" s="283"/>
      <c r="RBG2" s="283"/>
      <c r="RBH2" s="283"/>
      <c r="RBI2" s="283"/>
      <c r="RBJ2" s="283"/>
      <c r="RBK2" s="283"/>
      <c r="RBL2" s="283"/>
      <c r="RBM2" s="283"/>
      <c r="RBN2" s="283"/>
      <c r="RBO2" s="283"/>
      <c r="RBP2" s="283"/>
      <c r="RBQ2" s="283"/>
      <c r="RBR2" s="283"/>
      <c r="RBS2" s="283"/>
      <c r="RBT2" s="283"/>
      <c r="RBU2" s="283"/>
      <c r="RBV2" s="283"/>
      <c r="RBW2" s="283"/>
      <c r="RBX2" s="283"/>
      <c r="RBY2" s="283"/>
      <c r="RBZ2" s="283"/>
      <c r="RCA2" s="283"/>
      <c r="RCB2" s="283"/>
      <c r="RCC2" s="283"/>
      <c r="RCD2" s="283"/>
      <c r="RCE2" s="283"/>
      <c r="RCF2" s="283"/>
      <c r="RCG2" s="283"/>
      <c r="RCH2" s="283"/>
      <c r="RCI2" s="283"/>
      <c r="RCJ2" s="283"/>
      <c r="RCK2" s="283"/>
      <c r="RCL2" s="283"/>
      <c r="RCM2" s="283"/>
      <c r="RCN2" s="283"/>
      <c r="RCO2" s="283"/>
      <c r="RCP2" s="283"/>
      <c r="RCQ2" s="283"/>
      <c r="RCR2" s="283"/>
      <c r="RCS2" s="283"/>
      <c r="RCT2" s="283"/>
      <c r="RCU2" s="283"/>
      <c r="RCV2" s="283"/>
      <c r="RCW2" s="283"/>
      <c r="RCX2" s="283"/>
      <c r="RCY2" s="283"/>
      <c r="RCZ2" s="283"/>
      <c r="RDA2" s="283"/>
      <c r="RDB2" s="283"/>
      <c r="RDC2" s="283"/>
      <c r="RDD2" s="283"/>
      <c r="RDE2" s="283"/>
      <c r="RDF2" s="283"/>
      <c r="RDG2" s="283"/>
      <c r="RDH2" s="283"/>
      <c r="RDI2" s="283"/>
      <c r="RDJ2" s="283"/>
      <c r="RDK2" s="283"/>
      <c r="RDL2" s="283"/>
      <c r="RDM2" s="283"/>
      <c r="RDN2" s="283"/>
      <c r="RDO2" s="283"/>
      <c r="RDP2" s="283"/>
      <c r="RDQ2" s="283"/>
      <c r="RDR2" s="283"/>
      <c r="RDS2" s="283"/>
      <c r="RDT2" s="283"/>
      <c r="RDU2" s="283"/>
      <c r="RDV2" s="283"/>
      <c r="RDW2" s="283"/>
      <c r="RDX2" s="283"/>
      <c r="RDY2" s="283"/>
      <c r="RDZ2" s="283"/>
      <c r="REA2" s="283"/>
      <c r="REB2" s="283"/>
      <c r="REC2" s="283"/>
      <c r="RED2" s="283"/>
      <c r="REE2" s="283"/>
      <c r="REF2" s="283"/>
      <c r="REG2" s="283"/>
      <c r="REH2" s="283"/>
      <c r="REI2" s="283"/>
      <c r="REJ2" s="283"/>
      <c r="REK2" s="283"/>
      <c r="REL2" s="283"/>
      <c r="REM2" s="283"/>
      <c r="REN2" s="283"/>
      <c r="REO2" s="283"/>
      <c r="REP2" s="283"/>
      <c r="REQ2" s="283"/>
      <c r="RER2" s="283"/>
      <c r="RES2" s="283"/>
      <c r="RET2" s="283"/>
      <c r="REU2" s="283"/>
      <c r="REV2" s="283"/>
      <c r="REW2" s="283"/>
      <c r="REX2" s="283"/>
      <c r="REY2" s="283"/>
      <c r="REZ2" s="283"/>
      <c r="RFA2" s="283"/>
      <c r="RFB2" s="283"/>
      <c r="RFC2" s="283"/>
      <c r="RFD2" s="283"/>
      <c r="RFE2" s="283"/>
      <c r="RFF2" s="283"/>
      <c r="RFG2" s="283"/>
      <c r="RFH2" s="283"/>
      <c r="RFI2" s="283"/>
      <c r="RFJ2" s="283"/>
      <c r="RFK2" s="283"/>
      <c r="RFL2" s="283"/>
      <c r="RFM2" s="283"/>
      <c r="RFN2" s="283"/>
      <c r="RFO2" s="283"/>
      <c r="RFP2" s="283"/>
      <c r="RFQ2" s="283"/>
      <c r="RFR2" s="283"/>
      <c r="RFS2" s="283"/>
      <c r="RFT2" s="283"/>
      <c r="RFU2" s="283"/>
      <c r="RFV2" s="283"/>
      <c r="RFW2" s="283"/>
      <c r="RFX2" s="283"/>
      <c r="RFY2" s="283"/>
      <c r="RFZ2" s="283"/>
      <c r="RGA2" s="283"/>
      <c r="RGB2" s="283"/>
      <c r="RGC2" s="283"/>
      <c r="RGD2" s="283"/>
      <c r="RGE2" s="283"/>
      <c r="RGF2" s="283"/>
      <c r="RGG2" s="283"/>
      <c r="RGH2" s="283"/>
      <c r="RGI2" s="283"/>
      <c r="RGJ2" s="283"/>
      <c r="RGK2" s="283"/>
      <c r="RGL2" s="283"/>
      <c r="RGM2" s="283"/>
      <c r="RGN2" s="283"/>
      <c r="RGO2" s="283"/>
      <c r="RGP2" s="283"/>
      <c r="RGQ2" s="283"/>
      <c r="RGR2" s="283"/>
      <c r="RGS2" s="283"/>
      <c r="RGT2" s="283"/>
      <c r="RGU2" s="283"/>
      <c r="RGV2" s="283"/>
      <c r="RGW2" s="283"/>
      <c r="RGX2" s="283"/>
      <c r="RGY2" s="283"/>
      <c r="RGZ2" s="283"/>
      <c r="RHA2" s="283"/>
      <c r="RHB2" s="283"/>
      <c r="RHC2" s="283"/>
      <c r="RHD2" s="283"/>
      <c r="RHE2" s="283"/>
      <c r="RHF2" s="283"/>
      <c r="RHG2" s="283"/>
      <c r="RHH2" s="283"/>
      <c r="RHI2" s="283"/>
      <c r="RHJ2" s="283"/>
      <c r="RHK2" s="283"/>
      <c r="RHL2" s="283"/>
      <c r="RHM2" s="283"/>
      <c r="RHN2" s="283"/>
      <c r="RHO2" s="283"/>
      <c r="RHP2" s="283"/>
      <c r="RHQ2" s="283"/>
      <c r="RHR2" s="283"/>
      <c r="RHS2" s="283"/>
      <c r="RHT2" s="283"/>
      <c r="RHU2" s="283"/>
      <c r="RHV2" s="283"/>
      <c r="RHW2" s="283"/>
      <c r="RHX2" s="283"/>
      <c r="RHY2" s="283"/>
      <c r="RHZ2" s="283"/>
      <c r="RIA2" s="283"/>
      <c r="RIB2" s="283"/>
      <c r="RIC2" s="283"/>
      <c r="RID2" s="283"/>
      <c r="RIE2" s="283"/>
      <c r="RIF2" s="283"/>
      <c r="RIG2" s="283"/>
      <c r="RIH2" s="283"/>
      <c r="RII2" s="283"/>
      <c r="RIJ2" s="283"/>
      <c r="RIK2" s="283"/>
      <c r="RIL2" s="283"/>
      <c r="RIM2" s="283"/>
      <c r="RIN2" s="283"/>
      <c r="RIO2" s="283"/>
      <c r="RIP2" s="283"/>
      <c r="RIQ2" s="283"/>
      <c r="RIR2" s="283"/>
      <c r="RIS2" s="283"/>
      <c r="RIT2" s="283"/>
      <c r="RIU2" s="283"/>
      <c r="RIV2" s="283"/>
      <c r="RIW2" s="283"/>
      <c r="RIX2" s="283"/>
      <c r="RIY2" s="283"/>
      <c r="RIZ2" s="283"/>
      <c r="RJA2" s="283"/>
      <c r="RJB2" s="283"/>
      <c r="RJC2" s="283"/>
      <c r="RJD2" s="283"/>
      <c r="RJE2" s="283"/>
      <c r="RJF2" s="283"/>
      <c r="RJG2" s="283"/>
      <c r="RJH2" s="283"/>
      <c r="RJI2" s="283"/>
      <c r="RJJ2" s="283"/>
      <c r="RJK2" s="283"/>
      <c r="RJL2" s="283"/>
      <c r="RJM2" s="283"/>
      <c r="RJN2" s="283"/>
      <c r="RJO2" s="283"/>
      <c r="RJP2" s="283"/>
      <c r="RJQ2" s="283"/>
      <c r="RJR2" s="283"/>
      <c r="RJS2" s="283"/>
      <c r="RJT2" s="283"/>
      <c r="RJU2" s="283"/>
      <c r="RJV2" s="283"/>
      <c r="RJW2" s="283"/>
      <c r="RJX2" s="283"/>
      <c r="RJY2" s="283"/>
      <c r="RJZ2" s="283"/>
      <c r="RKA2" s="283"/>
      <c r="RKB2" s="283"/>
      <c r="RKC2" s="283"/>
      <c r="RKD2" s="283"/>
      <c r="RKE2" s="283"/>
      <c r="RKF2" s="283"/>
      <c r="RKG2" s="283"/>
      <c r="RKH2" s="283"/>
      <c r="RKI2" s="283"/>
      <c r="RKJ2" s="283"/>
      <c r="RKK2" s="283"/>
      <c r="RKL2" s="283"/>
      <c r="RKM2" s="283"/>
      <c r="RKN2" s="283"/>
      <c r="RKO2" s="283"/>
      <c r="RKP2" s="283"/>
      <c r="RKQ2" s="283"/>
      <c r="RKR2" s="283"/>
      <c r="RKS2" s="283"/>
      <c r="RKT2" s="283"/>
      <c r="RKU2" s="283"/>
      <c r="RKV2" s="283"/>
      <c r="RKW2" s="283"/>
      <c r="RKX2" s="283"/>
      <c r="RKY2" s="283"/>
      <c r="RKZ2" s="283"/>
      <c r="RLA2" s="283"/>
      <c r="RLB2" s="283"/>
      <c r="RLC2" s="283"/>
      <c r="RLD2" s="283"/>
      <c r="RLE2" s="283"/>
      <c r="RLF2" s="283"/>
      <c r="RLG2" s="283"/>
      <c r="RLH2" s="283"/>
      <c r="RLI2" s="283"/>
      <c r="RLJ2" s="283"/>
      <c r="RLK2" s="283"/>
      <c r="RLL2" s="283"/>
      <c r="RLM2" s="283"/>
      <c r="RLN2" s="283"/>
      <c r="RLO2" s="283"/>
      <c r="RLP2" s="283"/>
      <c r="RLQ2" s="283"/>
      <c r="RLR2" s="283"/>
      <c r="RLS2" s="283"/>
      <c r="RLT2" s="283"/>
      <c r="RLU2" s="283"/>
      <c r="RLV2" s="283"/>
      <c r="RLW2" s="283"/>
      <c r="RLX2" s="283"/>
      <c r="RLY2" s="283"/>
      <c r="RLZ2" s="283"/>
      <c r="RMA2" s="283"/>
      <c r="RMB2" s="283"/>
      <c r="RMC2" s="283"/>
      <c r="RMD2" s="283"/>
      <c r="RME2" s="283"/>
      <c r="RMF2" s="283"/>
      <c r="RMG2" s="283"/>
      <c r="RMH2" s="283"/>
      <c r="RMI2" s="283"/>
      <c r="RMJ2" s="283"/>
      <c r="RMK2" s="283"/>
      <c r="RML2" s="283"/>
      <c r="RMM2" s="283"/>
      <c r="RMN2" s="283"/>
      <c r="RMO2" s="283"/>
      <c r="RMP2" s="283"/>
      <c r="RMQ2" s="283"/>
      <c r="RMR2" s="283"/>
      <c r="RMS2" s="283"/>
      <c r="RMT2" s="283"/>
      <c r="RMU2" s="283"/>
      <c r="RMV2" s="283"/>
      <c r="RMW2" s="283"/>
      <c r="RMX2" s="283"/>
      <c r="RMY2" s="283"/>
      <c r="RMZ2" s="283"/>
      <c r="RNA2" s="283"/>
      <c r="RNB2" s="283"/>
      <c r="RNC2" s="283"/>
      <c r="RND2" s="283"/>
      <c r="RNE2" s="283"/>
      <c r="RNF2" s="283"/>
      <c r="RNG2" s="283"/>
      <c r="RNH2" s="283"/>
      <c r="RNI2" s="283"/>
      <c r="RNJ2" s="283"/>
      <c r="RNK2" s="283"/>
      <c r="RNL2" s="283"/>
      <c r="RNM2" s="283"/>
      <c r="RNN2" s="283"/>
      <c r="RNO2" s="283"/>
      <c r="RNP2" s="283"/>
      <c r="RNQ2" s="283"/>
      <c r="RNR2" s="283"/>
      <c r="RNS2" s="283"/>
      <c r="RNT2" s="283"/>
      <c r="RNU2" s="283"/>
      <c r="RNV2" s="283"/>
      <c r="RNW2" s="283"/>
      <c r="RNX2" s="283"/>
      <c r="RNY2" s="283"/>
      <c r="RNZ2" s="283"/>
      <c r="ROA2" s="283"/>
      <c r="ROB2" s="283"/>
      <c r="ROC2" s="283"/>
      <c r="ROD2" s="283"/>
      <c r="ROE2" s="283"/>
      <c r="ROF2" s="283"/>
      <c r="ROG2" s="283"/>
      <c r="ROH2" s="283"/>
      <c r="ROI2" s="283"/>
      <c r="ROJ2" s="283"/>
      <c r="ROK2" s="283"/>
      <c r="ROL2" s="283"/>
      <c r="ROM2" s="283"/>
      <c r="RON2" s="283"/>
      <c r="ROO2" s="283"/>
      <c r="ROP2" s="283"/>
      <c r="ROQ2" s="283"/>
      <c r="ROR2" s="283"/>
      <c r="ROS2" s="283"/>
      <c r="ROT2" s="283"/>
      <c r="ROU2" s="283"/>
      <c r="ROV2" s="283"/>
      <c r="ROW2" s="283"/>
      <c r="ROX2" s="283"/>
      <c r="ROY2" s="283"/>
      <c r="ROZ2" s="283"/>
      <c r="RPA2" s="283"/>
      <c r="RPB2" s="283"/>
      <c r="RPC2" s="283"/>
      <c r="RPD2" s="283"/>
      <c r="RPE2" s="283"/>
      <c r="RPF2" s="283"/>
      <c r="RPG2" s="283"/>
      <c r="RPH2" s="283"/>
      <c r="RPI2" s="283"/>
      <c r="RPJ2" s="283"/>
      <c r="RPK2" s="283"/>
      <c r="RPL2" s="283"/>
      <c r="RPM2" s="283"/>
      <c r="RPN2" s="283"/>
      <c r="RPO2" s="283"/>
      <c r="RPP2" s="283"/>
      <c r="RPQ2" s="283"/>
      <c r="RPR2" s="283"/>
      <c r="RPS2" s="283"/>
      <c r="RPT2" s="283"/>
      <c r="RPU2" s="283"/>
      <c r="RPV2" s="283"/>
      <c r="RPW2" s="283"/>
      <c r="RPX2" s="283"/>
      <c r="RPY2" s="283"/>
      <c r="RPZ2" s="283"/>
      <c r="RQA2" s="283"/>
      <c r="RQB2" s="283"/>
      <c r="RQC2" s="283"/>
      <c r="RQD2" s="283"/>
      <c r="RQE2" s="283"/>
      <c r="RQF2" s="283"/>
      <c r="RQG2" s="283"/>
      <c r="RQH2" s="283"/>
      <c r="RQI2" s="283"/>
      <c r="RQJ2" s="283"/>
      <c r="RQK2" s="283"/>
      <c r="RQL2" s="283"/>
      <c r="RQM2" s="283"/>
      <c r="RQN2" s="283"/>
      <c r="RQO2" s="283"/>
      <c r="RQP2" s="283"/>
      <c r="RQQ2" s="283"/>
      <c r="RQR2" s="283"/>
      <c r="RQS2" s="283"/>
      <c r="RQT2" s="283"/>
      <c r="RQU2" s="283"/>
      <c r="RQV2" s="283"/>
      <c r="RQW2" s="283"/>
      <c r="RQX2" s="283"/>
      <c r="RQY2" s="283"/>
      <c r="RQZ2" s="283"/>
      <c r="RRA2" s="283"/>
      <c r="RRB2" s="283"/>
      <c r="RRC2" s="283"/>
      <c r="RRD2" s="283"/>
      <c r="RRE2" s="283"/>
      <c r="RRF2" s="283"/>
      <c r="RRG2" s="283"/>
      <c r="RRH2" s="283"/>
      <c r="RRI2" s="283"/>
      <c r="RRJ2" s="283"/>
      <c r="RRK2" s="283"/>
      <c r="RRL2" s="283"/>
      <c r="RRM2" s="283"/>
      <c r="RRN2" s="283"/>
      <c r="RRO2" s="283"/>
      <c r="RRP2" s="283"/>
      <c r="RRQ2" s="283"/>
      <c r="RRR2" s="283"/>
      <c r="RRS2" s="283"/>
      <c r="RRT2" s="283"/>
      <c r="RRU2" s="283"/>
      <c r="RRV2" s="283"/>
      <c r="RRW2" s="283"/>
      <c r="RRX2" s="283"/>
      <c r="RRY2" s="283"/>
      <c r="RRZ2" s="283"/>
      <c r="RSA2" s="283"/>
      <c r="RSB2" s="283"/>
      <c r="RSC2" s="283"/>
      <c r="RSD2" s="283"/>
      <c r="RSE2" s="283"/>
      <c r="RSF2" s="283"/>
      <c r="RSG2" s="283"/>
      <c r="RSH2" s="283"/>
      <c r="RSI2" s="283"/>
      <c r="RSJ2" s="283"/>
      <c r="RSK2" s="283"/>
      <c r="RSL2" s="283"/>
      <c r="RSM2" s="283"/>
      <c r="RSN2" s="283"/>
      <c r="RSO2" s="283"/>
      <c r="RSP2" s="283"/>
      <c r="RSQ2" s="283"/>
      <c r="RSR2" s="283"/>
      <c r="RSS2" s="283"/>
      <c r="RST2" s="283"/>
      <c r="RSU2" s="283"/>
      <c r="RSV2" s="283"/>
      <c r="RSW2" s="283"/>
      <c r="RSX2" s="283"/>
      <c r="RSY2" s="283"/>
      <c r="RSZ2" s="283"/>
      <c r="RTA2" s="283"/>
      <c r="RTB2" s="283"/>
      <c r="RTC2" s="283"/>
      <c r="RTD2" s="283"/>
      <c r="RTE2" s="283"/>
      <c r="RTF2" s="283"/>
      <c r="RTG2" s="283"/>
      <c r="RTH2" s="283"/>
      <c r="RTI2" s="283"/>
      <c r="RTJ2" s="283"/>
      <c r="RTK2" s="283"/>
      <c r="RTL2" s="283"/>
      <c r="RTM2" s="283"/>
      <c r="RTN2" s="283"/>
      <c r="RTO2" s="283"/>
      <c r="RTP2" s="283"/>
      <c r="RTQ2" s="283"/>
      <c r="RTR2" s="283"/>
      <c r="RTS2" s="283"/>
      <c r="RTT2" s="283"/>
      <c r="RTU2" s="283"/>
      <c r="RTV2" s="283"/>
      <c r="RTW2" s="283"/>
      <c r="RTX2" s="283"/>
      <c r="RTY2" s="283"/>
      <c r="RTZ2" s="283"/>
      <c r="RUA2" s="283"/>
      <c r="RUB2" s="283"/>
      <c r="RUC2" s="283"/>
      <c r="RUD2" s="283"/>
      <c r="RUE2" s="283"/>
      <c r="RUF2" s="283"/>
      <c r="RUG2" s="283"/>
      <c r="RUH2" s="283"/>
      <c r="RUI2" s="283"/>
      <c r="RUJ2" s="283"/>
      <c r="RUK2" s="283"/>
      <c r="RUL2" s="283"/>
      <c r="RUM2" s="283"/>
      <c r="RUN2" s="283"/>
      <c r="RUO2" s="283"/>
      <c r="RUP2" s="283"/>
      <c r="RUQ2" s="283"/>
      <c r="RUR2" s="283"/>
      <c r="RUS2" s="283"/>
      <c r="RUT2" s="283"/>
      <c r="RUU2" s="283"/>
      <c r="RUV2" s="283"/>
      <c r="RUW2" s="283"/>
      <c r="RUX2" s="283"/>
      <c r="RUY2" s="283"/>
      <c r="RUZ2" s="283"/>
      <c r="RVA2" s="283"/>
      <c r="RVB2" s="283"/>
      <c r="RVC2" s="283"/>
      <c r="RVD2" s="283"/>
      <c r="RVE2" s="283"/>
      <c r="RVF2" s="283"/>
      <c r="RVG2" s="283"/>
      <c r="RVH2" s="283"/>
      <c r="RVI2" s="283"/>
      <c r="RVJ2" s="283"/>
      <c r="RVK2" s="283"/>
      <c r="RVL2" s="283"/>
      <c r="RVM2" s="283"/>
      <c r="RVN2" s="283"/>
      <c r="RVO2" s="283"/>
      <c r="RVP2" s="283"/>
      <c r="RVQ2" s="283"/>
      <c r="RVR2" s="283"/>
      <c r="RVS2" s="283"/>
      <c r="RVT2" s="283"/>
      <c r="RVU2" s="283"/>
      <c r="RVV2" s="283"/>
      <c r="RVW2" s="283"/>
      <c r="RVX2" s="283"/>
      <c r="RVY2" s="283"/>
      <c r="RVZ2" s="283"/>
      <c r="RWA2" s="283"/>
      <c r="RWB2" s="283"/>
      <c r="RWC2" s="283"/>
      <c r="RWD2" s="283"/>
      <c r="RWE2" s="283"/>
      <c r="RWF2" s="283"/>
      <c r="RWG2" s="283"/>
      <c r="RWH2" s="283"/>
      <c r="RWI2" s="283"/>
      <c r="RWJ2" s="283"/>
      <c r="RWK2" s="283"/>
      <c r="RWL2" s="283"/>
      <c r="RWM2" s="283"/>
      <c r="RWN2" s="283"/>
      <c r="RWO2" s="283"/>
      <c r="RWP2" s="283"/>
      <c r="RWQ2" s="283"/>
      <c r="RWR2" s="283"/>
      <c r="RWS2" s="283"/>
      <c r="RWT2" s="283"/>
      <c r="RWU2" s="283"/>
      <c r="RWV2" s="283"/>
      <c r="RWW2" s="283"/>
      <c r="RWX2" s="283"/>
      <c r="RWY2" s="283"/>
      <c r="RWZ2" s="283"/>
      <c r="RXA2" s="283"/>
      <c r="RXB2" s="283"/>
      <c r="RXC2" s="283"/>
      <c r="RXD2" s="283"/>
      <c r="RXE2" s="283"/>
      <c r="RXF2" s="283"/>
      <c r="RXG2" s="283"/>
      <c r="RXH2" s="283"/>
      <c r="RXI2" s="283"/>
      <c r="RXJ2" s="283"/>
      <c r="RXK2" s="283"/>
      <c r="RXL2" s="283"/>
      <c r="RXM2" s="283"/>
      <c r="RXN2" s="283"/>
      <c r="RXO2" s="283"/>
      <c r="RXP2" s="283"/>
      <c r="RXQ2" s="283"/>
      <c r="RXR2" s="283"/>
      <c r="RXS2" s="283"/>
      <c r="RXT2" s="283"/>
      <c r="RXU2" s="283"/>
      <c r="RXV2" s="283"/>
      <c r="RXW2" s="283"/>
      <c r="RXX2" s="283"/>
      <c r="RXY2" s="283"/>
      <c r="RXZ2" s="283"/>
      <c r="RYA2" s="283"/>
      <c r="RYB2" s="283"/>
      <c r="RYC2" s="283"/>
      <c r="RYD2" s="283"/>
      <c r="RYE2" s="283"/>
      <c r="RYF2" s="283"/>
      <c r="RYG2" s="283"/>
      <c r="RYH2" s="283"/>
      <c r="RYI2" s="283"/>
      <c r="RYJ2" s="283"/>
      <c r="RYK2" s="283"/>
      <c r="RYL2" s="283"/>
      <c r="RYM2" s="283"/>
      <c r="RYN2" s="283"/>
      <c r="RYO2" s="283"/>
      <c r="RYP2" s="283"/>
      <c r="RYQ2" s="283"/>
      <c r="RYR2" s="283"/>
      <c r="RYS2" s="283"/>
      <c r="RYT2" s="283"/>
      <c r="RYU2" s="283"/>
      <c r="RYV2" s="283"/>
      <c r="RYW2" s="283"/>
      <c r="RYX2" s="283"/>
      <c r="RYY2" s="283"/>
      <c r="RYZ2" s="283"/>
      <c r="RZA2" s="283"/>
      <c r="RZB2" s="283"/>
      <c r="RZC2" s="283"/>
      <c r="RZD2" s="283"/>
      <c r="RZE2" s="283"/>
      <c r="RZF2" s="283"/>
      <c r="RZG2" s="283"/>
      <c r="RZH2" s="283"/>
      <c r="RZI2" s="283"/>
      <c r="RZJ2" s="283"/>
      <c r="RZK2" s="283"/>
      <c r="RZL2" s="283"/>
      <c r="RZM2" s="283"/>
      <c r="RZN2" s="283"/>
      <c r="RZO2" s="283"/>
      <c r="RZP2" s="283"/>
      <c r="RZQ2" s="283"/>
      <c r="RZR2" s="283"/>
      <c r="RZS2" s="283"/>
      <c r="RZT2" s="283"/>
      <c r="RZU2" s="283"/>
      <c r="RZV2" s="283"/>
      <c r="RZW2" s="283"/>
      <c r="RZX2" s="283"/>
      <c r="RZY2" s="283"/>
      <c r="RZZ2" s="283"/>
      <c r="SAA2" s="283"/>
      <c r="SAB2" s="283"/>
      <c r="SAC2" s="283"/>
      <c r="SAD2" s="283"/>
      <c r="SAE2" s="283"/>
      <c r="SAF2" s="283"/>
      <c r="SAG2" s="283"/>
      <c r="SAH2" s="283"/>
      <c r="SAI2" s="283"/>
      <c r="SAJ2" s="283"/>
      <c r="SAK2" s="283"/>
      <c r="SAL2" s="283"/>
      <c r="SAM2" s="283"/>
      <c r="SAN2" s="283"/>
      <c r="SAO2" s="283"/>
      <c r="SAP2" s="283"/>
      <c r="SAQ2" s="283"/>
      <c r="SAR2" s="283"/>
      <c r="SAS2" s="283"/>
      <c r="SAT2" s="283"/>
      <c r="SAU2" s="283"/>
      <c r="SAV2" s="283"/>
      <c r="SAW2" s="283"/>
      <c r="SAX2" s="283"/>
      <c r="SAY2" s="283"/>
      <c r="SAZ2" s="283"/>
      <c r="SBA2" s="283"/>
      <c r="SBB2" s="283"/>
      <c r="SBC2" s="283"/>
      <c r="SBD2" s="283"/>
      <c r="SBE2" s="283"/>
      <c r="SBF2" s="283"/>
      <c r="SBG2" s="283"/>
      <c r="SBH2" s="283"/>
      <c r="SBI2" s="283"/>
      <c r="SBJ2" s="283"/>
      <c r="SBK2" s="283"/>
      <c r="SBL2" s="283"/>
      <c r="SBM2" s="283"/>
      <c r="SBN2" s="283"/>
      <c r="SBO2" s="283"/>
      <c r="SBP2" s="283"/>
      <c r="SBQ2" s="283"/>
      <c r="SBR2" s="283"/>
      <c r="SBS2" s="283"/>
      <c r="SBT2" s="283"/>
      <c r="SBU2" s="283"/>
      <c r="SBV2" s="283"/>
      <c r="SBW2" s="283"/>
      <c r="SBX2" s="283"/>
      <c r="SBY2" s="283"/>
      <c r="SBZ2" s="283"/>
      <c r="SCA2" s="283"/>
      <c r="SCB2" s="283"/>
      <c r="SCC2" s="283"/>
      <c r="SCD2" s="283"/>
      <c r="SCE2" s="283"/>
      <c r="SCF2" s="283"/>
      <c r="SCG2" s="283"/>
      <c r="SCH2" s="283"/>
      <c r="SCI2" s="283"/>
      <c r="SCJ2" s="283"/>
      <c r="SCK2" s="283"/>
      <c r="SCL2" s="283"/>
      <c r="SCM2" s="283"/>
      <c r="SCN2" s="283"/>
      <c r="SCO2" s="283"/>
      <c r="SCP2" s="283"/>
      <c r="SCQ2" s="283"/>
      <c r="SCR2" s="283"/>
      <c r="SCS2" s="283"/>
      <c r="SCT2" s="283"/>
      <c r="SCU2" s="283"/>
      <c r="SCV2" s="283"/>
      <c r="SCW2" s="283"/>
      <c r="SCX2" s="283"/>
      <c r="SCY2" s="283"/>
      <c r="SCZ2" s="283"/>
      <c r="SDA2" s="283"/>
      <c r="SDB2" s="283"/>
      <c r="SDC2" s="283"/>
      <c r="SDD2" s="283"/>
      <c r="SDE2" s="283"/>
      <c r="SDF2" s="283"/>
      <c r="SDG2" s="283"/>
      <c r="SDH2" s="283"/>
      <c r="SDI2" s="283"/>
      <c r="SDJ2" s="283"/>
      <c r="SDK2" s="283"/>
      <c r="SDL2" s="283"/>
      <c r="SDM2" s="283"/>
      <c r="SDN2" s="283"/>
      <c r="SDO2" s="283"/>
      <c r="SDP2" s="283"/>
      <c r="SDQ2" s="283"/>
      <c r="SDR2" s="283"/>
      <c r="SDS2" s="283"/>
      <c r="SDT2" s="283"/>
      <c r="SDU2" s="283"/>
      <c r="SDV2" s="283"/>
      <c r="SDW2" s="283"/>
      <c r="SDX2" s="283"/>
      <c r="SDY2" s="283"/>
      <c r="SDZ2" s="283"/>
      <c r="SEA2" s="283"/>
      <c r="SEB2" s="283"/>
      <c r="SEC2" s="283"/>
      <c r="SED2" s="283"/>
      <c r="SEE2" s="283"/>
      <c r="SEF2" s="283"/>
      <c r="SEG2" s="283"/>
      <c r="SEH2" s="283"/>
      <c r="SEI2" s="283"/>
      <c r="SEJ2" s="283"/>
      <c r="SEK2" s="283"/>
      <c r="SEL2" s="283"/>
      <c r="SEM2" s="283"/>
      <c r="SEN2" s="283"/>
      <c r="SEO2" s="283"/>
      <c r="SEP2" s="283"/>
      <c r="SEQ2" s="283"/>
      <c r="SER2" s="283"/>
      <c r="SES2" s="283"/>
      <c r="SET2" s="283"/>
      <c r="SEU2" s="283"/>
      <c r="SEV2" s="283"/>
      <c r="SEW2" s="283"/>
      <c r="SEX2" s="283"/>
      <c r="SEY2" s="283"/>
      <c r="SEZ2" s="283"/>
      <c r="SFA2" s="283"/>
      <c r="SFB2" s="283"/>
      <c r="SFC2" s="283"/>
      <c r="SFD2" s="283"/>
      <c r="SFE2" s="283"/>
      <c r="SFF2" s="283"/>
      <c r="SFG2" s="283"/>
      <c r="SFH2" s="283"/>
      <c r="SFI2" s="283"/>
      <c r="SFJ2" s="283"/>
      <c r="SFK2" s="283"/>
      <c r="SFL2" s="283"/>
      <c r="SFM2" s="283"/>
      <c r="SFN2" s="283"/>
      <c r="SFO2" s="283"/>
      <c r="SFP2" s="283"/>
      <c r="SFQ2" s="283"/>
      <c r="SFR2" s="283"/>
      <c r="SFS2" s="283"/>
      <c r="SFT2" s="283"/>
      <c r="SFU2" s="283"/>
      <c r="SFV2" s="283"/>
      <c r="SFW2" s="283"/>
      <c r="SFX2" s="283"/>
      <c r="SFY2" s="283"/>
      <c r="SFZ2" s="283"/>
      <c r="SGA2" s="283"/>
      <c r="SGB2" s="283"/>
      <c r="SGC2" s="283"/>
      <c r="SGD2" s="283"/>
      <c r="SGE2" s="283"/>
      <c r="SGF2" s="283"/>
      <c r="SGG2" s="283"/>
      <c r="SGH2" s="283"/>
      <c r="SGI2" s="283"/>
      <c r="SGJ2" s="283"/>
      <c r="SGK2" s="283"/>
      <c r="SGL2" s="283"/>
      <c r="SGM2" s="283"/>
      <c r="SGN2" s="283"/>
      <c r="SGO2" s="283"/>
      <c r="SGP2" s="283"/>
      <c r="SGQ2" s="283"/>
      <c r="SGR2" s="283"/>
      <c r="SGS2" s="283"/>
      <c r="SGT2" s="283"/>
      <c r="SGU2" s="283"/>
      <c r="SGV2" s="283"/>
      <c r="SGW2" s="283"/>
      <c r="SGX2" s="283"/>
      <c r="SGY2" s="283"/>
      <c r="SGZ2" s="283"/>
      <c r="SHA2" s="283"/>
      <c r="SHB2" s="283"/>
      <c r="SHC2" s="283"/>
      <c r="SHD2" s="283"/>
      <c r="SHE2" s="283"/>
      <c r="SHF2" s="283"/>
      <c r="SHG2" s="283"/>
      <c r="SHH2" s="283"/>
      <c r="SHI2" s="283"/>
      <c r="SHJ2" s="283"/>
      <c r="SHK2" s="283"/>
      <c r="SHL2" s="283"/>
      <c r="SHM2" s="283"/>
      <c r="SHN2" s="283"/>
      <c r="SHO2" s="283"/>
      <c r="SHP2" s="283"/>
      <c r="SHQ2" s="283"/>
      <c r="SHR2" s="283"/>
      <c r="SHS2" s="283"/>
      <c r="SHT2" s="283"/>
      <c r="SHU2" s="283"/>
      <c r="SHV2" s="283"/>
      <c r="SHW2" s="283"/>
      <c r="SHX2" s="283"/>
      <c r="SHY2" s="283"/>
      <c r="SHZ2" s="283"/>
      <c r="SIA2" s="283"/>
      <c r="SIB2" s="283"/>
      <c r="SIC2" s="283"/>
      <c r="SID2" s="283"/>
      <c r="SIE2" s="283"/>
      <c r="SIF2" s="283"/>
      <c r="SIG2" s="283"/>
      <c r="SIH2" s="283"/>
      <c r="SII2" s="283"/>
      <c r="SIJ2" s="283"/>
      <c r="SIK2" s="283"/>
      <c r="SIL2" s="283"/>
      <c r="SIM2" s="283"/>
      <c r="SIN2" s="283"/>
      <c r="SIO2" s="283"/>
      <c r="SIP2" s="283"/>
      <c r="SIQ2" s="283"/>
      <c r="SIR2" s="283"/>
      <c r="SIS2" s="283"/>
      <c r="SIT2" s="283"/>
      <c r="SIU2" s="283"/>
      <c r="SIV2" s="283"/>
      <c r="SIW2" s="283"/>
      <c r="SIX2" s="283"/>
      <c r="SIY2" s="283"/>
      <c r="SIZ2" s="283"/>
      <c r="SJA2" s="283"/>
      <c r="SJB2" s="283"/>
      <c r="SJC2" s="283"/>
      <c r="SJD2" s="283"/>
      <c r="SJE2" s="283"/>
      <c r="SJF2" s="283"/>
      <c r="SJG2" s="283"/>
      <c r="SJH2" s="283"/>
      <c r="SJI2" s="283"/>
      <c r="SJJ2" s="283"/>
      <c r="SJK2" s="283"/>
      <c r="SJL2" s="283"/>
      <c r="SJM2" s="283"/>
      <c r="SJN2" s="283"/>
      <c r="SJO2" s="283"/>
      <c r="SJP2" s="283"/>
      <c r="SJQ2" s="283"/>
      <c r="SJR2" s="283"/>
      <c r="SJS2" s="283"/>
      <c r="SJT2" s="283"/>
      <c r="SJU2" s="283"/>
      <c r="SJV2" s="283"/>
      <c r="SJW2" s="283"/>
      <c r="SJX2" s="283"/>
      <c r="SJY2" s="283"/>
      <c r="SJZ2" s="283"/>
      <c r="SKA2" s="283"/>
      <c r="SKB2" s="283"/>
      <c r="SKC2" s="283"/>
      <c r="SKD2" s="283"/>
      <c r="SKE2" s="283"/>
      <c r="SKF2" s="283"/>
      <c r="SKG2" s="283"/>
      <c r="SKH2" s="283"/>
      <c r="SKI2" s="283"/>
      <c r="SKJ2" s="283"/>
      <c r="SKK2" s="283"/>
      <c r="SKL2" s="283"/>
      <c r="SKM2" s="283"/>
      <c r="SKN2" s="283"/>
      <c r="SKO2" s="283"/>
      <c r="SKP2" s="283"/>
      <c r="SKQ2" s="283"/>
      <c r="SKR2" s="283"/>
      <c r="SKS2" s="283"/>
      <c r="SKT2" s="283"/>
      <c r="SKU2" s="283"/>
      <c r="SKV2" s="283"/>
      <c r="SKW2" s="283"/>
      <c r="SKX2" s="283"/>
      <c r="SKY2" s="283"/>
      <c r="SKZ2" s="283"/>
      <c r="SLA2" s="283"/>
      <c r="SLB2" s="283"/>
      <c r="SLC2" s="283"/>
      <c r="SLD2" s="283"/>
      <c r="SLE2" s="283"/>
      <c r="SLF2" s="283"/>
      <c r="SLG2" s="283"/>
      <c r="SLH2" s="283"/>
      <c r="SLI2" s="283"/>
      <c r="SLJ2" s="283"/>
      <c r="SLK2" s="283"/>
      <c r="SLL2" s="283"/>
      <c r="SLM2" s="283"/>
      <c r="SLN2" s="283"/>
      <c r="SLO2" s="283"/>
      <c r="SLP2" s="283"/>
      <c r="SLQ2" s="283"/>
      <c r="SLR2" s="283"/>
      <c r="SLS2" s="283"/>
      <c r="SLT2" s="283"/>
      <c r="SLU2" s="283"/>
      <c r="SLV2" s="283"/>
      <c r="SLW2" s="283"/>
      <c r="SLX2" s="283"/>
      <c r="SLY2" s="283"/>
      <c r="SLZ2" s="283"/>
      <c r="SMA2" s="283"/>
      <c r="SMB2" s="283"/>
      <c r="SMC2" s="283"/>
      <c r="SMD2" s="283"/>
      <c r="SME2" s="283"/>
      <c r="SMF2" s="283"/>
      <c r="SMG2" s="283"/>
      <c r="SMH2" s="283"/>
      <c r="SMI2" s="283"/>
      <c r="SMJ2" s="283"/>
      <c r="SMK2" s="283"/>
      <c r="SML2" s="283"/>
      <c r="SMM2" s="283"/>
      <c r="SMN2" s="283"/>
      <c r="SMO2" s="283"/>
      <c r="SMP2" s="283"/>
      <c r="SMQ2" s="283"/>
      <c r="SMR2" s="283"/>
      <c r="SMS2" s="283"/>
      <c r="SMT2" s="283"/>
      <c r="SMU2" s="283"/>
      <c r="SMV2" s="283"/>
      <c r="SMW2" s="283"/>
      <c r="SMX2" s="283"/>
      <c r="SMY2" s="283"/>
      <c r="SMZ2" s="283"/>
      <c r="SNA2" s="283"/>
      <c r="SNB2" s="283"/>
      <c r="SNC2" s="283"/>
      <c r="SND2" s="283"/>
      <c r="SNE2" s="283"/>
      <c r="SNF2" s="283"/>
      <c r="SNG2" s="283"/>
      <c r="SNH2" s="283"/>
      <c r="SNI2" s="283"/>
      <c r="SNJ2" s="283"/>
      <c r="SNK2" s="283"/>
      <c r="SNL2" s="283"/>
      <c r="SNM2" s="283"/>
      <c r="SNN2" s="283"/>
      <c r="SNO2" s="283"/>
      <c r="SNP2" s="283"/>
      <c r="SNQ2" s="283"/>
      <c r="SNR2" s="283"/>
      <c r="SNS2" s="283"/>
      <c r="SNT2" s="283"/>
      <c r="SNU2" s="283"/>
      <c r="SNV2" s="283"/>
      <c r="SNW2" s="283"/>
      <c r="SNX2" s="283"/>
      <c r="SNY2" s="283"/>
      <c r="SNZ2" s="283"/>
      <c r="SOA2" s="283"/>
      <c r="SOB2" s="283"/>
      <c r="SOC2" s="283"/>
      <c r="SOD2" s="283"/>
      <c r="SOE2" s="283"/>
      <c r="SOF2" s="283"/>
      <c r="SOG2" s="283"/>
      <c r="SOH2" s="283"/>
      <c r="SOI2" s="283"/>
      <c r="SOJ2" s="283"/>
      <c r="SOK2" s="283"/>
      <c r="SOL2" s="283"/>
      <c r="SOM2" s="283"/>
      <c r="SON2" s="283"/>
      <c r="SOO2" s="283"/>
      <c r="SOP2" s="283"/>
      <c r="SOQ2" s="283"/>
      <c r="SOR2" s="283"/>
      <c r="SOS2" s="283"/>
      <c r="SOT2" s="283"/>
      <c r="SOU2" s="283"/>
      <c r="SOV2" s="283"/>
      <c r="SOW2" s="283"/>
      <c r="SOX2" s="283"/>
      <c r="SOY2" s="283"/>
      <c r="SOZ2" s="283"/>
      <c r="SPA2" s="283"/>
      <c r="SPB2" s="283"/>
      <c r="SPC2" s="283"/>
      <c r="SPD2" s="283"/>
      <c r="SPE2" s="283"/>
      <c r="SPF2" s="283"/>
      <c r="SPG2" s="283"/>
      <c r="SPH2" s="283"/>
      <c r="SPI2" s="283"/>
      <c r="SPJ2" s="283"/>
      <c r="SPK2" s="283"/>
      <c r="SPL2" s="283"/>
      <c r="SPM2" s="283"/>
      <c r="SPN2" s="283"/>
      <c r="SPO2" s="283"/>
      <c r="SPP2" s="283"/>
      <c r="SPQ2" s="283"/>
      <c r="SPR2" s="283"/>
      <c r="SPS2" s="283"/>
      <c r="SPT2" s="283"/>
      <c r="SPU2" s="283"/>
      <c r="SPV2" s="283"/>
      <c r="SPW2" s="283"/>
      <c r="SPX2" s="283"/>
      <c r="SPY2" s="283"/>
      <c r="SPZ2" s="283"/>
      <c r="SQA2" s="283"/>
      <c r="SQB2" s="283"/>
      <c r="SQC2" s="283"/>
      <c r="SQD2" s="283"/>
      <c r="SQE2" s="283"/>
      <c r="SQF2" s="283"/>
      <c r="SQG2" s="283"/>
      <c r="SQH2" s="283"/>
      <c r="SQI2" s="283"/>
      <c r="SQJ2" s="283"/>
      <c r="SQK2" s="283"/>
      <c r="SQL2" s="283"/>
      <c r="SQM2" s="283"/>
      <c r="SQN2" s="283"/>
      <c r="SQO2" s="283"/>
      <c r="SQP2" s="283"/>
      <c r="SQQ2" s="283"/>
      <c r="SQR2" s="283"/>
      <c r="SQS2" s="283"/>
      <c r="SQT2" s="283"/>
      <c r="SQU2" s="283"/>
      <c r="SQV2" s="283"/>
      <c r="SQW2" s="283"/>
      <c r="SQX2" s="283"/>
      <c r="SQY2" s="283"/>
      <c r="SQZ2" s="283"/>
      <c r="SRA2" s="283"/>
      <c r="SRB2" s="283"/>
      <c r="SRC2" s="283"/>
      <c r="SRD2" s="283"/>
      <c r="SRE2" s="283"/>
      <c r="SRF2" s="283"/>
      <c r="SRG2" s="283"/>
      <c r="SRH2" s="283"/>
      <c r="SRI2" s="283"/>
      <c r="SRJ2" s="283"/>
      <c r="SRK2" s="283"/>
      <c r="SRL2" s="283"/>
      <c r="SRM2" s="283"/>
      <c r="SRN2" s="283"/>
      <c r="SRO2" s="283"/>
      <c r="SRP2" s="283"/>
      <c r="SRQ2" s="283"/>
      <c r="SRR2" s="283"/>
      <c r="SRS2" s="283"/>
      <c r="SRT2" s="283"/>
      <c r="SRU2" s="283"/>
      <c r="SRV2" s="283"/>
      <c r="SRW2" s="283"/>
      <c r="SRX2" s="283"/>
      <c r="SRY2" s="283"/>
      <c r="SRZ2" s="283"/>
      <c r="SSA2" s="283"/>
      <c r="SSB2" s="283"/>
      <c r="SSC2" s="283"/>
      <c r="SSD2" s="283"/>
      <c r="SSE2" s="283"/>
      <c r="SSF2" s="283"/>
      <c r="SSG2" s="283"/>
      <c r="SSH2" s="283"/>
      <c r="SSI2" s="283"/>
      <c r="SSJ2" s="283"/>
      <c r="SSK2" s="283"/>
      <c r="SSL2" s="283"/>
      <c r="SSM2" s="283"/>
      <c r="SSN2" s="283"/>
      <c r="SSO2" s="283"/>
      <c r="SSP2" s="283"/>
      <c r="SSQ2" s="283"/>
      <c r="SSR2" s="283"/>
      <c r="SSS2" s="283"/>
      <c r="SST2" s="283"/>
      <c r="SSU2" s="283"/>
      <c r="SSV2" s="283"/>
      <c r="SSW2" s="283"/>
      <c r="SSX2" s="283"/>
      <c r="SSY2" s="283"/>
      <c r="SSZ2" s="283"/>
      <c r="STA2" s="283"/>
      <c r="STB2" s="283"/>
      <c r="STC2" s="283"/>
      <c r="STD2" s="283"/>
      <c r="STE2" s="283"/>
      <c r="STF2" s="283"/>
      <c r="STG2" s="283"/>
      <c r="STH2" s="283"/>
      <c r="STI2" s="283"/>
      <c r="STJ2" s="283"/>
      <c r="STK2" s="283"/>
      <c r="STL2" s="283"/>
      <c r="STM2" s="283"/>
      <c r="STN2" s="283"/>
      <c r="STO2" s="283"/>
      <c r="STP2" s="283"/>
      <c r="STQ2" s="283"/>
      <c r="STR2" s="283"/>
      <c r="STS2" s="283"/>
      <c r="STT2" s="283"/>
      <c r="STU2" s="283"/>
      <c r="STV2" s="283"/>
      <c r="STW2" s="283"/>
      <c r="STX2" s="283"/>
      <c r="STY2" s="283"/>
      <c r="STZ2" s="283"/>
      <c r="SUA2" s="283"/>
      <c r="SUB2" s="283"/>
      <c r="SUC2" s="283"/>
      <c r="SUD2" s="283"/>
      <c r="SUE2" s="283"/>
      <c r="SUF2" s="283"/>
      <c r="SUG2" s="283"/>
      <c r="SUH2" s="283"/>
      <c r="SUI2" s="283"/>
      <c r="SUJ2" s="283"/>
      <c r="SUK2" s="283"/>
      <c r="SUL2" s="283"/>
      <c r="SUM2" s="283"/>
      <c r="SUN2" s="283"/>
      <c r="SUO2" s="283"/>
      <c r="SUP2" s="283"/>
      <c r="SUQ2" s="283"/>
      <c r="SUR2" s="283"/>
      <c r="SUS2" s="283"/>
      <c r="SUT2" s="283"/>
      <c r="SUU2" s="283"/>
      <c r="SUV2" s="283"/>
      <c r="SUW2" s="283"/>
      <c r="SUX2" s="283"/>
      <c r="SUY2" s="283"/>
      <c r="SUZ2" s="283"/>
      <c r="SVA2" s="283"/>
      <c r="SVB2" s="283"/>
      <c r="SVC2" s="283"/>
      <c r="SVD2" s="283"/>
      <c r="SVE2" s="283"/>
      <c r="SVF2" s="283"/>
      <c r="SVG2" s="283"/>
      <c r="SVH2" s="283"/>
      <c r="SVI2" s="283"/>
      <c r="SVJ2" s="283"/>
      <c r="SVK2" s="283"/>
      <c r="SVL2" s="283"/>
      <c r="SVM2" s="283"/>
      <c r="SVN2" s="283"/>
      <c r="SVO2" s="283"/>
      <c r="SVP2" s="283"/>
      <c r="SVQ2" s="283"/>
      <c r="SVR2" s="283"/>
      <c r="SVS2" s="283"/>
      <c r="SVT2" s="283"/>
      <c r="SVU2" s="283"/>
      <c r="SVV2" s="283"/>
      <c r="SVW2" s="283"/>
      <c r="SVX2" s="283"/>
      <c r="SVY2" s="283"/>
      <c r="SVZ2" s="283"/>
      <c r="SWA2" s="283"/>
      <c r="SWB2" s="283"/>
      <c r="SWC2" s="283"/>
      <c r="SWD2" s="283"/>
      <c r="SWE2" s="283"/>
      <c r="SWF2" s="283"/>
      <c r="SWG2" s="283"/>
      <c r="SWH2" s="283"/>
      <c r="SWI2" s="283"/>
      <c r="SWJ2" s="283"/>
      <c r="SWK2" s="283"/>
      <c r="SWL2" s="283"/>
      <c r="SWM2" s="283"/>
      <c r="SWN2" s="283"/>
      <c r="SWO2" s="283"/>
      <c r="SWP2" s="283"/>
      <c r="SWQ2" s="283"/>
      <c r="SWR2" s="283"/>
      <c r="SWS2" s="283"/>
      <c r="SWT2" s="283"/>
      <c r="SWU2" s="283"/>
      <c r="SWV2" s="283"/>
      <c r="SWW2" s="283"/>
      <c r="SWX2" s="283"/>
      <c r="SWY2" s="283"/>
      <c r="SWZ2" s="283"/>
      <c r="SXA2" s="283"/>
      <c r="SXB2" s="283"/>
      <c r="SXC2" s="283"/>
      <c r="SXD2" s="283"/>
      <c r="SXE2" s="283"/>
      <c r="SXF2" s="283"/>
      <c r="SXG2" s="283"/>
      <c r="SXH2" s="283"/>
      <c r="SXI2" s="283"/>
      <c r="SXJ2" s="283"/>
      <c r="SXK2" s="283"/>
      <c r="SXL2" s="283"/>
      <c r="SXM2" s="283"/>
      <c r="SXN2" s="283"/>
      <c r="SXO2" s="283"/>
      <c r="SXP2" s="283"/>
      <c r="SXQ2" s="283"/>
      <c r="SXR2" s="283"/>
      <c r="SXS2" s="283"/>
      <c r="SXT2" s="283"/>
      <c r="SXU2" s="283"/>
      <c r="SXV2" s="283"/>
      <c r="SXW2" s="283"/>
      <c r="SXX2" s="283"/>
      <c r="SXY2" s="283"/>
      <c r="SXZ2" s="283"/>
      <c r="SYA2" s="283"/>
      <c r="SYB2" s="283"/>
      <c r="SYC2" s="283"/>
      <c r="SYD2" s="283"/>
      <c r="SYE2" s="283"/>
      <c r="SYF2" s="283"/>
      <c r="SYG2" s="283"/>
      <c r="SYH2" s="283"/>
      <c r="SYI2" s="283"/>
      <c r="SYJ2" s="283"/>
      <c r="SYK2" s="283"/>
      <c r="SYL2" s="283"/>
      <c r="SYM2" s="283"/>
      <c r="SYN2" s="283"/>
      <c r="SYO2" s="283"/>
      <c r="SYP2" s="283"/>
      <c r="SYQ2" s="283"/>
      <c r="SYR2" s="283"/>
      <c r="SYS2" s="283"/>
      <c r="SYT2" s="283"/>
      <c r="SYU2" s="283"/>
      <c r="SYV2" s="283"/>
      <c r="SYW2" s="283"/>
      <c r="SYX2" s="283"/>
      <c r="SYY2" s="283"/>
      <c r="SYZ2" s="283"/>
      <c r="SZA2" s="283"/>
      <c r="SZB2" s="283"/>
      <c r="SZC2" s="283"/>
      <c r="SZD2" s="283"/>
      <c r="SZE2" s="283"/>
      <c r="SZF2" s="283"/>
      <c r="SZG2" s="283"/>
      <c r="SZH2" s="283"/>
      <c r="SZI2" s="283"/>
      <c r="SZJ2" s="283"/>
      <c r="SZK2" s="283"/>
      <c r="SZL2" s="283"/>
      <c r="SZM2" s="283"/>
      <c r="SZN2" s="283"/>
      <c r="SZO2" s="283"/>
      <c r="SZP2" s="283"/>
      <c r="SZQ2" s="283"/>
      <c r="SZR2" s="283"/>
      <c r="SZS2" s="283"/>
      <c r="SZT2" s="283"/>
      <c r="SZU2" s="283"/>
      <c r="SZV2" s="283"/>
      <c r="SZW2" s="283"/>
      <c r="SZX2" s="283"/>
      <c r="SZY2" s="283"/>
      <c r="SZZ2" s="283"/>
      <c r="TAA2" s="283"/>
      <c r="TAB2" s="283"/>
      <c r="TAC2" s="283"/>
      <c r="TAD2" s="283"/>
      <c r="TAE2" s="283"/>
      <c r="TAF2" s="283"/>
      <c r="TAG2" s="283"/>
      <c r="TAH2" s="283"/>
      <c r="TAI2" s="283"/>
      <c r="TAJ2" s="283"/>
      <c r="TAK2" s="283"/>
      <c r="TAL2" s="283"/>
      <c r="TAM2" s="283"/>
      <c r="TAN2" s="283"/>
      <c r="TAO2" s="283"/>
      <c r="TAP2" s="283"/>
      <c r="TAQ2" s="283"/>
      <c r="TAR2" s="283"/>
      <c r="TAS2" s="283"/>
      <c r="TAT2" s="283"/>
      <c r="TAU2" s="283"/>
      <c r="TAV2" s="283"/>
      <c r="TAW2" s="283"/>
      <c r="TAX2" s="283"/>
      <c r="TAY2" s="283"/>
      <c r="TAZ2" s="283"/>
      <c r="TBA2" s="283"/>
      <c r="TBB2" s="283"/>
      <c r="TBC2" s="283"/>
      <c r="TBD2" s="283"/>
      <c r="TBE2" s="283"/>
      <c r="TBF2" s="283"/>
      <c r="TBG2" s="283"/>
      <c r="TBH2" s="283"/>
      <c r="TBI2" s="283"/>
      <c r="TBJ2" s="283"/>
      <c r="TBK2" s="283"/>
      <c r="TBL2" s="283"/>
      <c r="TBM2" s="283"/>
      <c r="TBN2" s="283"/>
      <c r="TBO2" s="283"/>
      <c r="TBP2" s="283"/>
      <c r="TBQ2" s="283"/>
      <c r="TBR2" s="283"/>
      <c r="TBS2" s="283"/>
      <c r="TBT2" s="283"/>
      <c r="TBU2" s="283"/>
      <c r="TBV2" s="283"/>
      <c r="TBW2" s="283"/>
      <c r="TBX2" s="283"/>
      <c r="TBY2" s="283"/>
      <c r="TBZ2" s="283"/>
      <c r="TCA2" s="283"/>
      <c r="TCB2" s="283"/>
      <c r="TCC2" s="283"/>
      <c r="TCD2" s="283"/>
      <c r="TCE2" s="283"/>
      <c r="TCF2" s="283"/>
      <c r="TCG2" s="283"/>
      <c r="TCH2" s="283"/>
      <c r="TCI2" s="283"/>
      <c r="TCJ2" s="283"/>
      <c r="TCK2" s="283"/>
      <c r="TCL2" s="283"/>
      <c r="TCM2" s="283"/>
      <c r="TCN2" s="283"/>
      <c r="TCO2" s="283"/>
      <c r="TCP2" s="283"/>
      <c r="TCQ2" s="283"/>
      <c r="TCR2" s="283"/>
      <c r="TCS2" s="283"/>
      <c r="TCT2" s="283"/>
      <c r="TCU2" s="283"/>
      <c r="TCV2" s="283"/>
      <c r="TCW2" s="283"/>
      <c r="TCX2" s="283"/>
      <c r="TCY2" s="283"/>
      <c r="TCZ2" s="283"/>
      <c r="TDA2" s="283"/>
      <c r="TDB2" s="283"/>
      <c r="TDC2" s="283"/>
      <c r="TDD2" s="283"/>
      <c r="TDE2" s="283"/>
      <c r="TDF2" s="283"/>
      <c r="TDG2" s="283"/>
      <c r="TDH2" s="283"/>
      <c r="TDI2" s="283"/>
      <c r="TDJ2" s="283"/>
      <c r="TDK2" s="283"/>
      <c r="TDL2" s="283"/>
      <c r="TDM2" s="283"/>
      <c r="TDN2" s="283"/>
      <c r="TDO2" s="283"/>
      <c r="TDP2" s="283"/>
      <c r="TDQ2" s="283"/>
      <c r="TDR2" s="283"/>
      <c r="TDS2" s="283"/>
      <c r="TDT2" s="283"/>
      <c r="TDU2" s="283"/>
      <c r="TDV2" s="283"/>
      <c r="TDW2" s="283"/>
      <c r="TDX2" s="283"/>
      <c r="TDY2" s="283"/>
      <c r="TDZ2" s="283"/>
      <c r="TEA2" s="283"/>
      <c r="TEB2" s="283"/>
      <c r="TEC2" s="283"/>
      <c r="TED2" s="283"/>
      <c r="TEE2" s="283"/>
      <c r="TEF2" s="283"/>
      <c r="TEG2" s="283"/>
      <c r="TEH2" s="283"/>
      <c r="TEI2" s="283"/>
      <c r="TEJ2" s="283"/>
      <c r="TEK2" s="283"/>
      <c r="TEL2" s="283"/>
      <c r="TEM2" s="283"/>
      <c r="TEN2" s="283"/>
      <c r="TEO2" s="283"/>
      <c r="TEP2" s="283"/>
      <c r="TEQ2" s="283"/>
      <c r="TER2" s="283"/>
      <c r="TES2" s="283"/>
      <c r="TET2" s="283"/>
      <c r="TEU2" s="283"/>
      <c r="TEV2" s="283"/>
      <c r="TEW2" s="283"/>
      <c r="TEX2" s="283"/>
      <c r="TEY2" s="283"/>
      <c r="TEZ2" s="283"/>
      <c r="TFA2" s="283"/>
      <c r="TFB2" s="283"/>
      <c r="TFC2" s="283"/>
      <c r="TFD2" s="283"/>
      <c r="TFE2" s="283"/>
      <c r="TFF2" s="283"/>
      <c r="TFG2" s="283"/>
      <c r="TFH2" s="283"/>
      <c r="TFI2" s="283"/>
      <c r="TFJ2" s="283"/>
      <c r="TFK2" s="283"/>
      <c r="TFL2" s="283"/>
      <c r="TFM2" s="283"/>
      <c r="TFN2" s="283"/>
      <c r="TFO2" s="283"/>
      <c r="TFP2" s="283"/>
      <c r="TFQ2" s="283"/>
      <c r="TFR2" s="283"/>
      <c r="TFS2" s="283"/>
      <c r="TFT2" s="283"/>
      <c r="TFU2" s="283"/>
      <c r="TFV2" s="283"/>
      <c r="TFW2" s="283"/>
      <c r="TFX2" s="283"/>
      <c r="TFY2" s="283"/>
      <c r="TFZ2" s="283"/>
      <c r="TGA2" s="283"/>
      <c r="TGB2" s="283"/>
      <c r="TGC2" s="283"/>
      <c r="TGD2" s="283"/>
      <c r="TGE2" s="283"/>
      <c r="TGF2" s="283"/>
      <c r="TGG2" s="283"/>
      <c r="TGH2" s="283"/>
      <c r="TGI2" s="283"/>
      <c r="TGJ2" s="283"/>
      <c r="TGK2" s="283"/>
      <c r="TGL2" s="283"/>
      <c r="TGM2" s="283"/>
      <c r="TGN2" s="283"/>
      <c r="TGO2" s="283"/>
      <c r="TGP2" s="283"/>
      <c r="TGQ2" s="283"/>
      <c r="TGR2" s="283"/>
      <c r="TGS2" s="283"/>
      <c r="TGT2" s="283"/>
      <c r="TGU2" s="283"/>
      <c r="TGV2" s="283"/>
      <c r="TGW2" s="283"/>
      <c r="TGX2" s="283"/>
      <c r="TGY2" s="283"/>
      <c r="TGZ2" s="283"/>
      <c r="THA2" s="283"/>
      <c r="THB2" s="283"/>
      <c r="THC2" s="283"/>
      <c r="THD2" s="283"/>
      <c r="THE2" s="283"/>
      <c r="THF2" s="283"/>
      <c r="THG2" s="283"/>
      <c r="THH2" s="283"/>
      <c r="THI2" s="283"/>
      <c r="THJ2" s="283"/>
      <c r="THK2" s="283"/>
      <c r="THL2" s="283"/>
      <c r="THM2" s="283"/>
      <c r="THN2" s="283"/>
      <c r="THO2" s="283"/>
      <c r="THP2" s="283"/>
      <c r="THQ2" s="283"/>
      <c r="THR2" s="283"/>
      <c r="THS2" s="283"/>
      <c r="THT2" s="283"/>
      <c r="THU2" s="283"/>
      <c r="THV2" s="283"/>
      <c r="THW2" s="283"/>
      <c r="THX2" s="283"/>
      <c r="THY2" s="283"/>
      <c r="THZ2" s="283"/>
      <c r="TIA2" s="283"/>
      <c r="TIB2" s="283"/>
      <c r="TIC2" s="283"/>
      <c r="TID2" s="283"/>
      <c r="TIE2" s="283"/>
      <c r="TIF2" s="283"/>
      <c r="TIG2" s="283"/>
      <c r="TIH2" s="283"/>
      <c r="TII2" s="283"/>
      <c r="TIJ2" s="283"/>
      <c r="TIK2" s="283"/>
      <c r="TIL2" s="283"/>
      <c r="TIM2" s="283"/>
      <c r="TIN2" s="283"/>
      <c r="TIO2" s="283"/>
      <c r="TIP2" s="283"/>
      <c r="TIQ2" s="283"/>
      <c r="TIR2" s="283"/>
      <c r="TIS2" s="283"/>
      <c r="TIT2" s="283"/>
      <c r="TIU2" s="283"/>
      <c r="TIV2" s="283"/>
      <c r="TIW2" s="283"/>
      <c r="TIX2" s="283"/>
      <c r="TIY2" s="283"/>
      <c r="TIZ2" s="283"/>
      <c r="TJA2" s="283"/>
      <c r="TJB2" s="283"/>
      <c r="TJC2" s="283"/>
      <c r="TJD2" s="283"/>
      <c r="TJE2" s="283"/>
      <c r="TJF2" s="283"/>
      <c r="TJG2" s="283"/>
      <c r="TJH2" s="283"/>
      <c r="TJI2" s="283"/>
      <c r="TJJ2" s="283"/>
      <c r="TJK2" s="283"/>
      <c r="TJL2" s="283"/>
      <c r="TJM2" s="283"/>
      <c r="TJN2" s="283"/>
      <c r="TJO2" s="283"/>
      <c r="TJP2" s="283"/>
      <c r="TJQ2" s="283"/>
      <c r="TJR2" s="283"/>
      <c r="TJS2" s="283"/>
      <c r="TJT2" s="283"/>
      <c r="TJU2" s="283"/>
      <c r="TJV2" s="283"/>
      <c r="TJW2" s="283"/>
      <c r="TJX2" s="283"/>
      <c r="TJY2" s="283"/>
      <c r="TJZ2" s="283"/>
      <c r="TKA2" s="283"/>
      <c r="TKB2" s="283"/>
      <c r="TKC2" s="283"/>
      <c r="TKD2" s="283"/>
      <c r="TKE2" s="283"/>
      <c r="TKF2" s="283"/>
      <c r="TKG2" s="283"/>
      <c r="TKH2" s="283"/>
      <c r="TKI2" s="283"/>
      <c r="TKJ2" s="283"/>
      <c r="TKK2" s="283"/>
      <c r="TKL2" s="283"/>
      <c r="TKM2" s="283"/>
      <c r="TKN2" s="283"/>
      <c r="TKO2" s="283"/>
      <c r="TKP2" s="283"/>
      <c r="TKQ2" s="283"/>
      <c r="TKR2" s="283"/>
      <c r="TKS2" s="283"/>
      <c r="TKT2" s="283"/>
      <c r="TKU2" s="283"/>
      <c r="TKV2" s="283"/>
      <c r="TKW2" s="283"/>
      <c r="TKX2" s="283"/>
      <c r="TKY2" s="283"/>
      <c r="TKZ2" s="283"/>
      <c r="TLA2" s="283"/>
      <c r="TLB2" s="283"/>
      <c r="TLC2" s="283"/>
      <c r="TLD2" s="283"/>
      <c r="TLE2" s="283"/>
      <c r="TLF2" s="283"/>
      <c r="TLG2" s="283"/>
      <c r="TLH2" s="283"/>
      <c r="TLI2" s="283"/>
      <c r="TLJ2" s="283"/>
      <c r="TLK2" s="283"/>
      <c r="TLL2" s="283"/>
      <c r="TLM2" s="283"/>
      <c r="TLN2" s="283"/>
      <c r="TLO2" s="283"/>
      <c r="TLP2" s="283"/>
      <c r="TLQ2" s="283"/>
      <c r="TLR2" s="283"/>
      <c r="TLS2" s="283"/>
      <c r="TLT2" s="283"/>
      <c r="TLU2" s="283"/>
      <c r="TLV2" s="283"/>
      <c r="TLW2" s="283"/>
      <c r="TLX2" s="283"/>
      <c r="TLY2" s="283"/>
      <c r="TLZ2" s="283"/>
      <c r="TMA2" s="283"/>
      <c r="TMB2" s="283"/>
      <c r="TMC2" s="283"/>
      <c r="TMD2" s="283"/>
      <c r="TME2" s="283"/>
      <c r="TMF2" s="283"/>
      <c r="TMG2" s="283"/>
      <c r="TMH2" s="283"/>
      <c r="TMI2" s="283"/>
      <c r="TMJ2" s="283"/>
      <c r="TMK2" s="283"/>
      <c r="TML2" s="283"/>
      <c r="TMM2" s="283"/>
      <c r="TMN2" s="283"/>
      <c r="TMO2" s="283"/>
      <c r="TMP2" s="283"/>
      <c r="TMQ2" s="283"/>
      <c r="TMR2" s="283"/>
      <c r="TMS2" s="283"/>
      <c r="TMT2" s="283"/>
      <c r="TMU2" s="283"/>
      <c r="TMV2" s="283"/>
      <c r="TMW2" s="283"/>
      <c r="TMX2" s="283"/>
      <c r="TMY2" s="283"/>
      <c r="TMZ2" s="283"/>
      <c r="TNA2" s="283"/>
      <c r="TNB2" s="283"/>
      <c r="TNC2" s="283"/>
      <c r="TND2" s="283"/>
      <c r="TNE2" s="283"/>
      <c r="TNF2" s="283"/>
      <c r="TNG2" s="283"/>
      <c r="TNH2" s="283"/>
      <c r="TNI2" s="283"/>
      <c r="TNJ2" s="283"/>
      <c r="TNK2" s="283"/>
      <c r="TNL2" s="283"/>
      <c r="TNM2" s="283"/>
      <c r="TNN2" s="283"/>
      <c r="TNO2" s="283"/>
      <c r="TNP2" s="283"/>
      <c r="TNQ2" s="283"/>
      <c r="TNR2" s="283"/>
      <c r="TNS2" s="283"/>
      <c r="TNT2" s="283"/>
      <c r="TNU2" s="283"/>
      <c r="TNV2" s="283"/>
      <c r="TNW2" s="283"/>
      <c r="TNX2" s="283"/>
      <c r="TNY2" s="283"/>
      <c r="TNZ2" s="283"/>
      <c r="TOA2" s="283"/>
      <c r="TOB2" s="283"/>
      <c r="TOC2" s="283"/>
      <c r="TOD2" s="283"/>
      <c r="TOE2" s="283"/>
      <c r="TOF2" s="283"/>
      <c r="TOG2" s="283"/>
      <c r="TOH2" s="283"/>
      <c r="TOI2" s="283"/>
      <c r="TOJ2" s="283"/>
      <c r="TOK2" s="283"/>
      <c r="TOL2" s="283"/>
      <c r="TOM2" s="283"/>
      <c r="TON2" s="283"/>
      <c r="TOO2" s="283"/>
      <c r="TOP2" s="283"/>
      <c r="TOQ2" s="283"/>
      <c r="TOR2" s="283"/>
      <c r="TOS2" s="283"/>
      <c r="TOT2" s="283"/>
      <c r="TOU2" s="283"/>
      <c r="TOV2" s="283"/>
      <c r="TOW2" s="283"/>
      <c r="TOX2" s="283"/>
      <c r="TOY2" s="283"/>
      <c r="TOZ2" s="283"/>
      <c r="TPA2" s="283"/>
      <c r="TPB2" s="283"/>
      <c r="TPC2" s="283"/>
      <c r="TPD2" s="283"/>
      <c r="TPE2" s="283"/>
      <c r="TPF2" s="283"/>
      <c r="TPG2" s="283"/>
      <c r="TPH2" s="283"/>
      <c r="TPI2" s="283"/>
      <c r="TPJ2" s="283"/>
      <c r="TPK2" s="283"/>
      <c r="TPL2" s="283"/>
      <c r="TPM2" s="283"/>
      <c r="TPN2" s="283"/>
      <c r="TPO2" s="283"/>
      <c r="TPP2" s="283"/>
      <c r="TPQ2" s="283"/>
      <c r="TPR2" s="283"/>
      <c r="TPS2" s="283"/>
      <c r="TPT2" s="283"/>
      <c r="TPU2" s="283"/>
      <c r="TPV2" s="283"/>
      <c r="TPW2" s="283"/>
      <c r="TPX2" s="283"/>
      <c r="TPY2" s="283"/>
      <c r="TPZ2" s="283"/>
      <c r="TQA2" s="283"/>
      <c r="TQB2" s="283"/>
      <c r="TQC2" s="283"/>
      <c r="TQD2" s="283"/>
      <c r="TQE2" s="283"/>
      <c r="TQF2" s="283"/>
      <c r="TQG2" s="283"/>
      <c r="TQH2" s="283"/>
      <c r="TQI2" s="283"/>
      <c r="TQJ2" s="283"/>
      <c r="TQK2" s="283"/>
      <c r="TQL2" s="283"/>
      <c r="TQM2" s="283"/>
      <c r="TQN2" s="283"/>
      <c r="TQO2" s="283"/>
      <c r="TQP2" s="283"/>
      <c r="TQQ2" s="283"/>
      <c r="TQR2" s="283"/>
      <c r="TQS2" s="283"/>
      <c r="TQT2" s="283"/>
      <c r="TQU2" s="283"/>
      <c r="TQV2" s="283"/>
      <c r="TQW2" s="283"/>
      <c r="TQX2" s="283"/>
      <c r="TQY2" s="283"/>
      <c r="TQZ2" s="283"/>
      <c r="TRA2" s="283"/>
      <c r="TRB2" s="283"/>
      <c r="TRC2" s="283"/>
      <c r="TRD2" s="283"/>
      <c r="TRE2" s="283"/>
      <c r="TRF2" s="283"/>
      <c r="TRG2" s="283"/>
      <c r="TRH2" s="283"/>
      <c r="TRI2" s="283"/>
      <c r="TRJ2" s="283"/>
      <c r="TRK2" s="283"/>
      <c r="TRL2" s="283"/>
      <c r="TRM2" s="283"/>
      <c r="TRN2" s="283"/>
      <c r="TRO2" s="283"/>
      <c r="TRP2" s="283"/>
      <c r="TRQ2" s="283"/>
      <c r="TRR2" s="283"/>
      <c r="TRS2" s="283"/>
      <c r="TRT2" s="283"/>
      <c r="TRU2" s="283"/>
      <c r="TRV2" s="283"/>
      <c r="TRW2" s="283"/>
      <c r="TRX2" s="283"/>
      <c r="TRY2" s="283"/>
      <c r="TRZ2" s="283"/>
      <c r="TSA2" s="283"/>
      <c r="TSB2" s="283"/>
      <c r="TSC2" s="283"/>
      <c r="TSD2" s="283"/>
      <c r="TSE2" s="283"/>
      <c r="TSF2" s="283"/>
      <c r="TSG2" s="283"/>
      <c r="TSH2" s="283"/>
      <c r="TSI2" s="283"/>
      <c r="TSJ2" s="283"/>
      <c r="TSK2" s="283"/>
      <c r="TSL2" s="283"/>
      <c r="TSM2" s="283"/>
      <c r="TSN2" s="283"/>
      <c r="TSO2" s="283"/>
      <c r="TSP2" s="283"/>
      <c r="TSQ2" s="283"/>
      <c r="TSR2" s="283"/>
      <c r="TSS2" s="283"/>
      <c r="TST2" s="283"/>
      <c r="TSU2" s="283"/>
      <c r="TSV2" s="283"/>
      <c r="TSW2" s="283"/>
      <c r="TSX2" s="283"/>
      <c r="TSY2" s="283"/>
      <c r="TSZ2" s="283"/>
      <c r="TTA2" s="283"/>
      <c r="TTB2" s="283"/>
      <c r="TTC2" s="283"/>
      <c r="TTD2" s="283"/>
      <c r="TTE2" s="283"/>
      <c r="TTF2" s="283"/>
      <c r="TTG2" s="283"/>
      <c r="TTH2" s="283"/>
      <c r="TTI2" s="283"/>
      <c r="TTJ2" s="283"/>
      <c r="TTK2" s="283"/>
      <c r="TTL2" s="283"/>
      <c r="TTM2" s="283"/>
      <c r="TTN2" s="283"/>
      <c r="TTO2" s="283"/>
      <c r="TTP2" s="283"/>
      <c r="TTQ2" s="283"/>
      <c r="TTR2" s="283"/>
      <c r="TTS2" s="283"/>
      <c r="TTT2" s="283"/>
      <c r="TTU2" s="283"/>
      <c r="TTV2" s="283"/>
      <c r="TTW2" s="283"/>
      <c r="TTX2" s="283"/>
      <c r="TTY2" s="283"/>
      <c r="TTZ2" s="283"/>
      <c r="TUA2" s="283"/>
      <c r="TUB2" s="283"/>
      <c r="TUC2" s="283"/>
      <c r="TUD2" s="283"/>
      <c r="TUE2" s="283"/>
      <c r="TUF2" s="283"/>
      <c r="TUG2" s="283"/>
      <c r="TUH2" s="283"/>
      <c r="TUI2" s="283"/>
      <c r="TUJ2" s="283"/>
      <c r="TUK2" s="283"/>
      <c r="TUL2" s="283"/>
      <c r="TUM2" s="283"/>
      <c r="TUN2" s="283"/>
      <c r="TUO2" s="283"/>
      <c r="TUP2" s="283"/>
      <c r="TUQ2" s="283"/>
      <c r="TUR2" s="283"/>
      <c r="TUS2" s="283"/>
      <c r="TUT2" s="283"/>
      <c r="TUU2" s="283"/>
      <c r="TUV2" s="283"/>
      <c r="TUW2" s="283"/>
      <c r="TUX2" s="283"/>
      <c r="TUY2" s="283"/>
      <c r="TUZ2" s="283"/>
      <c r="TVA2" s="283"/>
      <c r="TVB2" s="283"/>
      <c r="TVC2" s="283"/>
      <c r="TVD2" s="283"/>
      <c r="TVE2" s="283"/>
      <c r="TVF2" s="283"/>
      <c r="TVG2" s="283"/>
      <c r="TVH2" s="283"/>
      <c r="TVI2" s="283"/>
      <c r="TVJ2" s="283"/>
      <c r="TVK2" s="283"/>
      <c r="TVL2" s="283"/>
      <c r="TVM2" s="283"/>
      <c r="TVN2" s="283"/>
      <c r="TVO2" s="283"/>
      <c r="TVP2" s="283"/>
      <c r="TVQ2" s="283"/>
      <c r="TVR2" s="283"/>
      <c r="TVS2" s="283"/>
      <c r="TVT2" s="283"/>
      <c r="TVU2" s="283"/>
      <c r="TVV2" s="283"/>
      <c r="TVW2" s="283"/>
      <c r="TVX2" s="283"/>
      <c r="TVY2" s="283"/>
      <c r="TVZ2" s="283"/>
      <c r="TWA2" s="283"/>
      <c r="TWB2" s="283"/>
      <c r="TWC2" s="283"/>
      <c r="TWD2" s="283"/>
      <c r="TWE2" s="283"/>
      <c r="TWF2" s="283"/>
      <c r="TWG2" s="283"/>
      <c r="TWH2" s="283"/>
      <c r="TWI2" s="283"/>
      <c r="TWJ2" s="283"/>
      <c r="TWK2" s="283"/>
      <c r="TWL2" s="283"/>
      <c r="TWM2" s="283"/>
      <c r="TWN2" s="283"/>
      <c r="TWO2" s="283"/>
      <c r="TWP2" s="283"/>
      <c r="TWQ2" s="283"/>
      <c r="TWR2" s="283"/>
      <c r="TWS2" s="283"/>
      <c r="TWT2" s="283"/>
      <c r="TWU2" s="283"/>
      <c r="TWV2" s="283"/>
      <c r="TWW2" s="283"/>
      <c r="TWX2" s="283"/>
      <c r="TWY2" s="283"/>
      <c r="TWZ2" s="283"/>
      <c r="TXA2" s="283"/>
      <c r="TXB2" s="283"/>
      <c r="TXC2" s="283"/>
      <c r="TXD2" s="283"/>
      <c r="TXE2" s="283"/>
      <c r="TXF2" s="283"/>
      <c r="TXG2" s="283"/>
      <c r="TXH2" s="283"/>
      <c r="TXI2" s="283"/>
      <c r="TXJ2" s="283"/>
      <c r="TXK2" s="283"/>
      <c r="TXL2" s="283"/>
      <c r="TXM2" s="283"/>
      <c r="TXN2" s="283"/>
      <c r="TXO2" s="283"/>
      <c r="TXP2" s="283"/>
      <c r="TXQ2" s="283"/>
      <c r="TXR2" s="283"/>
      <c r="TXS2" s="283"/>
      <c r="TXT2" s="283"/>
      <c r="TXU2" s="283"/>
      <c r="TXV2" s="283"/>
      <c r="TXW2" s="283"/>
      <c r="TXX2" s="283"/>
      <c r="TXY2" s="283"/>
      <c r="TXZ2" s="283"/>
      <c r="TYA2" s="283"/>
      <c r="TYB2" s="283"/>
      <c r="TYC2" s="283"/>
      <c r="TYD2" s="283"/>
      <c r="TYE2" s="283"/>
      <c r="TYF2" s="283"/>
      <c r="TYG2" s="283"/>
      <c r="TYH2" s="283"/>
      <c r="TYI2" s="283"/>
      <c r="TYJ2" s="283"/>
      <c r="TYK2" s="283"/>
      <c r="TYL2" s="283"/>
      <c r="TYM2" s="283"/>
      <c r="TYN2" s="283"/>
      <c r="TYO2" s="283"/>
      <c r="TYP2" s="283"/>
      <c r="TYQ2" s="283"/>
      <c r="TYR2" s="283"/>
      <c r="TYS2" s="283"/>
      <c r="TYT2" s="283"/>
      <c r="TYU2" s="283"/>
      <c r="TYV2" s="283"/>
      <c r="TYW2" s="283"/>
      <c r="TYX2" s="283"/>
      <c r="TYY2" s="283"/>
      <c r="TYZ2" s="283"/>
      <c r="TZA2" s="283"/>
      <c r="TZB2" s="283"/>
      <c r="TZC2" s="283"/>
      <c r="TZD2" s="283"/>
      <c r="TZE2" s="283"/>
      <c r="TZF2" s="283"/>
      <c r="TZG2" s="283"/>
      <c r="TZH2" s="283"/>
      <c r="TZI2" s="283"/>
      <c r="TZJ2" s="283"/>
      <c r="TZK2" s="283"/>
      <c r="TZL2" s="283"/>
      <c r="TZM2" s="283"/>
      <c r="TZN2" s="283"/>
      <c r="TZO2" s="283"/>
      <c r="TZP2" s="283"/>
      <c r="TZQ2" s="283"/>
      <c r="TZR2" s="283"/>
      <c r="TZS2" s="283"/>
      <c r="TZT2" s="283"/>
      <c r="TZU2" s="283"/>
      <c r="TZV2" s="283"/>
      <c r="TZW2" s="283"/>
      <c r="TZX2" s="283"/>
      <c r="TZY2" s="283"/>
      <c r="TZZ2" s="283"/>
      <c r="UAA2" s="283"/>
      <c r="UAB2" s="283"/>
      <c r="UAC2" s="283"/>
      <c r="UAD2" s="283"/>
      <c r="UAE2" s="283"/>
      <c r="UAF2" s="283"/>
      <c r="UAG2" s="283"/>
      <c r="UAH2" s="283"/>
      <c r="UAI2" s="283"/>
      <c r="UAJ2" s="283"/>
      <c r="UAK2" s="283"/>
      <c r="UAL2" s="283"/>
      <c r="UAM2" s="283"/>
      <c r="UAN2" s="283"/>
      <c r="UAO2" s="283"/>
      <c r="UAP2" s="283"/>
      <c r="UAQ2" s="283"/>
      <c r="UAR2" s="283"/>
      <c r="UAS2" s="283"/>
      <c r="UAT2" s="283"/>
      <c r="UAU2" s="283"/>
      <c r="UAV2" s="283"/>
      <c r="UAW2" s="283"/>
      <c r="UAX2" s="283"/>
      <c r="UAY2" s="283"/>
      <c r="UAZ2" s="283"/>
      <c r="UBA2" s="283"/>
      <c r="UBB2" s="283"/>
      <c r="UBC2" s="283"/>
      <c r="UBD2" s="283"/>
      <c r="UBE2" s="283"/>
      <c r="UBF2" s="283"/>
      <c r="UBG2" s="283"/>
      <c r="UBH2" s="283"/>
      <c r="UBI2" s="283"/>
      <c r="UBJ2" s="283"/>
      <c r="UBK2" s="283"/>
      <c r="UBL2" s="283"/>
      <c r="UBM2" s="283"/>
      <c r="UBN2" s="283"/>
      <c r="UBO2" s="283"/>
      <c r="UBP2" s="283"/>
      <c r="UBQ2" s="283"/>
      <c r="UBR2" s="283"/>
      <c r="UBS2" s="283"/>
      <c r="UBT2" s="283"/>
      <c r="UBU2" s="283"/>
      <c r="UBV2" s="283"/>
      <c r="UBW2" s="283"/>
      <c r="UBX2" s="283"/>
      <c r="UBY2" s="283"/>
      <c r="UBZ2" s="283"/>
      <c r="UCA2" s="283"/>
      <c r="UCB2" s="283"/>
      <c r="UCC2" s="283"/>
      <c r="UCD2" s="283"/>
      <c r="UCE2" s="283"/>
      <c r="UCF2" s="283"/>
      <c r="UCG2" s="283"/>
      <c r="UCH2" s="283"/>
      <c r="UCI2" s="283"/>
      <c r="UCJ2" s="283"/>
      <c r="UCK2" s="283"/>
      <c r="UCL2" s="283"/>
      <c r="UCM2" s="283"/>
      <c r="UCN2" s="283"/>
      <c r="UCO2" s="283"/>
      <c r="UCP2" s="283"/>
      <c r="UCQ2" s="283"/>
      <c r="UCR2" s="283"/>
      <c r="UCS2" s="283"/>
      <c r="UCT2" s="283"/>
      <c r="UCU2" s="283"/>
      <c r="UCV2" s="283"/>
      <c r="UCW2" s="283"/>
      <c r="UCX2" s="283"/>
      <c r="UCY2" s="283"/>
      <c r="UCZ2" s="283"/>
      <c r="UDA2" s="283"/>
      <c r="UDB2" s="283"/>
      <c r="UDC2" s="283"/>
      <c r="UDD2" s="283"/>
      <c r="UDE2" s="283"/>
      <c r="UDF2" s="283"/>
      <c r="UDG2" s="283"/>
      <c r="UDH2" s="283"/>
      <c r="UDI2" s="283"/>
      <c r="UDJ2" s="283"/>
      <c r="UDK2" s="283"/>
      <c r="UDL2" s="283"/>
      <c r="UDM2" s="283"/>
      <c r="UDN2" s="283"/>
      <c r="UDO2" s="283"/>
      <c r="UDP2" s="283"/>
      <c r="UDQ2" s="283"/>
      <c r="UDR2" s="283"/>
      <c r="UDS2" s="283"/>
      <c r="UDT2" s="283"/>
      <c r="UDU2" s="283"/>
      <c r="UDV2" s="283"/>
      <c r="UDW2" s="283"/>
      <c r="UDX2" s="283"/>
      <c r="UDY2" s="283"/>
      <c r="UDZ2" s="283"/>
      <c r="UEA2" s="283"/>
      <c r="UEB2" s="283"/>
      <c r="UEC2" s="283"/>
      <c r="UED2" s="283"/>
      <c r="UEE2" s="283"/>
      <c r="UEF2" s="283"/>
      <c r="UEG2" s="283"/>
      <c r="UEH2" s="283"/>
      <c r="UEI2" s="283"/>
      <c r="UEJ2" s="283"/>
      <c r="UEK2" s="283"/>
      <c r="UEL2" s="283"/>
      <c r="UEM2" s="283"/>
      <c r="UEN2" s="283"/>
      <c r="UEO2" s="283"/>
      <c r="UEP2" s="283"/>
      <c r="UEQ2" s="283"/>
      <c r="UER2" s="283"/>
      <c r="UES2" s="283"/>
      <c r="UET2" s="283"/>
      <c r="UEU2" s="283"/>
      <c r="UEV2" s="283"/>
      <c r="UEW2" s="283"/>
      <c r="UEX2" s="283"/>
      <c r="UEY2" s="283"/>
      <c r="UEZ2" s="283"/>
      <c r="UFA2" s="283"/>
      <c r="UFB2" s="283"/>
      <c r="UFC2" s="283"/>
      <c r="UFD2" s="283"/>
      <c r="UFE2" s="283"/>
      <c r="UFF2" s="283"/>
      <c r="UFG2" s="283"/>
      <c r="UFH2" s="283"/>
      <c r="UFI2" s="283"/>
      <c r="UFJ2" s="283"/>
      <c r="UFK2" s="283"/>
      <c r="UFL2" s="283"/>
      <c r="UFM2" s="283"/>
      <c r="UFN2" s="283"/>
      <c r="UFO2" s="283"/>
      <c r="UFP2" s="283"/>
      <c r="UFQ2" s="283"/>
      <c r="UFR2" s="283"/>
      <c r="UFS2" s="283"/>
      <c r="UFT2" s="283"/>
      <c r="UFU2" s="283"/>
      <c r="UFV2" s="283"/>
      <c r="UFW2" s="283"/>
      <c r="UFX2" s="283"/>
      <c r="UFY2" s="283"/>
      <c r="UFZ2" s="283"/>
      <c r="UGA2" s="283"/>
      <c r="UGB2" s="283"/>
      <c r="UGC2" s="283"/>
      <c r="UGD2" s="283"/>
      <c r="UGE2" s="283"/>
      <c r="UGF2" s="283"/>
      <c r="UGG2" s="283"/>
      <c r="UGH2" s="283"/>
      <c r="UGI2" s="283"/>
      <c r="UGJ2" s="283"/>
      <c r="UGK2" s="283"/>
      <c r="UGL2" s="283"/>
      <c r="UGM2" s="283"/>
      <c r="UGN2" s="283"/>
      <c r="UGO2" s="283"/>
      <c r="UGP2" s="283"/>
      <c r="UGQ2" s="283"/>
      <c r="UGR2" s="283"/>
      <c r="UGS2" s="283"/>
      <c r="UGT2" s="283"/>
      <c r="UGU2" s="283"/>
      <c r="UGV2" s="283"/>
      <c r="UGW2" s="283"/>
      <c r="UGX2" s="283"/>
      <c r="UGY2" s="283"/>
      <c r="UGZ2" s="283"/>
      <c r="UHA2" s="283"/>
      <c r="UHB2" s="283"/>
      <c r="UHC2" s="283"/>
      <c r="UHD2" s="283"/>
      <c r="UHE2" s="283"/>
      <c r="UHF2" s="283"/>
      <c r="UHG2" s="283"/>
      <c r="UHH2" s="283"/>
      <c r="UHI2" s="283"/>
      <c r="UHJ2" s="283"/>
      <c r="UHK2" s="283"/>
      <c r="UHL2" s="283"/>
      <c r="UHM2" s="283"/>
      <c r="UHN2" s="283"/>
      <c r="UHO2" s="283"/>
      <c r="UHP2" s="283"/>
      <c r="UHQ2" s="283"/>
      <c r="UHR2" s="283"/>
      <c r="UHS2" s="283"/>
      <c r="UHT2" s="283"/>
      <c r="UHU2" s="283"/>
      <c r="UHV2" s="283"/>
      <c r="UHW2" s="283"/>
      <c r="UHX2" s="283"/>
      <c r="UHY2" s="283"/>
      <c r="UHZ2" s="283"/>
      <c r="UIA2" s="283"/>
      <c r="UIB2" s="283"/>
      <c r="UIC2" s="283"/>
      <c r="UID2" s="283"/>
      <c r="UIE2" s="283"/>
      <c r="UIF2" s="283"/>
      <c r="UIG2" s="283"/>
      <c r="UIH2" s="283"/>
      <c r="UII2" s="283"/>
      <c r="UIJ2" s="283"/>
      <c r="UIK2" s="283"/>
      <c r="UIL2" s="283"/>
      <c r="UIM2" s="283"/>
      <c r="UIN2" s="283"/>
      <c r="UIO2" s="283"/>
      <c r="UIP2" s="283"/>
      <c r="UIQ2" s="283"/>
      <c r="UIR2" s="283"/>
      <c r="UIS2" s="283"/>
      <c r="UIT2" s="283"/>
      <c r="UIU2" s="283"/>
      <c r="UIV2" s="283"/>
      <c r="UIW2" s="283"/>
      <c r="UIX2" s="283"/>
      <c r="UIY2" s="283"/>
      <c r="UIZ2" s="283"/>
      <c r="UJA2" s="283"/>
      <c r="UJB2" s="283"/>
      <c r="UJC2" s="283"/>
      <c r="UJD2" s="283"/>
      <c r="UJE2" s="283"/>
      <c r="UJF2" s="283"/>
      <c r="UJG2" s="283"/>
      <c r="UJH2" s="283"/>
      <c r="UJI2" s="283"/>
      <c r="UJJ2" s="283"/>
      <c r="UJK2" s="283"/>
      <c r="UJL2" s="283"/>
      <c r="UJM2" s="283"/>
      <c r="UJN2" s="283"/>
      <c r="UJO2" s="283"/>
      <c r="UJP2" s="283"/>
      <c r="UJQ2" s="283"/>
      <c r="UJR2" s="283"/>
      <c r="UJS2" s="283"/>
      <c r="UJT2" s="283"/>
      <c r="UJU2" s="283"/>
      <c r="UJV2" s="283"/>
      <c r="UJW2" s="283"/>
      <c r="UJX2" s="283"/>
      <c r="UJY2" s="283"/>
      <c r="UJZ2" s="283"/>
      <c r="UKA2" s="283"/>
      <c r="UKB2" s="283"/>
      <c r="UKC2" s="283"/>
      <c r="UKD2" s="283"/>
      <c r="UKE2" s="283"/>
      <c r="UKF2" s="283"/>
      <c r="UKG2" s="283"/>
      <c r="UKH2" s="283"/>
      <c r="UKI2" s="283"/>
      <c r="UKJ2" s="283"/>
      <c r="UKK2" s="283"/>
      <c r="UKL2" s="283"/>
      <c r="UKM2" s="283"/>
      <c r="UKN2" s="283"/>
      <c r="UKO2" s="283"/>
      <c r="UKP2" s="283"/>
      <c r="UKQ2" s="283"/>
      <c r="UKR2" s="283"/>
      <c r="UKS2" s="283"/>
      <c r="UKT2" s="283"/>
      <c r="UKU2" s="283"/>
      <c r="UKV2" s="283"/>
      <c r="UKW2" s="283"/>
      <c r="UKX2" s="283"/>
      <c r="UKY2" s="283"/>
      <c r="UKZ2" s="283"/>
      <c r="ULA2" s="283"/>
      <c r="ULB2" s="283"/>
      <c r="ULC2" s="283"/>
      <c r="ULD2" s="283"/>
      <c r="ULE2" s="283"/>
      <c r="ULF2" s="283"/>
      <c r="ULG2" s="283"/>
      <c r="ULH2" s="283"/>
      <c r="ULI2" s="283"/>
      <c r="ULJ2" s="283"/>
      <c r="ULK2" s="283"/>
      <c r="ULL2" s="283"/>
      <c r="ULM2" s="283"/>
      <c r="ULN2" s="283"/>
      <c r="ULO2" s="283"/>
      <c r="ULP2" s="283"/>
      <c r="ULQ2" s="283"/>
      <c r="ULR2" s="283"/>
      <c r="ULS2" s="283"/>
      <c r="ULT2" s="283"/>
      <c r="ULU2" s="283"/>
      <c r="ULV2" s="283"/>
      <c r="ULW2" s="283"/>
      <c r="ULX2" s="283"/>
      <c r="ULY2" s="283"/>
      <c r="ULZ2" s="283"/>
      <c r="UMA2" s="283"/>
      <c r="UMB2" s="283"/>
      <c r="UMC2" s="283"/>
      <c r="UMD2" s="283"/>
      <c r="UME2" s="283"/>
      <c r="UMF2" s="283"/>
      <c r="UMG2" s="283"/>
      <c r="UMH2" s="283"/>
      <c r="UMI2" s="283"/>
      <c r="UMJ2" s="283"/>
      <c r="UMK2" s="283"/>
      <c r="UML2" s="283"/>
      <c r="UMM2" s="283"/>
      <c r="UMN2" s="283"/>
      <c r="UMO2" s="283"/>
      <c r="UMP2" s="283"/>
      <c r="UMQ2" s="283"/>
      <c r="UMR2" s="283"/>
      <c r="UMS2" s="283"/>
      <c r="UMT2" s="283"/>
      <c r="UMU2" s="283"/>
      <c r="UMV2" s="283"/>
      <c r="UMW2" s="283"/>
      <c r="UMX2" s="283"/>
      <c r="UMY2" s="283"/>
      <c r="UMZ2" s="283"/>
      <c r="UNA2" s="283"/>
      <c r="UNB2" s="283"/>
      <c r="UNC2" s="283"/>
      <c r="UND2" s="283"/>
      <c r="UNE2" s="283"/>
      <c r="UNF2" s="283"/>
      <c r="UNG2" s="283"/>
      <c r="UNH2" s="283"/>
      <c r="UNI2" s="283"/>
      <c r="UNJ2" s="283"/>
      <c r="UNK2" s="283"/>
      <c r="UNL2" s="283"/>
      <c r="UNM2" s="283"/>
      <c r="UNN2" s="283"/>
      <c r="UNO2" s="283"/>
      <c r="UNP2" s="283"/>
      <c r="UNQ2" s="283"/>
      <c r="UNR2" s="283"/>
      <c r="UNS2" s="283"/>
      <c r="UNT2" s="283"/>
      <c r="UNU2" s="283"/>
      <c r="UNV2" s="283"/>
      <c r="UNW2" s="283"/>
      <c r="UNX2" s="283"/>
      <c r="UNY2" s="283"/>
      <c r="UNZ2" s="283"/>
      <c r="UOA2" s="283"/>
      <c r="UOB2" s="283"/>
      <c r="UOC2" s="283"/>
      <c r="UOD2" s="283"/>
      <c r="UOE2" s="283"/>
      <c r="UOF2" s="283"/>
      <c r="UOG2" s="283"/>
      <c r="UOH2" s="283"/>
      <c r="UOI2" s="283"/>
      <c r="UOJ2" s="283"/>
      <c r="UOK2" s="283"/>
      <c r="UOL2" s="283"/>
      <c r="UOM2" s="283"/>
      <c r="UON2" s="283"/>
      <c r="UOO2" s="283"/>
      <c r="UOP2" s="283"/>
      <c r="UOQ2" s="283"/>
      <c r="UOR2" s="283"/>
      <c r="UOS2" s="283"/>
      <c r="UOT2" s="283"/>
      <c r="UOU2" s="283"/>
      <c r="UOV2" s="283"/>
      <c r="UOW2" s="283"/>
      <c r="UOX2" s="283"/>
      <c r="UOY2" s="283"/>
      <c r="UOZ2" s="283"/>
      <c r="UPA2" s="283"/>
      <c r="UPB2" s="283"/>
      <c r="UPC2" s="283"/>
      <c r="UPD2" s="283"/>
      <c r="UPE2" s="283"/>
      <c r="UPF2" s="283"/>
      <c r="UPG2" s="283"/>
      <c r="UPH2" s="283"/>
      <c r="UPI2" s="283"/>
      <c r="UPJ2" s="283"/>
      <c r="UPK2" s="283"/>
      <c r="UPL2" s="283"/>
      <c r="UPM2" s="283"/>
      <c r="UPN2" s="283"/>
      <c r="UPO2" s="283"/>
      <c r="UPP2" s="283"/>
      <c r="UPQ2" s="283"/>
      <c r="UPR2" s="283"/>
      <c r="UPS2" s="283"/>
      <c r="UPT2" s="283"/>
      <c r="UPU2" s="283"/>
      <c r="UPV2" s="283"/>
      <c r="UPW2" s="283"/>
      <c r="UPX2" s="283"/>
      <c r="UPY2" s="283"/>
      <c r="UPZ2" s="283"/>
      <c r="UQA2" s="283"/>
      <c r="UQB2" s="283"/>
      <c r="UQC2" s="283"/>
      <c r="UQD2" s="283"/>
      <c r="UQE2" s="283"/>
      <c r="UQF2" s="283"/>
      <c r="UQG2" s="283"/>
      <c r="UQH2" s="283"/>
      <c r="UQI2" s="283"/>
      <c r="UQJ2" s="283"/>
      <c r="UQK2" s="283"/>
      <c r="UQL2" s="283"/>
      <c r="UQM2" s="283"/>
      <c r="UQN2" s="283"/>
      <c r="UQO2" s="283"/>
      <c r="UQP2" s="283"/>
      <c r="UQQ2" s="283"/>
      <c r="UQR2" s="283"/>
      <c r="UQS2" s="283"/>
      <c r="UQT2" s="283"/>
      <c r="UQU2" s="283"/>
      <c r="UQV2" s="283"/>
      <c r="UQW2" s="283"/>
      <c r="UQX2" s="283"/>
      <c r="UQY2" s="283"/>
      <c r="UQZ2" s="283"/>
      <c r="URA2" s="283"/>
      <c r="URB2" s="283"/>
      <c r="URC2" s="283"/>
      <c r="URD2" s="283"/>
      <c r="URE2" s="283"/>
      <c r="URF2" s="283"/>
      <c r="URG2" s="283"/>
      <c r="URH2" s="283"/>
      <c r="URI2" s="283"/>
      <c r="URJ2" s="283"/>
      <c r="URK2" s="283"/>
      <c r="URL2" s="283"/>
      <c r="URM2" s="283"/>
      <c r="URN2" s="283"/>
      <c r="URO2" s="283"/>
      <c r="URP2" s="283"/>
      <c r="URQ2" s="283"/>
      <c r="URR2" s="283"/>
      <c r="URS2" s="283"/>
      <c r="URT2" s="283"/>
      <c r="URU2" s="283"/>
      <c r="URV2" s="283"/>
      <c r="URW2" s="283"/>
      <c r="URX2" s="283"/>
      <c r="URY2" s="283"/>
      <c r="URZ2" s="283"/>
      <c r="USA2" s="283"/>
      <c r="USB2" s="283"/>
      <c r="USC2" s="283"/>
      <c r="USD2" s="283"/>
      <c r="USE2" s="283"/>
      <c r="USF2" s="283"/>
      <c r="USG2" s="283"/>
      <c r="USH2" s="283"/>
      <c r="USI2" s="283"/>
      <c r="USJ2" s="283"/>
      <c r="USK2" s="283"/>
      <c r="USL2" s="283"/>
      <c r="USM2" s="283"/>
      <c r="USN2" s="283"/>
      <c r="USO2" s="283"/>
      <c r="USP2" s="283"/>
      <c r="USQ2" s="283"/>
      <c r="USR2" s="283"/>
      <c r="USS2" s="283"/>
      <c r="UST2" s="283"/>
      <c r="USU2" s="283"/>
      <c r="USV2" s="283"/>
      <c r="USW2" s="283"/>
      <c r="USX2" s="283"/>
      <c r="USY2" s="283"/>
      <c r="USZ2" s="283"/>
      <c r="UTA2" s="283"/>
      <c r="UTB2" s="283"/>
      <c r="UTC2" s="283"/>
      <c r="UTD2" s="283"/>
      <c r="UTE2" s="283"/>
      <c r="UTF2" s="283"/>
      <c r="UTG2" s="283"/>
      <c r="UTH2" s="283"/>
      <c r="UTI2" s="283"/>
      <c r="UTJ2" s="283"/>
      <c r="UTK2" s="283"/>
      <c r="UTL2" s="283"/>
      <c r="UTM2" s="283"/>
      <c r="UTN2" s="283"/>
      <c r="UTO2" s="283"/>
      <c r="UTP2" s="283"/>
      <c r="UTQ2" s="283"/>
      <c r="UTR2" s="283"/>
      <c r="UTS2" s="283"/>
      <c r="UTT2" s="283"/>
      <c r="UTU2" s="283"/>
      <c r="UTV2" s="283"/>
      <c r="UTW2" s="283"/>
      <c r="UTX2" s="283"/>
      <c r="UTY2" s="283"/>
      <c r="UTZ2" s="283"/>
      <c r="UUA2" s="283"/>
      <c r="UUB2" s="283"/>
      <c r="UUC2" s="283"/>
      <c r="UUD2" s="283"/>
      <c r="UUE2" s="283"/>
      <c r="UUF2" s="283"/>
      <c r="UUG2" s="283"/>
      <c r="UUH2" s="283"/>
      <c r="UUI2" s="283"/>
      <c r="UUJ2" s="283"/>
      <c r="UUK2" s="283"/>
      <c r="UUL2" s="283"/>
      <c r="UUM2" s="283"/>
      <c r="UUN2" s="283"/>
      <c r="UUO2" s="283"/>
      <c r="UUP2" s="283"/>
      <c r="UUQ2" s="283"/>
      <c r="UUR2" s="283"/>
      <c r="UUS2" s="283"/>
      <c r="UUT2" s="283"/>
      <c r="UUU2" s="283"/>
      <c r="UUV2" s="283"/>
      <c r="UUW2" s="283"/>
      <c r="UUX2" s="283"/>
      <c r="UUY2" s="283"/>
      <c r="UUZ2" s="283"/>
      <c r="UVA2" s="283"/>
      <c r="UVB2" s="283"/>
      <c r="UVC2" s="283"/>
      <c r="UVD2" s="283"/>
      <c r="UVE2" s="283"/>
      <c r="UVF2" s="283"/>
      <c r="UVG2" s="283"/>
      <c r="UVH2" s="283"/>
      <c r="UVI2" s="283"/>
      <c r="UVJ2" s="283"/>
      <c r="UVK2" s="283"/>
      <c r="UVL2" s="283"/>
      <c r="UVM2" s="283"/>
      <c r="UVN2" s="283"/>
      <c r="UVO2" s="283"/>
      <c r="UVP2" s="283"/>
      <c r="UVQ2" s="283"/>
      <c r="UVR2" s="283"/>
      <c r="UVS2" s="283"/>
      <c r="UVT2" s="283"/>
      <c r="UVU2" s="283"/>
      <c r="UVV2" s="283"/>
      <c r="UVW2" s="283"/>
      <c r="UVX2" s="283"/>
      <c r="UVY2" s="283"/>
      <c r="UVZ2" s="283"/>
      <c r="UWA2" s="283"/>
      <c r="UWB2" s="283"/>
      <c r="UWC2" s="283"/>
      <c r="UWD2" s="283"/>
      <c r="UWE2" s="283"/>
      <c r="UWF2" s="283"/>
      <c r="UWG2" s="283"/>
      <c r="UWH2" s="283"/>
      <c r="UWI2" s="283"/>
      <c r="UWJ2" s="283"/>
      <c r="UWK2" s="283"/>
      <c r="UWL2" s="283"/>
      <c r="UWM2" s="283"/>
      <c r="UWN2" s="283"/>
      <c r="UWO2" s="283"/>
      <c r="UWP2" s="283"/>
      <c r="UWQ2" s="283"/>
      <c r="UWR2" s="283"/>
      <c r="UWS2" s="283"/>
      <c r="UWT2" s="283"/>
      <c r="UWU2" s="283"/>
      <c r="UWV2" s="283"/>
      <c r="UWW2" s="283"/>
      <c r="UWX2" s="283"/>
      <c r="UWY2" s="283"/>
      <c r="UWZ2" s="283"/>
      <c r="UXA2" s="283"/>
      <c r="UXB2" s="283"/>
      <c r="UXC2" s="283"/>
      <c r="UXD2" s="283"/>
      <c r="UXE2" s="283"/>
      <c r="UXF2" s="283"/>
      <c r="UXG2" s="283"/>
      <c r="UXH2" s="283"/>
      <c r="UXI2" s="283"/>
      <c r="UXJ2" s="283"/>
      <c r="UXK2" s="283"/>
      <c r="UXL2" s="283"/>
      <c r="UXM2" s="283"/>
      <c r="UXN2" s="283"/>
      <c r="UXO2" s="283"/>
      <c r="UXP2" s="283"/>
      <c r="UXQ2" s="283"/>
      <c r="UXR2" s="283"/>
      <c r="UXS2" s="283"/>
      <c r="UXT2" s="283"/>
      <c r="UXU2" s="283"/>
      <c r="UXV2" s="283"/>
      <c r="UXW2" s="283"/>
      <c r="UXX2" s="283"/>
      <c r="UXY2" s="283"/>
      <c r="UXZ2" s="283"/>
      <c r="UYA2" s="283"/>
      <c r="UYB2" s="283"/>
      <c r="UYC2" s="283"/>
      <c r="UYD2" s="283"/>
      <c r="UYE2" s="283"/>
      <c r="UYF2" s="283"/>
      <c r="UYG2" s="283"/>
      <c r="UYH2" s="283"/>
      <c r="UYI2" s="283"/>
      <c r="UYJ2" s="283"/>
      <c r="UYK2" s="283"/>
      <c r="UYL2" s="283"/>
      <c r="UYM2" s="283"/>
      <c r="UYN2" s="283"/>
      <c r="UYO2" s="283"/>
      <c r="UYP2" s="283"/>
      <c r="UYQ2" s="283"/>
      <c r="UYR2" s="283"/>
      <c r="UYS2" s="283"/>
      <c r="UYT2" s="283"/>
      <c r="UYU2" s="283"/>
      <c r="UYV2" s="283"/>
      <c r="UYW2" s="283"/>
      <c r="UYX2" s="283"/>
      <c r="UYY2" s="283"/>
      <c r="UYZ2" s="283"/>
      <c r="UZA2" s="283"/>
      <c r="UZB2" s="283"/>
      <c r="UZC2" s="283"/>
      <c r="UZD2" s="283"/>
      <c r="UZE2" s="283"/>
      <c r="UZF2" s="283"/>
      <c r="UZG2" s="283"/>
      <c r="UZH2" s="283"/>
      <c r="UZI2" s="283"/>
      <c r="UZJ2" s="283"/>
      <c r="UZK2" s="283"/>
      <c r="UZL2" s="283"/>
      <c r="UZM2" s="283"/>
      <c r="UZN2" s="283"/>
      <c r="UZO2" s="283"/>
      <c r="UZP2" s="283"/>
      <c r="UZQ2" s="283"/>
      <c r="UZR2" s="283"/>
      <c r="UZS2" s="283"/>
      <c r="UZT2" s="283"/>
      <c r="UZU2" s="283"/>
      <c r="UZV2" s="283"/>
      <c r="UZW2" s="283"/>
      <c r="UZX2" s="283"/>
      <c r="UZY2" s="283"/>
      <c r="UZZ2" s="283"/>
      <c r="VAA2" s="283"/>
      <c r="VAB2" s="283"/>
      <c r="VAC2" s="283"/>
      <c r="VAD2" s="283"/>
      <c r="VAE2" s="283"/>
      <c r="VAF2" s="283"/>
      <c r="VAG2" s="283"/>
      <c r="VAH2" s="283"/>
      <c r="VAI2" s="283"/>
      <c r="VAJ2" s="283"/>
      <c r="VAK2" s="283"/>
      <c r="VAL2" s="283"/>
      <c r="VAM2" s="283"/>
      <c r="VAN2" s="283"/>
      <c r="VAO2" s="283"/>
      <c r="VAP2" s="283"/>
      <c r="VAQ2" s="283"/>
      <c r="VAR2" s="283"/>
      <c r="VAS2" s="283"/>
      <c r="VAT2" s="283"/>
      <c r="VAU2" s="283"/>
      <c r="VAV2" s="283"/>
      <c r="VAW2" s="283"/>
      <c r="VAX2" s="283"/>
      <c r="VAY2" s="283"/>
      <c r="VAZ2" s="283"/>
      <c r="VBA2" s="283"/>
      <c r="VBB2" s="283"/>
      <c r="VBC2" s="283"/>
      <c r="VBD2" s="283"/>
      <c r="VBE2" s="283"/>
      <c r="VBF2" s="283"/>
      <c r="VBG2" s="283"/>
      <c r="VBH2" s="283"/>
      <c r="VBI2" s="283"/>
      <c r="VBJ2" s="283"/>
      <c r="VBK2" s="283"/>
      <c r="VBL2" s="283"/>
      <c r="VBM2" s="283"/>
      <c r="VBN2" s="283"/>
      <c r="VBO2" s="283"/>
      <c r="VBP2" s="283"/>
      <c r="VBQ2" s="283"/>
      <c r="VBR2" s="283"/>
      <c r="VBS2" s="283"/>
      <c r="VBT2" s="283"/>
      <c r="VBU2" s="283"/>
      <c r="VBV2" s="283"/>
      <c r="VBW2" s="283"/>
      <c r="VBX2" s="283"/>
      <c r="VBY2" s="283"/>
      <c r="VBZ2" s="283"/>
      <c r="VCA2" s="283"/>
      <c r="VCB2" s="283"/>
      <c r="VCC2" s="283"/>
      <c r="VCD2" s="283"/>
      <c r="VCE2" s="283"/>
      <c r="VCF2" s="283"/>
      <c r="VCG2" s="283"/>
      <c r="VCH2" s="283"/>
      <c r="VCI2" s="283"/>
      <c r="VCJ2" s="283"/>
      <c r="VCK2" s="283"/>
      <c r="VCL2" s="283"/>
      <c r="VCM2" s="283"/>
      <c r="VCN2" s="283"/>
      <c r="VCO2" s="283"/>
      <c r="VCP2" s="283"/>
      <c r="VCQ2" s="283"/>
      <c r="VCR2" s="283"/>
      <c r="VCS2" s="283"/>
      <c r="VCT2" s="283"/>
      <c r="VCU2" s="283"/>
      <c r="VCV2" s="283"/>
      <c r="VCW2" s="283"/>
      <c r="VCX2" s="283"/>
      <c r="VCY2" s="283"/>
      <c r="VCZ2" s="283"/>
      <c r="VDA2" s="283"/>
      <c r="VDB2" s="283"/>
      <c r="VDC2" s="283"/>
      <c r="VDD2" s="283"/>
      <c r="VDE2" s="283"/>
      <c r="VDF2" s="283"/>
      <c r="VDG2" s="283"/>
      <c r="VDH2" s="283"/>
      <c r="VDI2" s="283"/>
      <c r="VDJ2" s="283"/>
      <c r="VDK2" s="283"/>
      <c r="VDL2" s="283"/>
      <c r="VDM2" s="283"/>
      <c r="VDN2" s="283"/>
      <c r="VDO2" s="283"/>
      <c r="VDP2" s="283"/>
      <c r="VDQ2" s="283"/>
      <c r="VDR2" s="283"/>
      <c r="VDS2" s="283"/>
      <c r="VDT2" s="283"/>
      <c r="VDU2" s="283"/>
      <c r="VDV2" s="283"/>
      <c r="VDW2" s="283"/>
      <c r="VDX2" s="283"/>
      <c r="VDY2" s="283"/>
      <c r="VDZ2" s="283"/>
      <c r="VEA2" s="283"/>
      <c r="VEB2" s="283"/>
      <c r="VEC2" s="283"/>
      <c r="VED2" s="283"/>
      <c r="VEE2" s="283"/>
      <c r="VEF2" s="283"/>
      <c r="VEG2" s="283"/>
      <c r="VEH2" s="283"/>
      <c r="VEI2" s="283"/>
      <c r="VEJ2" s="283"/>
      <c r="VEK2" s="283"/>
      <c r="VEL2" s="283"/>
      <c r="VEM2" s="283"/>
      <c r="VEN2" s="283"/>
      <c r="VEO2" s="283"/>
      <c r="VEP2" s="283"/>
      <c r="VEQ2" s="283"/>
      <c r="VER2" s="283"/>
      <c r="VES2" s="283"/>
      <c r="VET2" s="283"/>
      <c r="VEU2" s="283"/>
      <c r="VEV2" s="283"/>
      <c r="VEW2" s="283"/>
      <c r="VEX2" s="283"/>
      <c r="VEY2" s="283"/>
      <c r="VEZ2" s="283"/>
      <c r="VFA2" s="283"/>
      <c r="VFB2" s="283"/>
      <c r="VFC2" s="283"/>
      <c r="VFD2" s="283"/>
      <c r="VFE2" s="283"/>
      <c r="VFF2" s="283"/>
      <c r="VFG2" s="283"/>
      <c r="VFH2" s="283"/>
      <c r="VFI2" s="283"/>
      <c r="VFJ2" s="283"/>
      <c r="VFK2" s="283"/>
      <c r="VFL2" s="283"/>
      <c r="VFM2" s="283"/>
      <c r="VFN2" s="283"/>
      <c r="VFO2" s="283"/>
      <c r="VFP2" s="283"/>
      <c r="VFQ2" s="283"/>
      <c r="VFR2" s="283"/>
      <c r="VFS2" s="283"/>
      <c r="VFT2" s="283"/>
      <c r="VFU2" s="283"/>
      <c r="VFV2" s="283"/>
      <c r="VFW2" s="283"/>
      <c r="VFX2" s="283"/>
      <c r="VFY2" s="283"/>
      <c r="VFZ2" s="283"/>
      <c r="VGA2" s="283"/>
      <c r="VGB2" s="283"/>
      <c r="VGC2" s="283"/>
      <c r="VGD2" s="283"/>
      <c r="VGE2" s="283"/>
      <c r="VGF2" s="283"/>
      <c r="VGG2" s="283"/>
      <c r="VGH2" s="283"/>
      <c r="VGI2" s="283"/>
      <c r="VGJ2" s="283"/>
      <c r="VGK2" s="283"/>
      <c r="VGL2" s="283"/>
      <c r="VGM2" s="283"/>
      <c r="VGN2" s="283"/>
      <c r="VGO2" s="283"/>
      <c r="VGP2" s="283"/>
      <c r="VGQ2" s="283"/>
      <c r="VGR2" s="283"/>
      <c r="VGS2" s="283"/>
      <c r="VGT2" s="283"/>
      <c r="VGU2" s="283"/>
      <c r="VGV2" s="283"/>
      <c r="VGW2" s="283"/>
      <c r="VGX2" s="283"/>
      <c r="VGY2" s="283"/>
      <c r="VGZ2" s="283"/>
      <c r="VHA2" s="283"/>
      <c r="VHB2" s="283"/>
      <c r="VHC2" s="283"/>
      <c r="VHD2" s="283"/>
      <c r="VHE2" s="283"/>
      <c r="VHF2" s="283"/>
      <c r="VHG2" s="283"/>
      <c r="VHH2" s="283"/>
      <c r="VHI2" s="283"/>
      <c r="VHJ2" s="283"/>
      <c r="VHK2" s="283"/>
      <c r="VHL2" s="283"/>
      <c r="VHM2" s="283"/>
      <c r="VHN2" s="283"/>
      <c r="VHO2" s="283"/>
      <c r="VHP2" s="283"/>
      <c r="VHQ2" s="283"/>
      <c r="VHR2" s="283"/>
      <c r="VHS2" s="283"/>
      <c r="VHT2" s="283"/>
      <c r="VHU2" s="283"/>
      <c r="VHV2" s="283"/>
      <c r="VHW2" s="283"/>
      <c r="VHX2" s="283"/>
      <c r="VHY2" s="283"/>
      <c r="VHZ2" s="283"/>
      <c r="VIA2" s="283"/>
      <c r="VIB2" s="283"/>
      <c r="VIC2" s="283"/>
      <c r="VID2" s="283"/>
      <c r="VIE2" s="283"/>
      <c r="VIF2" s="283"/>
      <c r="VIG2" s="283"/>
      <c r="VIH2" s="283"/>
      <c r="VII2" s="283"/>
      <c r="VIJ2" s="283"/>
      <c r="VIK2" s="283"/>
      <c r="VIL2" s="283"/>
      <c r="VIM2" s="283"/>
      <c r="VIN2" s="283"/>
      <c r="VIO2" s="283"/>
      <c r="VIP2" s="283"/>
      <c r="VIQ2" s="283"/>
      <c r="VIR2" s="283"/>
      <c r="VIS2" s="283"/>
      <c r="VIT2" s="283"/>
      <c r="VIU2" s="283"/>
      <c r="VIV2" s="283"/>
      <c r="VIW2" s="283"/>
      <c r="VIX2" s="283"/>
      <c r="VIY2" s="283"/>
      <c r="VIZ2" s="283"/>
      <c r="VJA2" s="283"/>
      <c r="VJB2" s="283"/>
      <c r="VJC2" s="283"/>
      <c r="VJD2" s="283"/>
      <c r="VJE2" s="283"/>
      <c r="VJF2" s="283"/>
      <c r="VJG2" s="283"/>
      <c r="VJH2" s="283"/>
      <c r="VJI2" s="283"/>
      <c r="VJJ2" s="283"/>
      <c r="VJK2" s="283"/>
      <c r="VJL2" s="283"/>
      <c r="VJM2" s="283"/>
      <c r="VJN2" s="283"/>
      <c r="VJO2" s="283"/>
      <c r="VJP2" s="283"/>
      <c r="VJQ2" s="283"/>
      <c r="VJR2" s="283"/>
      <c r="VJS2" s="283"/>
      <c r="VJT2" s="283"/>
      <c r="VJU2" s="283"/>
      <c r="VJV2" s="283"/>
      <c r="VJW2" s="283"/>
      <c r="VJX2" s="283"/>
      <c r="VJY2" s="283"/>
      <c r="VJZ2" s="283"/>
      <c r="VKA2" s="283"/>
      <c r="VKB2" s="283"/>
      <c r="VKC2" s="283"/>
      <c r="VKD2" s="283"/>
      <c r="VKE2" s="283"/>
      <c r="VKF2" s="283"/>
      <c r="VKG2" s="283"/>
      <c r="VKH2" s="283"/>
      <c r="VKI2" s="283"/>
      <c r="VKJ2" s="283"/>
      <c r="VKK2" s="283"/>
      <c r="VKL2" s="283"/>
      <c r="VKM2" s="283"/>
      <c r="VKN2" s="283"/>
      <c r="VKO2" s="283"/>
      <c r="VKP2" s="283"/>
      <c r="VKQ2" s="283"/>
      <c r="VKR2" s="283"/>
      <c r="VKS2" s="283"/>
      <c r="VKT2" s="283"/>
      <c r="VKU2" s="283"/>
      <c r="VKV2" s="283"/>
      <c r="VKW2" s="283"/>
      <c r="VKX2" s="283"/>
      <c r="VKY2" s="283"/>
      <c r="VKZ2" s="283"/>
      <c r="VLA2" s="283"/>
      <c r="VLB2" s="283"/>
      <c r="VLC2" s="283"/>
      <c r="VLD2" s="283"/>
      <c r="VLE2" s="283"/>
      <c r="VLF2" s="283"/>
      <c r="VLG2" s="283"/>
      <c r="VLH2" s="283"/>
      <c r="VLI2" s="283"/>
      <c r="VLJ2" s="283"/>
      <c r="VLK2" s="283"/>
      <c r="VLL2" s="283"/>
      <c r="VLM2" s="283"/>
      <c r="VLN2" s="283"/>
      <c r="VLO2" s="283"/>
      <c r="VLP2" s="283"/>
      <c r="VLQ2" s="283"/>
      <c r="VLR2" s="283"/>
      <c r="VLS2" s="283"/>
      <c r="VLT2" s="283"/>
      <c r="VLU2" s="283"/>
      <c r="VLV2" s="283"/>
      <c r="VLW2" s="283"/>
      <c r="VLX2" s="283"/>
      <c r="VLY2" s="283"/>
      <c r="VLZ2" s="283"/>
      <c r="VMA2" s="283"/>
      <c r="VMB2" s="283"/>
      <c r="VMC2" s="283"/>
      <c r="VMD2" s="283"/>
      <c r="VME2" s="283"/>
      <c r="VMF2" s="283"/>
      <c r="VMG2" s="283"/>
      <c r="VMH2" s="283"/>
      <c r="VMI2" s="283"/>
      <c r="VMJ2" s="283"/>
      <c r="VMK2" s="283"/>
      <c r="VML2" s="283"/>
      <c r="VMM2" s="283"/>
      <c r="VMN2" s="283"/>
      <c r="VMO2" s="283"/>
      <c r="VMP2" s="283"/>
      <c r="VMQ2" s="283"/>
      <c r="VMR2" s="283"/>
      <c r="VMS2" s="283"/>
      <c r="VMT2" s="283"/>
      <c r="VMU2" s="283"/>
      <c r="VMV2" s="283"/>
      <c r="VMW2" s="283"/>
      <c r="VMX2" s="283"/>
      <c r="VMY2" s="283"/>
      <c r="VMZ2" s="283"/>
      <c r="VNA2" s="283"/>
      <c r="VNB2" s="283"/>
      <c r="VNC2" s="283"/>
      <c r="VND2" s="283"/>
      <c r="VNE2" s="283"/>
      <c r="VNF2" s="283"/>
      <c r="VNG2" s="283"/>
      <c r="VNH2" s="283"/>
      <c r="VNI2" s="283"/>
      <c r="VNJ2" s="283"/>
      <c r="VNK2" s="283"/>
      <c r="VNL2" s="283"/>
      <c r="VNM2" s="283"/>
      <c r="VNN2" s="283"/>
      <c r="VNO2" s="283"/>
      <c r="VNP2" s="283"/>
      <c r="VNQ2" s="283"/>
      <c r="VNR2" s="283"/>
      <c r="VNS2" s="283"/>
      <c r="VNT2" s="283"/>
      <c r="VNU2" s="283"/>
      <c r="VNV2" s="283"/>
      <c r="VNW2" s="283"/>
      <c r="VNX2" s="283"/>
      <c r="VNY2" s="283"/>
      <c r="VNZ2" s="283"/>
      <c r="VOA2" s="283"/>
      <c r="VOB2" s="283"/>
      <c r="VOC2" s="283"/>
      <c r="VOD2" s="283"/>
      <c r="VOE2" s="283"/>
      <c r="VOF2" s="283"/>
      <c r="VOG2" s="283"/>
      <c r="VOH2" s="283"/>
      <c r="VOI2" s="283"/>
      <c r="VOJ2" s="283"/>
      <c r="VOK2" s="283"/>
      <c r="VOL2" s="283"/>
      <c r="VOM2" s="283"/>
      <c r="VON2" s="283"/>
      <c r="VOO2" s="283"/>
      <c r="VOP2" s="283"/>
      <c r="VOQ2" s="283"/>
      <c r="VOR2" s="283"/>
      <c r="VOS2" s="283"/>
      <c r="VOT2" s="283"/>
      <c r="VOU2" s="283"/>
      <c r="VOV2" s="283"/>
      <c r="VOW2" s="283"/>
      <c r="VOX2" s="283"/>
      <c r="VOY2" s="283"/>
      <c r="VOZ2" s="283"/>
      <c r="VPA2" s="283"/>
      <c r="VPB2" s="283"/>
      <c r="VPC2" s="283"/>
      <c r="VPD2" s="283"/>
      <c r="VPE2" s="283"/>
      <c r="VPF2" s="283"/>
      <c r="VPG2" s="283"/>
      <c r="VPH2" s="283"/>
      <c r="VPI2" s="283"/>
      <c r="VPJ2" s="283"/>
      <c r="VPK2" s="283"/>
      <c r="VPL2" s="283"/>
      <c r="VPM2" s="283"/>
      <c r="VPN2" s="283"/>
      <c r="VPO2" s="283"/>
      <c r="VPP2" s="283"/>
      <c r="VPQ2" s="283"/>
      <c r="VPR2" s="283"/>
      <c r="VPS2" s="283"/>
      <c r="VPT2" s="283"/>
      <c r="VPU2" s="283"/>
      <c r="VPV2" s="283"/>
      <c r="VPW2" s="283"/>
      <c r="VPX2" s="283"/>
      <c r="VPY2" s="283"/>
      <c r="VPZ2" s="283"/>
      <c r="VQA2" s="283"/>
      <c r="VQB2" s="283"/>
      <c r="VQC2" s="283"/>
      <c r="VQD2" s="283"/>
      <c r="VQE2" s="283"/>
      <c r="VQF2" s="283"/>
      <c r="VQG2" s="283"/>
      <c r="VQH2" s="283"/>
      <c r="VQI2" s="283"/>
      <c r="VQJ2" s="283"/>
      <c r="VQK2" s="283"/>
      <c r="VQL2" s="283"/>
      <c r="VQM2" s="283"/>
      <c r="VQN2" s="283"/>
      <c r="VQO2" s="283"/>
      <c r="VQP2" s="283"/>
      <c r="VQQ2" s="283"/>
      <c r="VQR2" s="283"/>
      <c r="VQS2" s="283"/>
      <c r="VQT2" s="283"/>
      <c r="VQU2" s="283"/>
      <c r="VQV2" s="283"/>
      <c r="VQW2" s="283"/>
      <c r="VQX2" s="283"/>
      <c r="VQY2" s="283"/>
      <c r="VQZ2" s="283"/>
      <c r="VRA2" s="283"/>
      <c r="VRB2" s="283"/>
      <c r="VRC2" s="283"/>
      <c r="VRD2" s="283"/>
      <c r="VRE2" s="283"/>
      <c r="VRF2" s="283"/>
      <c r="VRG2" s="283"/>
      <c r="VRH2" s="283"/>
      <c r="VRI2" s="283"/>
      <c r="VRJ2" s="283"/>
      <c r="VRK2" s="283"/>
      <c r="VRL2" s="283"/>
      <c r="VRM2" s="283"/>
      <c r="VRN2" s="283"/>
      <c r="VRO2" s="283"/>
      <c r="VRP2" s="283"/>
      <c r="VRQ2" s="283"/>
      <c r="VRR2" s="283"/>
      <c r="VRS2" s="283"/>
      <c r="VRT2" s="283"/>
      <c r="VRU2" s="283"/>
      <c r="VRV2" s="283"/>
      <c r="VRW2" s="283"/>
      <c r="VRX2" s="283"/>
      <c r="VRY2" s="283"/>
      <c r="VRZ2" s="283"/>
      <c r="VSA2" s="283"/>
      <c r="VSB2" s="283"/>
      <c r="VSC2" s="283"/>
      <c r="VSD2" s="283"/>
      <c r="VSE2" s="283"/>
      <c r="VSF2" s="283"/>
      <c r="VSG2" s="283"/>
      <c r="VSH2" s="283"/>
      <c r="VSI2" s="283"/>
      <c r="VSJ2" s="283"/>
      <c r="VSK2" s="283"/>
      <c r="VSL2" s="283"/>
      <c r="VSM2" s="283"/>
      <c r="VSN2" s="283"/>
      <c r="VSO2" s="283"/>
      <c r="VSP2" s="283"/>
      <c r="VSQ2" s="283"/>
      <c r="VSR2" s="283"/>
      <c r="VSS2" s="283"/>
      <c r="VST2" s="283"/>
      <c r="VSU2" s="283"/>
      <c r="VSV2" s="283"/>
      <c r="VSW2" s="283"/>
      <c r="VSX2" s="283"/>
      <c r="VSY2" s="283"/>
      <c r="VSZ2" s="283"/>
      <c r="VTA2" s="283"/>
      <c r="VTB2" s="283"/>
      <c r="VTC2" s="283"/>
      <c r="VTD2" s="283"/>
      <c r="VTE2" s="283"/>
      <c r="VTF2" s="283"/>
      <c r="VTG2" s="283"/>
      <c r="VTH2" s="283"/>
      <c r="VTI2" s="283"/>
      <c r="VTJ2" s="283"/>
      <c r="VTK2" s="283"/>
      <c r="VTL2" s="283"/>
      <c r="VTM2" s="283"/>
      <c r="VTN2" s="283"/>
      <c r="VTO2" s="283"/>
      <c r="VTP2" s="283"/>
      <c r="VTQ2" s="283"/>
      <c r="VTR2" s="283"/>
      <c r="VTS2" s="283"/>
      <c r="VTT2" s="283"/>
      <c r="VTU2" s="283"/>
      <c r="VTV2" s="283"/>
      <c r="VTW2" s="283"/>
      <c r="VTX2" s="283"/>
      <c r="VTY2" s="283"/>
      <c r="VTZ2" s="283"/>
      <c r="VUA2" s="283"/>
      <c r="VUB2" s="283"/>
      <c r="VUC2" s="283"/>
      <c r="VUD2" s="283"/>
      <c r="VUE2" s="283"/>
      <c r="VUF2" s="283"/>
      <c r="VUG2" s="283"/>
      <c r="VUH2" s="283"/>
      <c r="VUI2" s="283"/>
      <c r="VUJ2" s="283"/>
      <c r="VUK2" s="283"/>
      <c r="VUL2" s="283"/>
      <c r="VUM2" s="283"/>
      <c r="VUN2" s="283"/>
      <c r="VUO2" s="283"/>
      <c r="VUP2" s="283"/>
      <c r="VUQ2" s="283"/>
      <c r="VUR2" s="283"/>
      <c r="VUS2" s="283"/>
      <c r="VUT2" s="283"/>
      <c r="VUU2" s="283"/>
      <c r="VUV2" s="283"/>
      <c r="VUW2" s="283"/>
      <c r="VUX2" s="283"/>
      <c r="VUY2" s="283"/>
      <c r="VUZ2" s="283"/>
      <c r="VVA2" s="283"/>
      <c r="VVB2" s="283"/>
      <c r="VVC2" s="283"/>
      <c r="VVD2" s="283"/>
      <c r="VVE2" s="283"/>
      <c r="VVF2" s="283"/>
      <c r="VVG2" s="283"/>
      <c r="VVH2" s="283"/>
      <c r="VVI2" s="283"/>
      <c r="VVJ2" s="283"/>
      <c r="VVK2" s="283"/>
      <c r="VVL2" s="283"/>
      <c r="VVM2" s="283"/>
      <c r="VVN2" s="283"/>
      <c r="VVO2" s="283"/>
      <c r="VVP2" s="283"/>
      <c r="VVQ2" s="283"/>
      <c r="VVR2" s="283"/>
      <c r="VVS2" s="283"/>
      <c r="VVT2" s="283"/>
      <c r="VVU2" s="283"/>
      <c r="VVV2" s="283"/>
      <c r="VVW2" s="283"/>
      <c r="VVX2" s="283"/>
      <c r="VVY2" s="283"/>
      <c r="VVZ2" s="283"/>
      <c r="VWA2" s="283"/>
      <c r="VWB2" s="283"/>
      <c r="VWC2" s="283"/>
      <c r="VWD2" s="283"/>
      <c r="VWE2" s="283"/>
      <c r="VWF2" s="283"/>
      <c r="VWG2" s="283"/>
      <c r="VWH2" s="283"/>
      <c r="VWI2" s="283"/>
      <c r="VWJ2" s="283"/>
      <c r="VWK2" s="283"/>
      <c r="VWL2" s="283"/>
      <c r="VWM2" s="283"/>
      <c r="VWN2" s="283"/>
      <c r="VWO2" s="283"/>
      <c r="VWP2" s="283"/>
      <c r="VWQ2" s="283"/>
      <c r="VWR2" s="283"/>
      <c r="VWS2" s="283"/>
      <c r="VWT2" s="283"/>
      <c r="VWU2" s="283"/>
      <c r="VWV2" s="283"/>
      <c r="VWW2" s="283"/>
      <c r="VWX2" s="283"/>
      <c r="VWY2" s="283"/>
      <c r="VWZ2" s="283"/>
      <c r="VXA2" s="283"/>
      <c r="VXB2" s="283"/>
      <c r="VXC2" s="283"/>
      <c r="VXD2" s="283"/>
      <c r="VXE2" s="283"/>
      <c r="VXF2" s="283"/>
      <c r="VXG2" s="283"/>
      <c r="VXH2" s="283"/>
      <c r="VXI2" s="283"/>
      <c r="VXJ2" s="283"/>
      <c r="VXK2" s="283"/>
      <c r="VXL2" s="283"/>
      <c r="VXM2" s="283"/>
      <c r="VXN2" s="283"/>
      <c r="VXO2" s="283"/>
      <c r="VXP2" s="283"/>
      <c r="VXQ2" s="283"/>
      <c r="VXR2" s="283"/>
      <c r="VXS2" s="283"/>
      <c r="VXT2" s="283"/>
      <c r="VXU2" s="283"/>
      <c r="VXV2" s="283"/>
      <c r="VXW2" s="283"/>
      <c r="VXX2" s="283"/>
      <c r="VXY2" s="283"/>
      <c r="VXZ2" s="283"/>
      <c r="VYA2" s="283"/>
      <c r="VYB2" s="283"/>
      <c r="VYC2" s="283"/>
      <c r="VYD2" s="283"/>
      <c r="VYE2" s="283"/>
      <c r="VYF2" s="283"/>
      <c r="VYG2" s="283"/>
      <c r="VYH2" s="283"/>
      <c r="VYI2" s="283"/>
      <c r="VYJ2" s="283"/>
      <c r="VYK2" s="283"/>
      <c r="VYL2" s="283"/>
      <c r="VYM2" s="283"/>
      <c r="VYN2" s="283"/>
      <c r="VYO2" s="283"/>
      <c r="VYP2" s="283"/>
      <c r="VYQ2" s="283"/>
      <c r="VYR2" s="283"/>
      <c r="VYS2" s="283"/>
      <c r="VYT2" s="283"/>
      <c r="VYU2" s="283"/>
      <c r="VYV2" s="283"/>
      <c r="VYW2" s="283"/>
      <c r="VYX2" s="283"/>
      <c r="VYY2" s="283"/>
      <c r="VYZ2" s="283"/>
      <c r="VZA2" s="283"/>
      <c r="VZB2" s="283"/>
      <c r="VZC2" s="283"/>
      <c r="VZD2" s="283"/>
      <c r="VZE2" s="283"/>
      <c r="VZF2" s="283"/>
      <c r="VZG2" s="283"/>
      <c r="VZH2" s="283"/>
      <c r="VZI2" s="283"/>
      <c r="VZJ2" s="283"/>
      <c r="VZK2" s="283"/>
      <c r="VZL2" s="283"/>
      <c r="VZM2" s="283"/>
      <c r="VZN2" s="283"/>
      <c r="VZO2" s="283"/>
      <c r="VZP2" s="283"/>
      <c r="VZQ2" s="283"/>
      <c r="VZR2" s="283"/>
      <c r="VZS2" s="283"/>
      <c r="VZT2" s="283"/>
      <c r="VZU2" s="283"/>
      <c r="VZV2" s="283"/>
      <c r="VZW2" s="283"/>
      <c r="VZX2" s="283"/>
      <c r="VZY2" s="283"/>
      <c r="VZZ2" s="283"/>
      <c r="WAA2" s="283"/>
      <c r="WAB2" s="283"/>
      <c r="WAC2" s="283"/>
      <c r="WAD2" s="283"/>
      <c r="WAE2" s="283"/>
      <c r="WAF2" s="283"/>
      <c r="WAG2" s="283"/>
      <c r="WAH2" s="283"/>
      <c r="WAI2" s="283"/>
      <c r="WAJ2" s="283"/>
      <c r="WAK2" s="283"/>
      <c r="WAL2" s="283"/>
      <c r="WAM2" s="283"/>
      <c r="WAN2" s="283"/>
      <c r="WAO2" s="283"/>
      <c r="WAP2" s="283"/>
      <c r="WAQ2" s="283"/>
      <c r="WAR2" s="283"/>
      <c r="WAS2" s="283"/>
      <c r="WAT2" s="283"/>
      <c r="WAU2" s="283"/>
      <c r="WAV2" s="283"/>
      <c r="WAW2" s="283"/>
      <c r="WAX2" s="283"/>
      <c r="WAY2" s="283"/>
      <c r="WAZ2" s="283"/>
      <c r="WBA2" s="283"/>
      <c r="WBB2" s="283"/>
      <c r="WBC2" s="283"/>
      <c r="WBD2" s="283"/>
      <c r="WBE2" s="283"/>
      <c r="WBF2" s="283"/>
      <c r="WBG2" s="283"/>
      <c r="WBH2" s="283"/>
      <c r="WBI2" s="283"/>
      <c r="WBJ2" s="283"/>
      <c r="WBK2" s="283"/>
      <c r="WBL2" s="283"/>
      <c r="WBM2" s="283"/>
      <c r="WBN2" s="283"/>
      <c r="WBO2" s="283"/>
      <c r="WBP2" s="283"/>
      <c r="WBQ2" s="283"/>
      <c r="WBR2" s="283"/>
      <c r="WBS2" s="283"/>
      <c r="WBT2" s="283"/>
      <c r="WBU2" s="283"/>
      <c r="WBV2" s="283"/>
      <c r="WBW2" s="283"/>
      <c r="WBX2" s="283"/>
      <c r="WBY2" s="283"/>
      <c r="WBZ2" s="283"/>
      <c r="WCA2" s="283"/>
      <c r="WCB2" s="283"/>
      <c r="WCC2" s="283"/>
      <c r="WCD2" s="283"/>
      <c r="WCE2" s="283"/>
      <c r="WCF2" s="283"/>
      <c r="WCG2" s="283"/>
      <c r="WCH2" s="283"/>
      <c r="WCI2" s="283"/>
      <c r="WCJ2" s="283"/>
      <c r="WCK2" s="283"/>
      <c r="WCL2" s="283"/>
      <c r="WCM2" s="283"/>
      <c r="WCN2" s="283"/>
      <c r="WCO2" s="283"/>
      <c r="WCP2" s="283"/>
      <c r="WCQ2" s="283"/>
      <c r="WCR2" s="283"/>
      <c r="WCS2" s="283"/>
      <c r="WCT2" s="283"/>
      <c r="WCU2" s="283"/>
      <c r="WCV2" s="283"/>
      <c r="WCW2" s="283"/>
      <c r="WCX2" s="283"/>
      <c r="WCY2" s="283"/>
      <c r="WCZ2" s="283"/>
      <c r="WDA2" s="283"/>
      <c r="WDB2" s="283"/>
      <c r="WDC2" s="283"/>
      <c r="WDD2" s="283"/>
      <c r="WDE2" s="283"/>
      <c r="WDF2" s="283"/>
      <c r="WDG2" s="283"/>
      <c r="WDH2" s="283"/>
      <c r="WDI2" s="283"/>
      <c r="WDJ2" s="283"/>
      <c r="WDK2" s="283"/>
      <c r="WDL2" s="283"/>
      <c r="WDM2" s="283"/>
      <c r="WDN2" s="283"/>
      <c r="WDO2" s="283"/>
      <c r="WDP2" s="283"/>
      <c r="WDQ2" s="283"/>
      <c r="WDR2" s="283"/>
      <c r="WDS2" s="283"/>
      <c r="WDT2" s="283"/>
      <c r="WDU2" s="283"/>
      <c r="WDV2" s="283"/>
      <c r="WDW2" s="283"/>
      <c r="WDX2" s="283"/>
      <c r="WDY2" s="283"/>
      <c r="WDZ2" s="283"/>
      <c r="WEA2" s="283"/>
      <c r="WEB2" s="283"/>
      <c r="WEC2" s="283"/>
      <c r="WED2" s="283"/>
      <c r="WEE2" s="283"/>
      <c r="WEF2" s="283"/>
      <c r="WEG2" s="283"/>
      <c r="WEH2" s="283"/>
      <c r="WEI2" s="283"/>
      <c r="WEJ2" s="283"/>
      <c r="WEK2" s="283"/>
      <c r="WEL2" s="283"/>
      <c r="WEM2" s="283"/>
      <c r="WEN2" s="283"/>
      <c r="WEO2" s="283"/>
      <c r="WEP2" s="283"/>
      <c r="WEQ2" s="283"/>
      <c r="WER2" s="283"/>
      <c r="WES2" s="283"/>
      <c r="WET2" s="283"/>
      <c r="WEU2" s="283"/>
      <c r="WEV2" s="283"/>
      <c r="WEW2" s="283"/>
      <c r="WEX2" s="283"/>
      <c r="WEY2" s="283"/>
      <c r="WEZ2" s="283"/>
      <c r="WFA2" s="283"/>
      <c r="WFB2" s="283"/>
      <c r="WFC2" s="283"/>
      <c r="WFD2" s="283"/>
      <c r="WFE2" s="283"/>
      <c r="WFF2" s="283"/>
      <c r="WFG2" s="283"/>
      <c r="WFH2" s="283"/>
      <c r="WFI2" s="283"/>
      <c r="WFJ2" s="283"/>
      <c r="WFK2" s="283"/>
      <c r="WFL2" s="283"/>
      <c r="WFM2" s="283"/>
      <c r="WFN2" s="283"/>
      <c r="WFO2" s="283"/>
      <c r="WFP2" s="283"/>
      <c r="WFQ2" s="283"/>
      <c r="WFR2" s="283"/>
      <c r="WFS2" s="283"/>
      <c r="WFT2" s="283"/>
      <c r="WFU2" s="283"/>
      <c r="WFV2" s="283"/>
      <c r="WFW2" s="283"/>
      <c r="WFX2" s="283"/>
      <c r="WFY2" s="283"/>
      <c r="WFZ2" s="283"/>
      <c r="WGA2" s="283"/>
      <c r="WGB2" s="283"/>
      <c r="WGC2" s="283"/>
      <c r="WGD2" s="283"/>
      <c r="WGE2" s="283"/>
      <c r="WGF2" s="283"/>
      <c r="WGG2" s="283"/>
      <c r="WGH2" s="283"/>
      <c r="WGI2" s="283"/>
      <c r="WGJ2" s="283"/>
      <c r="WGK2" s="283"/>
      <c r="WGL2" s="283"/>
      <c r="WGM2" s="283"/>
      <c r="WGN2" s="283"/>
      <c r="WGO2" s="283"/>
      <c r="WGP2" s="283"/>
      <c r="WGQ2" s="283"/>
      <c r="WGR2" s="283"/>
      <c r="WGS2" s="283"/>
      <c r="WGT2" s="283"/>
      <c r="WGU2" s="283"/>
      <c r="WGV2" s="283"/>
      <c r="WGW2" s="283"/>
      <c r="WGX2" s="283"/>
      <c r="WGY2" s="283"/>
      <c r="WGZ2" s="283"/>
      <c r="WHA2" s="283"/>
      <c r="WHB2" s="283"/>
      <c r="WHC2" s="283"/>
      <c r="WHD2" s="283"/>
      <c r="WHE2" s="283"/>
      <c r="WHF2" s="283"/>
      <c r="WHG2" s="283"/>
      <c r="WHH2" s="283"/>
      <c r="WHI2" s="283"/>
      <c r="WHJ2" s="283"/>
      <c r="WHK2" s="283"/>
      <c r="WHL2" s="283"/>
      <c r="WHM2" s="283"/>
      <c r="WHN2" s="283"/>
      <c r="WHO2" s="283"/>
      <c r="WHP2" s="283"/>
      <c r="WHQ2" s="283"/>
      <c r="WHR2" s="283"/>
      <c r="WHS2" s="283"/>
      <c r="WHT2" s="283"/>
      <c r="WHU2" s="283"/>
      <c r="WHV2" s="283"/>
      <c r="WHW2" s="283"/>
      <c r="WHX2" s="283"/>
      <c r="WHY2" s="283"/>
      <c r="WHZ2" s="283"/>
      <c r="WIA2" s="283"/>
      <c r="WIB2" s="283"/>
      <c r="WIC2" s="283"/>
      <c r="WID2" s="283"/>
      <c r="WIE2" s="283"/>
      <c r="WIF2" s="283"/>
      <c r="WIG2" s="283"/>
      <c r="WIH2" s="283"/>
      <c r="WII2" s="283"/>
      <c r="WIJ2" s="283"/>
      <c r="WIK2" s="283"/>
      <c r="WIL2" s="283"/>
      <c r="WIM2" s="283"/>
      <c r="WIN2" s="283"/>
      <c r="WIO2" s="283"/>
      <c r="WIP2" s="283"/>
      <c r="WIQ2" s="283"/>
      <c r="WIR2" s="283"/>
      <c r="WIS2" s="283"/>
      <c r="WIT2" s="283"/>
      <c r="WIU2" s="283"/>
      <c r="WIV2" s="283"/>
      <c r="WIW2" s="283"/>
      <c r="WIX2" s="283"/>
      <c r="WIY2" s="283"/>
      <c r="WIZ2" s="283"/>
      <c r="WJA2" s="283"/>
      <c r="WJB2" s="283"/>
      <c r="WJC2" s="283"/>
      <c r="WJD2" s="283"/>
      <c r="WJE2" s="283"/>
      <c r="WJF2" s="283"/>
      <c r="WJG2" s="283"/>
      <c r="WJH2" s="283"/>
      <c r="WJI2" s="283"/>
      <c r="WJJ2" s="283"/>
      <c r="WJK2" s="283"/>
      <c r="WJL2" s="283"/>
      <c r="WJM2" s="283"/>
      <c r="WJN2" s="283"/>
      <c r="WJO2" s="283"/>
      <c r="WJP2" s="283"/>
      <c r="WJQ2" s="283"/>
      <c r="WJR2" s="283"/>
      <c r="WJS2" s="283"/>
      <c r="WJT2" s="283"/>
      <c r="WJU2" s="283"/>
      <c r="WJV2" s="283"/>
      <c r="WJW2" s="283"/>
      <c r="WJX2" s="283"/>
      <c r="WJY2" s="283"/>
      <c r="WJZ2" s="283"/>
      <c r="WKA2" s="283"/>
      <c r="WKB2" s="283"/>
      <c r="WKC2" s="283"/>
      <c r="WKD2" s="283"/>
      <c r="WKE2" s="283"/>
      <c r="WKF2" s="283"/>
      <c r="WKG2" s="283"/>
      <c r="WKH2" s="283"/>
      <c r="WKI2" s="283"/>
      <c r="WKJ2" s="283"/>
      <c r="WKK2" s="283"/>
      <c r="WKL2" s="283"/>
      <c r="WKM2" s="283"/>
      <c r="WKN2" s="283"/>
      <c r="WKO2" s="283"/>
      <c r="WKP2" s="283"/>
      <c r="WKQ2" s="283"/>
      <c r="WKR2" s="283"/>
      <c r="WKS2" s="283"/>
      <c r="WKT2" s="283"/>
      <c r="WKU2" s="283"/>
      <c r="WKV2" s="283"/>
      <c r="WKW2" s="283"/>
      <c r="WKX2" s="283"/>
      <c r="WKY2" s="283"/>
      <c r="WKZ2" s="283"/>
      <c r="WLA2" s="283"/>
      <c r="WLB2" s="283"/>
      <c r="WLC2" s="283"/>
      <c r="WLD2" s="283"/>
      <c r="WLE2" s="283"/>
      <c r="WLF2" s="283"/>
      <c r="WLG2" s="283"/>
      <c r="WLH2" s="283"/>
      <c r="WLI2" s="283"/>
      <c r="WLJ2" s="283"/>
      <c r="WLK2" s="283"/>
      <c r="WLL2" s="283"/>
      <c r="WLM2" s="283"/>
      <c r="WLN2" s="283"/>
      <c r="WLO2" s="283"/>
      <c r="WLP2" s="283"/>
      <c r="WLQ2" s="283"/>
      <c r="WLR2" s="283"/>
      <c r="WLS2" s="283"/>
      <c r="WLT2" s="283"/>
      <c r="WLU2" s="283"/>
      <c r="WLV2" s="283"/>
      <c r="WLW2" s="283"/>
      <c r="WLX2" s="283"/>
      <c r="WLY2" s="283"/>
      <c r="WLZ2" s="283"/>
      <c r="WMA2" s="283"/>
      <c r="WMB2" s="283"/>
      <c r="WMC2" s="283"/>
      <c r="WMD2" s="283"/>
      <c r="WME2" s="283"/>
      <c r="WMF2" s="283"/>
      <c r="WMG2" s="283"/>
      <c r="WMH2" s="283"/>
      <c r="WMI2" s="283"/>
      <c r="WMJ2" s="283"/>
      <c r="WMK2" s="283"/>
      <c r="WML2" s="283"/>
      <c r="WMM2" s="283"/>
      <c r="WMN2" s="283"/>
      <c r="WMO2" s="283"/>
      <c r="WMP2" s="283"/>
      <c r="WMQ2" s="283"/>
      <c r="WMR2" s="283"/>
      <c r="WMS2" s="283"/>
      <c r="WMT2" s="283"/>
      <c r="WMU2" s="283"/>
      <c r="WMV2" s="283"/>
      <c r="WMW2" s="283"/>
      <c r="WMX2" s="283"/>
      <c r="WMY2" s="283"/>
      <c r="WMZ2" s="283"/>
      <c r="WNA2" s="283"/>
      <c r="WNB2" s="283"/>
      <c r="WNC2" s="283"/>
      <c r="WND2" s="283"/>
      <c r="WNE2" s="283"/>
      <c r="WNF2" s="283"/>
      <c r="WNG2" s="283"/>
      <c r="WNH2" s="283"/>
      <c r="WNI2" s="283"/>
      <c r="WNJ2" s="283"/>
      <c r="WNK2" s="283"/>
      <c r="WNL2" s="283"/>
      <c r="WNM2" s="283"/>
      <c r="WNN2" s="283"/>
      <c r="WNO2" s="283"/>
      <c r="WNP2" s="283"/>
      <c r="WNQ2" s="283"/>
      <c r="WNR2" s="283"/>
      <c r="WNS2" s="283"/>
      <c r="WNT2" s="283"/>
      <c r="WNU2" s="283"/>
      <c r="WNV2" s="283"/>
      <c r="WNW2" s="283"/>
      <c r="WNX2" s="283"/>
      <c r="WNY2" s="283"/>
      <c r="WNZ2" s="283"/>
      <c r="WOA2" s="283"/>
      <c r="WOB2" s="283"/>
      <c r="WOC2" s="283"/>
      <c r="WOD2" s="283"/>
      <c r="WOE2" s="283"/>
      <c r="WOF2" s="283"/>
      <c r="WOG2" s="283"/>
      <c r="WOH2" s="283"/>
      <c r="WOI2" s="283"/>
      <c r="WOJ2" s="283"/>
      <c r="WOK2" s="283"/>
      <c r="WOL2" s="283"/>
      <c r="WOM2" s="283"/>
      <c r="WON2" s="283"/>
      <c r="WOO2" s="283"/>
      <c r="WOP2" s="283"/>
      <c r="WOQ2" s="283"/>
      <c r="WOR2" s="283"/>
      <c r="WOS2" s="283"/>
      <c r="WOT2" s="283"/>
      <c r="WOU2" s="283"/>
      <c r="WOV2" s="283"/>
      <c r="WOW2" s="283"/>
      <c r="WOX2" s="283"/>
      <c r="WOY2" s="283"/>
      <c r="WOZ2" s="283"/>
      <c r="WPA2" s="283"/>
      <c r="WPB2" s="283"/>
      <c r="WPC2" s="283"/>
      <c r="WPD2" s="283"/>
      <c r="WPE2" s="283"/>
      <c r="WPF2" s="283"/>
      <c r="WPG2" s="283"/>
      <c r="WPH2" s="283"/>
      <c r="WPI2" s="283"/>
      <c r="WPJ2" s="283"/>
      <c r="WPK2" s="283"/>
      <c r="WPL2" s="283"/>
      <c r="WPM2" s="283"/>
      <c r="WPN2" s="283"/>
      <c r="WPO2" s="283"/>
      <c r="WPP2" s="283"/>
      <c r="WPQ2" s="283"/>
      <c r="WPR2" s="283"/>
      <c r="WPS2" s="283"/>
      <c r="WPT2" s="283"/>
      <c r="WPU2" s="283"/>
      <c r="WPV2" s="283"/>
      <c r="WPW2" s="283"/>
      <c r="WPX2" s="283"/>
      <c r="WPY2" s="283"/>
      <c r="WPZ2" s="283"/>
      <c r="WQA2" s="283"/>
      <c r="WQB2" s="283"/>
      <c r="WQC2" s="283"/>
      <c r="WQD2" s="283"/>
      <c r="WQE2" s="283"/>
      <c r="WQF2" s="283"/>
      <c r="WQG2" s="283"/>
      <c r="WQH2" s="283"/>
      <c r="WQI2" s="283"/>
      <c r="WQJ2" s="283"/>
      <c r="WQK2" s="283"/>
      <c r="WQL2" s="283"/>
      <c r="WQM2" s="283"/>
      <c r="WQN2" s="283"/>
      <c r="WQO2" s="283"/>
      <c r="WQP2" s="283"/>
      <c r="WQQ2" s="283"/>
      <c r="WQR2" s="283"/>
      <c r="WQS2" s="283"/>
      <c r="WQT2" s="283"/>
      <c r="WQU2" s="283"/>
      <c r="WQV2" s="283"/>
      <c r="WQW2" s="283"/>
      <c r="WQX2" s="283"/>
      <c r="WQY2" s="283"/>
      <c r="WQZ2" s="283"/>
      <c r="WRA2" s="283"/>
      <c r="WRB2" s="283"/>
      <c r="WRC2" s="283"/>
      <c r="WRD2" s="283"/>
      <c r="WRE2" s="283"/>
      <c r="WRF2" s="283"/>
      <c r="WRG2" s="283"/>
      <c r="WRH2" s="283"/>
      <c r="WRI2" s="283"/>
      <c r="WRJ2" s="283"/>
      <c r="WRK2" s="283"/>
      <c r="WRL2" s="283"/>
      <c r="WRM2" s="283"/>
      <c r="WRN2" s="283"/>
      <c r="WRO2" s="283"/>
      <c r="WRP2" s="283"/>
      <c r="WRQ2" s="283"/>
      <c r="WRR2" s="283"/>
      <c r="WRS2" s="283"/>
      <c r="WRT2" s="283"/>
      <c r="WRU2" s="283"/>
      <c r="WRV2" s="283"/>
      <c r="WRW2" s="283"/>
      <c r="WRX2" s="283"/>
      <c r="WRY2" s="283"/>
      <c r="WRZ2" s="283"/>
      <c r="WSA2" s="283"/>
      <c r="WSB2" s="283"/>
      <c r="WSC2" s="283"/>
      <c r="WSD2" s="283"/>
      <c r="WSE2" s="283"/>
      <c r="WSF2" s="283"/>
      <c r="WSG2" s="283"/>
      <c r="WSH2" s="283"/>
      <c r="WSI2" s="283"/>
      <c r="WSJ2" s="283"/>
      <c r="WSK2" s="283"/>
      <c r="WSL2" s="283"/>
      <c r="WSM2" s="283"/>
      <c r="WSN2" s="283"/>
      <c r="WSO2" s="283"/>
      <c r="WSP2" s="283"/>
      <c r="WSQ2" s="283"/>
      <c r="WSR2" s="283"/>
      <c r="WSS2" s="283"/>
      <c r="WST2" s="283"/>
      <c r="WSU2" s="283"/>
      <c r="WSV2" s="283"/>
      <c r="WSW2" s="283"/>
      <c r="WSX2" s="283"/>
      <c r="WSY2" s="283"/>
      <c r="WSZ2" s="283"/>
      <c r="WTA2" s="283"/>
      <c r="WTB2" s="283"/>
      <c r="WTC2" s="283"/>
      <c r="WTD2" s="283"/>
      <c r="WTE2" s="283"/>
      <c r="WTF2" s="283"/>
      <c r="WTG2" s="283"/>
      <c r="WTH2" s="283"/>
      <c r="WTI2" s="283"/>
      <c r="WTJ2" s="283"/>
      <c r="WTK2" s="283"/>
      <c r="WTL2" s="283"/>
      <c r="WTM2" s="283"/>
      <c r="WTN2" s="283"/>
      <c r="WTO2" s="283"/>
      <c r="WTP2" s="283"/>
      <c r="WTQ2" s="283"/>
      <c r="WTR2" s="283"/>
      <c r="WTS2" s="283"/>
      <c r="WTT2" s="283"/>
      <c r="WTU2" s="283"/>
      <c r="WTV2" s="283"/>
      <c r="WTW2" s="283"/>
      <c r="WTX2" s="283"/>
      <c r="WTY2" s="283"/>
      <c r="WTZ2" s="283"/>
      <c r="WUA2" s="283"/>
      <c r="WUB2" s="283"/>
      <c r="WUC2" s="283"/>
      <c r="WUD2" s="283"/>
      <c r="WUE2" s="283"/>
      <c r="WUF2" s="283"/>
      <c r="WUG2" s="283"/>
      <c r="WUH2" s="283"/>
      <c r="WUI2" s="283"/>
      <c r="WUJ2" s="283"/>
      <c r="WUK2" s="283"/>
      <c r="WUL2" s="283"/>
      <c r="WUM2" s="283"/>
      <c r="WUN2" s="283"/>
      <c r="WUO2" s="283"/>
      <c r="WUP2" s="283"/>
      <c r="WUQ2" s="283"/>
      <c r="WUR2" s="283"/>
      <c r="WUS2" s="283"/>
      <c r="WUT2" s="283"/>
      <c r="WUU2" s="283"/>
      <c r="WUV2" s="283"/>
      <c r="WUW2" s="283"/>
      <c r="WUX2" s="283"/>
      <c r="WUY2" s="283"/>
      <c r="WUZ2" s="283"/>
      <c r="WVA2" s="283"/>
      <c r="WVB2" s="283"/>
      <c r="WVC2" s="283"/>
      <c r="WVD2" s="283"/>
      <c r="WVE2" s="283"/>
      <c r="WVF2" s="283"/>
      <c r="WVG2" s="283"/>
      <c r="WVH2" s="283"/>
      <c r="WVI2" s="283"/>
      <c r="WVJ2" s="283"/>
      <c r="WVK2" s="283"/>
      <c r="WVL2" s="283"/>
      <c r="WVM2" s="283"/>
      <c r="WVN2" s="283"/>
      <c r="WVO2" s="283"/>
      <c r="WVP2" s="283"/>
      <c r="WVQ2" s="283"/>
      <c r="WVR2" s="283"/>
      <c r="WVS2" s="283"/>
      <c r="WVT2" s="283"/>
      <c r="WVU2" s="283"/>
      <c r="WVV2" s="283"/>
      <c r="WVW2" s="283"/>
      <c r="WVX2" s="283"/>
      <c r="WVY2" s="283"/>
      <c r="WVZ2" s="283"/>
      <c r="WWA2" s="283"/>
      <c r="WWB2" s="283"/>
      <c r="WWC2" s="283"/>
      <c r="WWD2" s="283"/>
      <c r="WWE2" s="283"/>
      <c r="WWF2" s="283"/>
      <c r="WWG2" s="283"/>
      <c r="WWH2" s="283"/>
      <c r="WWI2" s="283"/>
      <c r="WWJ2" s="283"/>
      <c r="WWK2" s="283"/>
      <c r="WWL2" s="283"/>
      <c r="WWM2" s="283"/>
      <c r="WWN2" s="283"/>
      <c r="WWO2" s="283"/>
      <c r="WWP2" s="283"/>
      <c r="WWQ2" s="283"/>
      <c r="WWR2" s="283"/>
      <c r="WWS2" s="283"/>
      <c r="WWT2" s="283"/>
      <c r="WWU2" s="283"/>
      <c r="WWV2" s="283"/>
      <c r="WWW2" s="283"/>
      <c r="WWX2" s="283"/>
      <c r="WWY2" s="283"/>
      <c r="WWZ2" s="283"/>
      <c r="WXA2" s="283"/>
      <c r="WXB2" s="283"/>
      <c r="WXC2" s="283"/>
      <c r="WXD2" s="283"/>
      <c r="WXE2" s="283"/>
      <c r="WXF2" s="283"/>
      <c r="WXG2" s="283"/>
      <c r="WXH2" s="283"/>
      <c r="WXI2" s="283"/>
      <c r="WXJ2" s="283"/>
      <c r="WXK2" s="283"/>
      <c r="WXL2" s="283"/>
      <c r="WXM2" s="283"/>
      <c r="WXN2" s="283"/>
      <c r="WXO2" s="283"/>
      <c r="WXP2" s="283"/>
      <c r="WXQ2" s="283"/>
      <c r="WXR2" s="283"/>
      <c r="WXS2" s="283"/>
      <c r="WXT2" s="283"/>
      <c r="WXU2" s="283"/>
      <c r="WXV2" s="283"/>
      <c r="WXW2" s="283"/>
      <c r="WXX2" s="283"/>
      <c r="WXY2" s="283"/>
      <c r="WXZ2" s="283"/>
      <c r="WYA2" s="283"/>
      <c r="WYB2" s="283"/>
      <c r="WYC2" s="283"/>
      <c r="WYD2" s="283"/>
      <c r="WYE2" s="283"/>
      <c r="WYF2" s="283"/>
      <c r="WYG2" s="283"/>
      <c r="WYH2" s="283"/>
      <c r="WYI2" s="283"/>
      <c r="WYJ2" s="283"/>
      <c r="WYK2" s="283"/>
      <c r="WYL2" s="283"/>
      <c r="WYM2" s="283"/>
      <c r="WYN2" s="283"/>
      <c r="WYO2" s="283"/>
      <c r="WYP2" s="283"/>
      <c r="WYQ2" s="283"/>
      <c r="WYR2" s="283"/>
      <c r="WYS2" s="283"/>
      <c r="WYT2" s="283"/>
      <c r="WYU2" s="283"/>
      <c r="WYV2" s="283"/>
      <c r="WYW2" s="283"/>
      <c r="WYX2" s="283"/>
      <c r="WYY2" s="283"/>
      <c r="WYZ2" s="283"/>
      <c r="WZA2" s="283"/>
      <c r="WZB2" s="283"/>
      <c r="WZC2" s="283"/>
      <c r="WZD2" s="283"/>
      <c r="WZE2" s="283"/>
      <c r="WZF2" s="283"/>
      <c r="WZG2" s="283"/>
      <c r="WZH2" s="283"/>
      <c r="WZI2" s="283"/>
      <c r="WZJ2" s="283"/>
      <c r="WZK2" s="283"/>
      <c r="WZL2" s="283"/>
      <c r="WZM2" s="283"/>
      <c r="WZN2" s="283"/>
      <c r="WZO2" s="283"/>
      <c r="WZP2" s="283"/>
      <c r="WZQ2" s="283"/>
      <c r="WZR2" s="283"/>
      <c r="WZS2" s="283"/>
      <c r="WZT2" s="283"/>
      <c r="WZU2" s="283"/>
      <c r="WZV2" s="283"/>
      <c r="WZW2" s="283"/>
      <c r="WZX2" s="283"/>
      <c r="WZY2" s="283"/>
      <c r="WZZ2" s="283"/>
      <c r="XAA2" s="283"/>
      <c r="XAB2" s="283"/>
      <c r="XAC2" s="283"/>
      <c r="XAD2" s="283"/>
      <c r="XAE2" s="283"/>
      <c r="XAF2" s="283"/>
      <c r="XAG2" s="283"/>
      <c r="XAH2" s="283"/>
      <c r="XAI2" s="283"/>
      <c r="XAJ2" s="283"/>
      <c r="XAK2" s="283"/>
      <c r="XAL2" s="283"/>
      <c r="XAM2" s="283"/>
      <c r="XAN2" s="283"/>
      <c r="XAO2" s="283"/>
      <c r="XAP2" s="283"/>
      <c r="XAQ2" s="283"/>
      <c r="XAR2" s="283"/>
      <c r="XAS2" s="283"/>
      <c r="XAT2" s="283"/>
      <c r="XAU2" s="283"/>
      <c r="XAV2" s="283"/>
      <c r="XAW2" s="283"/>
      <c r="XAX2" s="283"/>
      <c r="XAY2" s="283"/>
      <c r="XAZ2" s="283"/>
      <c r="XBA2" s="283"/>
      <c r="XBB2" s="283"/>
      <c r="XBC2" s="283"/>
      <c r="XBD2" s="283"/>
      <c r="XBE2" s="283"/>
      <c r="XBF2" s="283"/>
      <c r="XBG2" s="283"/>
      <c r="XBH2" s="283"/>
      <c r="XBI2" s="283"/>
      <c r="XBJ2" s="283"/>
      <c r="XBK2" s="283"/>
      <c r="XBL2" s="283"/>
      <c r="XBM2" s="283"/>
      <c r="XBN2" s="283"/>
      <c r="XBO2" s="283"/>
      <c r="XBP2" s="283"/>
      <c r="XBQ2" s="283"/>
      <c r="XBR2" s="283"/>
      <c r="XBS2" s="283"/>
      <c r="XBT2" s="283"/>
      <c r="XBU2" s="283"/>
      <c r="XBV2" s="283"/>
      <c r="XBW2" s="283"/>
      <c r="XBX2" s="283"/>
      <c r="XBY2" s="283"/>
      <c r="XBZ2" s="283"/>
      <c r="XCA2" s="283"/>
      <c r="XCB2" s="283"/>
      <c r="XCC2" s="283"/>
      <c r="XCD2" s="283"/>
      <c r="XCE2" s="283"/>
      <c r="XCF2" s="283"/>
      <c r="XCG2" s="283"/>
      <c r="XCH2" s="283"/>
      <c r="XCI2" s="283"/>
      <c r="XCJ2" s="283"/>
      <c r="XCK2" s="283"/>
      <c r="XCL2" s="283"/>
      <c r="XCM2" s="283"/>
      <c r="XCN2" s="283"/>
      <c r="XCO2" s="283"/>
      <c r="XCP2" s="283"/>
      <c r="XCQ2" s="283"/>
      <c r="XCR2" s="283"/>
      <c r="XCS2" s="283"/>
      <c r="XCT2" s="283"/>
      <c r="XCU2" s="283"/>
      <c r="XCV2" s="283"/>
      <c r="XCW2" s="283"/>
      <c r="XCX2" s="283"/>
      <c r="XCY2" s="283"/>
      <c r="XCZ2" s="283"/>
      <c r="XDA2" s="283"/>
      <c r="XDB2" s="283"/>
      <c r="XDC2" s="283"/>
      <c r="XDD2" s="283"/>
      <c r="XDE2" s="283"/>
      <c r="XDF2" s="283"/>
      <c r="XDG2" s="283"/>
      <c r="XDH2" s="283"/>
      <c r="XDI2" s="283"/>
      <c r="XDJ2" s="283"/>
      <c r="XDK2" s="283"/>
      <c r="XDL2" s="283"/>
      <c r="XDM2" s="283"/>
      <c r="XDN2" s="283"/>
      <c r="XDO2" s="283"/>
      <c r="XDP2" s="283"/>
      <c r="XDQ2" s="283"/>
      <c r="XDR2" s="283"/>
      <c r="XDS2" s="283"/>
      <c r="XDT2" s="283"/>
      <c r="XDU2" s="283"/>
      <c r="XDV2" s="283"/>
      <c r="XDW2" s="283"/>
      <c r="XDX2" s="283"/>
      <c r="XDY2" s="283"/>
      <c r="XDZ2" s="283"/>
      <c r="XEA2" s="283"/>
      <c r="XEB2" s="283"/>
      <c r="XEC2" s="283"/>
      <c r="XED2" s="283"/>
      <c r="XEE2" s="283"/>
      <c r="XEF2" s="283"/>
      <c r="XEG2" s="283"/>
      <c r="XEH2" s="283"/>
      <c r="XEI2" s="283"/>
      <c r="XEJ2" s="283"/>
      <c r="XEK2" s="283"/>
      <c r="XEL2" s="283"/>
      <c r="XEM2" s="283"/>
      <c r="XEN2" s="283"/>
      <c r="XEO2" s="283"/>
      <c r="XEP2" s="283"/>
      <c r="XEQ2" s="283"/>
      <c r="XER2" s="283"/>
      <c r="XES2" s="283"/>
      <c r="XET2" s="283"/>
      <c r="XEU2" s="283"/>
      <c r="XEV2" s="283"/>
      <c r="XEW2" s="283"/>
      <c r="XEX2" s="283"/>
      <c r="XEY2" s="283"/>
      <c r="XEZ2" s="283"/>
      <c r="XFA2" s="283"/>
      <c r="XFB2" s="283"/>
    </row>
    <row r="3" ht="20.1" customHeight="1" spans="1:167">
      <c r="A3" s="221" t="s">
        <v>38</v>
      </c>
      <c r="B3" s="221" t="s">
        <v>2</v>
      </c>
      <c r="C3" s="222" t="s">
        <v>39</v>
      </c>
      <c r="D3" s="223" t="s">
        <v>40</v>
      </c>
      <c r="E3" s="221" t="s">
        <v>6</v>
      </c>
      <c r="F3" s="224" t="s">
        <v>41</v>
      </c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5"/>
      <c r="BJ3" s="225"/>
      <c r="BK3" s="225"/>
      <c r="BL3" s="225"/>
      <c r="BM3" s="225"/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5"/>
      <c r="BY3" s="225"/>
      <c r="BZ3" s="225"/>
      <c r="CA3" s="225"/>
      <c r="CB3" s="225"/>
      <c r="CC3" s="225"/>
      <c r="CD3" s="225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25"/>
      <c r="DD3" s="225"/>
      <c r="DE3" s="225"/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  <c r="EC3" s="225"/>
      <c r="ED3" s="225"/>
      <c r="EE3" s="225"/>
      <c r="EF3" s="225"/>
      <c r="EG3" s="225"/>
      <c r="EH3" s="225"/>
      <c r="EI3" s="225"/>
      <c r="EJ3" s="225"/>
      <c r="EK3" s="225"/>
      <c r="EL3" s="225"/>
      <c r="EM3" s="225"/>
      <c r="EN3" s="225"/>
      <c r="EO3" s="225"/>
      <c r="EP3" s="225"/>
      <c r="EQ3" s="225"/>
      <c r="ER3" s="225"/>
      <c r="ES3" s="225"/>
      <c r="ET3" s="225"/>
      <c r="EU3" s="225"/>
      <c r="EV3" s="225"/>
      <c r="EW3" s="225"/>
      <c r="EX3" s="225"/>
      <c r="EY3" s="225"/>
      <c r="EZ3" s="225"/>
      <c r="FA3" s="225"/>
      <c r="FB3" s="225"/>
      <c r="FC3" s="225"/>
      <c r="FD3" s="225"/>
      <c r="FE3" s="284" t="s">
        <v>42</v>
      </c>
      <c r="FF3" s="284"/>
      <c r="FG3" s="284"/>
      <c r="FH3" s="284"/>
      <c r="FI3" s="285"/>
      <c r="FJ3" s="284"/>
      <c r="FK3" s="284"/>
    </row>
    <row r="4" ht="20.1" customHeight="1" spans="1:167">
      <c r="A4" s="221"/>
      <c r="B4" s="221"/>
      <c r="C4" s="226"/>
      <c r="D4" s="227"/>
      <c r="E4" s="221"/>
      <c r="F4" s="224">
        <v>1</v>
      </c>
      <c r="G4" s="225"/>
      <c r="H4" s="225"/>
      <c r="I4" s="225"/>
      <c r="J4" s="225"/>
      <c r="K4" s="225">
        <v>2</v>
      </c>
      <c r="L4" s="225"/>
      <c r="M4" s="225"/>
      <c r="N4" s="225"/>
      <c r="O4" s="225"/>
      <c r="P4" s="225">
        <v>3</v>
      </c>
      <c r="Q4" s="225"/>
      <c r="R4" s="225"/>
      <c r="S4" s="225"/>
      <c r="T4" s="225"/>
      <c r="U4" s="225">
        <v>4</v>
      </c>
      <c r="V4" s="225"/>
      <c r="W4" s="225"/>
      <c r="X4" s="225"/>
      <c r="Y4" s="225"/>
      <c r="Z4" s="225">
        <v>5</v>
      </c>
      <c r="AA4" s="225"/>
      <c r="AB4" s="225"/>
      <c r="AC4" s="225"/>
      <c r="AD4" s="225"/>
      <c r="AE4" s="225">
        <v>6</v>
      </c>
      <c r="AF4" s="225"/>
      <c r="AG4" s="225"/>
      <c r="AH4" s="225"/>
      <c r="AI4" s="225"/>
      <c r="AJ4" s="225">
        <v>7</v>
      </c>
      <c r="AK4" s="225"/>
      <c r="AL4" s="225"/>
      <c r="AM4" s="225"/>
      <c r="AN4" s="225"/>
      <c r="AO4" s="225">
        <v>8</v>
      </c>
      <c r="AP4" s="225"/>
      <c r="AQ4" s="225"/>
      <c r="AR4" s="225"/>
      <c r="AS4" s="225"/>
      <c r="AT4" s="225">
        <v>9</v>
      </c>
      <c r="AU4" s="225"/>
      <c r="AV4" s="225"/>
      <c r="AW4" s="225"/>
      <c r="AX4" s="225"/>
      <c r="AY4" s="225">
        <v>10</v>
      </c>
      <c r="AZ4" s="225"/>
      <c r="BA4" s="225"/>
      <c r="BB4" s="225"/>
      <c r="BC4" s="225"/>
      <c r="BD4" s="225">
        <v>11</v>
      </c>
      <c r="BE4" s="225"/>
      <c r="BF4" s="225"/>
      <c r="BG4" s="225"/>
      <c r="BH4" s="225"/>
      <c r="BI4" s="225">
        <v>12</v>
      </c>
      <c r="BJ4" s="225"/>
      <c r="BK4" s="225"/>
      <c r="BL4" s="225"/>
      <c r="BM4" s="225"/>
      <c r="BN4" s="225">
        <v>13</v>
      </c>
      <c r="BO4" s="225"/>
      <c r="BP4" s="225"/>
      <c r="BQ4" s="225"/>
      <c r="BR4" s="225"/>
      <c r="BS4" s="225">
        <v>14</v>
      </c>
      <c r="BT4" s="225"/>
      <c r="BU4" s="225"/>
      <c r="BV4" s="225"/>
      <c r="BW4" s="225"/>
      <c r="BX4" s="225">
        <v>15</v>
      </c>
      <c r="BY4" s="225"/>
      <c r="BZ4" s="225"/>
      <c r="CA4" s="225"/>
      <c r="CB4" s="225"/>
      <c r="CC4" s="225">
        <v>16</v>
      </c>
      <c r="CD4" s="225"/>
      <c r="CE4" s="225"/>
      <c r="CF4" s="225"/>
      <c r="CG4" s="225"/>
      <c r="CH4" s="225">
        <v>17</v>
      </c>
      <c r="CI4" s="225"/>
      <c r="CJ4" s="225"/>
      <c r="CK4" s="225"/>
      <c r="CL4" s="225"/>
      <c r="CM4" s="225">
        <v>18</v>
      </c>
      <c r="CN4" s="225"/>
      <c r="CO4" s="225"/>
      <c r="CP4" s="225"/>
      <c r="CQ4" s="225"/>
      <c r="CR4" s="225">
        <v>19</v>
      </c>
      <c r="CS4" s="225"/>
      <c r="CT4" s="225"/>
      <c r="CU4" s="225"/>
      <c r="CV4" s="225"/>
      <c r="CW4" s="225">
        <v>20</v>
      </c>
      <c r="CX4" s="225"/>
      <c r="CY4" s="225"/>
      <c r="CZ4" s="225"/>
      <c r="DA4" s="225"/>
      <c r="DB4" s="225">
        <v>21</v>
      </c>
      <c r="DC4" s="225"/>
      <c r="DD4" s="225"/>
      <c r="DE4" s="225"/>
      <c r="DF4" s="225"/>
      <c r="DG4" s="225">
        <v>22</v>
      </c>
      <c r="DH4" s="225"/>
      <c r="DI4" s="225"/>
      <c r="DJ4" s="225"/>
      <c r="DK4" s="225"/>
      <c r="DL4" s="225">
        <v>23</v>
      </c>
      <c r="DM4" s="225"/>
      <c r="DN4" s="225"/>
      <c r="DO4" s="225"/>
      <c r="DP4" s="225"/>
      <c r="DQ4" s="225">
        <v>24</v>
      </c>
      <c r="DR4" s="225"/>
      <c r="DS4" s="225"/>
      <c r="DT4" s="225"/>
      <c r="DU4" s="225"/>
      <c r="DV4" s="225">
        <v>25</v>
      </c>
      <c r="DW4" s="225"/>
      <c r="DX4" s="225"/>
      <c r="DY4" s="225"/>
      <c r="DZ4" s="225"/>
      <c r="EA4" s="225">
        <v>26</v>
      </c>
      <c r="EB4" s="225"/>
      <c r="EC4" s="225"/>
      <c r="ED4" s="225"/>
      <c r="EE4" s="225"/>
      <c r="EF4" s="225">
        <v>27</v>
      </c>
      <c r="EG4" s="225"/>
      <c r="EH4" s="225"/>
      <c r="EI4" s="225"/>
      <c r="EJ4" s="225"/>
      <c r="EK4" s="225">
        <v>28</v>
      </c>
      <c r="EL4" s="225"/>
      <c r="EM4" s="225"/>
      <c r="EN4" s="225"/>
      <c r="EO4" s="225"/>
      <c r="EP4" s="225">
        <v>29</v>
      </c>
      <c r="EQ4" s="225"/>
      <c r="ER4" s="225"/>
      <c r="ES4" s="225"/>
      <c r="ET4" s="225"/>
      <c r="EU4" s="225">
        <v>30</v>
      </c>
      <c r="EV4" s="225"/>
      <c r="EW4" s="225"/>
      <c r="EX4" s="225"/>
      <c r="EY4" s="225"/>
      <c r="EZ4" s="225">
        <v>31</v>
      </c>
      <c r="FA4" s="225"/>
      <c r="FB4" s="225"/>
      <c r="FC4" s="225"/>
      <c r="FD4" s="225"/>
      <c r="FE4" s="225"/>
      <c r="FF4" s="225"/>
      <c r="FG4" s="225"/>
      <c r="FH4" s="225"/>
      <c r="FI4" s="285"/>
      <c r="FJ4" s="225"/>
      <c r="FK4" s="225"/>
    </row>
    <row r="5" s="209" customFormat="1" ht="69.95" customHeight="1" spans="1:169">
      <c r="A5" s="222"/>
      <c r="B5" s="222"/>
      <c r="C5" s="226"/>
      <c r="D5" s="227"/>
      <c r="E5" s="222"/>
      <c r="F5" s="228" t="s">
        <v>43</v>
      </c>
      <c r="G5" s="229" t="s">
        <v>44</v>
      </c>
      <c r="H5" s="229" t="s">
        <v>45</v>
      </c>
      <c r="I5" s="229" t="s">
        <v>46</v>
      </c>
      <c r="J5" s="229" t="s">
        <v>47</v>
      </c>
      <c r="K5" s="229" t="s">
        <v>43</v>
      </c>
      <c r="L5" s="229" t="s">
        <v>44</v>
      </c>
      <c r="M5" s="229" t="s">
        <v>45</v>
      </c>
      <c r="N5" s="229" t="s">
        <v>46</v>
      </c>
      <c r="O5" s="229" t="s">
        <v>47</v>
      </c>
      <c r="P5" s="281" t="s">
        <v>43</v>
      </c>
      <c r="Q5" s="229" t="s">
        <v>44</v>
      </c>
      <c r="R5" s="229" t="s">
        <v>45</v>
      </c>
      <c r="S5" s="229" t="s">
        <v>46</v>
      </c>
      <c r="T5" s="229" t="s">
        <v>47</v>
      </c>
      <c r="U5" s="229" t="s">
        <v>43</v>
      </c>
      <c r="V5" s="229" t="s">
        <v>44</v>
      </c>
      <c r="W5" s="229" t="s">
        <v>45</v>
      </c>
      <c r="X5" s="229" t="s">
        <v>46</v>
      </c>
      <c r="Y5" s="229" t="s">
        <v>47</v>
      </c>
      <c r="Z5" s="229" t="s">
        <v>43</v>
      </c>
      <c r="AA5" s="229" t="s">
        <v>44</v>
      </c>
      <c r="AB5" s="229" t="s">
        <v>45</v>
      </c>
      <c r="AC5" s="229" t="s">
        <v>46</v>
      </c>
      <c r="AD5" s="229" t="s">
        <v>47</v>
      </c>
      <c r="AE5" s="229" t="s">
        <v>43</v>
      </c>
      <c r="AF5" s="229" t="s">
        <v>44</v>
      </c>
      <c r="AG5" s="229" t="s">
        <v>45</v>
      </c>
      <c r="AH5" s="229" t="s">
        <v>46</v>
      </c>
      <c r="AI5" s="229" t="s">
        <v>47</v>
      </c>
      <c r="AJ5" s="229" t="s">
        <v>43</v>
      </c>
      <c r="AK5" s="229" t="s">
        <v>44</v>
      </c>
      <c r="AL5" s="229" t="s">
        <v>45</v>
      </c>
      <c r="AM5" s="229" t="s">
        <v>46</v>
      </c>
      <c r="AN5" s="229" t="s">
        <v>47</v>
      </c>
      <c r="AO5" s="229" t="s">
        <v>43</v>
      </c>
      <c r="AP5" s="229" t="s">
        <v>44</v>
      </c>
      <c r="AQ5" s="229" t="s">
        <v>45</v>
      </c>
      <c r="AR5" s="229" t="s">
        <v>46</v>
      </c>
      <c r="AS5" s="229" t="s">
        <v>47</v>
      </c>
      <c r="AT5" s="229" t="s">
        <v>43</v>
      </c>
      <c r="AU5" s="229" t="s">
        <v>44</v>
      </c>
      <c r="AV5" s="229" t="s">
        <v>45</v>
      </c>
      <c r="AW5" s="229" t="s">
        <v>46</v>
      </c>
      <c r="AX5" s="229" t="s">
        <v>47</v>
      </c>
      <c r="AY5" s="229" t="s">
        <v>43</v>
      </c>
      <c r="AZ5" s="229" t="s">
        <v>44</v>
      </c>
      <c r="BA5" s="229" t="s">
        <v>45</v>
      </c>
      <c r="BB5" s="229" t="s">
        <v>46</v>
      </c>
      <c r="BC5" s="229" t="s">
        <v>47</v>
      </c>
      <c r="BD5" s="229" t="s">
        <v>43</v>
      </c>
      <c r="BE5" s="229" t="s">
        <v>44</v>
      </c>
      <c r="BF5" s="229" t="s">
        <v>45</v>
      </c>
      <c r="BG5" s="229" t="s">
        <v>46</v>
      </c>
      <c r="BH5" s="229" t="s">
        <v>47</v>
      </c>
      <c r="BI5" s="229" t="s">
        <v>43</v>
      </c>
      <c r="BJ5" s="229" t="s">
        <v>44</v>
      </c>
      <c r="BK5" s="229" t="s">
        <v>45</v>
      </c>
      <c r="BL5" s="229" t="s">
        <v>46</v>
      </c>
      <c r="BM5" s="229" t="s">
        <v>47</v>
      </c>
      <c r="BN5" s="229" t="s">
        <v>43</v>
      </c>
      <c r="BO5" s="229" t="s">
        <v>44</v>
      </c>
      <c r="BP5" s="229" t="s">
        <v>45</v>
      </c>
      <c r="BQ5" s="229" t="s">
        <v>46</v>
      </c>
      <c r="BR5" s="229" t="s">
        <v>47</v>
      </c>
      <c r="BS5" s="229" t="s">
        <v>43</v>
      </c>
      <c r="BT5" s="229" t="s">
        <v>44</v>
      </c>
      <c r="BU5" s="229" t="s">
        <v>45</v>
      </c>
      <c r="BV5" s="229" t="s">
        <v>46</v>
      </c>
      <c r="BW5" s="229" t="s">
        <v>47</v>
      </c>
      <c r="BX5" s="229" t="s">
        <v>43</v>
      </c>
      <c r="BY5" s="229" t="s">
        <v>44</v>
      </c>
      <c r="BZ5" s="229" t="s">
        <v>45</v>
      </c>
      <c r="CA5" s="229" t="s">
        <v>46</v>
      </c>
      <c r="CB5" s="229" t="s">
        <v>47</v>
      </c>
      <c r="CC5" s="229" t="s">
        <v>43</v>
      </c>
      <c r="CD5" s="229" t="s">
        <v>44</v>
      </c>
      <c r="CE5" s="229" t="s">
        <v>45</v>
      </c>
      <c r="CF5" s="229" t="s">
        <v>46</v>
      </c>
      <c r="CG5" s="229" t="s">
        <v>47</v>
      </c>
      <c r="CH5" s="229" t="s">
        <v>43</v>
      </c>
      <c r="CI5" s="229" t="s">
        <v>44</v>
      </c>
      <c r="CJ5" s="229" t="s">
        <v>45</v>
      </c>
      <c r="CK5" s="229" t="s">
        <v>46</v>
      </c>
      <c r="CL5" s="229" t="s">
        <v>47</v>
      </c>
      <c r="CM5" s="229" t="s">
        <v>43</v>
      </c>
      <c r="CN5" s="229" t="s">
        <v>44</v>
      </c>
      <c r="CO5" s="229" t="s">
        <v>45</v>
      </c>
      <c r="CP5" s="229" t="s">
        <v>46</v>
      </c>
      <c r="CQ5" s="229" t="s">
        <v>47</v>
      </c>
      <c r="CR5" s="229" t="s">
        <v>43</v>
      </c>
      <c r="CS5" s="229" t="s">
        <v>44</v>
      </c>
      <c r="CT5" s="229" t="s">
        <v>45</v>
      </c>
      <c r="CU5" s="229" t="s">
        <v>46</v>
      </c>
      <c r="CV5" s="229" t="s">
        <v>47</v>
      </c>
      <c r="CW5" s="229" t="s">
        <v>43</v>
      </c>
      <c r="CX5" s="229" t="s">
        <v>44</v>
      </c>
      <c r="CY5" s="229" t="s">
        <v>45</v>
      </c>
      <c r="CZ5" s="229" t="s">
        <v>46</v>
      </c>
      <c r="DA5" s="229" t="s">
        <v>47</v>
      </c>
      <c r="DB5" s="229" t="s">
        <v>43</v>
      </c>
      <c r="DC5" s="229" t="s">
        <v>44</v>
      </c>
      <c r="DD5" s="229" t="s">
        <v>45</v>
      </c>
      <c r="DE5" s="229" t="s">
        <v>46</v>
      </c>
      <c r="DF5" s="229" t="s">
        <v>47</v>
      </c>
      <c r="DG5" s="229" t="s">
        <v>43</v>
      </c>
      <c r="DH5" s="229" t="s">
        <v>44</v>
      </c>
      <c r="DI5" s="229" t="s">
        <v>45</v>
      </c>
      <c r="DJ5" s="229" t="s">
        <v>46</v>
      </c>
      <c r="DK5" s="229" t="s">
        <v>47</v>
      </c>
      <c r="DL5" s="229" t="s">
        <v>43</v>
      </c>
      <c r="DM5" s="229" t="s">
        <v>44</v>
      </c>
      <c r="DN5" s="229" t="s">
        <v>45</v>
      </c>
      <c r="DO5" s="229" t="s">
        <v>46</v>
      </c>
      <c r="DP5" s="229" t="s">
        <v>47</v>
      </c>
      <c r="DQ5" s="229" t="s">
        <v>43</v>
      </c>
      <c r="DR5" s="229" t="s">
        <v>44</v>
      </c>
      <c r="DS5" s="229" t="s">
        <v>45</v>
      </c>
      <c r="DT5" s="229" t="s">
        <v>46</v>
      </c>
      <c r="DU5" s="229" t="s">
        <v>47</v>
      </c>
      <c r="DV5" s="229" t="s">
        <v>43</v>
      </c>
      <c r="DW5" s="229" t="s">
        <v>44</v>
      </c>
      <c r="DX5" s="229" t="s">
        <v>45</v>
      </c>
      <c r="DY5" s="229" t="s">
        <v>46</v>
      </c>
      <c r="DZ5" s="229" t="s">
        <v>47</v>
      </c>
      <c r="EA5" s="229" t="s">
        <v>43</v>
      </c>
      <c r="EB5" s="229" t="s">
        <v>44</v>
      </c>
      <c r="EC5" s="229" t="s">
        <v>45</v>
      </c>
      <c r="ED5" s="229" t="s">
        <v>46</v>
      </c>
      <c r="EE5" s="229" t="s">
        <v>47</v>
      </c>
      <c r="EF5" s="229" t="s">
        <v>43</v>
      </c>
      <c r="EG5" s="229" t="s">
        <v>44</v>
      </c>
      <c r="EH5" s="229" t="s">
        <v>45</v>
      </c>
      <c r="EI5" s="229" t="s">
        <v>46</v>
      </c>
      <c r="EJ5" s="229" t="s">
        <v>47</v>
      </c>
      <c r="EK5" s="229" t="s">
        <v>43</v>
      </c>
      <c r="EL5" s="229" t="s">
        <v>44</v>
      </c>
      <c r="EM5" s="229" t="s">
        <v>45</v>
      </c>
      <c r="EN5" s="229" t="s">
        <v>45</v>
      </c>
      <c r="EO5" s="229" t="s">
        <v>47</v>
      </c>
      <c r="EP5" s="229" t="s">
        <v>43</v>
      </c>
      <c r="EQ5" s="229" t="s">
        <v>44</v>
      </c>
      <c r="ER5" s="229" t="s">
        <v>45</v>
      </c>
      <c r="ES5" s="229" t="s">
        <v>46</v>
      </c>
      <c r="ET5" s="229" t="s">
        <v>47</v>
      </c>
      <c r="EU5" s="229" t="s">
        <v>43</v>
      </c>
      <c r="EV5" s="229" t="s">
        <v>44</v>
      </c>
      <c r="EW5" s="229" t="s">
        <v>45</v>
      </c>
      <c r="EX5" s="229" t="s">
        <v>46</v>
      </c>
      <c r="EY5" s="229" t="s">
        <v>47</v>
      </c>
      <c r="EZ5" s="229" t="s">
        <v>43</v>
      </c>
      <c r="FA5" s="229" t="s">
        <v>44</v>
      </c>
      <c r="FB5" s="229" t="s">
        <v>45</v>
      </c>
      <c r="FC5" s="229" t="s">
        <v>46</v>
      </c>
      <c r="FD5" s="229" t="s">
        <v>47</v>
      </c>
      <c r="FE5" s="229" t="s">
        <v>43</v>
      </c>
      <c r="FF5" s="229"/>
      <c r="FG5" s="229" t="s">
        <v>44</v>
      </c>
      <c r="FH5" s="229" t="s">
        <v>45</v>
      </c>
      <c r="FI5" s="285" t="s">
        <v>48</v>
      </c>
      <c r="FJ5" s="286" t="s">
        <v>49</v>
      </c>
      <c r="FK5" s="286" t="s">
        <v>50</v>
      </c>
      <c r="FL5" s="287" t="s">
        <v>51</v>
      </c>
      <c r="FM5" s="287"/>
    </row>
    <row r="6" s="210" customFormat="1" ht="27" customHeight="1" spans="1:170">
      <c r="A6" s="230">
        <v>2</v>
      </c>
      <c r="B6" s="231" t="s">
        <v>7</v>
      </c>
      <c r="C6" s="232"/>
      <c r="D6" s="233" t="s">
        <v>8</v>
      </c>
      <c r="E6" s="234">
        <v>0.4</v>
      </c>
      <c r="F6" s="235"/>
      <c r="G6" s="235"/>
      <c r="H6" s="236"/>
      <c r="I6" s="236"/>
      <c r="J6" s="282" t="e">
        <f t="shared" ref="J6:J25" si="0">H6/(H6+I6)*H6/(H6+I6)</f>
        <v>#DIV/0!</v>
      </c>
      <c r="K6" s="235"/>
      <c r="L6" s="235"/>
      <c r="M6" s="236"/>
      <c r="N6" s="236"/>
      <c r="O6" s="236" t="e">
        <f t="shared" ref="O6:O25" si="1">M6/(M6+N6)*M6/(M6+N6)</f>
        <v>#DIV/0!</v>
      </c>
      <c r="P6" s="235"/>
      <c r="Q6" s="235"/>
      <c r="R6" s="236">
        <v>89</v>
      </c>
      <c r="S6" s="236"/>
      <c r="T6" s="236">
        <f t="shared" ref="T6:T25" si="2">R6/(R6+S6)*R6/(R6+S6)</f>
        <v>1</v>
      </c>
      <c r="U6" s="235"/>
      <c r="V6" s="235"/>
      <c r="W6" s="236"/>
      <c r="X6" s="236"/>
      <c r="Y6" s="236" t="e">
        <f t="shared" ref="Y6:Y25" si="3">W6/(W6+X6)*W6/(W6+X6)</f>
        <v>#DIV/0!</v>
      </c>
      <c r="Z6" s="235"/>
      <c r="AA6" s="235"/>
      <c r="AB6" s="236"/>
      <c r="AC6" s="236"/>
      <c r="AD6" s="236" t="e">
        <f>AB6/(AB6+AC6)*AB6/(AB6+AC6)</f>
        <v>#DIV/0!</v>
      </c>
      <c r="AE6" s="235"/>
      <c r="AF6" s="235"/>
      <c r="AG6" s="236"/>
      <c r="AH6" s="236"/>
      <c r="AI6" s="236" t="e">
        <f t="shared" ref="AI6:AI25" si="4">AG6/(AG6+AH6)*AG6/(AG6+AH6)</f>
        <v>#DIV/0!</v>
      </c>
      <c r="AJ6" s="235"/>
      <c r="AK6" s="235"/>
      <c r="AL6" s="236"/>
      <c r="AM6" s="236"/>
      <c r="AN6" s="236" t="e">
        <f t="shared" ref="AN6:AN25" si="5">AL6/(AL6+AM6)*AL6/(AL6+AM6)</f>
        <v>#DIV/0!</v>
      </c>
      <c r="AO6" s="235"/>
      <c r="AP6" s="235"/>
      <c r="AQ6" s="236"/>
      <c r="AR6" s="236"/>
      <c r="AS6" s="236" t="e">
        <f t="shared" ref="AS6:AS17" si="6">AQ6/(AQ6+AR6)*AQ6/(AQ6+AR6)</f>
        <v>#DIV/0!</v>
      </c>
      <c r="AT6" s="235"/>
      <c r="AU6" s="235"/>
      <c r="AV6" s="236"/>
      <c r="AW6" s="236"/>
      <c r="AX6" s="236" t="e">
        <f>AV6/(AV6+AW6)*AV6/(AV6+AW6)</f>
        <v>#DIV/0!</v>
      </c>
      <c r="AY6" s="235"/>
      <c r="AZ6" s="235"/>
      <c r="BA6" s="236"/>
      <c r="BB6" s="236"/>
      <c r="BC6" s="236" t="e">
        <f t="shared" ref="BC6:BC25" si="7">BA6/(BA6+BB6)*BA6/(BA6+BB6)</f>
        <v>#DIV/0!</v>
      </c>
      <c r="BD6" s="235"/>
      <c r="BE6" s="235"/>
      <c r="BF6" s="236"/>
      <c r="BG6" s="236"/>
      <c r="BH6" s="236" t="e">
        <f t="shared" ref="BH6:BH25" si="8">BF6/(BF6+BG6)*BF6/(BF6+BG6)</f>
        <v>#DIV/0!</v>
      </c>
      <c r="BI6" s="235"/>
      <c r="BJ6" s="235"/>
      <c r="BK6" s="236"/>
      <c r="BL6" s="236"/>
      <c r="BM6" s="236" t="e">
        <f t="shared" ref="BM6:BM25" si="9">BK6/(BK6+BL6)*BK6/(BK6+BL6)</f>
        <v>#DIV/0!</v>
      </c>
      <c r="BN6" s="235"/>
      <c r="BO6" s="235"/>
      <c r="BP6" s="236"/>
      <c r="BQ6" s="236"/>
      <c r="BR6" s="236" t="e">
        <f t="shared" ref="BR6:BR25" si="10">BP6/(BP6+BQ6)*BP6/(BP6+BQ6)</f>
        <v>#DIV/0!</v>
      </c>
      <c r="BS6" s="235"/>
      <c r="BT6" s="235"/>
      <c r="BU6" s="236"/>
      <c r="BV6" s="236"/>
      <c r="BW6" s="236" t="e">
        <f t="shared" ref="BW6:BW25" si="11">BU6/(BU6+BV6)*BU6/(BU6+BV6)</f>
        <v>#DIV/0!</v>
      </c>
      <c r="BX6" s="235"/>
      <c r="BY6" s="235"/>
      <c r="BZ6" s="236"/>
      <c r="CA6" s="236"/>
      <c r="CB6" s="236" t="e">
        <f t="shared" ref="CB6:CB25" si="12">BZ6/(BZ6+CA6)*BZ6/(BZ6+CA6)</f>
        <v>#DIV/0!</v>
      </c>
      <c r="CC6" s="235"/>
      <c r="CD6" s="235"/>
      <c r="CE6" s="236"/>
      <c r="CF6" s="236"/>
      <c r="CG6" s="236" t="e">
        <f t="shared" ref="CG6:CG25" si="13">CE6/(CE6+CF6)*CE6/(CE6+CF6)</f>
        <v>#DIV/0!</v>
      </c>
      <c r="CH6" s="235">
        <v>317</v>
      </c>
      <c r="CI6" s="235">
        <v>9</v>
      </c>
      <c r="CJ6" s="236">
        <v>301</v>
      </c>
      <c r="CK6" s="236">
        <v>7</v>
      </c>
      <c r="CL6" s="236">
        <f t="shared" ref="CL6:CL25" si="14">CJ6/(CJ6+CK6)*CJ6/(CJ6+CK6)</f>
        <v>0.955061983471075</v>
      </c>
      <c r="CM6" s="235">
        <v>389</v>
      </c>
      <c r="CN6" s="235">
        <v>9</v>
      </c>
      <c r="CO6" s="236">
        <v>328</v>
      </c>
      <c r="CP6" s="236">
        <v>52</v>
      </c>
      <c r="CQ6" s="236">
        <f t="shared" ref="CQ6:CQ25" si="15">CO6/(CO6+CP6)*CO6/(CO6+CP6)</f>
        <v>0.745041551246537</v>
      </c>
      <c r="CR6" s="235">
        <v>185</v>
      </c>
      <c r="CS6" s="235">
        <v>18</v>
      </c>
      <c r="CT6" s="236">
        <v>167</v>
      </c>
      <c r="CU6" s="236"/>
      <c r="CV6" s="236">
        <f t="shared" ref="CV6:CV25" si="16">CT6/(CT6+CU6)*CT6/(CT6+CU6)</f>
        <v>1</v>
      </c>
      <c r="CW6" s="235"/>
      <c r="CX6" s="235"/>
      <c r="CY6" s="236"/>
      <c r="CZ6" s="236"/>
      <c r="DA6" s="236" t="e">
        <f t="shared" ref="DA6:DA25" si="17">CY6/(CY6+CZ6)*CY6/(CY6+CZ6)</f>
        <v>#DIV/0!</v>
      </c>
      <c r="DB6" s="235">
        <v>330</v>
      </c>
      <c r="DC6" s="235"/>
      <c r="DD6" s="236">
        <v>295</v>
      </c>
      <c r="DE6" s="236">
        <v>35</v>
      </c>
      <c r="DF6" s="236">
        <f t="shared" ref="DF6:DF25" si="18">DD6/(DD6+DE6)*DD6/(DD6+DE6)</f>
        <v>0.799127640036731</v>
      </c>
      <c r="DG6" s="235"/>
      <c r="DH6" s="235"/>
      <c r="DI6" s="236"/>
      <c r="DJ6" s="236"/>
      <c r="DK6" s="236" t="e">
        <f t="shared" ref="DK6:DK25" si="19">DI6/(DI6+DJ6)*DI6/(DI6+DJ6)</f>
        <v>#DIV/0!</v>
      </c>
      <c r="DL6" s="235"/>
      <c r="DM6" s="235"/>
      <c r="DN6" s="236"/>
      <c r="DO6" s="236"/>
      <c r="DP6" s="236" t="e">
        <f t="shared" ref="DP6:DP25" si="20">DN6/(DN6+DO6)*DN6/(DN6+DO6)</f>
        <v>#DIV/0!</v>
      </c>
      <c r="DQ6" s="235"/>
      <c r="DR6" s="235"/>
      <c r="DS6" s="236"/>
      <c r="DT6" s="236"/>
      <c r="DU6" s="236" t="e">
        <f t="shared" ref="DU6:DU25" si="21">DS6/(DS6+DT6)*DS6/(DS6+DT6)</f>
        <v>#DIV/0!</v>
      </c>
      <c r="DV6" s="235"/>
      <c r="DW6" s="235"/>
      <c r="DX6" s="236"/>
      <c r="DY6" s="236"/>
      <c r="DZ6" s="236" t="e">
        <f t="shared" ref="DZ6:DZ25" si="22">DX6/(DX6+DY6)*DX6/(DX6+DY6)</f>
        <v>#DIV/0!</v>
      </c>
      <c r="EA6" s="235"/>
      <c r="EB6" s="235"/>
      <c r="EC6" s="236"/>
      <c r="ED6" s="236"/>
      <c r="EE6" s="236" t="e">
        <f t="shared" ref="EE6:EE25" si="23">EC6/(EC6+ED6)*EC6/(EC6+ED6)</f>
        <v>#DIV/0!</v>
      </c>
      <c r="EF6" s="235"/>
      <c r="EG6" s="235"/>
      <c r="EH6" s="236"/>
      <c r="EI6" s="236"/>
      <c r="EJ6" s="236" t="e">
        <f t="shared" ref="EJ6:EJ25" si="24">EH6/(EH6+EI6)*EH6/(EH6+EI6)</f>
        <v>#DIV/0!</v>
      </c>
      <c r="EK6" s="235"/>
      <c r="EL6" s="235"/>
      <c r="EM6" s="236"/>
      <c r="EN6" s="236"/>
      <c r="EO6" s="236" t="e">
        <f t="shared" ref="EO6:EO25" si="25">EM6/(EM6+EN6)*EM6/(EM6+EN6)</f>
        <v>#DIV/0!</v>
      </c>
      <c r="EP6" s="235"/>
      <c r="EQ6" s="235"/>
      <c r="ER6" s="236"/>
      <c r="ES6" s="236"/>
      <c r="ET6" s="236" t="e">
        <f t="shared" ref="ET6:ET25" si="26">ER6/(ER6+ES6)*ER6/(ER6+ES6)</f>
        <v>#DIV/0!</v>
      </c>
      <c r="EU6" s="235"/>
      <c r="EV6" s="235"/>
      <c r="EW6" s="236"/>
      <c r="EX6" s="236"/>
      <c r="EY6" s="236" t="e">
        <f t="shared" ref="EY6:EY25" si="27">EW6/(EW6+EX6)*EW6/(EW6+EX6)</f>
        <v>#DIV/0!</v>
      </c>
      <c r="EZ6" s="235"/>
      <c r="FA6" s="235"/>
      <c r="FB6" s="236"/>
      <c r="FC6" s="236"/>
      <c r="FD6" s="236" t="e">
        <f t="shared" ref="FD6:FD25" si="28">FB6/(FB6+FC6)*FB6/(FB6+FC6)</f>
        <v>#DIV/0!</v>
      </c>
      <c r="FE6" s="288">
        <f>FH6+FG6</f>
        <v>1216</v>
      </c>
      <c r="FF6" s="289">
        <f>EZ6+EU6+EP6+EK6+EF6+EA6+DV6+DQ6+DL6+DG6+DB6+CW6+CR6+CM6+CH6+CC6+BX6+BS6+BN6+BI6+BD6+AY6+AT6+AO6+AJ6+AE6+AA9+U6+P6+K6+F6</f>
        <v>1221</v>
      </c>
      <c r="FG6" s="289">
        <f>FA6+EV6+EQ6+EL6+EG6+EB6+DW6+DR6+DM6+DH6+DC6+CX6+CS6+CN6+CI6+CD6+BY6+BT6+BO6+BJ6+BE6+AZ6+AU6+AP6+AK6+AF6+AA6+V6+Q6+L6+G6</f>
        <v>36</v>
      </c>
      <c r="FH6" s="289">
        <f t="shared" ref="FH6:FH16" si="29">FB6+EW6+ER6+EM6+EH6+EC6+DX6+DS6+DN6+DI6+DD6+CY6+CT6+CO6+CJ6+CE6+BZ6+BU6+BP6+BK6+BF6+BA6+AV6+AQ6+AL6+AG6+AB6+W6+R6+M6+H6</f>
        <v>1180</v>
      </c>
      <c r="FI6" s="290">
        <f>FH6/FE6*FH6/FE6</f>
        <v>0.941665945290859</v>
      </c>
      <c r="FJ6" s="254">
        <f>FH6*E6</f>
        <v>472</v>
      </c>
      <c r="FK6" s="291">
        <f>FJ6+FJ7+FJ8+FJ9+FJ10+FJ11+FJ12+FJ13+FJ14+FJ15</f>
        <v>2496.53</v>
      </c>
      <c r="FL6" s="292">
        <f>(FH6+FH7+FH8+FH9+FH10+FH11+FH12+FH13+FH14+FH15)/(FE6+FE7+FE8+FE9+FE10+FE11+FE12+FE13+FE14+FE15)</f>
        <v>0.981316003249391</v>
      </c>
      <c r="FM6" s="321"/>
      <c r="FN6" s="322"/>
    </row>
    <row r="7" s="210" customFormat="1" ht="27" customHeight="1" spans="1:170">
      <c r="A7" s="230"/>
      <c r="B7" s="237"/>
      <c r="C7" s="232"/>
      <c r="D7" s="233" t="s">
        <v>9</v>
      </c>
      <c r="E7" s="238">
        <v>0.133</v>
      </c>
      <c r="F7" s="235"/>
      <c r="G7" s="235"/>
      <c r="H7" s="236"/>
      <c r="I7" s="236"/>
      <c r="J7" s="282" t="e">
        <f t="shared" si="0"/>
        <v>#DIV/0!</v>
      </c>
      <c r="K7" s="235"/>
      <c r="L7" s="235"/>
      <c r="M7" s="236"/>
      <c r="N7" s="236"/>
      <c r="O7" s="236" t="e">
        <f t="shared" si="1"/>
        <v>#DIV/0!</v>
      </c>
      <c r="P7" s="235"/>
      <c r="Q7" s="235"/>
      <c r="R7" s="236"/>
      <c r="S7" s="236"/>
      <c r="T7" s="236" t="e">
        <f t="shared" si="2"/>
        <v>#DIV/0!</v>
      </c>
      <c r="U7" s="235"/>
      <c r="V7" s="235"/>
      <c r="W7" s="236"/>
      <c r="X7" s="236"/>
      <c r="Y7" s="236" t="e">
        <f t="shared" si="3"/>
        <v>#DIV/0!</v>
      </c>
      <c r="Z7" s="235"/>
      <c r="AA7" s="235"/>
      <c r="AB7" s="236"/>
      <c r="AC7" s="236"/>
      <c r="AD7" s="236"/>
      <c r="AE7" s="235"/>
      <c r="AF7" s="235"/>
      <c r="AG7" s="236"/>
      <c r="AH7" s="236"/>
      <c r="AI7" s="236" t="e">
        <f t="shared" si="4"/>
        <v>#DIV/0!</v>
      </c>
      <c r="AJ7" s="235"/>
      <c r="AK7" s="235"/>
      <c r="AL7" s="236"/>
      <c r="AM7" s="236"/>
      <c r="AN7" s="236" t="e">
        <f t="shared" si="5"/>
        <v>#DIV/0!</v>
      </c>
      <c r="AO7" s="235"/>
      <c r="AP7" s="235"/>
      <c r="AQ7" s="236"/>
      <c r="AR7" s="236"/>
      <c r="AS7" s="236" t="e">
        <f t="shared" si="6"/>
        <v>#DIV/0!</v>
      </c>
      <c r="AT7" s="235"/>
      <c r="AU7" s="235"/>
      <c r="AV7" s="236"/>
      <c r="AW7" s="236"/>
      <c r="AX7" s="236" t="e">
        <f>AV7/(AV7+AW7)*AV7/(AV7+AW7)</f>
        <v>#DIV/0!</v>
      </c>
      <c r="AY7" s="235"/>
      <c r="AZ7" s="235"/>
      <c r="BA7" s="236"/>
      <c r="BB7" s="236"/>
      <c r="BC7" s="236" t="e">
        <f t="shared" si="7"/>
        <v>#DIV/0!</v>
      </c>
      <c r="BD7" s="235"/>
      <c r="BE7" s="235"/>
      <c r="BF7" s="236"/>
      <c r="BG7" s="236"/>
      <c r="BH7" s="236" t="e">
        <f t="shared" si="8"/>
        <v>#DIV/0!</v>
      </c>
      <c r="BI7" s="235"/>
      <c r="BJ7" s="235"/>
      <c r="BK7" s="236"/>
      <c r="BL7" s="236"/>
      <c r="BM7" s="236" t="e">
        <f t="shared" si="9"/>
        <v>#DIV/0!</v>
      </c>
      <c r="BN7" s="235"/>
      <c r="BO7" s="235"/>
      <c r="BP7" s="236"/>
      <c r="BQ7" s="236"/>
      <c r="BR7" s="236" t="e">
        <f t="shared" si="10"/>
        <v>#DIV/0!</v>
      </c>
      <c r="BS7" s="235"/>
      <c r="BT7" s="235"/>
      <c r="BU7" s="236"/>
      <c r="BV7" s="236"/>
      <c r="BW7" s="236" t="e">
        <f t="shared" si="11"/>
        <v>#DIV/0!</v>
      </c>
      <c r="BX7" s="235"/>
      <c r="BY7" s="235"/>
      <c r="BZ7" s="236"/>
      <c r="CA7" s="236"/>
      <c r="CB7" s="236" t="e">
        <f t="shared" si="12"/>
        <v>#DIV/0!</v>
      </c>
      <c r="CC7" s="235"/>
      <c r="CD7" s="235"/>
      <c r="CE7" s="236"/>
      <c r="CF7" s="236"/>
      <c r="CG7" s="236" t="e">
        <f t="shared" si="13"/>
        <v>#DIV/0!</v>
      </c>
      <c r="CH7" s="235"/>
      <c r="CI7" s="235"/>
      <c r="CJ7" s="236"/>
      <c r="CK7" s="236"/>
      <c r="CL7" s="236" t="e">
        <f t="shared" si="14"/>
        <v>#DIV/0!</v>
      </c>
      <c r="CM7" s="235"/>
      <c r="CN7" s="235"/>
      <c r="CO7" s="236"/>
      <c r="CP7" s="236"/>
      <c r="CQ7" s="236" t="e">
        <f t="shared" si="15"/>
        <v>#DIV/0!</v>
      </c>
      <c r="CR7" s="235"/>
      <c r="CS7" s="235"/>
      <c r="CT7" s="236"/>
      <c r="CU7" s="236"/>
      <c r="CV7" s="236" t="e">
        <f t="shared" si="16"/>
        <v>#DIV/0!</v>
      </c>
      <c r="CW7" s="235"/>
      <c r="CX7" s="235"/>
      <c r="CY7" s="236"/>
      <c r="CZ7" s="236"/>
      <c r="DA7" s="236" t="e">
        <f t="shared" si="17"/>
        <v>#DIV/0!</v>
      </c>
      <c r="DB7" s="235"/>
      <c r="DC7" s="235"/>
      <c r="DD7" s="236"/>
      <c r="DE7" s="236"/>
      <c r="DF7" s="236" t="e">
        <f t="shared" si="18"/>
        <v>#DIV/0!</v>
      </c>
      <c r="DG7" s="235"/>
      <c r="DH7" s="235"/>
      <c r="DI7" s="236"/>
      <c r="DJ7" s="236"/>
      <c r="DK7" s="236" t="e">
        <f t="shared" si="19"/>
        <v>#DIV/0!</v>
      </c>
      <c r="DL7" s="235"/>
      <c r="DM7" s="235"/>
      <c r="DN7" s="236"/>
      <c r="DO7" s="236"/>
      <c r="DP7" s="236" t="e">
        <f t="shared" si="20"/>
        <v>#DIV/0!</v>
      </c>
      <c r="DQ7" s="235"/>
      <c r="DR7" s="235"/>
      <c r="DS7" s="236"/>
      <c r="DT7" s="236"/>
      <c r="DU7" s="236" t="e">
        <f t="shared" si="21"/>
        <v>#DIV/0!</v>
      </c>
      <c r="DV7" s="235"/>
      <c r="DW7" s="235"/>
      <c r="DX7" s="236"/>
      <c r="DY7" s="236"/>
      <c r="DZ7" s="236" t="e">
        <f t="shared" si="22"/>
        <v>#DIV/0!</v>
      </c>
      <c r="EA7" s="235"/>
      <c r="EB7" s="235"/>
      <c r="EC7" s="236"/>
      <c r="ED7" s="236"/>
      <c r="EE7" s="236" t="e">
        <f t="shared" si="23"/>
        <v>#DIV/0!</v>
      </c>
      <c r="EF7" s="235"/>
      <c r="EG7" s="235"/>
      <c r="EH7" s="236"/>
      <c r="EI7" s="236"/>
      <c r="EJ7" s="236" t="e">
        <f t="shared" si="24"/>
        <v>#DIV/0!</v>
      </c>
      <c r="EK7" s="235"/>
      <c r="EL7" s="235"/>
      <c r="EM7" s="236"/>
      <c r="EN7" s="236"/>
      <c r="EO7" s="236" t="e">
        <f t="shared" si="25"/>
        <v>#DIV/0!</v>
      </c>
      <c r="EP7" s="235"/>
      <c r="EQ7" s="235"/>
      <c r="ER7" s="236"/>
      <c r="ES7" s="236"/>
      <c r="ET7" s="236" t="e">
        <f t="shared" si="26"/>
        <v>#DIV/0!</v>
      </c>
      <c r="EU7" s="235"/>
      <c r="EV7" s="235"/>
      <c r="EW7" s="236"/>
      <c r="EX7" s="236"/>
      <c r="EY7" s="236" t="e">
        <f t="shared" si="27"/>
        <v>#DIV/0!</v>
      </c>
      <c r="EZ7" s="235"/>
      <c r="FA7" s="235"/>
      <c r="FB7" s="236"/>
      <c r="FC7" s="236"/>
      <c r="FD7" s="236" t="e">
        <f t="shared" si="28"/>
        <v>#DIV/0!</v>
      </c>
      <c r="FE7" s="288">
        <f t="shared" ref="FE7:FE15" si="30">FH7+FG7</f>
        <v>0</v>
      </c>
      <c r="FF7" s="236"/>
      <c r="FG7" s="289">
        <f t="shared" ref="FG7:FG15" si="31">FA7+EV7+EQ7+EL7+EG7+EB7+DW7+DR7+DM7+DH7+DC7+CX7+CS7+CN7+CI7+CD7+BY7+BT7+BO7+BJ7+BE7+AZ7+AU7+AP7+AK7+AF7+AA7+V7+Q7+L7+G7</f>
        <v>0</v>
      </c>
      <c r="FH7" s="289">
        <f t="shared" si="29"/>
        <v>0</v>
      </c>
      <c r="FI7" s="290" t="e">
        <f t="shared" ref="FI7:FI26" si="32">FH7/FE7*FH7/FE7</f>
        <v>#DIV/0!</v>
      </c>
      <c r="FJ7" s="254">
        <f>FH7*E7</f>
        <v>0</v>
      </c>
      <c r="FK7" s="293"/>
      <c r="FL7" s="294"/>
      <c r="FM7" s="323"/>
      <c r="FN7" s="322"/>
    </row>
    <row r="8" s="210" customFormat="1" ht="27" customHeight="1" spans="1:170">
      <c r="A8" s="230"/>
      <c r="B8" s="237"/>
      <c r="C8" s="232"/>
      <c r="D8" s="233" t="s">
        <v>10</v>
      </c>
      <c r="E8" s="238">
        <v>0.133</v>
      </c>
      <c r="F8" s="235"/>
      <c r="G8" s="236"/>
      <c r="H8" s="236"/>
      <c r="I8" s="236"/>
      <c r="J8" s="282" t="e">
        <f t="shared" si="0"/>
        <v>#DIV/0!</v>
      </c>
      <c r="K8" s="235"/>
      <c r="L8" s="236"/>
      <c r="M8" s="236"/>
      <c r="N8" s="236"/>
      <c r="O8" s="236" t="e">
        <f t="shared" si="1"/>
        <v>#DIV/0!</v>
      </c>
      <c r="P8" s="235"/>
      <c r="Q8" s="236"/>
      <c r="R8" s="236"/>
      <c r="S8" s="236"/>
      <c r="T8" s="236" t="e">
        <f t="shared" si="2"/>
        <v>#DIV/0!</v>
      </c>
      <c r="U8" s="235"/>
      <c r="V8" s="236"/>
      <c r="W8" s="236"/>
      <c r="X8" s="236"/>
      <c r="Y8" s="236" t="e">
        <f t="shared" si="3"/>
        <v>#DIV/0!</v>
      </c>
      <c r="Z8" s="235"/>
      <c r="AA8" s="236"/>
      <c r="AB8" s="236"/>
      <c r="AC8" s="236"/>
      <c r="AD8" s="236" t="e">
        <f t="shared" ref="AD8:AD17" si="33">AB8/(AB8+AC8)*AB8/(AB8+AC8)</f>
        <v>#DIV/0!</v>
      </c>
      <c r="AE8" s="235"/>
      <c r="AF8" s="236"/>
      <c r="AG8" s="236"/>
      <c r="AH8" s="236"/>
      <c r="AI8" s="236" t="e">
        <f t="shared" si="4"/>
        <v>#DIV/0!</v>
      </c>
      <c r="AJ8" s="235"/>
      <c r="AK8" s="236"/>
      <c r="AL8" s="236"/>
      <c r="AM8" s="236"/>
      <c r="AN8" s="236" t="e">
        <f t="shared" si="5"/>
        <v>#DIV/0!</v>
      </c>
      <c r="AO8" s="235"/>
      <c r="AP8" s="236"/>
      <c r="AQ8" s="236"/>
      <c r="AR8" s="236"/>
      <c r="AS8" s="236" t="e">
        <f t="shared" si="6"/>
        <v>#DIV/0!</v>
      </c>
      <c r="AT8" s="235"/>
      <c r="AU8" s="236"/>
      <c r="AV8" s="236"/>
      <c r="AW8" s="236"/>
      <c r="AX8" s="236" t="e">
        <f t="shared" ref="AX8:AX17" si="34">AV8/(AV8+AW8)*AV8/(AV8+AW8)</f>
        <v>#DIV/0!</v>
      </c>
      <c r="AY8" s="235"/>
      <c r="AZ8" s="236"/>
      <c r="BA8" s="236"/>
      <c r="BB8" s="236"/>
      <c r="BC8" s="236" t="e">
        <f t="shared" si="7"/>
        <v>#DIV/0!</v>
      </c>
      <c r="BD8" s="235"/>
      <c r="BE8" s="236"/>
      <c r="BF8" s="236"/>
      <c r="BG8" s="236"/>
      <c r="BH8" s="236" t="e">
        <f t="shared" si="8"/>
        <v>#DIV/0!</v>
      </c>
      <c r="BI8" s="235"/>
      <c r="BJ8" s="236"/>
      <c r="BK8" s="236"/>
      <c r="BL8" s="236"/>
      <c r="BM8" s="236" t="e">
        <f t="shared" si="9"/>
        <v>#DIV/0!</v>
      </c>
      <c r="BN8" s="235"/>
      <c r="BO8" s="236"/>
      <c r="BP8" s="236"/>
      <c r="BQ8" s="236"/>
      <c r="BR8" s="236" t="e">
        <f t="shared" si="10"/>
        <v>#DIV/0!</v>
      </c>
      <c r="BS8" s="235"/>
      <c r="BT8" s="236"/>
      <c r="BU8" s="236"/>
      <c r="BV8" s="236"/>
      <c r="BW8" s="236" t="e">
        <f t="shared" si="11"/>
        <v>#DIV/0!</v>
      </c>
      <c r="BX8" s="235"/>
      <c r="BY8" s="236"/>
      <c r="BZ8" s="236"/>
      <c r="CA8" s="236"/>
      <c r="CB8" s="236" t="e">
        <f t="shared" si="12"/>
        <v>#DIV/0!</v>
      </c>
      <c r="CC8" s="235"/>
      <c r="CD8" s="236"/>
      <c r="CE8" s="236"/>
      <c r="CF8" s="236"/>
      <c r="CG8" s="236" t="e">
        <f t="shared" si="13"/>
        <v>#DIV/0!</v>
      </c>
      <c r="CH8" s="235"/>
      <c r="CI8" s="236"/>
      <c r="CJ8" s="236"/>
      <c r="CK8" s="236"/>
      <c r="CL8" s="236" t="e">
        <f t="shared" si="14"/>
        <v>#DIV/0!</v>
      </c>
      <c r="CM8" s="235"/>
      <c r="CN8" s="236"/>
      <c r="CO8" s="236"/>
      <c r="CP8" s="236"/>
      <c r="CQ8" s="236" t="e">
        <f t="shared" si="15"/>
        <v>#DIV/0!</v>
      </c>
      <c r="CR8" s="235"/>
      <c r="CS8" s="236"/>
      <c r="CT8" s="236"/>
      <c r="CU8" s="236"/>
      <c r="CV8" s="236" t="e">
        <f t="shared" si="16"/>
        <v>#DIV/0!</v>
      </c>
      <c r="CW8" s="235"/>
      <c r="CX8" s="236"/>
      <c r="CY8" s="236"/>
      <c r="CZ8" s="236"/>
      <c r="DA8" s="236" t="e">
        <f t="shared" si="17"/>
        <v>#DIV/0!</v>
      </c>
      <c r="DB8" s="235"/>
      <c r="DC8" s="236"/>
      <c r="DD8" s="236"/>
      <c r="DE8" s="236"/>
      <c r="DF8" s="236" t="e">
        <f t="shared" si="18"/>
        <v>#DIV/0!</v>
      </c>
      <c r="DG8" s="235"/>
      <c r="DH8" s="236"/>
      <c r="DI8" s="236"/>
      <c r="DJ8" s="236"/>
      <c r="DK8" s="236" t="e">
        <f t="shared" si="19"/>
        <v>#DIV/0!</v>
      </c>
      <c r="DL8" s="235"/>
      <c r="DM8" s="236"/>
      <c r="DN8" s="236"/>
      <c r="DO8" s="236"/>
      <c r="DP8" s="236" t="e">
        <f t="shared" si="20"/>
        <v>#DIV/0!</v>
      </c>
      <c r="DQ8" s="235"/>
      <c r="DR8" s="236"/>
      <c r="DS8" s="236"/>
      <c r="DT8" s="236"/>
      <c r="DU8" s="236" t="e">
        <f t="shared" si="21"/>
        <v>#DIV/0!</v>
      </c>
      <c r="DV8" s="235"/>
      <c r="DW8" s="236"/>
      <c r="DX8" s="236"/>
      <c r="DY8" s="236"/>
      <c r="DZ8" s="236" t="e">
        <f t="shared" si="22"/>
        <v>#DIV/0!</v>
      </c>
      <c r="EA8" s="235"/>
      <c r="EB8" s="236"/>
      <c r="EC8" s="236"/>
      <c r="ED8" s="236"/>
      <c r="EE8" s="236" t="e">
        <f t="shared" si="23"/>
        <v>#DIV/0!</v>
      </c>
      <c r="EF8" s="235"/>
      <c r="EG8" s="236"/>
      <c r="EH8" s="236"/>
      <c r="EI8" s="236"/>
      <c r="EJ8" s="236" t="e">
        <f t="shared" si="24"/>
        <v>#DIV/0!</v>
      </c>
      <c r="EK8" s="235"/>
      <c r="EL8" s="236"/>
      <c r="EM8" s="236"/>
      <c r="EN8" s="236"/>
      <c r="EO8" s="236" t="e">
        <f t="shared" si="25"/>
        <v>#DIV/0!</v>
      </c>
      <c r="EP8" s="235"/>
      <c r="EQ8" s="236"/>
      <c r="ER8" s="236"/>
      <c r="ES8" s="236"/>
      <c r="ET8" s="236" t="e">
        <f t="shared" si="26"/>
        <v>#DIV/0!</v>
      </c>
      <c r="EU8" s="235"/>
      <c r="EV8" s="236"/>
      <c r="EW8" s="236"/>
      <c r="EX8" s="236"/>
      <c r="EY8" s="236" t="e">
        <f t="shared" si="27"/>
        <v>#DIV/0!</v>
      </c>
      <c r="EZ8" s="235"/>
      <c r="FA8" s="236"/>
      <c r="FB8" s="236"/>
      <c r="FC8" s="236"/>
      <c r="FD8" s="236" t="e">
        <f t="shared" si="28"/>
        <v>#DIV/0!</v>
      </c>
      <c r="FE8" s="288">
        <f t="shared" si="30"/>
        <v>0</v>
      </c>
      <c r="FF8" s="236"/>
      <c r="FG8" s="289">
        <f t="shared" si="31"/>
        <v>0</v>
      </c>
      <c r="FH8" s="289">
        <v>0</v>
      </c>
      <c r="FI8" s="290" t="e">
        <f t="shared" si="32"/>
        <v>#DIV/0!</v>
      </c>
      <c r="FJ8" s="254">
        <f t="shared" ref="FJ8:FJ15" si="35">FH8*E8</f>
        <v>0</v>
      </c>
      <c r="FK8" s="293"/>
      <c r="FL8" s="294"/>
      <c r="FM8" s="323"/>
      <c r="FN8" s="322"/>
    </row>
    <row r="9" s="210" customFormat="1" ht="27" customHeight="1" spans="1:170">
      <c r="A9" s="230"/>
      <c r="B9" s="237"/>
      <c r="C9" s="232"/>
      <c r="D9" s="233" t="s">
        <v>11</v>
      </c>
      <c r="E9" s="238">
        <v>0.23</v>
      </c>
      <c r="F9" s="235"/>
      <c r="G9" s="236"/>
      <c r="H9" s="236"/>
      <c r="I9" s="236"/>
      <c r="J9" s="282" t="e">
        <f t="shared" si="0"/>
        <v>#DIV/0!</v>
      </c>
      <c r="K9" s="235"/>
      <c r="L9" s="236"/>
      <c r="M9" s="236"/>
      <c r="N9" s="236"/>
      <c r="O9" s="236" t="e">
        <f t="shared" si="1"/>
        <v>#DIV/0!</v>
      </c>
      <c r="P9" s="235"/>
      <c r="Q9" s="236"/>
      <c r="R9" s="236"/>
      <c r="S9" s="236"/>
      <c r="T9" s="236" t="e">
        <f t="shared" si="2"/>
        <v>#DIV/0!</v>
      </c>
      <c r="U9" s="235"/>
      <c r="V9" s="236"/>
      <c r="W9" s="236"/>
      <c r="X9" s="236"/>
      <c r="Y9" s="236" t="e">
        <f t="shared" si="3"/>
        <v>#DIV/0!</v>
      </c>
      <c r="Z9" s="235"/>
      <c r="AA9" s="236"/>
      <c r="AB9" s="236"/>
      <c r="AC9" s="236"/>
      <c r="AD9" s="236" t="e">
        <f t="shared" si="33"/>
        <v>#DIV/0!</v>
      </c>
      <c r="AE9" s="235"/>
      <c r="AF9" s="236"/>
      <c r="AG9" s="236"/>
      <c r="AH9" s="236"/>
      <c r="AI9" s="236" t="e">
        <f t="shared" si="4"/>
        <v>#DIV/0!</v>
      </c>
      <c r="AJ9" s="235"/>
      <c r="AK9" s="236"/>
      <c r="AL9" s="236"/>
      <c r="AM9" s="236"/>
      <c r="AN9" s="236" t="e">
        <f t="shared" si="5"/>
        <v>#DIV/0!</v>
      </c>
      <c r="AO9" s="235"/>
      <c r="AP9" s="236"/>
      <c r="AQ9" s="236"/>
      <c r="AR9" s="236"/>
      <c r="AS9" s="236" t="e">
        <f t="shared" si="6"/>
        <v>#DIV/0!</v>
      </c>
      <c r="AT9" s="235"/>
      <c r="AU9" s="236"/>
      <c r="AV9" s="236"/>
      <c r="AW9" s="236"/>
      <c r="AX9" s="236" t="e">
        <f t="shared" si="34"/>
        <v>#DIV/0!</v>
      </c>
      <c r="AY9" s="235"/>
      <c r="AZ9" s="236"/>
      <c r="BA9" s="236"/>
      <c r="BB9" s="236"/>
      <c r="BC9" s="236" t="e">
        <f t="shared" si="7"/>
        <v>#DIV/0!</v>
      </c>
      <c r="BD9" s="235"/>
      <c r="BE9" s="236"/>
      <c r="BF9" s="236"/>
      <c r="BG9" s="236"/>
      <c r="BH9" s="236" t="e">
        <f t="shared" si="8"/>
        <v>#DIV/0!</v>
      </c>
      <c r="BI9" s="235"/>
      <c r="BJ9" s="236"/>
      <c r="BK9" s="236"/>
      <c r="BL9" s="236"/>
      <c r="BM9" s="236" t="e">
        <f t="shared" si="9"/>
        <v>#DIV/0!</v>
      </c>
      <c r="BN9" s="235"/>
      <c r="BO9" s="236"/>
      <c r="BP9" s="236"/>
      <c r="BQ9" s="236"/>
      <c r="BR9" s="236" t="e">
        <f t="shared" si="10"/>
        <v>#DIV/0!</v>
      </c>
      <c r="BS9" s="235"/>
      <c r="BT9" s="236"/>
      <c r="BU9" s="236"/>
      <c r="BV9" s="236"/>
      <c r="BW9" s="236" t="e">
        <f t="shared" si="11"/>
        <v>#DIV/0!</v>
      </c>
      <c r="BX9" s="235"/>
      <c r="BY9" s="236"/>
      <c r="BZ9" s="236"/>
      <c r="CA9" s="236"/>
      <c r="CB9" s="236" t="e">
        <f t="shared" si="12"/>
        <v>#DIV/0!</v>
      </c>
      <c r="CC9" s="235"/>
      <c r="CD9" s="236"/>
      <c r="CE9" s="236"/>
      <c r="CF9" s="236"/>
      <c r="CG9" s="236" t="e">
        <f t="shared" si="13"/>
        <v>#DIV/0!</v>
      </c>
      <c r="CH9" s="235"/>
      <c r="CI9" s="236"/>
      <c r="CJ9" s="236"/>
      <c r="CK9" s="236"/>
      <c r="CL9" s="236" t="e">
        <f t="shared" si="14"/>
        <v>#DIV/0!</v>
      </c>
      <c r="CM9" s="235"/>
      <c r="CN9" s="236"/>
      <c r="CO9" s="236"/>
      <c r="CP9" s="236"/>
      <c r="CQ9" s="236" t="e">
        <f t="shared" si="15"/>
        <v>#DIV/0!</v>
      </c>
      <c r="CR9" s="235"/>
      <c r="CS9" s="236"/>
      <c r="CT9" s="236"/>
      <c r="CU9" s="236"/>
      <c r="CV9" s="236" t="e">
        <f t="shared" si="16"/>
        <v>#DIV/0!</v>
      </c>
      <c r="CW9" s="235"/>
      <c r="CX9" s="236"/>
      <c r="CY9" s="236"/>
      <c r="CZ9" s="236"/>
      <c r="DA9" s="236" t="e">
        <f t="shared" si="17"/>
        <v>#DIV/0!</v>
      </c>
      <c r="DB9" s="235"/>
      <c r="DC9" s="236"/>
      <c r="DD9" s="236"/>
      <c r="DE9" s="236"/>
      <c r="DF9" s="236" t="e">
        <f t="shared" si="18"/>
        <v>#DIV/0!</v>
      </c>
      <c r="DG9" s="235"/>
      <c r="DH9" s="236"/>
      <c r="DI9" s="236"/>
      <c r="DJ9" s="236"/>
      <c r="DK9" s="236" t="e">
        <f t="shared" si="19"/>
        <v>#DIV/0!</v>
      </c>
      <c r="DL9" s="235"/>
      <c r="DM9" s="236"/>
      <c r="DN9" s="236"/>
      <c r="DO9" s="236"/>
      <c r="DP9" s="236" t="e">
        <f t="shared" si="20"/>
        <v>#DIV/0!</v>
      </c>
      <c r="DQ9" s="235"/>
      <c r="DR9" s="236"/>
      <c r="DS9" s="236"/>
      <c r="DT9" s="236"/>
      <c r="DU9" s="236" t="e">
        <f t="shared" si="21"/>
        <v>#DIV/0!</v>
      </c>
      <c r="DV9" s="235"/>
      <c r="DW9" s="236"/>
      <c r="DX9" s="236"/>
      <c r="DY9" s="236"/>
      <c r="DZ9" s="236" t="e">
        <f t="shared" si="22"/>
        <v>#DIV/0!</v>
      </c>
      <c r="EA9" s="235"/>
      <c r="EB9" s="236"/>
      <c r="EC9" s="236"/>
      <c r="ED9" s="236"/>
      <c r="EE9" s="236" t="e">
        <f t="shared" si="23"/>
        <v>#DIV/0!</v>
      </c>
      <c r="EF9" s="235"/>
      <c r="EG9" s="236"/>
      <c r="EH9" s="236"/>
      <c r="EI9" s="236"/>
      <c r="EJ9" s="236" t="e">
        <f t="shared" si="24"/>
        <v>#DIV/0!</v>
      </c>
      <c r="EK9" s="235"/>
      <c r="EL9" s="236"/>
      <c r="EM9" s="236"/>
      <c r="EN9" s="236"/>
      <c r="EO9" s="236" t="e">
        <f t="shared" si="25"/>
        <v>#DIV/0!</v>
      </c>
      <c r="EP9" s="235"/>
      <c r="EQ9" s="236"/>
      <c r="ER9" s="236"/>
      <c r="ES9" s="236"/>
      <c r="ET9" s="236" t="e">
        <f t="shared" si="26"/>
        <v>#DIV/0!</v>
      </c>
      <c r="EU9" s="235"/>
      <c r="EV9" s="236"/>
      <c r="EW9" s="236"/>
      <c r="EX9" s="236"/>
      <c r="EY9" s="236" t="e">
        <f t="shared" si="27"/>
        <v>#DIV/0!</v>
      </c>
      <c r="EZ9" s="235"/>
      <c r="FA9" s="236"/>
      <c r="FB9" s="236"/>
      <c r="FC9" s="236"/>
      <c r="FD9" s="236" t="e">
        <f t="shared" si="28"/>
        <v>#DIV/0!</v>
      </c>
      <c r="FE9" s="288">
        <f t="shared" si="30"/>
        <v>0</v>
      </c>
      <c r="FF9" s="236"/>
      <c r="FG9" s="289">
        <f t="shared" si="31"/>
        <v>0</v>
      </c>
      <c r="FH9" s="289">
        <f t="shared" si="29"/>
        <v>0</v>
      </c>
      <c r="FI9" s="290" t="e">
        <f t="shared" si="32"/>
        <v>#DIV/0!</v>
      </c>
      <c r="FJ9" s="254">
        <f t="shared" si="35"/>
        <v>0</v>
      </c>
      <c r="FK9" s="293"/>
      <c r="FL9" s="294"/>
      <c r="FM9" s="323"/>
      <c r="FN9" s="322"/>
    </row>
    <row r="10" s="210" customFormat="1" ht="27" customHeight="1" spans="1:170">
      <c r="A10" s="230"/>
      <c r="B10" s="237"/>
      <c r="C10" s="232"/>
      <c r="D10" s="233" t="s">
        <v>12</v>
      </c>
      <c r="E10" s="238">
        <v>0.25</v>
      </c>
      <c r="F10" s="235"/>
      <c r="G10" s="236"/>
      <c r="H10" s="236"/>
      <c r="I10" s="236"/>
      <c r="J10" s="282" t="e">
        <f t="shared" si="0"/>
        <v>#DIV/0!</v>
      </c>
      <c r="K10" s="235"/>
      <c r="L10" s="236"/>
      <c r="M10" s="236"/>
      <c r="N10" s="236"/>
      <c r="O10" s="236" t="e">
        <f t="shared" si="1"/>
        <v>#DIV/0!</v>
      </c>
      <c r="P10" s="235"/>
      <c r="Q10" s="236"/>
      <c r="R10" s="236"/>
      <c r="S10" s="236"/>
      <c r="T10" s="236" t="e">
        <f t="shared" si="2"/>
        <v>#DIV/0!</v>
      </c>
      <c r="U10" s="235"/>
      <c r="V10" s="236"/>
      <c r="W10" s="236"/>
      <c r="X10" s="236"/>
      <c r="Y10" s="236" t="e">
        <f t="shared" si="3"/>
        <v>#DIV/0!</v>
      </c>
      <c r="Z10" s="235"/>
      <c r="AA10" s="236"/>
      <c r="AB10" s="236"/>
      <c r="AC10" s="236"/>
      <c r="AD10" s="236" t="e">
        <f t="shared" si="33"/>
        <v>#DIV/0!</v>
      </c>
      <c r="AE10" s="235"/>
      <c r="AF10" s="236"/>
      <c r="AG10" s="236"/>
      <c r="AH10" s="236"/>
      <c r="AI10" s="236" t="e">
        <f t="shared" si="4"/>
        <v>#DIV/0!</v>
      </c>
      <c r="AJ10" s="235"/>
      <c r="AK10" s="236"/>
      <c r="AL10" s="236"/>
      <c r="AM10" s="236"/>
      <c r="AN10" s="236" t="e">
        <f t="shared" si="5"/>
        <v>#DIV/0!</v>
      </c>
      <c r="AO10" s="235"/>
      <c r="AP10" s="236"/>
      <c r="AQ10" s="236"/>
      <c r="AR10" s="236"/>
      <c r="AS10" s="236" t="e">
        <f t="shared" si="6"/>
        <v>#DIV/0!</v>
      </c>
      <c r="AT10" s="235"/>
      <c r="AU10" s="236"/>
      <c r="AV10" s="236"/>
      <c r="AW10" s="236"/>
      <c r="AX10" s="236" t="e">
        <f t="shared" si="34"/>
        <v>#DIV/0!</v>
      </c>
      <c r="AY10" s="235"/>
      <c r="AZ10" s="236"/>
      <c r="BA10" s="236"/>
      <c r="BB10" s="236"/>
      <c r="BC10" s="236" t="e">
        <f t="shared" si="7"/>
        <v>#DIV/0!</v>
      </c>
      <c r="BD10" s="235"/>
      <c r="BE10" s="236"/>
      <c r="BF10" s="236"/>
      <c r="BG10" s="236"/>
      <c r="BH10" s="236" t="e">
        <f t="shared" si="8"/>
        <v>#DIV/0!</v>
      </c>
      <c r="BI10" s="235"/>
      <c r="BJ10" s="236"/>
      <c r="BK10" s="236"/>
      <c r="BL10" s="236"/>
      <c r="BM10" s="236" t="e">
        <f t="shared" si="9"/>
        <v>#DIV/0!</v>
      </c>
      <c r="BN10" s="235"/>
      <c r="BO10" s="236"/>
      <c r="BP10" s="236"/>
      <c r="BQ10" s="236"/>
      <c r="BR10" s="236" t="e">
        <f t="shared" si="10"/>
        <v>#DIV/0!</v>
      </c>
      <c r="BS10" s="235"/>
      <c r="BT10" s="236"/>
      <c r="BU10" s="236"/>
      <c r="BV10" s="236"/>
      <c r="BW10" s="236" t="e">
        <f t="shared" si="11"/>
        <v>#DIV/0!</v>
      </c>
      <c r="BX10" s="235"/>
      <c r="BY10" s="236"/>
      <c r="BZ10" s="236"/>
      <c r="CA10" s="236"/>
      <c r="CB10" s="236" t="e">
        <f t="shared" si="12"/>
        <v>#DIV/0!</v>
      </c>
      <c r="CC10" s="235"/>
      <c r="CD10" s="236"/>
      <c r="CE10" s="236"/>
      <c r="CF10" s="236"/>
      <c r="CG10" s="236" t="e">
        <f t="shared" si="13"/>
        <v>#DIV/0!</v>
      </c>
      <c r="CH10" s="235"/>
      <c r="CI10" s="236"/>
      <c r="CJ10" s="236"/>
      <c r="CK10" s="236"/>
      <c r="CL10" s="236" t="e">
        <f t="shared" si="14"/>
        <v>#DIV/0!</v>
      </c>
      <c r="CM10" s="235"/>
      <c r="CN10" s="236"/>
      <c r="CO10" s="236"/>
      <c r="CP10" s="236"/>
      <c r="CQ10" s="236" t="e">
        <f t="shared" si="15"/>
        <v>#DIV/0!</v>
      </c>
      <c r="CR10" s="235"/>
      <c r="CS10" s="236"/>
      <c r="CT10" s="236"/>
      <c r="CU10" s="236"/>
      <c r="CV10" s="236" t="e">
        <f t="shared" si="16"/>
        <v>#DIV/0!</v>
      </c>
      <c r="CW10" s="235"/>
      <c r="CX10" s="236"/>
      <c r="CY10" s="236"/>
      <c r="CZ10" s="236"/>
      <c r="DA10" s="236" t="e">
        <f t="shared" si="17"/>
        <v>#DIV/0!</v>
      </c>
      <c r="DB10" s="235"/>
      <c r="DC10" s="236"/>
      <c r="DD10" s="236"/>
      <c r="DE10" s="236"/>
      <c r="DF10" s="236" t="e">
        <f t="shared" si="18"/>
        <v>#DIV/0!</v>
      </c>
      <c r="DG10" s="235"/>
      <c r="DH10" s="236"/>
      <c r="DI10" s="236"/>
      <c r="DJ10" s="236"/>
      <c r="DK10" s="236" t="e">
        <f t="shared" si="19"/>
        <v>#DIV/0!</v>
      </c>
      <c r="DL10" s="235"/>
      <c r="DM10" s="236"/>
      <c r="DN10" s="236"/>
      <c r="DO10" s="236"/>
      <c r="DP10" s="236" t="e">
        <f t="shared" si="20"/>
        <v>#DIV/0!</v>
      </c>
      <c r="DQ10" s="235"/>
      <c r="DR10" s="236"/>
      <c r="DS10" s="236"/>
      <c r="DT10" s="236"/>
      <c r="DU10" s="236" t="e">
        <f t="shared" si="21"/>
        <v>#DIV/0!</v>
      </c>
      <c r="DV10" s="235"/>
      <c r="DW10" s="236"/>
      <c r="DX10" s="236"/>
      <c r="DY10" s="236"/>
      <c r="DZ10" s="236" t="e">
        <f t="shared" si="22"/>
        <v>#DIV/0!</v>
      </c>
      <c r="EA10" s="235"/>
      <c r="EB10" s="236"/>
      <c r="EC10" s="236"/>
      <c r="ED10" s="236"/>
      <c r="EE10" s="236" t="e">
        <f t="shared" si="23"/>
        <v>#DIV/0!</v>
      </c>
      <c r="EF10" s="235"/>
      <c r="EG10" s="236"/>
      <c r="EH10" s="236"/>
      <c r="EI10" s="236"/>
      <c r="EJ10" s="236" t="e">
        <f t="shared" si="24"/>
        <v>#DIV/0!</v>
      </c>
      <c r="EK10" s="235"/>
      <c r="EL10" s="236"/>
      <c r="EM10" s="236"/>
      <c r="EN10" s="236"/>
      <c r="EO10" s="236" t="e">
        <f t="shared" si="25"/>
        <v>#DIV/0!</v>
      </c>
      <c r="EP10" s="235"/>
      <c r="EQ10" s="236"/>
      <c r="ER10" s="236"/>
      <c r="ES10" s="236"/>
      <c r="ET10" s="236" t="e">
        <f t="shared" si="26"/>
        <v>#DIV/0!</v>
      </c>
      <c r="EU10" s="235"/>
      <c r="EV10" s="236"/>
      <c r="EW10" s="236"/>
      <c r="EX10" s="236"/>
      <c r="EY10" s="236" t="e">
        <f t="shared" si="27"/>
        <v>#DIV/0!</v>
      </c>
      <c r="EZ10" s="235"/>
      <c r="FA10" s="236"/>
      <c r="FB10" s="236"/>
      <c r="FC10" s="236"/>
      <c r="FD10" s="236" t="e">
        <f t="shared" si="28"/>
        <v>#DIV/0!</v>
      </c>
      <c r="FE10" s="288">
        <f t="shared" si="30"/>
        <v>0</v>
      </c>
      <c r="FF10" s="236"/>
      <c r="FG10" s="289">
        <f t="shared" si="31"/>
        <v>0</v>
      </c>
      <c r="FH10" s="289">
        <f t="shared" si="29"/>
        <v>0</v>
      </c>
      <c r="FI10" s="290" t="e">
        <f t="shared" si="32"/>
        <v>#DIV/0!</v>
      </c>
      <c r="FJ10" s="254">
        <f t="shared" si="35"/>
        <v>0</v>
      </c>
      <c r="FK10" s="293"/>
      <c r="FL10" s="294"/>
      <c r="FM10" s="323"/>
      <c r="FN10" s="322"/>
    </row>
    <row r="11" s="210" customFormat="1" ht="27" customHeight="1" spans="1:170">
      <c r="A11" s="230"/>
      <c r="B11" s="237"/>
      <c r="C11" s="232"/>
      <c r="D11" s="233" t="s">
        <v>52</v>
      </c>
      <c r="E11" s="238">
        <v>0.45</v>
      </c>
      <c r="F11" s="235">
        <v>330</v>
      </c>
      <c r="G11" s="236">
        <v>2</v>
      </c>
      <c r="H11" s="236">
        <v>185</v>
      </c>
      <c r="I11" s="236">
        <v>145</v>
      </c>
      <c r="J11" s="282">
        <f t="shared" si="0"/>
        <v>0.314279155188246</v>
      </c>
      <c r="K11" s="235">
        <v>332</v>
      </c>
      <c r="L11" s="236">
        <v>4</v>
      </c>
      <c r="M11" s="236">
        <v>243</v>
      </c>
      <c r="N11" s="236">
        <v>85</v>
      </c>
      <c r="O11" s="236">
        <f t="shared" si="1"/>
        <v>0.548864143367043</v>
      </c>
      <c r="P11" s="235">
        <v>115</v>
      </c>
      <c r="Q11" s="236">
        <v>4</v>
      </c>
      <c r="R11" s="236">
        <v>111</v>
      </c>
      <c r="S11" s="236"/>
      <c r="T11" s="236">
        <f t="shared" si="2"/>
        <v>1</v>
      </c>
      <c r="U11" s="235">
        <v>130</v>
      </c>
      <c r="V11" s="236">
        <v>8</v>
      </c>
      <c r="W11" s="236">
        <v>183</v>
      </c>
      <c r="X11" s="236">
        <v>8</v>
      </c>
      <c r="Y11" s="236">
        <f t="shared" si="3"/>
        <v>0.917984704366657</v>
      </c>
      <c r="Z11" s="235">
        <v>342</v>
      </c>
      <c r="AA11" s="236">
        <v>4</v>
      </c>
      <c r="AB11" s="236">
        <v>187</v>
      </c>
      <c r="AC11" s="236">
        <v>151</v>
      </c>
      <c r="AD11" s="236">
        <f t="shared" si="33"/>
        <v>0.306090473022653</v>
      </c>
      <c r="AE11" s="235">
        <v>294</v>
      </c>
      <c r="AF11" s="236">
        <v>1</v>
      </c>
      <c r="AG11" s="236">
        <v>241</v>
      </c>
      <c r="AH11" s="236">
        <v>52</v>
      </c>
      <c r="AI11" s="236">
        <f t="shared" si="4"/>
        <v>0.676548358163753</v>
      </c>
      <c r="AJ11" s="235">
        <v>372</v>
      </c>
      <c r="AK11" s="236">
        <v>4</v>
      </c>
      <c r="AL11" s="236">
        <v>216</v>
      </c>
      <c r="AM11" s="236">
        <v>152</v>
      </c>
      <c r="AN11" s="236">
        <f t="shared" si="5"/>
        <v>0.344517958412098</v>
      </c>
      <c r="AO11" s="235">
        <v>285</v>
      </c>
      <c r="AP11" s="236">
        <v>2</v>
      </c>
      <c r="AQ11" s="236">
        <v>265</v>
      </c>
      <c r="AR11" s="236">
        <v>18</v>
      </c>
      <c r="AS11" s="236">
        <f t="shared" si="6"/>
        <v>0.876837018816567</v>
      </c>
      <c r="AT11" s="235">
        <v>187</v>
      </c>
      <c r="AU11" s="236"/>
      <c r="AV11" s="236">
        <v>187</v>
      </c>
      <c r="AW11" s="236"/>
      <c r="AX11" s="236">
        <f t="shared" si="34"/>
        <v>1</v>
      </c>
      <c r="AY11" s="235">
        <v>184</v>
      </c>
      <c r="AZ11" s="236">
        <v>2</v>
      </c>
      <c r="BA11" s="236">
        <v>182</v>
      </c>
      <c r="BB11" s="236"/>
      <c r="BC11" s="236">
        <f t="shared" si="7"/>
        <v>1</v>
      </c>
      <c r="BD11" s="235">
        <v>185</v>
      </c>
      <c r="BE11" s="236"/>
      <c r="BF11" s="236">
        <v>185</v>
      </c>
      <c r="BG11" s="236"/>
      <c r="BH11" s="236">
        <f t="shared" si="8"/>
        <v>1</v>
      </c>
      <c r="BI11" s="235">
        <v>190</v>
      </c>
      <c r="BJ11" s="236">
        <v>3</v>
      </c>
      <c r="BK11" s="236">
        <v>187</v>
      </c>
      <c r="BL11" s="236"/>
      <c r="BM11" s="236">
        <f t="shared" si="9"/>
        <v>1</v>
      </c>
      <c r="BN11" s="235">
        <v>186</v>
      </c>
      <c r="BO11" s="236">
        <v>1</v>
      </c>
      <c r="BP11" s="236">
        <v>170</v>
      </c>
      <c r="BQ11" s="236">
        <v>15</v>
      </c>
      <c r="BR11" s="236">
        <f t="shared" si="10"/>
        <v>0.844411979547115</v>
      </c>
      <c r="BS11" s="235">
        <v>182</v>
      </c>
      <c r="BT11" s="236">
        <v>1</v>
      </c>
      <c r="BU11" s="236">
        <v>171</v>
      </c>
      <c r="BV11" s="236">
        <v>10</v>
      </c>
      <c r="BW11" s="236">
        <f t="shared" si="11"/>
        <v>0.892555172308538</v>
      </c>
      <c r="BX11" s="235"/>
      <c r="BY11" s="236"/>
      <c r="BZ11" s="236"/>
      <c r="CA11" s="236"/>
      <c r="CB11" s="236" t="e">
        <f t="shared" si="12"/>
        <v>#DIV/0!</v>
      </c>
      <c r="CC11" s="235"/>
      <c r="CD11" s="236"/>
      <c r="CE11" s="236"/>
      <c r="CF11" s="236"/>
      <c r="CG11" s="236" t="e">
        <f t="shared" si="13"/>
        <v>#DIV/0!</v>
      </c>
      <c r="CH11" s="235"/>
      <c r="CI11" s="236"/>
      <c r="CJ11" s="236"/>
      <c r="CK11" s="236"/>
      <c r="CL11" s="236" t="e">
        <f t="shared" si="14"/>
        <v>#DIV/0!</v>
      </c>
      <c r="CM11" s="235"/>
      <c r="CN11" s="236"/>
      <c r="CO11" s="236"/>
      <c r="CP11" s="236"/>
      <c r="CQ11" s="236" t="e">
        <f t="shared" si="15"/>
        <v>#DIV/0!</v>
      </c>
      <c r="CR11" s="235"/>
      <c r="CS11" s="236"/>
      <c r="CT11" s="236"/>
      <c r="CU11" s="236"/>
      <c r="CV11" s="236" t="e">
        <f t="shared" si="16"/>
        <v>#DIV/0!</v>
      </c>
      <c r="CW11" s="235"/>
      <c r="CX11" s="236"/>
      <c r="CY11" s="236"/>
      <c r="CZ11" s="236"/>
      <c r="DA11" s="236" t="e">
        <f t="shared" si="17"/>
        <v>#DIV/0!</v>
      </c>
      <c r="DB11" s="235"/>
      <c r="DC11" s="236"/>
      <c r="DD11" s="236"/>
      <c r="DE11" s="236"/>
      <c r="DF11" s="236" t="e">
        <f t="shared" si="18"/>
        <v>#DIV/0!</v>
      </c>
      <c r="DG11" s="235">
        <v>37</v>
      </c>
      <c r="DH11" s="236"/>
      <c r="DI11" s="236">
        <v>37</v>
      </c>
      <c r="DJ11" s="236"/>
      <c r="DK11" s="236">
        <f t="shared" si="19"/>
        <v>1</v>
      </c>
      <c r="DL11" s="235"/>
      <c r="DM11" s="236"/>
      <c r="DN11" s="236"/>
      <c r="DO11" s="236"/>
      <c r="DP11" s="236" t="e">
        <f t="shared" si="20"/>
        <v>#DIV/0!</v>
      </c>
      <c r="DQ11" s="235"/>
      <c r="DR11" s="236"/>
      <c r="DS11" s="236"/>
      <c r="DT11" s="236"/>
      <c r="DU11" s="236" t="e">
        <f t="shared" si="21"/>
        <v>#DIV/0!</v>
      </c>
      <c r="DV11" s="235"/>
      <c r="DW11" s="236"/>
      <c r="DX11" s="236"/>
      <c r="DY11" s="236"/>
      <c r="DZ11" s="236" t="e">
        <f t="shared" si="22"/>
        <v>#DIV/0!</v>
      </c>
      <c r="EA11" s="235"/>
      <c r="EB11" s="236"/>
      <c r="EC11" s="236"/>
      <c r="ED11" s="236"/>
      <c r="EE11" s="236" t="e">
        <f t="shared" si="23"/>
        <v>#DIV/0!</v>
      </c>
      <c r="EF11" s="235"/>
      <c r="EG11" s="236"/>
      <c r="EH11" s="236"/>
      <c r="EI11" s="236"/>
      <c r="EJ11" s="236" t="e">
        <f t="shared" si="24"/>
        <v>#DIV/0!</v>
      </c>
      <c r="EK11" s="235"/>
      <c r="EL11" s="236"/>
      <c r="EM11" s="236"/>
      <c r="EN11" s="236"/>
      <c r="EO11" s="236" t="e">
        <f t="shared" si="25"/>
        <v>#DIV/0!</v>
      </c>
      <c r="EP11" s="235"/>
      <c r="EQ11" s="236"/>
      <c r="ER11" s="236"/>
      <c r="ES11" s="236"/>
      <c r="ET11" s="236" t="e">
        <f t="shared" si="26"/>
        <v>#DIV/0!</v>
      </c>
      <c r="EU11" s="235"/>
      <c r="EV11" s="236"/>
      <c r="EW11" s="236"/>
      <c r="EX11" s="236"/>
      <c r="EY11" s="236" t="e">
        <f t="shared" si="27"/>
        <v>#DIV/0!</v>
      </c>
      <c r="EZ11" s="235"/>
      <c r="FA11" s="236"/>
      <c r="FB11" s="236"/>
      <c r="FC11" s="236"/>
      <c r="FD11" s="236" t="e">
        <f t="shared" si="28"/>
        <v>#DIV/0!</v>
      </c>
      <c r="FE11" s="288">
        <f t="shared" si="30"/>
        <v>2786</v>
      </c>
      <c r="FF11" s="236"/>
      <c r="FG11" s="289">
        <f t="shared" si="31"/>
        <v>36</v>
      </c>
      <c r="FH11" s="289">
        <f t="shared" si="29"/>
        <v>2750</v>
      </c>
      <c r="FI11" s="290">
        <f t="shared" si="32"/>
        <v>0.974323468434367</v>
      </c>
      <c r="FJ11" s="254">
        <f t="shared" si="35"/>
        <v>1237.5</v>
      </c>
      <c r="FK11" s="293"/>
      <c r="FL11" s="294"/>
      <c r="FM11" s="323"/>
      <c r="FN11" s="322"/>
    </row>
    <row r="12" s="210" customFormat="1" ht="27" customHeight="1" spans="1:170">
      <c r="A12" s="230"/>
      <c r="B12" s="237"/>
      <c r="C12" s="232"/>
      <c r="D12" s="233" t="s">
        <v>14</v>
      </c>
      <c r="E12" s="238">
        <v>0.373</v>
      </c>
      <c r="F12" s="235"/>
      <c r="G12" s="236"/>
      <c r="H12" s="236"/>
      <c r="I12" s="236"/>
      <c r="J12" s="282" t="e">
        <f t="shared" si="0"/>
        <v>#DIV/0!</v>
      </c>
      <c r="K12" s="235"/>
      <c r="L12" s="236"/>
      <c r="M12" s="236"/>
      <c r="N12" s="236"/>
      <c r="O12" s="236" t="e">
        <f t="shared" si="1"/>
        <v>#DIV/0!</v>
      </c>
      <c r="P12" s="235"/>
      <c r="Q12" s="236"/>
      <c r="R12" s="236"/>
      <c r="S12" s="236"/>
      <c r="T12" s="236" t="e">
        <f t="shared" si="2"/>
        <v>#DIV/0!</v>
      </c>
      <c r="U12" s="235"/>
      <c r="V12" s="236"/>
      <c r="W12" s="236"/>
      <c r="X12" s="236"/>
      <c r="Y12" s="236" t="e">
        <f t="shared" si="3"/>
        <v>#DIV/0!</v>
      </c>
      <c r="Z12" s="235"/>
      <c r="AA12" s="236"/>
      <c r="AB12" s="236"/>
      <c r="AC12" s="236"/>
      <c r="AD12" s="236" t="e">
        <f t="shared" si="33"/>
        <v>#DIV/0!</v>
      </c>
      <c r="AE12" s="235"/>
      <c r="AF12" s="236"/>
      <c r="AG12" s="236"/>
      <c r="AH12" s="236"/>
      <c r="AI12" s="236" t="e">
        <f t="shared" si="4"/>
        <v>#DIV/0!</v>
      </c>
      <c r="AJ12" s="235"/>
      <c r="AK12" s="236"/>
      <c r="AL12" s="236"/>
      <c r="AM12" s="236"/>
      <c r="AN12" s="236" t="e">
        <f t="shared" si="5"/>
        <v>#DIV/0!</v>
      </c>
      <c r="AO12" s="235"/>
      <c r="AP12" s="236"/>
      <c r="AQ12" s="236"/>
      <c r="AR12" s="236"/>
      <c r="AS12" s="236" t="e">
        <f t="shared" si="6"/>
        <v>#DIV/0!</v>
      </c>
      <c r="AT12" s="235"/>
      <c r="AU12" s="236"/>
      <c r="AV12" s="236"/>
      <c r="AW12" s="236"/>
      <c r="AX12" s="236" t="e">
        <f t="shared" si="34"/>
        <v>#DIV/0!</v>
      </c>
      <c r="AY12" s="235"/>
      <c r="AZ12" s="236"/>
      <c r="BA12" s="236"/>
      <c r="BB12" s="236"/>
      <c r="BC12" s="236" t="e">
        <f t="shared" si="7"/>
        <v>#DIV/0!</v>
      </c>
      <c r="BD12" s="235"/>
      <c r="BE12" s="236"/>
      <c r="BF12" s="236"/>
      <c r="BG12" s="236"/>
      <c r="BH12" s="236" t="e">
        <f t="shared" si="8"/>
        <v>#DIV/0!</v>
      </c>
      <c r="BI12" s="235"/>
      <c r="BJ12" s="236"/>
      <c r="BK12" s="236"/>
      <c r="BL12" s="236"/>
      <c r="BM12" s="236" t="e">
        <f t="shared" si="9"/>
        <v>#DIV/0!</v>
      </c>
      <c r="BN12" s="235"/>
      <c r="BO12" s="236"/>
      <c r="BP12" s="236"/>
      <c r="BQ12" s="236"/>
      <c r="BR12" s="236" t="e">
        <f t="shared" si="10"/>
        <v>#DIV/0!</v>
      </c>
      <c r="BS12" s="235"/>
      <c r="BT12" s="236"/>
      <c r="BU12" s="236"/>
      <c r="BV12" s="236"/>
      <c r="BW12" s="236" t="e">
        <f t="shared" si="11"/>
        <v>#DIV/0!</v>
      </c>
      <c r="BX12" s="235"/>
      <c r="BY12" s="236"/>
      <c r="BZ12" s="236"/>
      <c r="CA12" s="236"/>
      <c r="CB12" s="236" t="e">
        <f t="shared" si="12"/>
        <v>#DIV/0!</v>
      </c>
      <c r="CC12" s="235"/>
      <c r="CD12" s="236"/>
      <c r="CE12" s="236"/>
      <c r="CF12" s="236"/>
      <c r="CG12" s="236" t="e">
        <f t="shared" si="13"/>
        <v>#DIV/0!</v>
      </c>
      <c r="CH12" s="235"/>
      <c r="CI12" s="236"/>
      <c r="CJ12" s="236"/>
      <c r="CK12" s="236"/>
      <c r="CL12" s="236" t="e">
        <f t="shared" si="14"/>
        <v>#DIV/0!</v>
      </c>
      <c r="CM12" s="235"/>
      <c r="CN12" s="236"/>
      <c r="CO12" s="236"/>
      <c r="CP12" s="236"/>
      <c r="CQ12" s="236" t="e">
        <f t="shared" si="15"/>
        <v>#DIV/0!</v>
      </c>
      <c r="CR12" s="235"/>
      <c r="CS12" s="236"/>
      <c r="CT12" s="236"/>
      <c r="CU12" s="236"/>
      <c r="CV12" s="236" t="e">
        <f t="shared" si="16"/>
        <v>#DIV/0!</v>
      </c>
      <c r="CW12" s="235"/>
      <c r="CX12" s="236"/>
      <c r="CY12" s="236"/>
      <c r="CZ12" s="236"/>
      <c r="DA12" s="236" t="e">
        <f t="shared" si="17"/>
        <v>#DIV/0!</v>
      </c>
      <c r="DB12" s="235"/>
      <c r="DC12" s="236"/>
      <c r="DD12" s="236"/>
      <c r="DE12" s="236"/>
      <c r="DF12" s="236" t="e">
        <f t="shared" si="18"/>
        <v>#DIV/0!</v>
      </c>
      <c r="DG12" s="235"/>
      <c r="DH12" s="236"/>
      <c r="DI12" s="236"/>
      <c r="DJ12" s="236"/>
      <c r="DK12" s="236" t="e">
        <f t="shared" si="19"/>
        <v>#DIV/0!</v>
      </c>
      <c r="DL12" s="235"/>
      <c r="DM12" s="236"/>
      <c r="DN12" s="236"/>
      <c r="DO12" s="236"/>
      <c r="DP12" s="236" t="e">
        <f t="shared" si="20"/>
        <v>#DIV/0!</v>
      </c>
      <c r="DQ12" s="235"/>
      <c r="DR12" s="236"/>
      <c r="DS12" s="236"/>
      <c r="DT12" s="236"/>
      <c r="DU12" s="236" t="e">
        <f t="shared" si="21"/>
        <v>#DIV/0!</v>
      </c>
      <c r="DV12" s="235"/>
      <c r="DW12" s="236"/>
      <c r="DX12" s="236"/>
      <c r="DY12" s="236"/>
      <c r="DZ12" s="236" t="e">
        <f t="shared" si="22"/>
        <v>#DIV/0!</v>
      </c>
      <c r="EA12" s="235"/>
      <c r="EB12" s="236"/>
      <c r="EC12" s="236"/>
      <c r="ED12" s="236"/>
      <c r="EE12" s="236" t="e">
        <f t="shared" si="23"/>
        <v>#DIV/0!</v>
      </c>
      <c r="EF12" s="235"/>
      <c r="EG12" s="236"/>
      <c r="EH12" s="236"/>
      <c r="EI12" s="236"/>
      <c r="EJ12" s="236" t="e">
        <f t="shared" si="24"/>
        <v>#DIV/0!</v>
      </c>
      <c r="EK12" s="235"/>
      <c r="EL12" s="236"/>
      <c r="EM12" s="236"/>
      <c r="EN12" s="236"/>
      <c r="EO12" s="236" t="e">
        <f t="shared" si="25"/>
        <v>#DIV/0!</v>
      </c>
      <c r="EP12" s="235"/>
      <c r="EQ12" s="236"/>
      <c r="ER12" s="236"/>
      <c r="ES12" s="236"/>
      <c r="ET12" s="236" t="e">
        <f t="shared" si="26"/>
        <v>#DIV/0!</v>
      </c>
      <c r="EU12" s="235"/>
      <c r="EV12" s="236"/>
      <c r="EW12" s="236"/>
      <c r="EX12" s="236"/>
      <c r="EY12" s="236" t="e">
        <f t="shared" si="27"/>
        <v>#DIV/0!</v>
      </c>
      <c r="EZ12" s="235"/>
      <c r="FA12" s="236"/>
      <c r="FB12" s="236"/>
      <c r="FC12" s="236"/>
      <c r="FD12" s="236" t="e">
        <f t="shared" si="28"/>
        <v>#DIV/0!</v>
      </c>
      <c r="FE12" s="288">
        <f t="shared" si="30"/>
        <v>0</v>
      </c>
      <c r="FF12" s="236"/>
      <c r="FG12" s="289">
        <f t="shared" si="31"/>
        <v>0</v>
      </c>
      <c r="FH12" s="289">
        <f t="shared" si="29"/>
        <v>0</v>
      </c>
      <c r="FI12" s="290" t="e">
        <f t="shared" si="32"/>
        <v>#DIV/0!</v>
      </c>
      <c r="FJ12" s="254">
        <f t="shared" si="35"/>
        <v>0</v>
      </c>
      <c r="FK12" s="293"/>
      <c r="FL12" s="294"/>
      <c r="FM12" s="323"/>
      <c r="FN12" s="322"/>
    </row>
    <row r="13" s="210" customFormat="1" ht="27" customHeight="1" spans="1:170">
      <c r="A13" s="230"/>
      <c r="B13" s="237"/>
      <c r="C13" s="232"/>
      <c r="D13" s="233" t="s">
        <v>15</v>
      </c>
      <c r="E13" s="238">
        <v>0.373</v>
      </c>
      <c r="F13" s="235"/>
      <c r="G13" s="236"/>
      <c r="H13" s="236"/>
      <c r="I13" s="236"/>
      <c r="J13" s="282" t="e">
        <f t="shared" si="0"/>
        <v>#DIV/0!</v>
      </c>
      <c r="K13" s="235"/>
      <c r="L13" s="236"/>
      <c r="M13" s="236"/>
      <c r="N13" s="236"/>
      <c r="O13" s="236" t="e">
        <f t="shared" si="1"/>
        <v>#DIV/0!</v>
      </c>
      <c r="P13" s="235"/>
      <c r="Q13" s="236"/>
      <c r="R13" s="236"/>
      <c r="S13" s="236"/>
      <c r="T13" s="236" t="e">
        <f t="shared" si="2"/>
        <v>#DIV/0!</v>
      </c>
      <c r="U13" s="235"/>
      <c r="V13" s="236"/>
      <c r="W13" s="236"/>
      <c r="X13" s="236"/>
      <c r="Y13" s="236" t="e">
        <f t="shared" si="3"/>
        <v>#DIV/0!</v>
      </c>
      <c r="Z13" s="235"/>
      <c r="AA13" s="236"/>
      <c r="AB13" s="236"/>
      <c r="AC13" s="236"/>
      <c r="AD13" s="236" t="e">
        <f t="shared" si="33"/>
        <v>#DIV/0!</v>
      </c>
      <c r="AE13" s="235"/>
      <c r="AF13" s="236"/>
      <c r="AG13" s="236"/>
      <c r="AH13" s="236"/>
      <c r="AI13" s="236" t="e">
        <f t="shared" si="4"/>
        <v>#DIV/0!</v>
      </c>
      <c r="AJ13" s="235"/>
      <c r="AK13" s="236"/>
      <c r="AL13" s="236"/>
      <c r="AM13" s="236"/>
      <c r="AN13" s="236" t="e">
        <f t="shared" si="5"/>
        <v>#DIV/0!</v>
      </c>
      <c r="AO13" s="235"/>
      <c r="AP13" s="236"/>
      <c r="AQ13" s="236"/>
      <c r="AR13" s="236"/>
      <c r="AS13" s="236" t="e">
        <f t="shared" si="6"/>
        <v>#DIV/0!</v>
      </c>
      <c r="AT13" s="235"/>
      <c r="AU13" s="236"/>
      <c r="AV13" s="236"/>
      <c r="AW13" s="236"/>
      <c r="AX13" s="236" t="e">
        <f t="shared" si="34"/>
        <v>#DIV/0!</v>
      </c>
      <c r="AY13" s="235"/>
      <c r="AZ13" s="236"/>
      <c r="BA13" s="236"/>
      <c r="BB13" s="236"/>
      <c r="BC13" s="236" t="e">
        <f t="shared" si="7"/>
        <v>#DIV/0!</v>
      </c>
      <c r="BD13" s="235"/>
      <c r="BE13" s="236"/>
      <c r="BF13" s="236"/>
      <c r="BG13" s="236"/>
      <c r="BH13" s="236" t="e">
        <f t="shared" si="8"/>
        <v>#DIV/0!</v>
      </c>
      <c r="BI13" s="235"/>
      <c r="BJ13" s="236"/>
      <c r="BK13" s="236"/>
      <c r="BL13" s="236"/>
      <c r="BM13" s="236" t="e">
        <f t="shared" si="9"/>
        <v>#DIV/0!</v>
      </c>
      <c r="BN13" s="235"/>
      <c r="BO13" s="236"/>
      <c r="BP13" s="236"/>
      <c r="BQ13" s="236"/>
      <c r="BR13" s="236" t="e">
        <f t="shared" si="10"/>
        <v>#DIV/0!</v>
      </c>
      <c r="BS13" s="235"/>
      <c r="BT13" s="236"/>
      <c r="BU13" s="236"/>
      <c r="BV13" s="236"/>
      <c r="BW13" s="236" t="e">
        <f t="shared" si="11"/>
        <v>#DIV/0!</v>
      </c>
      <c r="BX13" s="235">
        <v>61</v>
      </c>
      <c r="BY13" s="236">
        <v>4</v>
      </c>
      <c r="BZ13" s="236">
        <v>87</v>
      </c>
      <c r="CA13" s="236"/>
      <c r="CB13" s="236">
        <f t="shared" si="12"/>
        <v>1</v>
      </c>
      <c r="CC13" s="235">
        <v>53</v>
      </c>
      <c r="CD13" s="236"/>
      <c r="CE13" s="236">
        <v>53</v>
      </c>
      <c r="CF13" s="236"/>
      <c r="CG13" s="236">
        <f t="shared" si="13"/>
        <v>1</v>
      </c>
      <c r="CH13" s="235"/>
      <c r="CI13" s="236"/>
      <c r="CJ13" s="236"/>
      <c r="CK13" s="236"/>
      <c r="CL13" s="236" t="e">
        <f t="shared" si="14"/>
        <v>#DIV/0!</v>
      </c>
      <c r="CM13" s="235"/>
      <c r="CN13" s="236"/>
      <c r="CO13" s="236"/>
      <c r="CP13" s="236"/>
      <c r="CQ13" s="236" t="e">
        <f t="shared" si="15"/>
        <v>#DIV/0!</v>
      </c>
      <c r="CR13" s="235"/>
      <c r="CS13" s="236"/>
      <c r="CT13" s="236"/>
      <c r="CU13" s="236"/>
      <c r="CV13" s="236" t="e">
        <f t="shared" si="16"/>
        <v>#DIV/0!</v>
      </c>
      <c r="CW13" s="235"/>
      <c r="CX13" s="236"/>
      <c r="CY13" s="236"/>
      <c r="CZ13" s="236"/>
      <c r="DA13" s="236" t="e">
        <f t="shared" si="17"/>
        <v>#DIV/0!</v>
      </c>
      <c r="DB13" s="235"/>
      <c r="DC13" s="236"/>
      <c r="DD13" s="236"/>
      <c r="DE13" s="236"/>
      <c r="DF13" s="236" t="e">
        <f t="shared" si="18"/>
        <v>#DIV/0!</v>
      </c>
      <c r="DG13" s="235"/>
      <c r="DH13" s="236"/>
      <c r="DI13" s="236"/>
      <c r="DJ13" s="236"/>
      <c r="DK13" s="236" t="e">
        <f t="shared" si="19"/>
        <v>#DIV/0!</v>
      </c>
      <c r="DL13" s="235">
        <v>132</v>
      </c>
      <c r="DM13" s="236">
        <v>1</v>
      </c>
      <c r="DN13" s="236">
        <v>98</v>
      </c>
      <c r="DO13" s="236">
        <v>33</v>
      </c>
      <c r="DP13" s="236">
        <f t="shared" si="20"/>
        <v>0.559641046559058</v>
      </c>
      <c r="DQ13" s="235">
        <v>136</v>
      </c>
      <c r="DR13" s="236">
        <v>3</v>
      </c>
      <c r="DS13" s="236">
        <v>110</v>
      </c>
      <c r="DT13" s="236">
        <v>23</v>
      </c>
      <c r="DU13" s="236">
        <f t="shared" si="21"/>
        <v>0.684040929391147</v>
      </c>
      <c r="DV13" s="235">
        <v>104</v>
      </c>
      <c r="DW13" s="236">
        <v>2</v>
      </c>
      <c r="DX13" s="236">
        <v>90</v>
      </c>
      <c r="DY13" s="236">
        <v>12</v>
      </c>
      <c r="DZ13" s="236">
        <f t="shared" si="22"/>
        <v>0.778546712802768</v>
      </c>
      <c r="EA13" s="235">
        <v>115</v>
      </c>
      <c r="EB13" s="236"/>
      <c r="EC13" s="236">
        <v>105</v>
      </c>
      <c r="ED13" s="236">
        <v>10</v>
      </c>
      <c r="EE13" s="236">
        <f t="shared" si="23"/>
        <v>0.833648393194707</v>
      </c>
      <c r="EF13" s="235">
        <v>136</v>
      </c>
      <c r="EG13" s="236">
        <v>4</v>
      </c>
      <c r="EH13" s="236">
        <v>102</v>
      </c>
      <c r="EI13" s="236">
        <v>30</v>
      </c>
      <c r="EJ13" s="236">
        <f t="shared" si="24"/>
        <v>0.597107438016529</v>
      </c>
      <c r="EK13" s="235">
        <v>115</v>
      </c>
      <c r="EL13" s="236">
        <v>4</v>
      </c>
      <c r="EM13" s="236">
        <v>101</v>
      </c>
      <c r="EN13" s="236">
        <v>10</v>
      </c>
      <c r="EO13" s="236">
        <f t="shared" si="25"/>
        <v>0.82793604415226</v>
      </c>
      <c r="EP13" s="235">
        <v>138</v>
      </c>
      <c r="EQ13" s="236">
        <v>2</v>
      </c>
      <c r="ER13" s="236">
        <v>110</v>
      </c>
      <c r="ES13" s="236">
        <v>26</v>
      </c>
      <c r="ET13" s="236">
        <f t="shared" si="26"/>
        <v>0.654195501730104</v>
      </c>
      <c r="EU13" s="235"/>
      <c r="EV13" s="236"/>
      <c r="EW13" s="236">
        <v>67</v>
      </c>
      <c r="EX13" s="236"/>
      <c r="EY13" s="236">
        <f t="shared" si="27"/>
        <v>1</v>
      </c>
      <c r="EZ13" s="235"/>
      <c r="FA13" s="236"/>
      <c r="FB13" s="236"/>
      <c r="FC13" s="236"/>
      <c r="FD13" s="236" t="e">
        <f t="shared" si="28"/>
        <v>#DIV/0!</v>
      </c>
      <c r="FE13" s="288">
        <f t="shared" si="30"/>
        <v>943</v>
      </c>
      <c r="FF13" s="236"/>
      <c r="FG13" s="289">
        <f t="shared" si="31"/>
        <v>20</v>
      </c>
      <c r="FH13" s="289">
        <f t="shared" si="29"/>
        <v>923</v>
      </c>
      <c r="FI13" s="290">
        <f t="shared" si="32"/>
        <v>0.958032002285074</v>
      </c>
      <c r="FJ13" s="254">
        <f t="shared" si="35"/>
        <v>344.279</v>
      </c>
      <c r="FK13" s="293"/>
      <c r="FL13" s="294"/>
      <c r="FM13" s="323"/>
      <c r="FN13" s="322"/>
    </row>
    <row r="14" s="210" customFormat="1" ht="27" customHeight="1" spans="1:170">
      <c r="A14" s="230"/>
      <c r="B14" s="237"/>
      <c r="C14" s="232"/>
      <c r="D14" s="233" t="s">
        <v>16</v>
      </c>
      <c r="E14" s="238">
        <v>0.373</v>
      </c>
      <c r="F14" s="235"/>
      <c r="G14" s="236"/>
      <c r="H14" s="236"/>
      <c r="I14" s="236"/>
      <c r="J14" s="282" t="e">
        <f t="shared" si="0"/>
        <v>#DIV/0!</v>
      </c>
      <c r="K14" s="235"/>
      <c r="L14" s="236"/>
      <c r="M14" s="236"/>
      <c r="N14" s="236"/>
      <c r="O14" s="236" t="e">
        <f t="shared" si="1"/>
        <v>#DIV/0!</v>
      </c>
      <c r="P14" s="235"/>
      <c r="Q14" s="236"/>
      <c r="R14" s="236"/>
      <c r="S14" s="236"/>
      <c r="T14" s="236" t="e">
        <f t="shared" si="2"/>
        <v>#DIV/0!</v>
      </c>
      <c r="U14" s="235"/>
      <c r="V14" s="236"/>
      <c r="W14" s="236"/>
      <c r="X14" s="236"/>
      <c r="Y14" s="236" t="e">
        <f t="shared" si="3"/>
        <v>#DIV/0!</v>
      </c>
      <c r="Z14" s="235"/>
      <c r="AA14" s="236"/>
      <c r="AB14" s="236"/>
      <c r="AC14" s="236"/>
      <c r="AD14" s="236" t="e">
        <f t="shared" si="33"/>
        <v>#DIV/0!</v>
      </c>
      <c r="AE14" s="235"/>
      <c r="AF14" s="236"/>
      <c r="AG14" s="236"/>
      <c r="AH14" s="236"/>
      <c r="AI14" s="236" t="e">
        <f t="shared" si="4"/>
        <v>#DIV/0!</v>
      </c>
      <c r="AJ14" s="235"/>
      <c r="AK14" s="236"/>
      <c r="AL14" s="236"/>
      <c r="AM14" s="236"/>
      <c r="AN14" s="236" t="e">
        <f t="shared" si="5"/>
        <v>#DIV/0!</v>
      </c>
      <c r="AO14" s="235"/>
      <c r="AP14" s="236"/>
      <c r="AQ14" s="236"/>
      <c r="AR14" s="236"/>
      <c r="AS14" s="236" t="e">
        <f t="shared" si="6"/>
        <v>#DIV/0!</v>
      </c>
      <c r="AT14" s="235"/>
      <c r="AU14" s="236"/>
      <c r="AV14" s="236"/>
      <c r="AW14" s="236"/>
      <c r="AX14" s="236" t="e">
        <f t="shared" si="34"/>
        <v>#DIV/0!</v>
      </c>
      <c r="AY14" s="235"/>
      <c r="AZ14" s="236"/>
      <c r="BA14" s="236"/>
      <c r="BB14" s="236"/>
      <c r="BC14" s="236" t="e">
        <f t="shared" si="7"/>
        <v>#DIV/0!</v>
      </c>
      <c r="BD14" s="235">
        <v>58</v>
      </c>
      <c r="BE14" s="236">
        <v>1</v>
      </c>
      <c r="BF14" s="236">
        <v>57</v>
      </c>
      <c r="BG14" s="236"/>
      <c r="BH14" s="236">
        <f t="shared" si="8"/>
        <v>1</v>
      </c>
      <c r="BI14" s="235"/>
      <c r="BJ14" s="236"/>
      <c r="BK14" s="236"/>
      <c r="BL14" s="236"/>
      <c r="BM14" s="236" t="e">
        <f t="shared" si="9"/>
        <v>#DIV/0!</v>
      </c>
      <c r="BN14" s="235">
        <v>59</v>
      </c>
      <c r="BO14" s="236"/>
      <c r="BP14" s="236">
        <v>59</v>
      </c>
      <c r="BQ14" s="236"/>
      <c r="BR14" s="236">
        <f t="shared" si="10"/>
        <v>1</v>
      </c>
      <c r="BS14" s="235">
        <v>56</v>
      </c>
      <c r="BT14" s="236">
        <v>1</v>
      </c>
      <c r="BU14" s="236">
        <v>55</v>
      </c>
      <c r="BV14" s="236"/>
      <c r="BW14" s="236">
        <f t="shared" si="11"/>
        <v>1</v>
      </c>
      <c r="BX14" s="235">
        <v>61</v>
      </c>
      <c r="BY14" s="236">
        <v>2</v>
      </c>
      <c r="BZ14" s="236">
        <v>59</v>
      </c>
      <c r="CA14" s="236"/>
      <c r="CB14" s="236">
        <f t="shared" si="12"/>
        <v>1</v>
      </c>
      <c r="CC14" s="235">
        <v>56</v>
      </c>
      <c r="CD14" s="236"/>
      <c r="CE14" s="236">
        <v>56</v>
      </c>
      <c r="CF14" s="236"/>
      <c r="CG14" s="236">
        <f t="shared" si="13"/>
        <v>1</v>
      </c>
      <c r="CH14" s="235"/>
      <c r="CI14" s="236"/>
      <c r="CJ14" s="236"/>
      <c r="CK14" s="236"/>
      <c r="CL14" s="236" t="e">
        <f t="shared" si="14"/>
        <v>#DIV/0!</v>
      </c>
      <c r="CM14" s="235"/>
      <c r="CN14" s="236"/>
      <c r="CO14" s="236"/>
      <c r="CP14" s="236"/>
      <c r="CQ14" s="236" t="e">
        <f t="shared" si="15"/>
        <v>#DIV/0!</v>
      </c>
      <c r="CR14" s="235"/>
      <c r="CS14" s="236"/>
      <c r="CT14" s="236"/>
      <c r="CU14" s="236"/>
      <c r="CV14" s="236" t="e">
        <f t="shared" si="16"/>
        <v>#DIV/0!</v>
      </c>
      <c r="CW14" s="235"/>
      <c r="CX14" s="236"/>
      <c r="CY14" s="236"/>
      <c r="CZ14" s="236"/>
      <c r="DA14" s="236" t="e">
        <f t="shared" si="17"/>
        <v>#DIV/0!</v>
      </c>
      <c r="DB14" s="235"/>
      <c r="DC14" s="236"/>
      <c r="DD14" s="236"/>
      <c r="DE14" s="236"/>
      <c r="DF14" s="236" t="e">
        <f t="shared" si="18"/>
        <v>#DIV/0!</v>
      </c>
      <c r="DG14" s="235">
        <v>102</v>
      </c>
      <c r="DH14" s="236">
        <v>3</v>
      </c>
      <c r="DI14" s="236">
        <v>99</v>
      </c>
      <c r="DJ14" s="236"/>
      <c r="DK14" s="236">
        <f t="shared" si="19"/>
        <v>1</v>
      </c>
      <c r="DL14" s="235">
        <v>128</v>
      </c>
      <c r="DM14" s="236">
        <v>2</v>
      </c>
      <c r="DN14" s="236">
        <v>96</v>
      </c>
      <c r="DO14" s="236">
        <v>30</v>
      </c>
      <c r="DP14" s="236">
        <f t="shared" si="20"/>
        <v>0.580498866213152</v>
      </c>
      <c r="DQ14" s="235">
        <v>135</v>
      </c>
      <c r="DR14" s="236">
        <v>2</v>
      </c>
      <c r="DS14" s="236">
        <v>100</v>
      </c>
      <c r="DT14" s="236">
        <v>33</v>
      </c>
      <c r="DU14" s="236">
        <f t="shared" si="21"/>
        <v>0.565323082141444</v>
      </c>
      <c r="DV14" s="235">
        <v>99</v>
      </c>
      <c r="DW14" s="236">
        <v>1</v>
      </c>
      <c r="DX14" s="236">
        <v>90</v>
      </c>
      <c r="DY14" s="236">
        <v>8</v>
      </c>
      <c r="DZ14" s="236">
        <f t="shared" si="22"/>
        <v>0.843398583923365</v>
      </c>
      <c r="EA14" s="235">
        <v>111</v>
      </c>
      <c r="EB14" s="236">
        <v>2</v>
      </c>
      <c r="EC14" s="236">
        <v>102</v>
      </c>
      <c r="ED14" s="236">
        <v>7</v>
      </c>
      <c r="EE14" s="236">
        <f t="shared" si="23"/>
        <v>0.875683864994529</v>
      </c>
      <c r="EF14" s="235">
        <v>132</v>
      </c>
      <c r="EG14" s="236">
        <v>3</v>
      </c>
      <c r="EH14" s="236">
        <v>100</v>
      </c>
      <c r="EI14" s="236">
        <v>29</v>
      </c>
      <c r="EJ14" s="236">
        <f t="shared" si="24"/>
        <v>0.600925425154738</v>
      </c>
      <c r="EK14" s="235">
        <v>129</v>
      </c>
      <c r="EL14" s="236">
        <v>3</v>
      </c>
      <c r="EM14" s="236">
        <v>110</v>
      </c>
      <c r="EN14" s="236">
        <v>16</v>
      </c>
      <c r="EO14" s="236">
        <f t="shared" si="25"/>
        <v>0.762156714537667</v>
      </c>
      <c r="EP14" s="235">
        <v>139</v>
      </c>
      <c r="EQ14" s="236">
        <v>3</v>
      </c>
      <c r="ER14" s="236">
        <v>112</v>
      </c>
      <c r="ES14" s="236">
        <v>24</v>
      </c>
      <c r="ET14" s="236">
        <f t="shared" si="26"/>
        <v>0.678200692041522</v>
      </c>
      <c r="EU14" s="235"/>
      <c r="EV14" s="236"/>
      <c r="EW14" s="236">
        <v>92</v>
      </c>
      <c r="EX14" s="236"/>
      <c r="EY14" s="236">
        <f t="shared" si="27"/>
        <v>1</v>
      </c>
      <c r="EZ14" s="235"/>
      <c r="FA14" s="236"/>
      <c r="FB14" s="236"/>
      <c r="FC14" s="236"/>
      <c r="FD14" s="236" t="e">
        <f t="shared" si="28"/>
        <v>#DIV/0!</v>
      </c>
      <c r="FE14" s="288">
        <f t="shared" si="30"/>
        <v>1210</v>
      </c>
      <c r="FF14" s="236"/>
      <c r="FG14" s="289">
        <f t="shared" si="31"/>
        <v>23</v>
      </c>
      <c r="FH14" s="289">
        <f t="shared" si="29"/>
        <v>1187</v>
      </c>
      <c r="FI14" s="290">
        <f t="shared" si="32"/>
        <v>0.962344785192268</v>
      </c>
      <c r="FJ14" s="254">
        <f t="shared" si="35"/>
        <v>442.751</v>
      </c>
      <c r="FK14" s="293"/>
      <c r="FL14" s="294"/>
      <c r="FM14" s="323"/>
      <c r="FN14" s="322"/>
    </row>
    <row r="15" s="210" customFormat="1" ht="27" customHeight="1" spans="1:170">
      <c r="A15" s="230"/>
      <c r="B15" s="239"/>
      <c r="C15" s="232"/>
      <c r="D15" s="233" t="s">
        <v>17</v>
      </c>
      <c r="E15" s="238">
        <v>0.373</v>
      </c>
      <c r="F15" s="235"/>
      <c r="G15" s="236"/>
      <c r="H15" s="236"/>
      <c r="I15" s="236"/>
      <c r="J15" s="282" t="e">
        <f t="shared" si="0"/>
        <v>#DIV/0!</v>
      </c>
      <c r="K15" s="235"/>
      <c r="L15" s="236"/>
      <c r="M15" s="236"/>
      <c r="N15" s="236"/>
      <c r="O15" s="236" t="e">
        <f t="shared" si="1"/>
        <v>#DIV/0!</v>
      </c>
      <c r="P15" s="235"/>
      <c r="Q15" s="236"/>
      <c r="R15" s="236"/>
      <c r="S15" s="236"/>
      <c r="T15" s="236" t="e">
        <f t="shared" si="2"/>
        <v>#DIV/0!</v>
      </c>
      <c r="U15" s="235"/>
      <c r="V15" s="236"/>
      <c r="W15" s="236"/>
      <c r="X15" s="236"/>
      <c r="Y15" s="236" t="e">
        <f t="shared" si="3"/>
        <v>#DIV/0!</v>
      </c>
      <c r="Z15" s="235"/>
      <c r="AA15" s="236"/>
      <c r="AB15" s="236"/>
      <c r="AC15" s="236"/>
      <c r="AD15" s="236" t="e">
        <f t="shared" si="33"/>
        <v>#DIV/0!</v>
      </c>
      <c r="AE15" s="235"/>
      <c r="AF15" s="236"/>
      <c r="AG15" s="236"/>
      <c r="AH15" s="236"/>
      <c r="AI15" s="236" t="e">
        <f t="shared" si="4"/>
        <v>#DIV/0!</v>
      </c>
      <c r="AJ15" s="235"/>
      <c r="AK15" s="236"/>
      <c r="AL15" s="236"/>
      <c r="AM15" s="236"/>
      <c r="AN15" s="236" t="e">
        <f t="shared" si="5"/>
        <v>#DIV/0!</v>
      </c>
      <c r="AO15" s="235"/>
      <c r="AP15" s="236"/>
      <c r="AQ15" s="236"/>
      <c r="AR15" s="236"/>
      <c r="AS15" s="236" t="e">
        <f t="shared" si="6"/>
        <v>#DIV/0!</v>
      </c>
      <c r="AT15" s="235"/>
      <c r="AU15" s="236"/>
      <c r="AV15" s="236"/>
      <c r="AW15" s="236"/>
      <c r="AX15" s="236" t="e">
        <f t="shared" si="34"/>
        <v>#DIV/0!</v>
      </c>
      <c r="AY15" s="235"/>
      <c r="AZ15" s="236"/>
      <c r="BA15" s="236"/>
      <c r="BB15" s="236"/>
      <c r="BC15" s="236" t="e">
        <f t="shared" si="7"/>
        <v>#DIV/0!</v>
      </c>
      <c r="BD15" s="235"/>
      <c r="BE15" s="236"/>
      <c r="BF15" s="236"/>
      <c r="BG15" s="236"/>
      <c r="BH15" s="236" t="e">
        <f t="shared" si="8"/>
        <v>#DIV/0!</v>
      </c>
      <c r="BI15" s="235"/>
      <c r="BJ15" s="236"/>
      <c r="BK15" s="236"/>
      <c r="BL15" s="236"/>
      <c r="BM15" s="236" t="e">
        <f t="shared" si="9"/>
        <v>#DIV/0!</v>
      </c>
      <c r="BN15" s="235"/>
      <c r="BO15" s="236"/>
      <c r="BP15" s="236"/>
      <c r="BQ15" s="236"/>
      <c r="BR15" s="236" t="e">
        <f t="shared" si="10"/>
        <v>#DIV/0!</v>
      </c>
      <c r="BS15" s="235"/>
      <c r="BT15" s="236"/>
      <c r="BU15" s="236"/>
      <c r="BV15" s="236"/>
      <c r="BW15" s="236" t="e">
        <f t="shared" si="11"/>
        <v>#DIV/0!</v>
      </c>
      <c r="BX15" s="235"/>
      <c r="BY15" s="236"/>
      <c r="BZ15" s="236"/>
      <c r="CA15" s="236"/>
      <c r="CB15" s="236" t="e">
        <f t="shared" si="12"/>
        <v>#DIV/0!</v>
      </c>
      <c r="CC15" s="235"/>
      <c r="CD15" s="236"/>
      <c r="CE15" s="236"/>
      <c r="CF15" s="236"/>
      <c r="CG15" s="236" t="e">
        <f t="shared" si="13"/>
        <v>#DIV/0!</v>
      </c>
      <c r="CH15" s="235"/>
      <c r="CI15" s="236"/>
      <c r="CJ15" s="236"/>
      <c r="CK15" s="236"/>
      <c r="CL15" s="236" t="e">
        <f t="shared" si="14"/>
        <v>#DIV/0!</v>
      </c>
      <c r="CM15" s="235"/>
      <c r="CN15" s="236"/>
      <c r="CO15" s="236"/>
      <c r="CP15" s="236"/>
      <c r="CQ15" s="236" t="e">
        <f t="shared" si="15"/>
        <v>#DIV/0!</v>
      </c>
      <c r="CR15" s="235"/>
      <c r="CS15" s="236"/>
      <c r="CT15" s="236"/>
      <c r="CU15" s="236"/>
      <c r="CV15" s="236" t="e">
        <f t="shared" si="16"/>
        <v>#DIV/0!</v>
      </c>
      <c r="CW15" s="235"/>
      <c r="CX15" s="236"/>
      <c r="CY15" s="236"/>
      <c r="CZ15" s="236"/>
      <c r="DA15" s="236" t="e">
        <f t="shared" si="17"/>
        <v>#DIV/0!</v>
      </c>
      <c r="DB15" s="235"/>
      <c r="DC15" s="236"/>
      <c r="DD15" s="236"/>
      <c r="DE15" s="236"/>
      <c r="DF15" s="236" t="e">
        <f t="shared" si="18"/>
        <v>#DIV/0!</v>
      </c>
      <c r="DG15" s="235"/>
      <c r="DH15" s="236"/>
      <c r="DI15" s="236"/>
      <c r="DJ15" s="236"/>
      <c r="DK15" s="236" t="e">
        <f t="shared" si="19"/>
        <v>#DIV/0!</v>
      </c>
      <c r="DL15" s="235"/>
      <c r="DM15" s="236"/>
      <c r="DN15" s="236"/>
      <c r="DO15" s="236"/>
      <c r="DP15" s="236" t="e">
        <f t="shared" si="20"/>
        <v>#DIV/0!</v>
      </c>
      <c r="DQ15" s="235"/>
      <c r="DR15" s="236"/>
      <c r="DS15" s="236"/>
      <c r="DT15" s="236"/>
      <c r="DU15" s="236" t="e">
        <f t="shared" si="21"/>
        <v>#DIV/0!</v>
      </c>
      <c r="DV15" s="235"/>
      <c r="DW15" s="236"/>
      <c r="DX15" s="236"/>
      <c r="DY15" s="236"/>
      <c r="DZ15" s="236" t="e">
        <f t="shared" si="22"/>
        <v>#DIV/0!</v>
      </c>
      <c r="EA15" s="235"/>
      <c r="EB15" s="236"/>
      <c r="EC15" s="236"/>
      <c r="ED15" s="236"/>
      <c r="EE15" s="236" t="e">
        <f t="shared" si="23"/>
        <v>#DIV/0!</v>
      </c>
      <c r="EF15" s="235"/>
      <c r="EG15" s="236"/>
      <c r="EH15" s="236"/>
      <c r="EI15" s="236"/>
      <c r="EJ15" s="236" t="e">
        <f t="shared" si="24"/>
        <v>#DIV/0!</v>
      </c>
      <c r="EK15" s="235"/>
      <c r="EL15" s="236"/>
      <c r="EM15" s="236"/>
      <c r="EN15" s="236"/>
      <c r="EO15" s="236" t="e">
        <f t="shared" si="25"/>
        <v>#DIV/0!</v>
      </c>
      <c r="EP15" s="235"/>
      <c r="EQ15" s="236"/>
      <c r="ER15" s="236"/>
      <c r="ES15" s="236"/>
      <c r="ET15" s="236" t="e">
        <f t="shared" si="26"/>
        <v>#DIV/0!</v>
      </c>
      <c r="EU15" s="235"/>
      <c r="EV15" s="236"/>
      <c r="EW15" s="236"/>
      <c r="EX15" s="236"/>
      <c r="EY15" s="236" t="e">
        <f t="shared" si="27"/>
        <v>#DIV/0!</v>
      </c>
      <c r="EZ15" s="235"/>
      <c r="FA15" s="236"/>
      <c r="FB15" s="236"/>
      <c r="FC15" s="236"/>
      <c r="FD15" s="236" t="e">
        <f t="shared" si="28"/>
        <v>#DIV/0!</v>
      </c>
      <c r="FE15" s="288">
        <f t="shared" si="30"/>
        <v>0</v>
      </c>
      <c r="FF15" s="236"/>
      <c r="FG15" s="289">
        <f t="shared" si="31"/>
        <v>0</v>
      </c>
      <c r="FH15" s="289">
        <f t="shared" si="29"/>
        <v>0</v>
      </c>
      <c r="FI15" s="290" t="e">
        <f t="shared" si="32"/>
        <v>#DIV/0!</v>
      </c>
      <c r="FJ15" s="254">
        <f t="shared" si="35"/>
        <v>0</v>
      </c>
      <c r="FK15" s="295"/>
      <c r="FL15" s="296"/>
      <c r="FM15" s="324"/>
      <c r="FN15" s="322"/>
    </row>
    <row r="16" s="211" customFormat="1" ht="27" customHeight="1" spans="1:169">
      <c r="A16" s="240">
        <v>3</v>
      </c>
      <c r="B16" s="241" t="s">
        <v>53</v>
      </c>
      <c r="C16" s="242"/>
      <c r="D16" s="233" t="s">
        <v>8</v>
      </c>
      <c r="E16" s="243">
        <v>0.4</v>
      </c>
      <c r="F16" s="244"/>
      <c r="G16" s="244"/>
      <c r="H16" s="245"/>
      <c r="I16" s="245"/>
      <c r="J16" s="282" t="e">
        <f t="shared" si="0"/>
        <v>#DIV/0!</v>
      </c>
      <c r="K16" s="244"/>
      <c r="L16" s="244"/>
      <c r="M16" s="245"/>
      <c r="N16" s="245"/>
      <c r="O16" s="245" t="e">
        <f t="shared" si="1"/>
        <v>#DIV/0!</v>
      </c>
      <c r="P16" s="244"/>
      <c r="Q16" s="244"/>
      <c r="R16" s="245"/>
      <c r="S16" s="245"/>
      <c r="T16" s="245" t="e">
        <f t="shared" si="2"/>
        <v>#DIV/0!</v>
      </c>
      <c r="U16" s="244"/>
      <c r="V16" s="244"/>
      <c r="W16" s="245"/>
      <c r="X16" s="245"/>
      <c r="Y16" s="245" t="e">
        <f t="shared" si="3"/>
        <v>#DIV/0!</v>
      </c>
      <c r="Z16" s="244"/>
      <c r="AA16" s="244"/>
      <c r="AB16" s="245"/>
      <c r="AC16" s="245"/>
      <c r="AD16" s="245" t="e">
        <f t="shared" si="33"/>
        <v>#DIV/0!</v>
      </c>
      <c r="AE16" s="244"/>
      <c r="AF16" s="244"/>
      <c r="AG16" s="245"/>
      <c r="AH16" s="245"/>
      <c r="AI16" s="245" t="e">
        <f t="shared" si="4"/>
        <v>#DIV/0!</v>
      </c>
      <c r="AJ16" s="244"/>
      <c r="AK16" s="244"/>
      <c r="AL16" s="245"/>
      <c r="AM16" s="245"/>
      <c r="AN16" s="245" t="e">
        <f t="shared" si="5"/>
        <v>#DIV/0!</v>
      </c>
      <c r="AO16" s="244"/>
      <c r="AP16" s="244"/>
      <c r="AQ16" s="245"/>
      <c r="AR16" s="245"/>
      <c r="AS16" s="245" t="e">
        <f t="shared" si="6"/>
        <v>#DIV/0!</v>
      </c>
      <c r="AT16" s="244"/>
      <c r="AU16" s="244"/>
      <c r="AV16" s="245"/>
      <c r="AW16" s="245"/>
      <c r="AX16" s="245" t="e">
        <f t="shared" si="34"/>
        <v>#DIV/0!</v>
      </c>
      <c r="AY16" s="244"/>
      <c r="AZ16" s="244"/>
      <c r="BA16" s="245"/>
      <c r="BB16" s="245"/>
      <c r="BC16" s="245" t="e">
        <f t="shared" si="7"/>
        <v>#DIV/0!</v>
      </c>
      <c r="BD16" s="244"/>
      <c r="BE16" s="244"/>
      <c r="BF16" s="245"/>
      <c r="BG16" s="245"/>
      <c r="BH16" s="245" t="e">
        <f t="shared" si="8"/>
        <v>#DIV/0!</v>
      </c>
      <c r="BI16" s="244"/>
      <c r="BJ16" s="244"/>
      <c r="BK16" s="245"/>
      <c r="BL16" s="245"/>
      <c r="BM16" s="245" t="e">
        <f t="shared" si="9"/>
        <v>#DIV/0!</v>
      </c>
      <c r="BN16" s="244"/>
      <c r="BO16" s="244"/>
      <c r="BP16" s="245"/>
      <c r="BQ16" s="245"/>
      <c r="BR16" s="245" t="e">
        <f t="shared" si="10"/>
        <v>#DIV/0!</v>
      </c>
      <c r="BS16" s="244"/>
      <c r="BT16" s="244"/>
      <c r="BU16" s="245"/>
      <c r="BV16" s="245"/>
      <c r="BW16" s="245" t="e">
        <f t="shared" si="11"/>
        <v>#DIV/0!</v>
      </c>
      <c r="BX16" s="244"/>
      <c r="BY16" s="244"/>
      <c r="BZ16" s="245"/>
      <c r="CA16" s="245"/>
      <c r="CB16" s="245" t="e">
        <f t="shared" si="12"/>
        <v>#DIV/0!</v>
      </c>
      <c r="CC16" s="244"/>
      <c r="CD16" s="244"/>
      <c r="CE16" s="245"/>
      <c r="CF16" s="245"/>
      <c r="CG16" s="245" t="e">
        <f t="shared" si="13"/>
        <v>#DIV/0!</v>
      </c>
      <c r="CH16" s="244"/>
      <c r="CI16" s="244"/>
      <c r="CJ16" s="245"/>
      <c r="CK16" s="245"/>
      <c r="CL16" s="245" t="e">
        <f t="shared" si="14"/>
        <v>#DIV/0!</v>
      </c>
      <c r="CM16" s="244"/>
      <c r="CN16" s="244"/>
      <c r="CO16" s="245"/>
      <c r="CP16" s="245"/>
      <c r="CQ16" s="245" t="e">
        <f t="shared" si="15"/>
        <v>#DIV/0!</v>
      </c>
      <c r="CR16" s="244"/>
      <c r="CS16" s="244"/>
      <c r="CT16" s="245"/>
      <c r="CU16" s="245"/>
      <c r="CV16" s="245" t="e">
        <f t="shared" si="16"/>
        <v>#DIV/0!</v>
      </c>
      <c r="CW16" s="244"/>
      <c r="CX16" s="244"/>
      <c r="CY16" s="245">
        <v>30</v>
      </c>
      <c r="CZ16" s="245"/>
      <c r="DA16" s="245">
        <f t="shared" si="17"/>
        <v>1</v>
      </c>
      <c r="DB16" s="244"/>
      <c r="DC16" s="244"/>
      <c r="DD16" s="245"/>
      <c r="DE16" s="245"/>
      <c r="DF16" s="245" t="e">
        <f t="shared" si="18"/>
        <v>#DIV/0!</v>
      </c>
      <c r="DG16" s="244"/>
      <c r="DH16" s="244"/>
      <c r="DI16" s="245"/>
      <c r="DJ16" s="245"/>
      <c r="DK16" s="245" t="e">
        <f t="shared" si="19"/>
        <v>#DIV/0!</v>
      </c>
      <c r="DL16" s="244"/>
      <c r="DM16" s="244"/>
      <c r="DN16" s="245"/>
      <c r="DO16" s="245"/>
      <c r="DP16" s="245" t="e">
        <f t="shared" si="20"/>
        <v>#DIV/0!</v>
      </c>
      <c r="DQ16" s="244"/>
      <c r="DR16" s="244"/>
      <c r="DS16" s="245"/>
      <c r="DT16" s="245"/>
      <c r="DU16" s="245" t="e">
        <f t="shared" si="21"/>
        <v>#DIV/0!</v>
      </c>
      <c r="DV16" s="244"/>
      <c r="DW16" s="244"/>
      <c r="DX16" s="245"/>
      <c r="DY16" s="245"/>
      <c r="DZ16" s="245" t="e">
        <f t="shared" si="22"/>
        <v>#DIV/0!</v>
      </c>
      <c r="EA16" s="244"/>
      <c r="EB16" s="244"/>
      <c r="EC16" s="245"/>
      <c r="ED16" s="245"/>
      <c r="EE16" s="245" t="e">
        <f t="shared" si="23"/>
        <v>#DIV/0!</v>
      </c>
      <c r="EF16" s="244"/>
      <c r="EG16" s="244"/>
      <c r="EH16" s="245"/>
      <c r="EI16" s="245"/>
      <c r="EJ16" s="245" t="e">
        <f t="shared" si="24"/>
        <v>#DIV/0!</v>
      </c>
      <c r="EK16" s="244"/>
      <c r="EL16" s="244"/>
      <c r="EM16" s="245"/>
      <c r="EN16" s="245"/>
      <c r="EO16" s="245" t="e">
        <f t="shared" si="25"/>
        <v>#DIV/0!</v>
      </c>
      <c r="EP16" s="244"/>
      <c r="EQ16" s="244"/>
      <c r="ER16" s="245"/>
      <c r="ES16" s="245"/>
      <c r="ET16" s="245" t="e">
        <f t="shared" si="26"/>
        <v>#DIV/0!</v>
      </c>
      <c r="EU16" s="244"/>
      <c r="EV16" s="244"/>
      <c r="EW16" s="245"/>
      <c r="EX16" s="245"/>
      <c r="EY16" s="245" t="e">
        <f t="shared" si="27"/>
        <v>#DIV/0!</v>
      </c>
      <c r="EZ16" s="244"/>
      <c r="FA16" s="244"/>
      <c r="FB16" s="245"/>
      <c r="FC16" s="245"/>
      <c r="FD16" s="245" t="e">
        <f t="shared" si="28"/>
        <v>#DIV/0!</v>
      </c>
      <c r="FE16" s="297">
        <f t="shared" ref="FE16:FE29" si="36">F16+K16+P16+U16+Z16+AE16+AJ16+AO16+AT16+AY16+BD16+BI16+BN16+BS16+BX16+CC16+CH16+CM16+CR16+CW16+DB16+DG16+DL16+DQ16+DV16+EA16+EF16+EK16+EP16+EU16+EZ16</f>
        <v>0</v>
      </c>
      <c r="FF16" s="245"/>
      <c r="FG16" s="245">
        <f t="shared" ref="FG16:FG25" si="37">FA16+EQ16+EL16+EG16+EB16+DW16+DR16+DM16+DH16+DC16+CX16+CS16+CN16+CI16+CD16+BY16+BT16+BO16+BJ16+BE16+AZ16+AU16+AP16+AK16+AF16+AA16+V16+Q16+L16+G16</f>
        <v>0</v>
      </c>
      <c r="FH16" s="298">
        <f t="shared" si="29"/>
        <v>30</v>
      </c>
      <c r="FI16" s="299" t="e">
        <f t="shared" si="32"/>
        <v>#DIV/0!</v>
      </c>
      <c r="FJ16" s="245">
        <f t="shared" ref="FJ16:FJ26" si="38">FH16*E16</f>
        <v>12</v>
      </c>
      <c r="FK16" s="291">
        <f>FJ16+FJ17+FJ18+FJ19+FJ20+FJ21+FJ22+FJ23+FJ24+FJ25</f>
        <v>683.29</v>
      </c>
      <c r="FL16" s="292">
        <f>(FH16+FH17+FH18+FH19+FH20+FH21+FH22+FH23+FH24+FH25)/(FE16+FE17+FE18+FE19+FE20+FE21+FE22+FE23+FE24+FE25)</f>
        <v>0.744779582366589</v>
      </c>
      <c r="FM16" s="321"/>
    </row>
    <row r="17" s="211" customFormat="1" ht="27" customHeight="1" spans="1:169">
      <c r="A17" s="240"/>
      <c r="B17" s="246"/>
      <c r="C17" s="242"/>
      <c r="D17" s="233" t="s">
        <v>9</v>
      </c>
      <c r="E17" s="247">
        <v>0.133</v>
      </c>
      <c r="F17" s="244"/>
      <c r="G17" s="244"/>
      <c r="H17" s="245"/>
      <c r="I17" s="245"/>
      <c r="J17" s="282" t="e">
        <f t="shared" si="0"/>
        <v>#DIV/0!</v>
      </c>
      <c r="K17" s="244"/>
      <c r="L17" s="244"/>
      <c r="M17" s="245"/>
      <c r="N17" s="245"/>
      <c r="O17" s="245" t="e">
        <f t="shared" si="1"/>
        <v>#DIV/0!</v>
      </c>
      <c r="P17" s="244"/>
      <c r="Q17" s="244"/>
      <c r="R17" s="245"/>
      <c r="S17" s="245"/>
      <c r="T17" s="245" t="e">
        <f t="shared" si="2"/>
        <v>#DIV/0!</v>
      </c>
      <c r="U17" s="244"/>
      <c r="V17" s="244"/>
      <c r="W17" s="245"/>
      <c r="X17" s="245"/>
      <c r="Y17" s="245" t="e">
        <f t="shared" si="3"/>
        <v>#DIV/0!</v>
      </c>
      <c r="Z17" s="244"/>
      <c r="AA17" s="244"/>
      <c r="AB17" s="245"/>
      <c r="AC17" s="245"/>
      <c r="AD17" s="245" t="e">
        <f t="shared" si="33"/>
        <v>#DIV/0!</v>
      </c>
      <c r="AE17" s="244"/>
      <c r="AF17" s="244"/>
      <c r="AG17" s="245"/>
      <c r="AH17" s="245"/>
      <c r="AI17" s="245" t="e">
        <f t="shared" si="4"/>
        <v>#DIV/0!</v>
      </c>
      <c r="AJ17" s="244"/>
      <c r="AK17" s="244"/>
      <c r="AL17" s="245"/>
      <c r="AM17" s="245"/>
      <c r="AN17" s="245" t="e">
        <f t="shared" si="5"/>
        <v>#DIV/0!</v>
      </c>
      <c r="AO17" s="244"/>
      <c r="AP17" s="244"/>
      <c r="AQ17" s="245"/>
      <c r="AR17" s="245"/>
      <c r="AS17" s="245" t="e">
        <f t="shared" si="6"/>
        <v>#DIV/0!</v>
      </c>
      <c r="AT17" s="244"/>
      <c r="AU17" s="244"/>
      <c r="AV17" s="245"/>
      <c r="AW17" s="245"/>
      <c r="AX17" s="245" t="e">
        <f t="shared" si="34"/>
        <v>#DIV/0!</v>
      </c>
      <c r="AY17" s="244"/>
      <c r="AZ17" s="244"/>
      <c r="BA17" s="245"/>
      <c r="BB17" s="245"/>
      <c r="BC17" s="245" t="e">
        <f t="shared" si="7"/>
        <v>#DIV/0!</v>
      </c>
      <c r="BD17" s="244"/>
      <c r="BE17" s="244"/>
      <c r="BF17" s="245"/>
      <c r="BG17" s="245"/>
      <c r="BH17" s="245" t="e">
        <f t="shared" si="8"/>
        <v>#DIV/0!</v>
      </c>
      <c r="BI17" s="244"/>
      <c r="BJ17" s="244"/>
      <c r="BK17" s="245"/>
      <c r="BL17" s="245"/>
      <c r="BM17" s="245" t="e">
        <f t="shared" si="9"/>
        <v>#DIV/0!</v>
      </c>
      <c r="BN17" s="244"/>
      <c r="BO17" s="244"/>
      <c r="BP17" s="245"/>
      <c r="BQ17" s="245"/>
      <c r="BR17" s="245" t="e">
        <f t="shared" si="10"/>
        <v>#DIV/0!</v>
      </c>
      <c r="BS17" s="244"/>
      <c r="BT17" s="244"/>
      <c r="BU17" s="245"/>
      <c r="BV17" s="245"/>
      <c r="BW17" s="245" t="e">
        <f t="shared" si="11"/>
        <v>#DIV/0!</v>
      </c>
      <c r="BX17" s="244"/>
      <c r="BY17" s="244"/>
      <c r="BZ17" s="245"/>
      <c r="CA17" s="245"/>
      <c r="CB17" s="245" t="e">
        <f t="shared" si="12"/>
        <v>#DIV/0!</v>
      </c>
      <c r="CC17" s="244"/>
      <c r="CD17" s="244"/>
      <c r="CE17" s="245"/>
      <c r="CF17" s="245"/>
      <c r="CG17" s="245" t="e">
        <f t="shared" si="13"/>
        <v>#DIV/0!</v>
      </c>
      <c r="CH17" s="244"/>
      <c r="CI17" s="244"/>
      <c r="CJ17" s="245"/>
      <c r="CK17" s="245"/>
      <c r="CL17" s="245" t="e">
        <f t="shared" si="14"/>
        <v>#DIV/0!</v>
      </c>
      <c r="CM17" s="244"/>
      <c r="CN17" s="244"/>
      <c r="CO17" s="245"/>
      <c r="CP17" s="245"/>
      <c r="CQ17" s="245" t="e">
        <f t="shared" si="15"/>
        <v>#DIV/0!</v>
      </c>
      <c r="CR17" s="244"/>
      <c r="CS17" s="244"/>
      <c r="CT17" s="245"/>
      <c r="CU17" s="245"/>
      <c r="CV17" s="245" t="e">
        <f t="shared" si="16"/>
        <v>#DIV/0!</v>
      </c>
      <c r="CW17" s="244"/>
      <c r="CX17" s="244"/>
      <c r="CY17" s="245"/>
      <c r="CZ17" s="245"/>
      <c r="DA17" s="245" t="e">
        <f t="shared" si="17"/>
        <v>#DIV/0!</v>
      </c>
      <c r="DB17" s="244"/>
      <c r="DC17" s="244"/>
      <c r="DD17" s="245"/>
      <c r="DE17" s="245"/>
      <c r="DF17" s="245" t="e">
        <f t="shared" si="18"/>
        <v>#DIV/0!</v>
      </c>
      <c r="DG17" s="244"/>
      <c r="DH17" s="244"/>
      <c r="DI17" s="245"/>
      <c r="DJ17" s="245"/>
      <c r="DK17" s="245" t="e">
        <f t="shared" si="19"/>
        <v>#DIV/0!</v>
      </c>
      <c r="DL17" s="244"/>
      <c r="DM17" s="244"/>
      <c r="DN17" s="245"/>
      <c r="DO17" s="245"/>
      <c r="DP17" s="245" t="e">
        <f t="shared" si="20"/>
        <v>#DIV/0!</v>
      </c>
      <c r="DQ17" s="244"/>
      <c r="DR17" s="244"/>
      <c r="DS17" s="245"/>
      <c r="DT17" s="245"/>
      <c r="DU17" s="245" t="e">
        <f t="shared" si="21"/>
        <v>#DIV/0!</v>
      </c>
      <c r="DV17" s="244"/>
      <c r="DW17" s="244"/>
      <c r="DX17" s="245"/>
      <c r="DY17" s="245"/>
      <c r="DZ17" s="245" t="e">
        <f t="shared" si="22"/>
        <v>#DIV/0!</v>
      </c>
      <c r="EA17" s="244"/>
      <c r="EB17" s="244"/>
      <c r="EC17" s="245"/>
      <c r="ED17" s="245"/>
      <c r="EE17" s="245" t="e">
        <f t="shared" si="23"/>
        <v>#DIV/0!</v>
      </c>
      <c r="EF17" s="244"/>
      <c r="EG17" s="244"/>
      <c r="EH17" s="245"/>
      <c r="EI17" s="245"/>
      <c r="EJ17" s="245" t="e">
        <f t="shared" si="24"/>
        <v>#DIV/0!</v>
      </c>
      <c r="EK17" s="244"/>
      <c r="EL17" s="244"/>
      <c r="EM17" s="245"/>
      <c r="EN17" s="245"/>
      <c r="EO17" s="245" t="e">
        <f t="shared" si="25"/>
        <v>#DIV/0!</v>
      </c>
      <c r="EP17" s="244"/>
      <c r="EQ17" s="244"/>
      <c r="ER17" s="245"/>
      <c r="ES17" s="245"/>
      <c r="ET17" s="245" t="e">
        <f t="shared" si="26"/>
        <v>#DIV/0!</v>
      </c>
      <c r="EU17" s="244"/>
      <c r="EV17" s="244"/>
      <c r="EW17" s="245"/>
      <c r="EX17" s="245"/>
      <c r="EY17" s="245" t="e">
        <f t="shared" si="27"/>
        <v>#DIV/0!</v>
      </c>
      <c r="EZ17" s="244"/>
      <c r="FA17" s="244"/>
      <c r="FB17" s="245"/>
      <c r="FC17" s="245"/>
      <c r="FD17" s="245" t="e">
        <f t="shared" si="28"/>
        <v>#DIV/0!</v>
      </c>
      <c r="FE17" s="297">
        <f t="shared" si="36"/>
        <v>0</v>
      </c>
      <c r="FF17" s="245"/>
      <c r="FG17" s="245">
        <f t="shared" si="37"/>
        <v>0</v>
      </c>
      <c r="FH17" s="298">
        <f t="shared" ref="FH17:FH27" si="39">FB17+EW17+ER17+EM17+EH17+EC17+DX17+DS17+DN17+DI17+DD17+CY17+CT17+CO17+CJ17+CE17+BZ17+BU17+BP17+BK17+BF17+BA17+AV17+AQ17+AL17+AG17+AB17+W17+R17+M17+H17</f>
        <v>0</v>
      </c>
      <c r="FI17" s="299" t="e">
        <f t="shared" si="32"/>
        <v>#DIV/0!</v>
      </c>
      <c r="FJ17" s="245">
        <f t="shared" si="38"/>
        <v>0</v>
      </c>
      <c r="FK17" s="293"/>
      <c r="FL17" s="294"/>
      <c r="FM17" s="323"/>
    </row>
    <row r="18" s="211" customFormat="1" ht="27" customHeight="1" spans="1:169">
      <c r="A18" s="240"/>
      <c r="B18" s="246"/>
      <c r="C18" s="242"/>
      <c r="D18" s="233" t="s">
        <v>10</v>
      </c>
      <c r="E18" s="247">
        <v>0.133</v>
      </c>
      <c r="F18" s="244"/>
      <c r="G18" s="245"/>
      <c r="H18" s="245"/>
      <c r="I18" s="245"/>
      <c r="J18" s="282" t="e">
        <f t="shared" si="0"/>
        <v>#DIV/0!</v>
      </c>
      <c r="K18" s="244"/>
      <c r="L18" s="245"/>
      <c r="M18" s="245"/>
      <c r="N18" s="245"/>
      <c r="O18" s="245" t="e">
        <f t="shared" si="1"/>
        <v>#DIV/0!</v>
      </c>
      <c r="P18" s="244"/>
      <c r="Q18" s="245"/>
      <c r="R18" s="245"/>
      <c r="S18" s="245"/>
      <c r="T18" s="245" t="e">
        <f t="shared" si="2"/>
        <v>#DIV/0!</v>
      </c>
      <c r="U18" s="244"/>
      <c r="V18" s="245"/>
      <c r="W18" s="245"/>
      <c r="X18" s="245"/>
      <c r="Y18" s="245" t="e">
        <f t="shared" si="3"/>
        <v>#DIV/0!</v>
      </c>
      <c r="Z18" s="244"/>
      <c r="AA18" s="245"/>
      <c r="AB18" s="245"/>
      <c r="AC18" s="245"/>
      <c r="AD18" s="245" t="e">
        <f t="shared" ref="AD18:AD27" si="40">AB18/(AB18+AC18)*AB18/(AB18+AC18)</f>
        <v>#DIV/0!</v>
      </c>
      <c r="AE18" s="244"/>
      <c r="AF18" s="245"/>
      <c r="AG18" s="245"/>
      <c r="AH18" s="245"/>
      <c r="AI18" s="245" t="e">
        <f t="shared" si="4"/>
        <v>#DIV/0!</v>
      </c>
      <c r="AJ18" s="244"/>
      <c r="AK18" s="245"/>
      <c r="AL18" s="245"/>
      <c r="AM18" s="245"/>
      <c r="AN18" s="245" t="e">
        <f t="shared" si="5"/>
        <v>#DIV/0!</v>
      </c>
      <c r="AO18" s="244"/>
      <c r="AP18" s="245"/>
      <c r="AQ18" s="245"/>
      <c r="AR18" s="245"/>
      <c r="AS18" s="245" t="e">
        <f t="shared" ref="AS18:AS27" si="41">AQ18/(AQ18+AR18)*AQ18/(AQ18+AR18)</f>
        <v>#DIV/0!</v>
      </c>
      <c r="AT18" s="244"/>
      <c r="AU18" s="245"/>
      <c r="AV18" s="245"/>
      <c r="AW18" s="245"/>
      <c r="AX18" s="245" t="e">
        <f t="shared" ref="AX18:AX25" si="42">AV18/(AV18+AW18)*AV18/(AV18+AW18)</f>
        <v>#DIV/0!</v>
      </c>
      <c r="AY18" s="244"/>
      <c r="AZ18" s="245"/>
      <c r="BA18" s="245"/>
      <c r="BB18" s="245"/>
      <c r="BC18" s="245" t="e">
        <f t="shared" si="7"/>
        <v>#DIV/0!</v>
      </c>
      <c r="BD18" s="244"/>
      <c r="BE18" s="245"/>
      <c r="BF18" s="245"/>
      <c r="BG18" s="245"/>
      <c r="BH18" s="245" t="e">
        <f t="shared" si="8"/>
        <v>#DIV/0!</v>
      </c>
      <c r="BI18" s="244"/>
      <c r="BJ18" s="245"/>
      <c r="BK18" s="245"/>
      <c r="BL18" s="245"/>
      <c r="BM18" s="245" t="e">
        <f t="shared" si="9"/>
        <v>#DIV/0!</v>
      </c>
      <c r="BN18" s="244"/>
      <c r="BO18" s="245"/>
      <c r="BP18" s="245"/>
      <c r="BQ18" s="245"/>
      <c r="BR18" s="245" t="e">
        <f t="shared" si="10"/>
        <v>#DIV/0!</v>
      </c>
      <c r="BS18" s="244"/>
      <c r="BT18" s="245"/>
      <c r="BU18" s="245"/>
      <c r="BV18" s="245"/>
      <c r="BW18" s="245" t="e">
        <f t="shared" si="11"/>
        <v>#DIV/0!</v>
      </c>
      <c r="BX18" s="244"/>
      <c r="BY18" s="245"/>
      <c r="BZ18" s="245"/>
      <c r="CA18" s="245"/>
      <c r="CB18" s="245" t="e">
        <f t="shared" si="12"/>
        <v>#DIV/0!</v>
      </c>
      <c r="CC18" s="244"/>
      <c r="CD18" s="245"/>
      <c r="CE18" s="245"/>
      <c r="CF18" s="245"/>
      <c r="CG18" s="245" t="e">
        <f t="shared" si="13"/>
        <v>#DIV/0!</v>
      </c>
      <c r="CH18" s="244"/>
      <c r="CI18" s="245"/>
      <c r="CJ18" s="245"/>
      <c r="CK18" s="245"/>
      <c r="CL18" s="245" t="e">
        <f t="shared" si="14"/>
        <v>#DIV/0!</v>
      </c>
      <c r="CM18" s="244"/>
      <c r="CN18" s="245"/>
      <c r="CO18" s="245"/>
      <c r="CP18" s="245"/>
      <c r="CQ18" s="245" t="e">
        <f t="shared" si="15"/>
        <v>#DIV/0!</v>
      </c>
      <c r="CR18" s="244"/>
      <c r="CS18" s="245"/>
      <c r="CT18" s="245"/>
      <c r="CU18" s="245"/>
      <c r="CV18" s="245" t="e">
        <f t="shared" si="16"/>
        <v>#DIV/0!</v>
      </c>
      <c r="CW18" s="244"/>
      <c r="CX18" s="245"/>
      <c r="CY18" s="245"/>
      <c r="CZ18" s="245"/>
      <c r="DA18" s="245" t="e">
        <f t="shared" si="17"/>
        <v>#DIV/0!</v>
      </c>
      <c r="DB18" s="244"/>
      <c r="DC18" s="245"/>
      <c r="DD18" s="245"/>
      <c r="DE18" s="245"/>
      <c r="DF18" s="245" t="e">
        <f t="shared" si="18"/>
        <v>#DIV/0!</v>
      </c>
      <c r="DG18" s="244"/>
      <c r="DH18" s="245"/>
      <c r="DI18" s="245"/>
      <c r="DJ18" s="245"/>
      <c r="DK18" s="245" t="e">
        <f t="shared" si="19"/>
        <v>#DIV/0!</v>
      </c>
      <c r="DL18" s="244"/>
      <c r="DM18" s="245"/>
      <c r="DN18" s="245"/>
      <c r="DO18" s="245"/>
      <c r="DP18" s="245" t="e">
        <f t="shared" si="20"/>
        <v>#DIV/0!</v>
      </c>
      <c r="DQ18" s="244"/>
      <c r="DR18" s="245"/>
      <c r="DS18" s="245"/>
      <c r="DT18" s="245"/>
      <c r="DU18" s="245" t="e">
        <f t="shared" si="21"/>
        <v>#DIV/0!</v>
      </c>
      <c r="DV18" s="244"/>
      <c r="DW18" s="245"/>
      <c r="DX18" s="245"/>
      <c r="DY18" s="245"/>
      <c r="DZ18" s="245" t="e">
        <f t="shared" si="22"/>
        <v>#DIV/0!</v>
      </c>
      <c r="EA18" s="244"/>
      <c r="EB18" s="245"/>
      <c r="EC18" s="245"/>
      <c r="ED18" s="245"/>
      <c r="EE18" s="245" t="e">
        <f t="shared" si="23"/>
        <v>#DIV/0!</v>
      </c>
      <c r="EF18" s="244"/>
      <c r="EG18" s="245"/>
      <c r="EH18" s="245"/>
      <c r="EI18" s="245"/>
      <c r="EJ18" s="245" t="e">
        <f t="shared" si="24"/>
        <v>#DIV/0!</v>
      </c>
      <c r="EK18" s="244"/>
      <c r="EL18" s="245"/>
      <c r="EM18" s="245"/>
      <c r="EN18" s="245"/>
      <c r="EO18" s="245" t="e">
        <f t="shared" si="25"/>
        <v>#DIV/0!</v>
      </c>
      <c r="EP18" s="244"/>
      <c r="EQ18" s="245"/>
      <c r="ER18" s="245"/>
      <c r="ES18" s="245"/>
      <c r="ET18" s="245" t="e">
        <f t="shared" si="26"/>
        <v>#DIV/0!</v>
      </c>
      <c r="EU18" s="244"/>
      <c r="EV18" s="245"/>
      <c r="EW18" s="245"/>
      <c r="EX18" s="245"/>
      <c r="EY18" s="245" t="e">
        <f t="shared" si="27"/>
        <v>#DIV/0!</v>
      </c>
      <c r="EZ18" s="244"/>
      <c r="FA18" s="245"/>
      <c r="FB18" s="245"/>
      <c r="FC18" s="245"/>
      <c r="FD18" s="245" t="e">
        <f t="shared" si="28"/>
        <v>#DIV/0!</v>
      </c>
      <c r="FE18" s="297">
        <f t="shared" si="36"/>
        <v>0</v>
      </c>
      <c r="FF18" s="245"/>
      <c r="FG18" s="245">
        <f t="shared" si="37"/>
        <v>0</v>
      </c>
      <c r="FH18" s="298">
        <f t="shared" si="39"/>
        <v>0</v>
      </c>
      <c r="FI18" s="299" t="e">
        <f t="shared" si="32"/>
        <v>#DIV/0!</v>
      </c>
      <c r="FJ18" s="245">
        <f t="shared" si="38"/>
        <v>0</v>
      </c>
      <c r="FK18" s="293"/>
      <c r="FL18" s="294"/>
      <c r="FM18" s="323"/>
    </row>
    <row r="19" s="211" customFormat="1" ht="27" customHeight="1" spans="1:169">
      <c r="A19" s="240"/>
      <c r="B19" s="246"/>
      <c r="C19" s="242"/>
      <c r="D19" s="233" t="s">
        <v>11</v>
      </c>
      <c r="E19" s="247">
        <v>0.23</v>
      </c>
      <c r="F19" s="244"/>
      <c r="G19" s="245"/>
      <c r="H19" s="245"/>
      <c r="I19" s="245"/>
      <c r="J19" s="282" t="e">
        <f t="shared" si="0"/>
        <v>#DIV/0!</v>
      </c>
      <c r="K19" s="244"/>
      <c r="L19" s="245"/>
      <c r="M19" s="245"/>
      <c r="N19" s="245"/>
      <c r="O19" s="245" t="e">
        <f t="shared" si="1"/>
        <v>#DIV/0!</v>
      </c>
      <c r="P19" s="244"/>
      <c r="Q19" s="245"/>
      <c r="R19" s="245"/>
      <c r="S19" s="245"/>
      <c r="T19" s="245" t="e">
        <f t="shared" si="2"/>
        <v>#DIV/0!</v>
      </c>
      <c r="U19" s="244"/>
      <c r="V19" s="245"/>
      <c r="W19" s="245"/>
      <c r="X19" s="245"/>
      <c r="Y19" s="245" t="e">
        <f t="shared" si="3"/>
        <v>#DIV/0!</v>
      </c>
      <c r="Z19" s="244">
        <v>337</v>
      </c>
      <c r="AA19" s="245">
        <v>4</v>
      </c>
      <c r="AB19" s="245">
        <v>160</v>
      </c>
      <c r="AC19" s="245"/>
      <c r="AD19" s="245">
        <f t="shared" si="40"/>
        <v>1</v>
      </c>
      <c r="AE19" s="244"/>
      <c r="AF19" s="245"/>
      <c r="AG19" s="245"/>
      <c r="AH19" s="245"/>
      <c r="AI19" s="245" t="e">
        <f t="shared" si="4"/>
        <v>#DIV/0!</v>
      </c>
      <c r="AJ19" s="244"/>
      <c r="AK19" s="245"/>
      <c r="AL19" s="245"/>
      <c r="AM19" s="245"/>
      <c r="AN19" s="245" t="e">
        <f t="shared" si="5"/>
        <v>#DIV/0!</v>
      </c>
      <c r="AO19" s="244"/>
      <c r="AP19" s="245"/>
      <c r="AQ19" s="245"/>
      <c r="AR19" s="245"/>
      <c r="AS19" s="245" t="e">
        <f t="shared" si="41"/>
        <v>#DIV/0!</v>
      </c>
      <c r="AT19" s="244"/>
      <c r="AU19" s="245"/>
      <c r="AV19" s="245"/>
      <c r="AW19" s="245"/>
      <c r="AX19" s="245" t="e">
        <f t="shared" si="42"/>
        <v>#DIV/0!</v>
      </c>
      <c r="AY19" s="244"/>
      <c r="AZ19" s="245"/>
      <c r="BA19" s="245"/>
      <c r="BB19" s="245"/>
      <c r="BC19" s="245" t="e">
        <f t="shared" si="7"/>
        <v>#DIV/0!</v>
      </c>
      <c r="BD19" s="244"/>
      <c r="BE19" s="245"/>
      <c r="BF19" s="245"/>
      <c r="BG19" s="245"/>
      <c r="BH19" s="245" t="e">
        <f t="shared" si="8"/>
        <v>#DIV/0!</v>
      </c>
      <c r="BI19" s="244"/>
      <c r="BJ19" s="245"/>
      <c r="BK19" s="245"/>
      <c r="BL19" s="245"/>
      <c r="BM19" s="245" t="e">
        <f t="shared" si="9"/>
        <v>#DIV/0!</v>
      </c>
      <c r="BN19" s="244"/>
      <c r="BO19" s="245"/>
      <c r="BP19" s="245"/>
      <c r="BQ19" s="245"/>
      <c r="BR19" s="245" t="e">
        <f t="shared" si="10"/>
        <v>#DIV/0!</v>
      </c>
      <c r="BS19" s="244"/>
      <c r="BT19" s="245"/>
      <c r="BU19" s="245"/>
      <c r="BV19" s="245"/>
      <c r="BW19" s="245" t="e">
        <f t="shared" si="11"/>
        <v>#DIV/0!</v>
      </c>
      <c r="BX19" s="244"/>
      <c r="BY19" s="245"/>
      <c r="BZ19" s="245"/>
      <c r="CA19" s="245"/>
      <c r="CB19" s="245" t="e">
        <f t="shared" si="12"/>
        <v>#DIV/0!</v>
      </c>
      <c r="CC19" s="244"/>
      <c r="CD19" s="245"/>
      <c r="CE19" s="245"/>
      <c r="CF19" s="245"/>
      <c r="CG19" s="245" t="e">
        <f t="shared" si="13"/>
        <v>#DIV/0!</v>
      </c>
      <c r="CH19" s="244"/>
      <c r="CI19" s="245"/>
      <c r="CJ19" s="245"/>
      <c r="CK19" s="245"/>
      <c r="CL19" s="245" t="e">
        <f t="shared" si="14"/>
        <v>#DIV/0!</v>
      </c>
      <c r="CM19" s="244"/>
      <c r="CN19" s="245"/>
      <c r="CO19" s="245"/>
      <c r="CP19" s="245"/>
      <c r="CQ19" s="245" t="e">
        <f t="shared" si="15"/>
        <v>#DIV/0!</v>
      </c>
      <c r="CR19" s="244"/>
      <c r="CS19" s="245"/>
      <c r="CT19" s="245"/>
      <c r="CU19" s="245"/>
      <c r="CV19" s="245" t="e">
        <f t="shared" si="16"/>
        <v>#DIV/0!</v>
      </c>
      <c r="CW19" s="244"/>
      <c r="CX19" s="245"/>
      <c r="CY19" s="245"/>
      <c r="CZ19" s="245"/>
      <c r="DA19" s="245" t="e">
        <f t="shared" si="17"/>
        <v>#DIV/0!</v>
      </c>
      <c r="DB19" s="244"/>
      <c r="DC19" s="245"/>
      <c r="DD19" s="245"/>
      <c r="DE19" s="245"/>
      <c r="DF19" s="245" t="e">
        <f t="shared" si="18"/>
        <v>#DIV/0!</v>
      </c>
      <c r="DG19" s="244"/>
      <c r="DH19" s="245"/>
      <c r="DI19" s="245"/>
      <c r="DJ19" s="245"/>
      <c r="DK19" s="245" t="e">
        <f t="shared" si="19"/>
        <v>#DIV/0!</v>
      </c>
      <c r="DL19" s="244"/>
      <c r="DM19" s="245"/>
      <c r="DN19" s="245"/>
      <c r="DO19" s="245"/>
      <c r="DP19" s="245" t="e">
        <f t="shared" si="20"/>
        <v>#DIV/0!</v>
      </c>
      <c r="DQ19" s="244"/>
      <c r="DR19" s="245"/>
      <c r="DS19" s="245"/>
      <c r="DT19" s="245"/>
      <c r="DU19" s="245" t="e">
        <f t="shared" si="21"/>
        <v>#DIV/0!</v>
      </c>
      <c r="DV19" s="244"/>
      <c r="DW19" s="245"/>
      <c r="DX19" s="245"/>
      <c r="DY19" s="245"/>
      <c r="DZ19" s="245" t="e">
        <f t="shared" si="22"/>
        <v>#DIV/0!</v>
      </c>
      <c r="EA19" s="244"/>
      <c r="EB19" s="245"/>
      <c r="EC19" s="245"/>
      <c r="ED19" s="245"/>
      <c r="EE19" s="245" t="e">
        <f t="shared" si="23"/>
        <v>#DIV/0!</v>
      </c>
      <c r="EF19" s="244"/>
      <c r="EG19" s="245"/>
      <c r="EH19" s="245"/>
      <c r="EI19" s="245"/>
      <c r="EJ19" s="245" t="e">
        <f t="shared" si="24"/>
        <v>#DIV/0!</v>
      </c>
      <c r="EK19" s="244"/>
      <c r="EL19" s="245"/>
      <c r="EM19" s="245"/>
      <c r="EN19" s="245"/>
      <c r="EO19" s="245" t="e">
        <f t="shared" si="25"/>
        <v>#DIV/0!</v>
      </c>
      <c r="EP19" s="244"/>
      <c r="EQ19" s="245"/>
      <c r="ER19" s="245"/>
      <c r="ES19" s="245"/>
      <c r="ET19" s="245" t="e">
        <f t="shared" si="26"/>
        <v>#DIV/0!</v>
      </c>
      <c r="EU19" s="244"/>
      <c r="EV19" s="245"/>
      <c r="EW19" s="245"/>
      <c r="EX19" s="245"/>
      <c r="EY19" s="245" t="e">
        <f t="shared" si="27"/>
        <v>#DIV/0!</v>
      </c>
      <c r="EZ19" s="244"/>
      <c r="FA19" s="245"/>
      <c r="FB19" s="245"/>
      <c r="FC19" s="245"/>
      <c r="FD19" s="245" t="e">
        <f t="shared" si="28"/>
        <v>#DIV/0!</v>
      </c>
      <c r="FE19" s="297">
        <f t="shared" si="36"/>
        <v>337</v>
      </c>
      <c r="FF19" s="245"/>
      <c r="FG19" s="245">
        <f>FA19+EQ19+EL19+EG19+EB19+DW19+DR19+DM19+DH19+DC19+CX19+CS19+CN19+CI19+CD19+BY19+BT19+BO19+BJ19+BE19+AZ19+AU19+AP19+AK19+AG19+AA19+V19+Q19+L19+G19</f>
        <v>4</v>
      </c>
      <c r="FH19" s="298">
        <f t="shared" si="39"/>
        <v>160</v>
      </c>
      <c r="FI19" s="299">
        <f t="shared" si="32"/>
        <v>0.225413625197017</v>
      </c>
      <c r="FJ19" s="245">
        <f t="shared" si="38"/>
        <v>36.8</v>
      </c>
      <c r="FK19" s="293"/>
      <c r="FL19" s="294"/>
      <c r="FM19" s="323"/>
    </row>
    <row r="20" s="211" customFormat="1" ht="27" customHeight="1" spans="1:169">
      <c r="A20" s="240"/>
      <c r="B20" s="246"/>
      <c r="C20" s="242"/>
      <c r="D20" s="233" t="s">
        <v>12</v>
      </c>
      <c r="E20" s="247">
        <v>0.25</v>
      </c>
      <c r="F20" s="244"/>
      <c r="G20" s="245"/>
      <c r="H20" s="245"/>
      <c r="I20" s="245"/>
      <c r="J20" s="282" t="e">
        <f t="shared" si="0"/>
        <v>#DIV/0!</v>
      </c>
      <c r="K20" s="244"/>
      <c r="L20" s="245"/>
      <c r="M20" s="245"/>
      <c r="N20" s="245"/>
      <c r="O20" s="245" t="e">
        <f t="shared" si="1"/>
        <v>#DIV/0!</v>
      </c>
      <c r="P20" s="244"/>
      <c r="Q20" s="245"/>
      <c r="R20" s="245"/>
      <c r="S20" s="245"/>
      <c r="T20" s="245" t="e">
        <f t="shared" si="2"/>
        <v>#DIV/0!</v>
      </c>
      <c r="U20" s="244"/>
      <c r="V20" s="245"/>
      <c r="W20" s="245"/>
      <c r="X20" s="245"/>
      <c r="Y20" s="245" t="e">
        <f t="shared" si="3"/>
        <v>#DIV/0!</v>
      </c>
      <c r="Z20" s="244">
        <v>278</v>
      </c>
      <c r="AA20" s="245">
        <v>2</v>
      </c>
      <c r="AB20" s="245">
        <v>106</v>
      </c>
      <c r="AC20" s="245"/>
      <c r="AD20" s="245">
        <f t="shared" si="40"/>
        <v>1</v>
      </c>
      <c r="AE20" s="244"/>
      <c r="AF20" s="245"/>
      <c r="AG20" s="245"/>
      <c r="AH20" s="245"/>
      <c r="AI20" s="245" t="e">
        <f t="shared" si="4"/>
        <v>#DIV/0!</v>
      </c>
      <c r="AJ20" s="244"/>
      <c r="AK20" s="245"/>
      <c r="AL20" s="245"/>
      <c r="AM20" s="245"/>
      <c r="AN20" s="245" t="e">
        <f t="shared" si="5"/>
        <v>#DIV/0!</v>
      </c>
      <c r="AO20" s="244"/>
      <c r="AP20" s="245"/>
      <c r="AQ20" s="245"/>
      <c r="AR20" s="245"/>
      <c r="AS20" s="245" t="e">
        <f t="shared" si="41"/>
        <v>#DIV/0!</v>
      </c>
      <c r="AT20" s="244"/>
      <c r="AU20" s="245"/>
      <c r="AV20" s="245"/>
      <c r="AW20" s="245"/>
      <c r="AX20" s="245" t="e">
        <f t="shared" si="42"/>
        <v>#DIV/0!</v>
      </c>
      <c r="AY20" s="244"/>
      <c r="AZ20" s="245"/>
      <c r="BA20" s="245"/>
      <c r="BB20" s="245"/>
      <c r="BC20" s="245" t="e">
        <f t="shared" si="7"/>
        <v>#DIV/0!</v>
      </c>
      <c r="BD20" s="244"/>
      <c r="BE20" s="245"/>
      <c r="BF20" s="245"/>
      <c r="BG20" s="245"/>
      <c r="BH20" s="245" t="e">
        <f t="shared" si="8"/>
        <v>#DIV/0!</v>
      </c>
      <c r="BI20" s="244"/>
      <c r="BJ20" s="245"/>
      <c r="BK20" s="245"/>
      <c r="BL20" s="245"/>
      <c r="BM20" s="245" t="e">
        <f t="shared" si="9"/>
        <v>#DIV/0!</v>
      </c>
      <c r="BN20" s="244"/>
      <c r="BO20" s="245"/>
      <c r="BP20" s="245"/>
      <c r="BQ20" s="245"/>
      <c r="BR20" s="245" t="e">
        <f t="shared" si="10"/>
        <v>#DIV/0!</v>
      </c>
      <c r="BS20" s="244"/>
      <c r="BT20" s="245"/>
      <c r="BU20" s="245"/>
      <c r="BV20" s="245"/>
      <c r="BW20" s="245" t="e">
        <f t="shared" si="11"/>
        <v>#DIV/0!</v>
      </c>
      <c r="BX20" s="244"/>
      <c r="BY20" s="245"/>
      <c r="BZ20" s="245"/>
      <c r="CA20" s="245"/>
      <c r="CB20" s="245" t="e">
        <f t="shared" si="12"/>
        <v>#DIV/0!</v>
      </c>
      <c r="CC20" s="244"/>
      <c r="CD20" s="245"/>
      <c r="CE20" s="245"/>
      <c r="CF20" s="245"/>
      <c r="CG20" s="245" t="e">
        <f t="shared" si="13"/>
        <v>#DIV/0!</v>
      </c>
      <c r="CH20" s="244"/>
      <c r="CI20" s="245"/>
      <c r="CJ20" s="245"/>
      <c r="CK20" s="245"/>
      <c r="CL20" s="245" t="e">
        <f t="shared" si="14"/>
        <v>#DIV/0!</v>
      </c>
      <c r="CM20" s="244"/>
      <c r="CN20" s="245"/>
      <c r="CO20" s="245"/>
      <c r="CP20" s="245"/>
      <c r="CQ20" s="245" t="e">
        <f t="shared" si="15"/>
        <v>#DIV/0!</v>
      </c>
      <c r="CR20" s="244"/>
      <c r="CS20" s="245"/>
      <c r="CT20" s="245"/>
      <c r="CU20" s="245"/>
      <c r="CV20" s="245" t="e">
        <f t="shared" si="16"/>
        <v>#DIV/0!</v>
      </c>
      <c r="CW20" s="244"/>
      <c r="CX20" s="245"/>
      <c r="CY20" s="245"/>
      <c r="CZ20" s="245"/>
      <c r="DA20" s="245" t="e">
        <f t="shared" si="17"/>
        <v>#DIV/0!</v>
      </c>
      <c r="DB20" s="244"/>
      <c r="DC20" s="245"/>
      <c r="DD20" s="245"/>
      <c r="DE20" s="245"/>
      <c r="DF20" s="245" t="e">
        <f t="shared" si="18"/>
        <v>#DIV/0!</v>
      </c>
      <c r="DG20" s="244"/>
      <c r="DH20" s="245"/>
      <c r="DI20" s="245"/>
      <c r="DJ20" s="245"/>
      <c r="DK20" s="245" t="e">
        <f t="shared" si="19"/>
        <v>#DIV/0!</v>
      </c>
      <c r="DL20" s="244"/>
      <c r="DM20" s="245"/>
      <c r="DN20" s="245"/>
      <c r="DO20" s="245"/>
      <c r="DP20" s="245" t="e">
        <f t="shared" si="20"/>
        <v>#DIV/0!</v>
      </c>
      <c r="DQ20" s="244"/>
      <c r="DR20" s="245"/>
      <c r="DS20" s="245"/>
      <c r="DT20" s="245"/>
      <c r="DU20" s="245" t="e">
        <f t="shared" si="21"/>
        <v>#DIV/0!</v>
      </c>
      <c r="DV20" s="244"/>
      <c r="DW20" s="245"/>
      <c r="DX20" s="245"/>
      <c r="DY20" s="245"/>
      <c r="DZ20" s="245" t="e">
        <f t="shared" si="22"/>
        <v>#DIV/0!</v>
      </c>
      <c r="EA20" s="244"/>
      <c r="EB20" s="245"/>
      <c r="EC20" s="245"/>
      <c r="ED20" s="245"/>
      <c r="EE20" s="245" t="e">
        <f t="shared" si="23"/>
        <v>#DIV/0!</v>
      </c>
      <c r="EF20" s="244"/>
      <c r="EG20" s="245"/>
      <c r="EH20" s="245"/>
      <c r="EI20" s="245"/>
      <c r="EJ20" s="245" t="e">
        <f t="shared" si="24"/>
        <v>#DIV/0!</v>
      </c>
      <c r="EK20" s="244"/>
      <c r="EL20" s="245"/>
      <c r="EM20" s="245"/>
      <c r="EN20" s="245"/>
      <c r="EO20" s="245" t="e">
        <f t="shared" si="25"/>
        <v>#DIV/0!</v>
      </c>
      <c r="EP20" s="244"/>
      <c r="EQ20" s="245"/>
      <c r="ER20" s="245"/>
      <c r="ES20" s="245"/>
      <c r="ET20" s="245" t="e">
        <f t="shared" si="26"/>
        <v>#DIV/0!</v>
      </c>
      <c r="EU20" s="244"/>
      <c r="EV20" s="245"/>
      <c r="EW20" s="245"/>
      <c r="EX20" s="245"/>
      <c r="EY20" s="245" t="e">
        <f t="shared" si="27"/>
        <v>#DIV/0!</v>
      </c>
      <c r="EZ20" s="244"/>
      <c r="FA20" s="245"/>
      <c r="FB20" s="245"/>
      <c r="FC20" s="245"/>
      <c r="FD20" s="245" t="e">
        <f t="shared" si="28"/>
        <v>#DIV/0!</v>
      </c>
      <c r="FE20" s="297">
        <f t="shared" si="36"/>
        <v>278</v>
      </c>
      <c r="FF20" s="245"/>
      <c r="FG20" s="245">
        <f t="shared" si="37"/>
        <v>2</v>
      </c>
      <c r="FH20" s="298">
        <f t="shared" si="39"/>
        <v>106</v>
      </c>
      <c r="FI20" s="299">
        <f t="shared" si="32"/>
        <v>0.145385849593706</v>
      </c>
      <c r="FJ20" s="245">
        <f t="shared" si="38"/>
        <v>26.5</v>
      </c>
      <c r="FK20" s="293"/>
      <c r="FL20" s="294"/>
      <c r="FM20" s="323"/>
    </row>
    <row r="21" s="211" customFormat="1" ht="27" customHeight="1" spans="1:169">
      <c r="A21" s="240"/>
      <c r="B21" s="246"/>
      <c r="C21" s="242"/>
      <c r="D21" s="233" t="s">
        <v>13</v>
      </c>
      <c r="E21" s="247">
        <v>0.67</v>
      </c>
      <c r="F21" s="244"/>
      <c r="G21" s="245"/>
      <c r="H21" s="245"/>
      <c r="I21" s="245"/>
      <c r="J21" s="282" t="e">
        <f t="shared" si="0"/>
        <v>#DIV/0!</v>
      </c>
      <c r="K21" s="244"/>
      <c r="L21" s="245"/>
      <c r="M21" s="245"/>
      <c r="N21" s="245"/>
      <c r="O21" s="245" t="e">
        <f t="shared" si="1"/>
        <v>#DIV/0!</v>
      </c>
      <c r="P21" s="244"/>
      <c r="Q21" s="245"/>
      <c r="R21" s="245"/>
      <c r="S21" s="245"/>
      <c r="T21" s="245" t="e">
        <f t="shared" si="2"/>
        <v>#DIV/0!</v>
      </c>
      <c r="U21" s="244"/>
      <c r="V21" s="245"/>
      <c r="W21" s="245"/>
      <c r="X21" s="245"/>
      <c r="Y21" s="245" t="e">
        <f t="shared" si="3"/>
        <v>#DIV/0!</v>
      </c>
      <c r="Z21" s="244"/>
      <c r="AA21" s="245"/>
      <c r="AB21" s="245"/>
      <c r="AC21" s="245"/>
      <c r="AD21" s="245" t="e">
        <f t="shared" si="40"/>
        <v>#DIV/0!</v>
      </c>
      <c r="AE21" s="244"/>
      <c r="AF21" s="245"/>
      <c r="AG21" s="245"/>
      <c r="AH21" s="245"/>
      <c r="AI21" s="245" t="e">
        <f t="shared" si="4"/>
        <v>#DIV/0!</v>
      </c>
      <c r="AJ21" s="244"/>
      <c r="AK21" s="245"/>
      <c r="AL21" s="245"/>
      <c r="AM21" s="245"/>
      <c r="AN21" s="245" t="e">
        <f t="shared" si="5"/>
        <v>#DIV/0!</v>
      </c>
      <c r="AO21" s="244"/>
      <c r="AP21" s="245"/>
      <c r="AQ21" s="245"/>
      <c r="AR21" s="245"/>
      <c r="AS21" s="245" t="e">
        <f t="shared" si="41"/>
        <v>#DIV/0!</v>
      </c>
      <c r="AT21" s="244"/>
      <c r="AU21" s="245"/>
      <c r="AV21" s="245"/>
      <c r="AW21" s="245"/>
      <c r="AX21" s="245" t="e">
        <f t="shared" si="42"/>
        <v>#DIV/0!</v>
      </c>
      <c r="AY21" s="244"/>
      <c r="AZ21" s="245"/>
      <c r="BA21" s="245"/>
      <c r="BB21" s="245"/>
      <c r="BC21" s="245" t="e">
        <f t="shared" si="7"/>
        <v>#DIV/0!</v>
      </c>
      <c r="BD21" s="244"/>
      <c r="BE21" s="245"/>
      <c r="BF21" s="245"/>
      <c r="BG21" s="245"/>
      <c r="BH21" s="245" t="e">
        <f t="shared" si="8"/>
        <v>#DIV/0!</v>
      </c>
      <c r="BI21" s="244"/>
      <c r="BJ21" s="245"/>
      <c r="BK21" s="245"/>
      <c r="BL21" s="245"/>
      <c r="BM21" s="245" t="e">
        <f t="shared" si="9"/>
        <v>#DIV/0!</v>
      </c>
      <c r="BN21" s="244"/>
      <c r="BO21" s="245"/>
      <c r="BP21" s="245"/>
      <c r="BQ21" s="245"/>
      <c r="BR21" s="245" t="e">
        <f t="shared" si="10"/>
        <v>#DIV/0!</v>
      </c>
      <c r="BS21" s="244"/>
      <c r="BT21" s="245"/>
      <c r="BU21" s="245"/>
      <c r="BV21" s="245"/>
      <c r="BW21" s="245" t="e">
        <f t="shared" si="11"/>
        <v>#DIV/0!</v>
      </c>
      <c r="BX21" s="244"/>
      <c r="BY21" s="245"/>
      <c r="BZ21" s="245"/>
      <c r="CA21" s="245"/>
      <c r="CB21" s="245" t="e">
        <f t="shared" si="12"/>
        <v>#DIV/0!</v>
      </c>
      <c r="CC21" s="244"/>
      <c r="CD21" s="245"/>
      <c r="CE21" s="245"/>
      <c r="CF21" s="245"/>
      <c r="CG21" s="245" t="e">
        <f t="shared" si="13"/>
        <v>#DIV/0!</v>
      </c>
      <c r="CH21" s="244"/>
      <c r="CI21" s="245"/>
      <c r="CJ21" s="245"/>
      <c r="CK21" s="245"/>
      <c r="CL21" s="245" t="e">
        <f t="shared" si="14"/>
        <v>#DIV/0!</v>
      </c>
      <c r="CM21" s="244"/>
      <c r="CN21" s="245"/>
      <c r="CO21" s="245"/>
      <c r="CP21" s="245"/>
      <c r="CQ21" s="245" t="e">
        <f t="shared" si="15"/>
        <v>#DIV/0!</v>
      </c>
      <c r="CR21" s="244"/>
      <c r="CS21" s="245"/>
      <c r="CT21" s="245"/>
      <c r="CU21" s="245"/>
      <c r="CV21" s="245" t="e">
        <f t="shared" si="16"/>
        <v>#DIV/0!</v>
      </c>
      <c r="CW21" s="244"/>
      <c r="CX21" s="245"/>
      <c r="CY21" s="245"/>
      <c r="CZ21" s="245"/>
      <c r="DA21" s="245" t="e">
        <f t="shared" si="17"/>
        <v>#DIV/0!</v>
      </c>
      <c r="DB21" s="244"/>
      <c r="DC21" s="245"/>
      <c r="DD21" s="245"/>
      <c r="DE21" s="245"/>
      <c r="DF21" s="245" t="e">
        <f t="shared" si="18"/>
        <v>#DIV/0!</v>
      </c>
      <c r="DG21" s="244"/>
      <c r="DH21" s="245"/>
      <c r="DI21" s="245"/>
      <c r="DJ21" s="245"/>
      <c r="DK21" s="245" t="e">
        <f t="shared" si="19"/>
        <v>#DIV/0!</v>
      </c>
      <c r="DL21" s="244"/>
      <c r="DM21" s="245"/>
      <c r="DN21" s="245"/>
      <c r="DO21" s="245"/>
      <c r="DP21" s="245" t="e">
        <f t="shared" si="20"/>
        <v>#DIV/0!</v>
      </c>
      <c r="DQ21" s="244"/>
      <c r="DR21" s="245"/>
      <c r="DS21" s="245"/>
      <c r="DT21" s="245"/>
      <c r="DU21" s="245" t="e">
        <f t="shared" si="21"/>
        <v>#DIV/0!</v>
      </c>
      <c r="DV21" s="244"/>
      <c r="DW21" s="245"/>
      <c r="DX21" s="245"/>
      <c r="DY21" s="245"/>
      <c r="DZ21" s="245" t="e">
        <f t="shared" si="22"/>
        <v>#DIV/0!</v>
      </c>
      <c r="EA21" s="244"/>
      <c r="EB21" s="245"/>
      <c r="EC21" s="245"/>
      <c r="ED21" s="245"/>
      <c r="EE21" s="245" t="e">
        <f t="shared" si="23"/>
        <v>#DIV/0!</v>
      </c>
      <c r="EF21" s="244"/>
      <c r="EG21" s="245"/>
      <c r="EH21" s="245"/>
      <c r="EI21" s="245"/>
      <c r="EJ21" s="245" t="e">
        <f t="shared" si="24"/>
        <v>#DIV/0!</v>
      </c>
      <c r="EK21" s="244"/>
      <c r="EL21" s="245"/>
      <c r="EM21" s="245"/>
      <c r="EN21" s="245"/>
      <c r="EO21" s="245" t="e">
        <f t="shared" si="25"/>
        <v>#DIV/0!</v>
      </c>
      <c r="EP21" s="244"/>
      <c r="EQ21" s="245"/>
      <c r="ER21" s="245"/>
      <c r="ES21" s="245"/>
      <c r="ET21" s="245" t="e">
        <f t="shared" si="26"/>
        <v>#DIV/0!</v>
      </c>
      <c r="EU21" s="244"/>
      <c r="EV21" s="245"/>
      <c r="EW21" s="245"/>
      <c r="EX21" s="245"/>
      <c r="EY21" s="245" t="e">
        <f t="shared" si="27"/>
        <v>#DIV/0!</v>
      </c>
      <c r="EZ21" s="244"/>
      <c r="FA21" s="245"/>
      <c r="FB21" s="245"/>
      <c r="FC21" s="245"/>
      <c r="FD21" s="245" t="e">
        <f t="shared" si="28"/>
        <v>#DIV/0!</v>
      </c>
      <c r="FE21" s="297">
        <f t="shared" si="36"/>
        <v>0</v>
      </c>
      <c r="FF21" s="245"/>
      <c r="FG21" s="245">
        <f t="shared" si="37"/>
        <v>0</v>
      </c>
      <c r="FH21" s="298">
        <f t="shared" si="39"/>
        <v>0</v>
      </c>
      <c r="FI21" s="299" t="e">
        <f t="shared" si="32"/>
        <v>#DIV/0!</v>
      </c>
      <c r="FJ21" s="245">
        <f t="shared" si="38"/>
        <v>0</v>
      </c>
      <c r="FK21" s="293"/>
      <c r="FL21" s="294"/>
      <c r="FM21" s="323"/>
    </row>
    <row r="22" s="211" customFormat="1" ht="27" customHeight="1" spans="1:169">
      <c r="A22" s="240"/>
      <c r="B22" s="246"/>
      <c r="C22" s="242"/>
      <c r="D22" s="233" t="s">
        <v>14</v>
      </c>
      <c r="E22" s="247">
        <v>0.373</v>
      </c>
      <c r="F22" s="244"/>
      <c r="G22" s="245"/>
      <c r="H22" s="245"/>
      <c r="I22" s="245"/>
      <c r="J22" s="282" t="e">
        <f t="shared" si="0"/>
        <v>#DIV/0!</v>
      </c>
      <c r="K22" s="244"/>
      <c r="L22" s="245"/>
      <c r="M22" s="245"/>
      <c r="N22" s="245"/>
      <c r="O22" s="245" t="e">
        <f t="shared" si="1"/>
        <v>#DIV/0!</v>
      </c>
      <c r="P22" s="244"/>
      <c r="Q22" s="245"/>
      <c r="R22" s="245"/>
      <c r="S22" s="245"/>
      <c r="T22" s="245" t="e">
        <f t="shared" si="2"/>
        <v>#DIV/0!</v>
      </c>
      <c r="U22" s="244"/>
      <c r="V22" s="245"/>
      <c r="W22" s="245"/>
      <c r="X22" s="245"/>
      <c r="Y22" s="245" t="e">
        <f t="shared" si="3"/>
        <v>#DIV/0!</v>
      </c>
      <c r="Z22" s="244"/>
      <c r="AA22" s="245"/>
      <c r="AB22" s="245"/>
      <c r="AC22" s="245"/>
      <c r="AD22" s="245" t="e">
        <f t="shared" si="40"/>
        <v>#DIV/0!</v>
      </c>
      <c r="AE22" s="244"/>
      <c r="AF22" s="245"/>
      <c r="AG22" s="245"/>
      <c r="AH22" s="245"/>
      <c r="AI22" s="245" t="e">
        <f t="shared" si="4"/>
        <v>#DIV/0!</v>
      </c>
      <c r="AJ22" s="244"/>
      <c r="AK22" s="245"/>
      <c r="AL22" s="245"/>
      <c r="AM22" s="245"/>
      <c r="AN22" s="245" t="e">
        <f t="shared" si="5"/>
        <v>#DIV/0!</v>
      </c>
      <c r="AO22" s="244"/>
      <c r="AP22" s="245"/>
      <c r="AQ22" s="245"/>
      <c r="AR22" s="245"/>
      <c r="AS22" s="245" t="e">
        <f t="shared" si="41"/>
        <v>#DIV/0!</v>
      </c>
      <c r="AT22" s="244"/>
      <c r="AU22" s="245"/>
      <c r="AV22" s="245"/>
      <c r="AW22" s="245"/>
      <c r="AX22" s="245" t="e">
        <f t="shared" si="42"/>
        <v>#DIV/0!</v>
      </c>
      <c r="AY22" s="244"/>
      <c r="AZ22" s="245"/>
      <c r="BA22" s="245"/>
      <c r="BB22" s="245"/>
      <c r="BC22" s="245" t="e">
        <f t="shared" si="7"/>
        <v>#DIV/0!</v>
      </c>
      <c r="BD22" s="244"/>
      <c r="BE22" s="245"/>
      <c r="BF22" s="245"/>
      <c r="BG22" s="245"/>
      <c r="BH22" s="245" t="e">
        <f t="shared" si="8"/>
        <v>#DIV/0!</v>
      </c>
      <c r="BI22" s="244"/>
      <c r="BJ22" s="245"/>
      <c r="BK22" s="245"/>
      <c r="BL22" s="245"/>
      <c r="BM22" s="245" t="e">
        <f t="shared" si="9"/>
        <v>#DIV/0!</v>
      </c>
      <c r="BN22" s="244"/>
      <c r="BO22" s="245"/>
      <c r="BP22" s="245"/>
      <c r="BQ22" s="245"/>
      <c r="BR22" s="245" t="e">
        <f t="shared" si="10"/>
        <v>#DIV/0!</v>
      </c>
      <c r="BS22" s="244"/>
      <c r="BT22" s="245"/>
      <c r="BU22" s="245"/>
      <c r="BV22" s="245"/>
      <c r="BW22" s="245" t="e">
        <f t="shared" si="11"/>
        <v>#DIV/0!</v>
      </c>
      <c r="BX22" s="244"/>
      <c r="BY22" s="245"/>
      <c r="BZ22" s="245"/>
      <c r="CA22" s="245"/>
      <c r="CB22" s="245" t="e">
        <f t="shared" si="12"/>
        <v>#DIV/0!</v>
      </c>
      <c r="CC22" s="244"/>
      <c r="CD22" s="245"/>
      <c r="CE22" s="245"/>
      <c r="CF22" s="245"/>
      <c r="CG22" s="245" t="e">
        <f t="shared" si="13"/>
        <v>#DIV/0!</v>
      </c>
      <c r="CH22" s="244"/>
      <c r="CI22" s="245"/>
      <c r="CJ22" s="245"/>
      <c r="CK22" s="245"/>
      <c r="CL22" s="245" t="e">
        <f t="shared" si="14"/>
        <v>#DIV/0!</v>
      </c>
      <c r="CM22" s="244"/>
      <c r="CN22" s="245"/>
      <c r="CO22" s="245"/>
      <c r="CP22" s="245"/>
      <c r="CQ22" s="245" t="e">
        <f t="shared" si="15"/>
        <v>#DIV/0!</v>
      </c>
      <c r="CR22" s="244"/>
      <c r="CS22" s="245"/>
      <c r="CT22" s="245"/>
      <c r="CU22" s="245"/>
      <c r="CV22" s="245" t="e">
        <f t="shared" si="16"/>
        <v>#DIV/0!</v>
      </c>
      <c r="CW22" s="244"/>
      <c r="CX22" s="245"/>
      <c r="CY22" s="245"/>
      <c r="CZ22" s="245"/>
      <c r="DA22" s="245" t="e">
        <f t="shared" si="17"/>
        <v>#DIV/0!</v>
      </c>
      <c r="DB22" s="244"/>
      <c r="DC22" s="245"/>
      <c r="DD22" s="245"/>
      <c r="DE22" s="245"/>
      <c r="DF22" s="245" t="e">
        <f t="shared" si="18"/>
        <v>#DIV/0!</v>
      </c>
      <c r="DG22" s="244"/>
      <c r="DH22" s="245"/>
      <c r="DI22" s="245"/>
      <c r="DJ22" s="245"/>
      <c r="DK22" s="245" t="e">
        <f t="shared" si="19"/>
        <v>#DIV/0!</v>
      </c>
      <c r="DL22" s="244"/>
      <c r="DM22" s="245"/>
      <c r="DN22" s="245"/>
      <c r="DO22" s="245"/>
      <c r="DP22" s="245" t="e">
        <f t="shared" si="20"/>
        <v>#DIV/0!</v>
      </c>
      <c r="DQ22" s="244"/>
      <c r="DR22" s="245"/>
      <c r="DS22" s="245"/>
      <c r="DT22" s="245"/>
      <c r="DU22" s="245" t="e">
        <f t="shared" si="21"/>
        <v>#DIV/0!</v>
      </c>
      <c r="DV22" s="244"/>
      <c r="DW22" s="245"/>
      <c r="DX22" s="245"/>
      <c r="DY22" s="245"/>
      <c r="DZ22" s="245" t="e">
        <f t="shared" si="22"/>
        <v>#DIV/0!</v>
      </c>
      <c r="EA22" s="244"/>
      <c r="EB22" s="245"/>
      <c r="EC22" s="245"/>
      <c r="ED22" s="245"/>
      <c r="EE22" s="245" t="e">
        <f t="shared" si="23"/>
        <v>#DIV/0!</v>
      </c>
      <c r="EF22" s="244"/>
      <c r="EG22" s="245"/>
      <c r="EH22" s="245"/>
      <c r="EI22" s="245"/>
      <c r="EJ22" s="245" t="e">
        <f t="shared" si="24"/>
        <v>#DIV/0!</v>
      </c>
      <c r="EK22" s="244"/>
      <c r="EL22" s="245"/>
      <c r="EM22" s="245"/>
      <c r="EN22" s="245"/>
      <c r="EO22" s="245" t="e">
        <f t="shared" si="25"/>
        <v>#DIV/0!</v>
      </c>
      <c r="EP22" s="244"/>
      <c r="EQ22" s="245"/>
      <c r="ER22" s="245"/>
      <c r="ES22" s="245"/>
      <c r="ET22" s="245" t="e">
        <f t="shared" si="26"/>
        <v>#DIV/0!</v>
      </c>
      <c r="EU22" s="244"/>
      <c r="EV22" s="245"/>
      <c r="EW22" s="245"/>
      <c r="EX22" s="245"/>
      <c r="EY22" s="245" t="e">
        <f t="shared" si="27"/>
        <v>#DIV/0!</v>
      </c>
      <c r="EZ22" s="244"/>
      <c r="FA22" s="245"/>
      <c r="FB22" s="245"/>
      <c r="FC22" s="245"/>
      <c r="FD22" s="245" t="e">
        <f t="shared" si="28"/>
        <v>#DIV/0!</v>
      </c>
      <c r="FE22" s="297">
        <f t="shared" si="36"/>
        <v>0</v>
      </c>
      <c r="FF22" s="245"/>
      <c r="FG22" s="245">
        <f t="shared" si="37"/>
        <v>0</v>
      </c>
      <c r="FH22" s="298">
        <f t="shared" si="39"/>
        <v>0</v>
      </c>
      <c r="FI22" s="299" t="e">
        <f t="shared" si="32"/>
        <v>#DIV/0!</v>
      </c>
      <c r="FJ22" s="245">
        <f t="shared" si="38"/>
        <v>0</v>
      </c>
      <c r="FK22" s="293"/>
      <c r="FL22" s="294"/>
      <c r="FM22" s="323"/>
    </row>
    <row r="23" s="211" customFormat="1" ht="27" customHeight="1" spans="1:169">
      <c r="A23" s="240"/>
      <c r="B23" s="246"/>
      <c r="C23" s="242"/>
      <c r="D23" s="233" t="s">
        <v>15</v>
      </c>
      <c r="E23" s="247">
        <v>0.373</v>
      </c>
      <c r="F23" s="244"/>
      <c r="G23" s="245"/>
      <c r="H23" s="245"/>
      <c r="I23" s="245"/>
      <c r="J23" s="282" t="e">
        <f t="shared" si="0"/>
        <v>#DIV/0!</v>
      </c>
      <c r="K23" s="244"/>
      <c r="L23" s="245"/>
      <c r="M23" s="245"/>
      <c r="N23" s="245"/>
      <c r="O23" s="245" t="e">
        <f t="shared" si="1"/>
        <v>#DIV/0!</v>
      </c>
      <c r="P23" s="244"/>
      <c r="Q23" s="245"/>
      <c r="R23" s="245"/>
      <c r="S23" s="245"/>
      <c r="T23" s="245" t="e">
        <f t="shared" si="2"/>
        <v>#DIV/0!</v>
      </c>
      <c r="U23" s="244"/>
      <c r="V23" s="245"/>
      <c r="W23" s="245"/>
      <c r="X23" s="245"/>
      <c r="Y23" s="245" t="e">
        <f t="shared" si="3"/>
        <v>#DIV/0!</v>
      </c>
      <c r="Z23" s="244"/>
      <c r="AA23" s="245"/>
      <c r="AB23" s="245"/>
      <c r="AC23" s="245"/>
      <c r="AD23" s="245" t="e">
        <f t="shared" si="40"/>
        <v>#DIV/0!</v>
      </c>
      <c r="AE23" s="244"/>
      <c r="AF23" s="245"/>
      <c r="AG23" s="245"/>
      <c r="AH23" s="245"/>
      <c r="AI23" s="245" t="e">
        <f t="shared" si="4"/>
        <v>#DIV/0!</v>
      </c>
      <c r="AJ23" s="244"/>
      <c r="AK23" s="245"/>
      <c r="AL23" s="245"/>
      <c r="AM23" s="245"/>
      <c r="AN23" s="245" t="e">
        <f t="shared" si="5"/>
        <v>#DIV/0!</v>
      </c>
      <c r="AO23" s="244"/>
      <c r="AP23" s="245"/>
      <c r="AQ23" s="245"/>
      <c r="AR23" s="245"/>
      <c r="AS23" s="245" t="e">
        <f t="shared" si="41"/>
        <v>#DIV/0!</v>
      </c>
      <c r="AT23" s="244"/>
      <c r="AU23" s="245"/>
      <c r="AV23" s="245"/>
      <c r="AW23" s="245"/>
      <c r="AX23" s="245" t="e">
        <f t="shared" si="42"/>
        <v>#DIV/0!</v>
      </c>
      <c r="AY23" s="244">
        <v>56</v>
      </c>
      <c r="AZ23" s="245">
        <v>1</v>
      </c>
      <c r="BA23" s="245">
        <v>55</v>
      </c>
      <c r="BB23" s="245"/>
      <c r="BC23" s="245">
        <f t="shared" si="7"/>
        <v>1</v>
      </c>
      <c r="BD23" s="244">
        <v>115</v>
      </c>
      <c r="BE23" s="245">
        <v>1</v>
      </c>
      <c r="BF23" s="245">
        <v>89</v>
      </c>
      <c r="BG23" s="245">
        <v>25</v>
      </c>
      <c r="BH23" s="245">
        <f t="shared" si="8"/>
        <v>0.609495229301323</v>
      </c>
      <c r="BI23" s="244">
        <v>108</v>
      </c>
      <c r="BJ23" s="245">
        <v>2</v>
      </c>
      <c r="BK23" s="245">
        <v>76</v>
      </c>
      <c r="BL23" s="245">
        <v>30</v>
      </c>
      <c r="BM23" s="245">
        <f t="shared" si="9"/>
        <v>0.514061943752225</v>
      </c>
      <c r="BN23" s="244">
        <v>116</v>
      </c>
      <c r="BO23" s="245"/>
      <c r="BP23" s="245">
        <v>87</v>
      </c>
      <c r="BQ23" s="245">
        <v>29</v>
      </c>
      <c r="BR23" s="245">
        <f t="shared" si="10"/>
        <v>0.5625</v>
      </c>
      <c r="BS23" s="244">
        <v>132</v>
      </c>
      <c r="BT23" s="245"/>
      <c r="BU23" s="245">
        <v>112</v>
      </c>
      <c r="BV23" s="245">
        <v>20</v>
      </c>
      <c r="BW23" s="245">
        <f t="shared" si="11"/>
        <v>0.719926538108356</v>
      </c>
      <c r="BX23" s="244">
        <v>48</v>
      </c>
      <c r="BY23" s="245">
        <v>2</v>
      </c>
      <c r="BZ23" s="245">
        <v>46</v>
      </c>
      <c r="CA23" s="245"/>
      <c r="CB23" s="245">
        <f t="shared" si="12"/>
        <v>1</v>
      </c>
      <c r="CC23" s="244">
        <v>89</v>
      </c>
      <c r="CD23" s="245">
        <v>2</v>
      </c>
      <c r="CE23" s="245">
        <v>72</v>
      </c>
      <c r="CF23" s="245">
        <v>15</v>
      </c>
      <c r="CG23" s="245">
        <f t="shared" si="13"/>
        <v>0.684898929845422</v>
      </c>
      <c r="CH23" s="244">
        <v>107</v>
      </c>
      <c r="CI23" s="211">
        <v>2</v>
      </c>
      <c r="CJ23" s="245">
        <v>80</v>
      </c>
      <c r="CK23" s="245">
        <v>25</v>
      </c>
      <c r="CL23" s="245" t="e">
        <f>#REF!/(#REF!+CK23)*#REF!/(#REF!+CK23)</f>
        <v>#REF!</v>
      </c>
      <c r="CM23" s="244">
        <v>133</v>
      </c>
      <c r="CN23" s="245"/>
      <c r="CO23" s="245">
        <v>113</v>
      </c>
      <c r="CP23" s="245">
        <v>20</v>
      </c>
      <c r="CQ23" s="245">
        <f t="shared" si="15"/>
        <v>0.72186104358641</v>
      </c>
      <c r="CR23" s="244">
        <v>76</v>
      </c>
      <c r="CS23" s="245">
        <v>1</v>
      </c>
      <c r="CT23" s="245">
        <v>75</v>
      </c>
      <c r="CU23" s="245"/>
      <c r="CV23" s="245">
        <f t="shared" si="16"/>
        <v>1</v>
      </c>
      <c r="CW23" s="244"/>
      <c r="CX23" s="245"/>
      <c r="CY23" s="245">
        <v>13</v>
      </c>
      <c r="CZ23" s="245"/>
      <c r="DA23" s="245">
        <f t="shared" si="17"/>
        <v>1</v>
      </c>
      <c r="DB23" s="244"/>
      <c r="DC23" s="245"/>
      <c r="DD23" s="245"/>
      <c r="DE23" s="245"/>
      <c r="DF23" s="245" t="e">
        <f t="shared" si="18"/>
        <v>#DIV/0!</v>
      </c>
      <c r="DG23" s="244"/>
      <c r="DH23" s="245"/>
      <c r="DI23" s="245"/>
      <c r="DJ23" s="245"/>
      <c r="DK23" s="245" t="e">
        <f t="shared" si="19"/>
        <v>#DIV/0!</v>
      </c>
      <c r="DL23" s="244"/>
      <c r="DM23" s="245"/>
      <c r="DN23" s="245"/>
      <c r="DO23" s="245"/>
      <c r="DP23" s="245" t="e">
        <f t="shared" si="20"/>
        <v>#DIV/0!</v>
      </c>
      <c r="DQ23" s="244"/>
      <c r="DR23" s="245"/>
      <c r="DS23" s="245"/>
      <c r="DT23" s="245"/>
      <c r="DU23" s="245" t="e">
        <f t="shared" si="21"/>
        <v>#DIV/0!</v>
      </c>
      <c r="DV23" s="244"/>
      <c r="DW23" s="245"/>
      <c r="DX23" s="245"/>
      <c r="DY23" s="245"/>
      <c r="DZ23" s="245" t="e">
        <f t="shared" si="22"/>
        <v>#DIV/0!</v>
      </c>
      <c r="EA23" s="244"/>
      <c r="EB23" s="245"/>
      <c r="EC23" s="245"/>
      <c r="ED23" s="245"/>
      <c r="EE23" s="245" t="e">
        <f t="shared" si="23"/>
        <v>#DIV/0!</v>
      </c>
      <c r="EF23" s="244"/>
      <c r="EG23" s="245"/>
      <c r="EH23" s="245"/>
      <c r="EI23" s="245"/>
      <c r="EJ23" s="245" t="e">
        <f t="shared" si="24"/>
        <v>#DIV/0!</v>
      </c>
      <c r="EK23" s="244"/>
      <c r="EL23" s="245"/>
      <c r="EM23" s="245"/>
      <c r="EN23" s="245"/>
      <c r="EO23" s="245" t="e">
        <f t="shared" si="25"/>
        <v>#DIV/0!</v>
      </c>
      <c r="EP23" s="244"/>
      <c r="EQ23" s="245"/>
      <c r="ER23" s="245"/>
      <c r="ES23" s="245"/>
      <c r="ET23" s="245" t="e">
        <f t="shared" si="26"/>
        <v>#DIV/0!</v>
      </c>
      <c r="EU23" s="244"/>
      <c r="EV23" s="245"/>
      <c r="EW23" s="245"/>
      <c r="EX23" s="245"/>
      <c r="EY23" s="245" t="e">
        <f t="shared" si="27"/>
        <v>#DIV/0!</v>
      </c>
      <c r="EZ23" s="244"/>
      <c r="FA23" s="245"/>
      <c r="FB23" s="245"/>
      <c r="FC23" s="245"/>
      <c r="FD23" s="245" t="e">
        <f t="shared" si="28"/>
        <v>#DIV/0!</v>
      </c>
      <c r="FE23" s="297">
        <f t="shared" si="36"/>
        <v>980</v>
      </c>
      <c r="FF23" s="245"/>
      <c r="FG23" s="245">
        <f>FA23+EQ23+EL23+EG23+EB23+DW23+DR23+DM23+DH23+DC23+CX23+CS23+CN23+CJ23+CD23+BY23+BT23+BO23+BJ23+BE23+AZ23+AU23+AP23+AK23+AF23+AA23+V23+Q23+L23+G23</f>
        <v>89</v>
      </c>
      <c r="FH23" s="298">
        <f t="shared" si="39"/>
        <v>818</v>
      </c>
      <c r="FI23" s="299">
        <f t="shared" si="32"/>
        <v>0.696713869221158</v>
      </c>
      <c r="FJ23" s="245">
        <f t="shared" si="38"/>
        <v>305.114</v>
      </c>
      <c r="FK23" s="293"/>
      <c r="FL23" s="294"/>
      <c r="FM23" s="323"/>
    </row>
    <row r="24" s="211" customFormat="1" ht="27" customHeight="1" spans="1:169">
      <c r="A24" s="240"/>
      <c r="B24" s="246"/>
      <c r="C24" s="242"/>
      <c r="D24" s="233" t="s">
        <v>16</v>
      </c>
      <c r="E24" s="247">
        <v>0.373</v>
      </c>
      <c r="F24" s="244"/>
      <c r="G24" s="245"/>
      <c r="H24" s="245"/>
      <c r="I24" s="245"/>
      <c r="J24" s="282" t="e">
        <f t="shared" si="0"/>
        <v>#DIV/0!</v>
      </c>
      <c r="K24" s="244"/>
      <c r="L24" s="245"/>
      <c r="M24" s="245"/>
      <c r="N24" s="245"/>
      <c r="O24" s="245" t="e">
        <f t="shared" si="1"/>
        <v>#DIV/0!</v>
      </c>
      <c r="P24" s="244"/>
      <c r="Q24" s="245"/>
      <c r="R24" s="245"/>
      <c r="S24" s="245"/>
      <c r="T24" s="245" t="e">
        <f t="shared" si="2"/>
        <v>#DIV/0!</v>
      </c>
      <c r="U24" s="244"/>
      <c r="V24" s="245"/>
      <c r="W24" s="245"/>
      <c r="X24" s="245"/>
      <c r="Y24" s="245" t="e">
        <f t="shared" si="3"/>
        <v>#DIV/0!</v>
      </c>
      <c r="Z24" s="244"/>
      <c r="AA24" s="245"/>
      <c r="AB24" s="245"/>
      <c r="AC24" s="245"/>
      <c r="AD24" s="245" t="e">
        <f t="shared" si="40"/>
        <v>#DIV/0!</v>
      </c>
      <c r="AE24" s="244"/>
      <c r="AF24" s="245"/>
      <c r="AG24" s="245"/>
      <c r="AH24" s="245"/>
      <c r="AI24" s="245" t="e">
        <f t="shared" si="4"/>
        <v>#DIV/0!</v>
      </c>
      <c r="AJ24" s="244"/>
      <c r="AK24" s="245"/>
      <c r="AL24" s="245"/>
      <c r="AM24" s="245"/>
      <c r="AN24" s="245" t="e">
        <f t="shared" si="5"/>
        <v>#DIV/0!</v>
      </c>
      <c r="AO24" s="244"/>
      <c r="AP24" s="245"/>
      <c r="AQ24" s="245"/>
      <c r="AR24" s="245"/>
      <c r="AS24" s="245" t="e">
        <f t="shared" si="41"/>
        <v>#DIV/0!</v>
      </c>
      <c r="AT24" s="244"/>
      <c r="AU24" s="245"/>
      <c r="AV24" s="245"/>
      <c r="AW24" s="245"/>
      <c r="AX24" s="245" t="e">
        <f t="shared" si="42"/>
        <v>#DIV/0!</v>
      </c>
      <c r="AY24" s="244">
        <v>63</v>
      </c>
      <c r="AZ24" s="245"/>
      <c r="BA24" s="245">
        <v>63</v>
      </c>
      <c r="BB24" s="245"/>
      <c r="BC24" s="245">
        <f t="shared" si="7"/>
        <v>1</v>
      </c>
      <c r="BD24" s="244">
        <v>100</v>
      </c>
      <c r="BE24" s="245">
        <v>1</v>
      </c>
      <c r="BF24" s="245">
        <v>84</v>
      </c>
      <c r="BG24" s="245">
        <v>15</v>
      </c>
      <c r="BH24" s="245">
        <f t="shared" si="8"/>
        <v>0.719926538108356</v>
      </c>
      <c r="BI24" s="244">
        <v>107</v>
      </c>
      <c r="BJ24" s="245">
        <v>3</v>
      </c>
      <c r="BK24" s="245">
        <v>83</v>
      </c>
      <c r="BL24" s="245">
        <v>21</v>
      </c>
      <c r="BM24" s="245">
        <f t="shared" si="9"/>
        <v>0.636926775147929</v>
      </c>
      <c r="BN24" s="244">
        <v>114</v>
      </c>
      <c r="BO24" s="245"/>
      <c r="BP24" s="245">
        <v>88</v>
      </c>
      <c r="BQ24" s="245">
        <v>26</v>
      </c>
      <c r="BR24" s="245">
        <f t="shared" si="10"/>
        <v>0.595875654047399</v>
      </c>
      <c r="BS24" s="244">
        <v>132</v>
      </c>
      <c r="BT24" s="245">
        <v>2</v>
      </c>
      <c r="BU24" s="245">
        <v>99</v>
      </c>
      <c r="BV24" s="245">
        <v>31</v>
      </c>
      <c r="BW24" s="245">
        <f t="shared" si="11"/>
        <v>0.579940828402367</v>
      </c>
      <c r="BX24" s="244">
        <v>74</v>
      </c>
      <c r="BY24" s="245"/>
      <c r="BZ24" s="245">
        <v>69</v>
      </c>
      <c r="CA24" s="245">
        <v>5</v>
      </c>
      <c r="CB24" s="245">
        <f t="shared" si="12"/>
        <v>0.869430241051863</v>
      </c>
      <c r="CC24" s="244">
        <v>118</v>
      </c>
      <c r="CD24" s="245">
        <v>2</v>
      </c>
      <c r="CE24" s="245">
        <v>91</v>
      </c>
      <c r="CF24" s="245">
        <v>25</v>
      </c>
      <c r="CG24" s="245">
        <f t="shared" si="13"/>
        <v>0.615413198573127</v>
      </c>
      <c r="CH24" s="244">
        <v>96</v>
      </c>
      <c r="CI24" s="245">
        <v>3</v>
      </c>
      <c r="CJ24" s="245">
        <v>73</v>
      </c>
      <c r="CK24" s="245">
        <v>20</v>
      </c>
      <c r="CL24" s="245">
        <f t="shared" si="14"/>
        <v>0.616140594288357</v>
      </c>
      <c r="CM24" s="244">
        <v>111</v>
      </c>
      <c r="CN24" s="245">
        <v>1</v>
      </c>
      <c r="CO24" s="245">
        <v>90</v>
      </c>
      <c r="CP24" s="245">
        <v>20</v>
      </c>
      <c r="CQ24" s="245">
        <f t="shared" si="15"/>
        <v>0.669421487603306</v>
      </c>
      <c r="CR24" s="244">
        <v>76</v>
      </c>
      <c r="CS24" s="245"/>
      <c r="CT24" s="245">
        <v>66</v>
      </c>
      <c r="CU24" s="245">
        <v>10</v>
      </c>
      <c r="CV24" s="245">
        <f t="shared" si="16"/>
        <v>0.75415512465374</v>
      </c>
      <c r="CW24" s="244"/>
      <c r="CX24" s="245"/>
      <c r="CY24" s="245">
        <v>6</v>
      </c>
      <c r="CZ24" s="245"/>
      <c r="DA24" s="245">
        <f t="shared" si="17"/>
        <v>1</v>
      </c>
      <c r="DB24" s="244"/>
      <c r="DC24" s="245"/>
      <c r="DD24" s="245"/>
      <c r="DE24" s="245"/>
      <c r="DF24" s="245" t="e">
        <f t="shared" si="18"/>
        <v>#DIV/0!</v>
      </c>
      <c r="DG24" s="244"/>
      <c r="DH24" s="245"/>
      <c r="DI24" s="245"/>
      <c r="DJ24" s="245"/>
      <c r="DK24" s="245" t="e">
        <f t="shared" si="19"/>
        <v>#DIV/0!</v>
      </c>
      <c r="DL24" s="244"/>
      <c r="DM24" s="245"/>
      <c r="DN24" s="245"/>
      <c r="DO24" s="245"/>
      <c r="DP24" s="245" t="e">
        <f t="shared" si="20"/>
        <v>#DIV/0!</v>
      </c>
      <c r="DQ24" s="244"/>
      <c r="DR24" s="245"/>
      <c r="DS24" s="245"/>
      <c r="DT24" s="245"/>
      <c r="DU24" s="245" t="e">
        <f t="shared" si="21"/>
        <v>#DIV/0!</v>
      </c>
      <c r="DV24" s="244"/>
      <c r="DW24" s="245"/>
      <c r="DX24" s="245"/>
      <c r="DY24" s="245"/>
      <c r="DZ24" s="245" t="e">
        <f t="shared" si="22"/>
        <v>#DIV/0!</v>
      </c>
      <c r="EA24" s="244"/>
      <c r="EB24" s="245"/>
      <c r="EC24" s="245"/>
      <c r="ED24" s="245"/>
      <c r="EE24" s="245" t="e">
        <f t="shared" si="23"/>
        <v>#DIV/0!</v>
      </c>
      <c r="EF24" s="244"/>
      <c r="EG24" s="245"/>
      <c r="EH24" s="245"/>
      <c r="EI24" s="245"/>
      <c r="EJ24" s="245" t="e">
        <f t="shared" si="24"/>
        <v>#DIV/0!</v>
      </c>
      <c r="EK24" s="244"/>
      <c r="EL24" s="245"/>
      <c r="EM24" s="245"/>
      <c r="EN24" s="245"/>
      <c r="EO24" s="245" t="e">
        <f t="shared" si="25"/>
        <v>#DIV/0!</v>
      </c>
      <c r="EP24" s="244"/>
      <c r="EQ24" s="245"/>
      <c r="ER24" s="245"/>
      <c r="ES24" s="245"/>
      <c r="ET24" s="245" t="e">
        <f t="shared" si="26"/>
        <v>#DIV/0!</v>
      </c>
      <c r="EU24" s="244"/>
      <c r="EV24" s="245"/>
      <c r="EW24" s="245"/>
      <c r="EX24" s="245"/>
      <c r="EY24" s="245" t="e">
        <f t="shared" si="27"/>
        <v>#DIV/0!</v>
      </c>
      <c r="EZ24" s="244"/>
      <c r="FA24" s="245"/>
      <c r="FB24" s="245"/>
      <c r="FC24" s="245"/>
      <c r="FD24" s="245" t="e">
        <f t="shared" si="28"/>
        <v>#DIV/0!</v>
      </c>
      <c r="FE24" s="297">
        <f t="shared" si="36"/>
        <v>991</v>
      </c>
      <c r="FF24" s="245"/>
      <c r="FG24" s="245">
        <f t="shared" si="37"/>
        <v>12</v>
      </c>
      <c r="FH24" s="298">
        <f t="shared" si="39"/>
        <v>812</v>
      </c>
      <c r="FI24" s="299">
        <f t="shared" si="32"/>
        <v>0.671374357104964</v>
      </c>
      <c r="FJ24" s="245">
        <f t="shared" si="38"/>
        <v>302.876</v>
      </c>
      <c r="FK24" s="293"/>
      <c r="FL24" s="294"/>
      <c r="FM24" s="323"/>
    </row>
    <row r="25" s="211" customFormat="1" ht="27" customHeight="1" spans="1:169">
      <c r="A25" s="240"/>
      <c r="B25" s="248"/>
      <c r="C25" s="242"/>
      <c r="D25" s="233" t="s">
        <v>17</v>
      </c>
      <c r="E25" s="247">
        <v>0.373</v>
      </c>
      <c r="F25" s="244"/>
      <c r="G25" s="245"/>
      <c r="H25" s="245"/>
      <c r="I25" s="245"/>
      <c r="J25" s="282" t="e">
        <f t="shared" si="0"/>
        <v>#DIV/0!</v>
      </c>
      <c r="K25" s="244"/>
      <c r="L25" s="245"/>
      <c r="M25" s="245"/>
      <c r="N25" s="245"/>
      <c r="O25" s="245" t="e">
        <f t="shared" si="1"/>
        <v>#DIV/0!</v>
      </c>
      <c r="P25" s="244"/>
      <c r="Q25" s="245"/>
      <c r="R25" s="245"/>
      <c r="S25" s="245"/>
      <c r="T25" s="245" t="e">
        <f t="shared" si="2"/>
        <v>#DIV/0!</v>
      </c>
      <c r="U25" s="244"/>
      <c r="V25" s="245"/>
      <c r="W25" s="245"/>
      <c r="X25" s="245"/>
      <c r="Y25" s="245" t="e">
        <f t="shared" si="3"/>
        <v>#DIV/0!</v>
      </c>
      <c r="Z25" s="244"/>
      <c r="AA25" s="245"/>
      <c r="AB25" s="245"/>
      <c r="AC25" s="245"/>
      <c r="AD25" s="245" t="e">
        <f t="shared" si="40"/>
        <v>#DIV/0!</v>
      </c>
      <c r="AE25" s="244"/>
      <c r="AF25" s="245"/>
      <c r="AG25" s="245"/>
      <c r="AH25" s="245"/>
      <c r="AI25" s="245" t="e">
        <f t="shared" si="4"/>
        <v>#DIV/0!</v>
      </c>
      <c r="AJ25" s="244"/>
      <c r="AK25" s="245"/>
      <c r="AL25" s="245"/>
      <c r="AM25" s="245"/>
      <c r="AN25" s="245" t="e">
        <f t="shared" si="5"/>
        <v>#DIV/0!</v>
      </c>
      <c r="AO25" s="244"/>
      <c r="AP25" s="245"/>
      <c r="AQ25" s="245"/>
      <c r="AR25" s="245"/>
      <c r="AS25" s="245" t="e">
        <f t="shared" si="41"/>
        <v>#DIV/0!</v>
      </c>
      <c r="AT25" s="244"/>
      <c r="AU25" s="245"/>
      <c r="AV25" s="245"/>
      <c r="AW25" s="245"/>
      <c r="AX25" s="245" t="e">
        <f t="shared" si="42"/>
        <v>#DIV/0!</v>
      </c>
      <c r="AY25" s="244"/>
      <c r="AZ25" s="245"/>
      <c r="BA25" s="245"/>
      <c r="BB25" s="245"/>
      <c r="BC25" s="245" t="e">
        <f t="shared" si="7"/>
        <v>#DIV/0!</v>
      </c>
      <c r="BD25" s="244"/>
      <c r="BE25" s="245"/>
      <c r="BF25" s="245"/>
      <c r="BG25" s="245"/>
      <c r="BH25" s="245" t="e">
        <f t="shared" si="8"/>
        <v>#DIV/0!</v>
      </c>
      <c r="BI25" s="244"/>
      <c r="BJ25" s="245"/>
      <c r="BK25" s="245"/>
      <c r="BL25" s="245"/>
      <c r="BM25" s="245" t="e">
        <f t="shared" si="9"/>
        <v>#DIV/0!</v>
      </c>
      <c r="BN25" s="244"/>
      <c r="BO25" s="245"/>
      <c r="BP25" s="245"/>
      <c r="BQ25" s="245"/>
      <c r="BR25" s="245" t="e">
        <f t="shared" si="10"/>
        <v>#DIV/0!</v>
      </c>
      <c r="BS25" s="244"/>
      <c r="BT25" s="245"/>
      <c r="BU25" s="245"/>
      <c r="BV25" s="245"/>
      <c r="BW25" s="245" t="e">
        <f t="shared" si="11"/>
        <v>#DIV/0!</v>
      </c>
      <c r="BX25" s="244"/>
      <c r="BY25" s="245"/>
      <c r="BZ25" s="245"/>
      <c r="CA25" s="245"/>
      <c r="CB25" s="245" t="e">
        <f t="shared" si="12"/>
        <v>#DIV/0!</v>
      </c>
      <c r="CC25" s="244"/>
      <c r="CD25" s="245"/>
      <c r="CE25" s="245"/>
      <c r="CF25" s="245"/>
      <c r="CG25" s="245" t="e">
        <f t="shared" si="13"/>
        <v>#DIV/0!</v>
      </c>
      <c r="CH25" s="244"/>
      <c r="CI25" s="245"/>
      <c r="CJ25" s="245"/>
      <c r="CK25" s="245"/>
      <c r="CL25" s="245" t="e">
        <f t="shared" si="14"/>
        <v>#DIV/0!</v>
      </c>
      <c r="CM25" s="244"/>
      <c r="CN25" s="245"/>
      <c r="CO25" s="245"/>
      <c r="CP25" s="245"/>
      <c r="CQ25" s="245" t="e">
        <f t="shared" si="15"/>
        <v>#DIV/0!</v>
      </c>
      <c r="CR25" s="244"/>
      <c r="CS25" s="245"/>
      <c r="CT25" s="245"/>
      <c r="CU25" s="245"/>
      <c r="CV25" s="245" t="e">
        <f t="shared" si="16"/>
        <v>#DIV/0!</v>
      </c>
      <c r="CW25" s="244"/>
      <c r="CX25" s="245"/>
      <c r="CY25" s="245"/>
      <c r="CZ25" s="245"/>
      <c r="DA25" s="245" t="e">
        <f t="shared" si="17"/>
        <v>#DIV/0!</v>
      </c>
      <c r="DB25" s="244"/>
      <c r="DC25" s="245"/>
      <c r="DD25" s="245"/>
      <c r="DE25" s="245"/>
      <c r="DF25" s="245" t="e">
        <f t="shared" si="18"/>
        <v>#DIV/0!</v>
      </c>
      <c r="DG25" s="244"/>
      <c r="DH25" s="245"/>
      <c r="DI25" s="245"/>
      <c r="DJ25" s="245"/>
      <c r="DK25" s="245" t="e">
        <f t="shared" si="19"/>
        <v>#DIV/0!</v>
      </c>
      <c r="DL25" s="244"/>
      <c r="DM25" s="245"/>
      <c r="DN25" s="245"/>
      <c r="DO25" s="245"/>
      <c r="DP25" s="245" t="e">
        <f t="shared" si="20"/>
        <v>#DIV/0!</v>
      </c>
      <c r="DQ25" s="244"/>
      <c r="DR25" s="245"/>
      <c r="DS25" s="245"/>
      <c r="DT25" s="245"/>
      <c r="DU25" s="245" t="e">
        <f t="shared" si="21"/>
        <v>#DIV/0!</v>
      </c>
      <c r="DV25" s="244"/>
      <c r="DW25" s="245"/>
      <c r="DX25" s="245"/>
      <c r="DY25" s="245"/>
      <c r="DZ25" s="245" t="e">
        <f t="shared" si="22"/>
        <v>#DIV/0!</v>
      </c>
      <c r="EA25" s="244"/>
      <c r="EB25" s="245"/>
      <c r="EC25" s="245"/>
      <c r="ED25" s="245"/>
      <c r="EE25" s="245" t="e">
        <f t="shared" si="23"/>
        <v>#DIV/0!</v>
      </c>
      <c r="EF25" s="244"/>
      <c r="EG25" s="245"/>
      <c r="EH25" s="245"/>
      <c r="EI25" s="245"/>
      <c r="EJ25" s="245" t="e">
        <f t="shared" si="24"/>
        <v>#DIV/0!</v>
      </c>
      <c r="EK25" s="244"/>
      <c r="EL25" s="245"/>
      <c r="EM25" s="245"/>
      <c r="EN25" s="245"/>
      <c r="EO25" s="245" t="e">
        <f t="shared" si="25"/>
        <v>#DIV/0!</v>
      </c>
      <c r="EP25" s="244"/>
      <c r="EQ25" s="245"/>
      <c r="ER25" s="245"/>
      <c r="ES25" s="245"/>
      <c r="ET25" s="245" t="e">
        <f t="shared" si="26"/>
        <v>#DIV/0!</v>
      </c>
      <c r="EU25" s="244"/>
      <c r="EV25" s="245"/>
      <c r="EW25" s="245"/>
      <c r="EX25" s="245"/>
      <c r="EY25" s="245" t="e">
        <f t="shared" si="27"/>
        <v>#DIV/0!</v>
      </c>
      <c r="EZ25" s="244"/>
      <c r="FA25" s="245"/>
      <c r="FB25" s="245"/>
      <c r="FC25" s="245"/>
      <c r="FD25" s="245" t="e">
        <f t="shared" si="28"/>
        <v>#DIV/0!</v>
      </c>
      <c r="FE25" s="297">
        <f t="shared" si="36"/>
        <v>0</v>
      </c>
      <c r="FF25" s="245"/>
      <c r="FG25" s="245">
        <f t="shared" si="37"/>
        <v>0</v>
      </c>
      <c r="FH25" s="298">
        <f t="shared" si="39"/>
        <v>0</v>
      </c>
      <c r="FI25" s="299" t="e">
        <f t="shared" si="32"/>
        <v>#DIV/0!</v>
      </c>
      <c r="FJ25" s="245">
        <f t="shared" si="38"/>
        <v>0</v>
      </c>
      <c r="FK25" s="295"/>
      <c r="FL25" s="296"/>
      <c r="FM25" s="324"/>
    </row>
    <row r="26" s="212" customFormat="1" ht="27" customHeight="1" spans="1:169">
      <c r="A26" s="249">
        <v>4</v>
      </c>
      <c r="B26" s="250" t="s">
        <v>27</v>
      </c>
      <c r="C26" s="251"/>
      <c r="D26" s="233" t="s">
        <v>8</v>
      </c>
      <c r="E26" s="252">
        <v>0.4</v>
      </c>
      <c r="F26" s="253"/>
      <c r="G26" s="253"/>
      <c r="H26" s="254"/>
      <c r="I26" s="254"/>
      <c r="J26" s="282" t="e">
        <f t="shared" ref="J26:J36" si="43">H26/(H26+I26)*H26/(H26+I26)</f>
        <v>#DIV/0!</v>
      </c>
      <c r="K26" s="253"/>
      <c r="L26" s="253"/>
      <c r="M26" s="254"/>
      <c r="N26" s="254"/>
      <c r="O26" s="254" t="e">
        <f t="shared" ref="O26:O36" si="44">M26/(M26+N26)*M26/(M26+N26)</f>
        <v>#DIV/0!</v>
      </c>
      <c r="P26" s="253"/>
      <c r="Q26" s="253"/>
      <c r="R26" s="254">
        <v>194</v>
      </c>
      <c r="S26" s="254"/>
      <c r="T26" s="254">
        <f t="shared" ref="T26:T36" si="45">R26/(R26+S26)*R26/(R26+S26)</f>
        <v>1</v>
      </c>
      <c r="U26" s="253"/>
      <c r="V26" s="253"/>
      <c r="W26" s="254">
        <v>45</v>
      </c>
      <c r="X26" s="254"/>
      <c r="Y26" s="254">
        <f t="shared" ref="Y26:Y36" si="46">W26/(W26+X26)*W26/(W26+X26)</f>
        <v>1</v>
      </c>
      <c r="Z26" s="253"/>
      <c r="AA26" s="253"/>
      <c r="AB26" s="254"/>
      <c r="AC26" s="254"/>
      <c r="AD26" s="254" t="e">
        <f t="shared" si="40"/>
        <v>#DIV/0!</v>
      </c>
      <c r="AE26" s="253"/>
      <c r="AF26" s="253"/>
      <c r="AG26" s="254"/>
      <c r="AH26" s="254"/>
      <c r="AI26" s="254" t="e">
        <f t="shared" ref="AI26:AI36" si="47">AG26/(AG26+AH26)*AG26/(AG26+AH26)</f>
        <v>#DIV/0!</v>
      </c>
      <c r="AJ26" s="253"/>
      <c r="AK26" s="253"/>
      <c r="AL26" s="254"/>
      <c r="AM26" s="254"/>
      <c r="AN26" s="254" t="e">
        <f t="shared" ref="AN26:AN36" si="48">AL26/(AL26+AM26)*AL26/(AL26+AM26)</f>
        <v>#DIV/0!</v>
      </c>
      <c r="AO26" s="253"/>
      <c r="AP26" s="253"/>
      <c r="AQ26" s="254"/>
      <c r="AR26" s="254"/>
      <c r="AS26" s="254" t="e">
        <f t="shared" si="41"/>
        <v>#DIV/0!</v>
      </c>
      <c r="AT26" s="253"/>
      <c r="AU26" s="253"/>
      <c r="AV26" s="254"/>
      <c r="AW26" s="254"/>
      <c r="AX26" s="254" t="e">
        <f t="shared" ref="AX26:AX36" si="49">AV26/(AV26+AW26)*AV26/(AV26+AW26)</f>
        <v>#DIV/0!</v>
      </c>
      <c r="AY26" s="253"/>
      <c r="AZ26" s="253"/>
      <c r="BA26" s="254"/>
      <c r="BB26" s="254"/>
      <c r="BC26" s="254" t="e">
        <f t="shared" ref="BC26:BC36" si="50">BA26/(BA26+BB26)*BA26/(BA26+BB26)</f>
        <v>#DIV/0!</v>
      </c>
      <c r="BD26" s="253"/>
      <c r="BE26" s="253"/>
      <c r="BF26" s="254"/>
      <c r="BG26" s="254"/>
      <c r="BH26" s="254" t="e">
        <f t="shared" ref="BH26:BH36" si="51">BF26/(BF26+BG26)*BF26/(BF26+BG26)</f>
        <v>#DIV/0!</v>
      </c>
      <c r="BI26" s="253"/>
      <c r="BJ26" s="253"/>
      <c r="BK26" s="254"/>
      <c r="BL26" s="254"/>
      <c r="BM26" s="254" t="e">
        <f t="shared" ref="BM26:BM36" si="52">BK26/(BK26+BL26)*BK26/(BK26+BL26)</f>
        <v>#DIV/0!</v>
      </c>
      <c r="BN26" s="253"/>
      <c r="BO26" s="253"/>
      <c r="BP26" s="254"/>
      <c r="BQ26" s="254"/>
      <c r="BR26" s="254" t="e">
        <f t="shared" ref="BR26:BR36" si="53">BP26/(BP26+BQ26)*BP26/(BP26+BQ26)</f>
        <v>#DIV/0!</v>
      </c>
      <c r="BS26" s="253"/>
      <c r="BT26" s="253"/>
      <c r="BU26" s="254"/>
      <c r="BV26" s="254"/>
      <c r="BW26" s="254" t="e">
        <f t="shared" ref="BW26:BW36" si="54">BU26/(BU26+BV26)*BU26/(BU26+BV26)</f>
        <v>#DIV/0!</v>
      </c>
      <c r="BX26" s="253"/>
      <c r="BY26" s="253"/>
      <c r="BZ26" s="254"/>
      <c r="CA26" s="254"/>
      <c r="CB26" s="254" t="e">
        <f t="shared" ref="CB26:CB36" si="55">BZ26/(BZ26+CA26)*BZ26/(BZ26+CA26)</f>
        <v>#DIV/0!</v>
      </c>
      <c r="CC26" s="253"/>
      <c r="CD26" s="253"/>
      <c r="CE26" s="254"/>
      <c r="CF26" s="254"/>
      <c r="CG26" s="254" t="e">
        <f t="shared" ref="CG26:CG36" si="56">CE26/(CE26+CF26)*CE26/(CE26+CF26)</f>
        <v>#DIV/0!</v>
      </c>
      <c r="CH26" s="253"/>
      <c r="CI26" s="253"/>
      <c r="CJ26" s="254"/>
      <c r="CK26" s="254"/>
      <c r="CL26" s="254" t="e">
        <f t="shared" ref="CL26:CL36" si="57">CJ26/(CJ26+CK26)*CJ26/(CJ26+CK26)</f>
        <v>#DIV/0!</v>
      </c>
      <c r="CM26" s="253"/>
      <c r="CN26" s="253"/>
      <c r="CO26" s="254"/>
      <c r="CP26" s="254"/>
      <c r="CQ26" s="254" t="e">
        <f t="shared" ref="CQ26:CQ36" si="58">CO26/(CO26+CP26)*CO26/(CO26+CP26)</f>
        <v>#DIV/0!</v>
      </c>
      <c r="CR26" s="253"/>
      <c r="CS26" s="253"/>
      <c r="CT26" s="254"/>
      <c r="CU26" s="254"/>
      <c r="CV26" s="254" t="e">
        <f t="shared" ref="CV26:CV36" si="59">CT26/(CT26+CU26)*CT26/(CT26+CU26)</f>
        <v>#DIV/0!</v>
      </c>
      <c r="CW26" s="253"/>
      <c r="CX26" s="253"/>
      <c r="CY26" s="254"/>
      <c r="CZ26" s="254"/>
      <c r="DA26" s="254" t="e">
        <f t="shared" ref="DA26:DA36" si="60">CY26/(CY26+CZ26)*CY26/(CY26+CZ26)</f>
        <v>#DIV/0!</v>
      </c>
      <c r="DB26" s="253"/>
      <c r="DC26" s="253"/>
      <c r="DD26" s="254"/>
      <c r="DE26" s="254"/>
      <c r="DF26" s="254" t="e">
        <f t="shared" ref="DF26:DF36" si="61">DD26/(DD26+DE26)*DD26/(DD26+DE26)</f>
        <v>#DIV/0!</v>
      </c>
      <c r="DG26" s="253"/>
      <c r="DH26" s="253"/>
      <c r="DI26" s="254"/>
      <c r="DJ26" s="254"/>
      <c r="DK26" s="254" t="e">
        <f t="shared" ref="DK26:DK36" si="62">DI26/(DI26+DJ26)*DI26/(DI26+DJ26)</f>
        <v>#DIV/0!</v>
      </c>
      <c r="DL26" s="253"/>
      <c r="DM26" s="253"/>
      <c r="DN26" s="254"/>
      <c r="DO26" s="254"/>
      <c r="DP26" s="254" t="e">
        <f t="shared" ref="DP26:DP36" si="63">DN26/(DN26+DO26)*DN26/(DN26+DO26)</f>
        <v>#DIV/0!</v>
      </c>
      <c r="DQ26" s="253"/>
      <c r="DR26" s="253"/>
      <c r="DS26" s="254">
        <v>40</v>
      </c>
      <c r="DT26" s="254"/>
      <c r="DU26" s="254">
        <f t="shared" ref="DU26:DU36" si="64">DS26/(DS26+DT26)*DS26/(DS26+DT26)</f>
        <v>1</v>
      </c>
      <c r="DV26" s="253"/>
      <c r="DW26" s="253"/>
      <c r="DX26" s="254"/>
      <c r="DY26" s="254"/>
      <c r="DZ26" s="254" t="e">
        <f t="shared" ref="DZ26:DZ36" si="65">DX26/(DX26+DY26)*DX26/(DX26+DY26)</f>
        <v>#DIV/0!</v>
      </c>
      <c r="EA26" s="253"/>
      <c r="EB26" s="253"/>
      <c r="EC26" s="254"/>
      <c r="ED26" s="254"/>
      <c r="EE26" s="254" t="e">
        <f t="shared" ref="EE26:EE36" si="66">EC26/(EC26+ED26)*EC26/(EC26+ED26)</f>
        <v>#DIV/0!</v>
      </c>
      <c r="EF26" s="253"/>
      <c r="EG26" s="253"/>
      <c r="EH26" s="254"/>
      <c r="EI26" s="254"/>
      <c r="EJ26" s="254" t="e">
        <f t="shared" ref="EJ26:EJ36" si="67">EH26/(EH26+EI26)*EH26/(EH26+EI26)</f>
        <v>#DIV/0!</v>
      </c>
      <c r="EK26" s="253"/>
      <c r="EL26" s="253"/>
      <c r="EM26" s="254"/>
      <c r="EN26" s="254"/>
      <c r="EO26" s="254" t="e">
        <f t="shared" ref="EO26:EO36" si="68">EM26/(EM26+EN26)*EM26/(EM26+EN26)</f>
        <v>#DIV/0!</v>
      </c>
      <c r="EP26" s="253"/>
      <c r="EQ26" s="253"/>
      <c r="ER26" s="254"/>
      <c r="ES26" s="254"/>
      <c r="ET26" s="254" t="e">
        <f t="shared" ref="ET26:ET36" si="69">ER26/(ER26+ES26)*ER26/(ER26+ES26)</f>
        <v>#DIV/0!</v>
      </c>
      <c r="EU26" s="253"/>
      <c r="EV26" s="253"/>
      <c r="EW26" s="254"/>
      <c r="EX26" s="254"/>
      <c r="EY26" s="254" t="e">
        <f t="shared" ref="EY26:EY36" si="70">EW26/(EW26+EX26)*EW26/(EW26+EX26)</f>
        <v>#DIV/0!</v>
      </c>
      <c r="EZ26" s="253"/>
      <c r="FA26" s="253"/>
      <c r="FB26" s="254"/>
      <c r="FC26" s="254"/>
      <c r="FD26" s="254" t="e">
        <f t="shared" ref="FD26:FD36" si="71">FB26/(FB26+FC26)*FB26/(FB26+FC26)</f>
        <v>#DIV/0!</v>
      </c>
      <c r="FE26" s="254">
        <f t="shared" si="36"/>
        <v>0</v>
      </c>
      <c r="FF26" s="254"/>
      <c r="FG26" s="254">
        <f t="shared" ref="FG26:FG36" si="72">FA26+EQ26+EL26+EG26+EB26+DW26+DR26+DM26+DH26+DC26+CX26+CS26+CN26+CI26+CD26+BY26+BT26+BO26+BJ26+BE26+AZ26+AU26+AP26+AK26+AF26+AA26+V26+Q26+L26+G26</f>
        <v>0</v>
      </c>
      <c r="FH26" s="300">
        <f t="shared" si="39"/>
        <v>279</v>
      </c>
      <c r="FI26" s="285" t="e">
        <f t="shared" si="32"/>
        <v>#DIV/0!</v>
      </c>
      <c r="FJ26" s="254">
        <f t="shared" si="38"/>
        <v>111.6</v>
      </c>
      <c r="FK26" s="291">
        <f>FJ26+FJ27+FJ28+FJ29+FJ30+FJ31+FJ32+FJ33+FJ34+FJ35</f>
        <v>3318.87</v>
      </c>
      <c r="FL26" s="292">
        <f>(FH26+FH27+FH28+FH29+FH30+FH31+FH32+FH33+FH34+FH35)/(FE26+FE27+FE28+FE29+FE30+FE31+FE32+FE33+FE34+FE35)</f>
        <v>1.05487708168121</v>
      </c>
      <c r="FM26" s="321"/>
    </row>
    <row r="27" s="212" customFormat="1" ht="27" customHeight="1" spans="1:169">
      <c r="A27" s="249"/>
      <c r="B27" s="255"/>
      <c r="C27" s="251"/>
      <c r="D27" s="233" t="s">
        <v>9</v>
      </c>
      <c r="E27" s="256">
        <v>0.133</v>
      </c>
      <c r="F27" s="253"/>
      <c r="G27" s="253"/>
      <c r="H27" s="254"/>
      <c r="I27" s="254"/>
      <c r="J27" s="282" t="e">
        <f t="shared" si="43"/>
        <v>#DIV/0!</v>
      </c>
      <c r="K27" s="253"/>
      <c r="L27" s="253"/>
      <c r="M27" s="254"/>
      <c r="N27" s="254"/>
      <c r="O27" s="254" t="e">
        <f t="shared" si="44"/>
        <v>#DIV/0!</v>
      </c>
      <c r="P27" s="253"/>
      <c r="Q27" s="253"/>
      <c r="R27" s="254"/>
      <c r="S27" s="254"/>
      <c r="T27" s="254" t="e">
        <f t="shared" si="45"/>
        <v>#DIV/0!</v>
      </c>
      <c r="U27" s="253"/>
      <c r="V27" s="253"/>
      <c r="W27" s="254"/>
      <c r="X27" s="254"/>
      <c r="Y27" s="254" t="e">
        <f t="shared" si="46"/>
        <v>#DIV/0!</v>
      </c>
      <c r="Z27" s="253"/>
      <c r="AA27" s="253"/>
      <c r="AB27" s="254"/>
      <c r="AC27" s="254"/>
      <c r="AD27" s="254" t="e">
        <f t="shared" si="40"/>
        <v>#DIV/0!</v>
      </c>
      <c r="AE27" s="253"/>
      <c r="AF27" s="253"/>
      <c r="AG27" s="254"/>
      <c r="AH27" s="254"/>
      <c r="AI27" s="254" t="e">
        <f t="shared" si="47"/>
        <v>#DIV/0!</v>
      </c>
      <c r="AJ27" s="253"/>
      <c r="AK27" s="253"/>
      <c r="AL27" s="254"/>
      <c r="AM27" s="254"/>
      <c r="AN27" s="254" t="e">
        <f t="shared" si="48"/>
        <v>#DIV/0!</v>
      </c>
      <c r="AO27" s="253"/>
      <c r="AP27" s="253"/>
      <c r="AQ27" s="254"/>
      <c r="AR27" s="254"/>
      <c r="AS27" s="254" t="e">
        <f t="shared" si="41"/>
        <v>#DIV/0!</v>
      </c>
      <c r="AT27" s="253"/>
      <c r="AU27" s="253"/>
      <c r="AV27" s="254"/>
      <c r="AW27" s="254"/>
      <c r="AX27" s="254" t="e">
        <f t="shared" si="49"/>
        <v>#DIV/0!</v>
      </c>
      <c r="AY27" s="253"/>
      <c r="AZ27" s="253"/>
      <c r="BA27" s="254"/>
      <c r="BB27" s="254"/>
      <c r="BC27" s="254" t="e">
        <f t="shared" si="50"/>
        <v>#DIV/0!</v>
      </c>
      <c r="BD27" s="253"/>
      <c r="BE27" s="253"/>
      <c r="BF27" s="254"/>
      <c r="BG27" s="254"/>
      <c r="BH27" s="254" t="e">
        <f t="shared" si="51"/>
        <v>#DIV/0!</v>
      </c>
      <c r="BI27" s="253"/>
      <c r="BJ27" s="253"/>
      <c r="BK27" s="254"/>
      <c r="BL27" s="254"/>
      <c r="BM27" s="254" t="e">
        <f t="shared" si="52"/>
        <v>#DIV/0!</v>
      </c>
      <c r="BN27" s="253"/>
      <c r="BO27" s="253"/>
      <c r="BP27" s="254"/>
      <c r="BQ27" s="254"/>
      <c r="BR27" s="254" t="e">
        <f t="shared" si="53"/>
        <v>#DIV/0!</v>
      </c>
      <c r="BS27" s="253"/>
      <c r="BT27" s="253"/>
      <c r="BU27" s="254"/>
      <c r="BV27" s="254"/>
      <c r="BW27" s="254" t="e">
        <f t="shared" si="54"/>
        <v>#DIV/0!</v>
      </c>
      <c r="BX27" s="253"/>
      <c r="BY27" s="253"/>
      <c r="BZ27" s="254"/>
      <c r="CA27" s="254"/>
      <c r="CB27" s="254" t="e">
        <f t="shared" si="55"/>
        <v>#DIV/0!</v>
      </c>
      <c r="CC27" s="253"/>
      <c r="CD27" s="253"/>
      <c r="CE27" s="254"/>
      <c r="CF27" s="254"/>
      <c r="CG27" s="254" t="e">
        <f t="shared" si="56"/>
        <v>#DIV/0!</v>
      </c>
      <c r="CH27" s="253"/>
      <c r="CI27" s="253"/>
      <c r="CJ27" s="254"/>
      <c r="CK27" s="254"/>
      <c r="CL27" s="254" t="e">
        <f t="shared" si="57"/>
        <v>#DIV/0!</v>
      </c>
      <c r="CM27" s="253"/>
      <c r="CN27" s="253"/>
      <c r="CO27" s="254"/>
      <c r="CP27" s="254"/>
      <c r="CQ27" s="254" t="e">
        <f t="shared" si="58"/>
        <v>#DIV/0!</v>
      </c>
      <c r="CR27" s="253"/>
      <c r="CS27" s="253"/>
      <c r="CT27" s="254"/>
      <c r="CU27" s="254"/>
      <c r="CV27" s="254" t="e">
        <f t="shared" si="59"/>
        <v>#DIV/0!</v>
      </c>
      <c r="CW27" s="253"/>
      <c r="CX27" s="253"/>
      <c r="CY27" s="254"/>
      <c r="CZ27" s="254"/>
      <c r="DA27" s="254" t="e">
        <f t="shared" si="60"/>
        <v>#DIV/0!</v>
      </c>
      <c r="DB27" s="253"/>
      <c r="DC27" s="253"/>
      <c r="DD27" s="254"/>
      <c r="DE27" s="254"/>
      <c r="DF27" s="254" t="e">
        <f t="shared" si="61"/>
        <v>#DIV/0!</v>
      </c>
      <c r="DG27" s="253"/>
      <c r="DH27" s="253"/>
      <c r="DI27" s="254"/>
      <c r="DJ27" s="254"/>
      <c r="DK27" s="254" t="e">
        <f t="shared" si="62"/>
        <v>#DIV/0!</v>
      </c>
      <c r="DL27" s="253"/>
      <c r="DM27" s="253"/>
      <c r="DN27" s="254"/>
      <c r="DO27" s="254"/>
      <c r="DP27" s="254" t="e">
        <f t="shared" si="63"/>
        <v>#DIV/0!</v>
      </c>
      <c r="DQ27" s="253"/>
      <c r="DR27" s="253"/>
      <c r="DS27" s="254"/>
      <c r="DT27" s="254"/>
      <c r="DU27" s="254" t="e">
        <f t="shared" si="64"/>
        <v>#DIV/0!</v>
      </c>
      <c r="DV27" s="253"/>
      <c r="DW27" s="253"/>
      <c r="DX27" s="254"/>
      <c r="DY27" s="254"/>
      <c r="DZ27" s="254" t="e">
        <f t="shared" si="65"/>
        <v>#DIV/0!</v>
      </c>
      <c r="EA27" s="253"/>
      <c r="EB27" s="253"/>
      <c r="EC27" s="254"/>
      <c r="ED27" s="254"/>
      <c r="EE27" s="254" t="e">
        <f t="shared" si="66"/>
        <v>#DIV/0!</v>
      </c>
      <c r="EF27" s="253"/>
      <c r="EG27" s="253"/>
      <c r="EH27" s="254"/>
      <c r="EI27" s="254"/>
      <c r="EJ27" s="254" t="e">
        <f t="shared" si="67"/>
        <v>#DIV/0!</v>
      </c>
      <c r="EK27" s="253"/>
      <c r="EL27" s="253"/>
      <c r="EM27" s="254"/>
      <c r="EN27" s="254"/>
      <c r="EO27" s="254" t="e">
        <f t="shared" si="68"/>
        <v>#DIV/0!</v>
      </c>
      <c r="EP27" s="253"/>
      <c r="EQ27" s="253"/>
      <c r="ER27" s="254"/>
      <c r="ES27" s="254"/>
      <c r="ET27" s="254" t="e">
        <f t="shared" si="69"/>
        <v>#DIV/0!</v>
      </c>
      <c r="EU27" s="253"/>
      <c r="EV27" s="253"/>
      <c r="EW27" s="254"/>
      <c r="EX27" s="254"/>
      <c r="EY27" s="254" t="e">
        <f t="shared" si="70"/>
        <v>#DIV/0!</v>
      </c>
      <c r="EZ27" s="253"/>
      <c r="FA27" s="253"/>
      <c r="FB27" s="254"/>
      <c r="FC27" s="254"/>
      <c r="FD27" s="254" t="e">
        <f t="shared" si="71"/>
        <v>#DIV/0!</v>
      </c>
      <c r="FE27" s="254">
        <f t="shared" si="36"/>
        <v>0</v>
      </c>
      <c r="FF27" s="254"/>
      <c r="FG27" s="254">
        <f t="shared" si="72"/>
        <v>0</v>
      </c>
      <c r="FH27" s="300">
        <f t="shared" si="39"/>
        <v>0</v>
      </c>
      <c r="FI27" s="285">
        <v>0</v>
      </c>
      <c r="FJ27" s="254">
        <f t="shared" ref="FJ27:FJ36" si="73">FH27*E27</f>
        <v>0</v>
      </c>
      <c r="FK27" s="293"/>
      <c r="FL27" s="294"/>
      <c r="FM27" s="323"/>
    </row>
    <row r="28" s="212" customFormat="1" ht="27" customHeight="1" spans="1:169">
      <c r="A28" s="249"/>
      <c r="B28" s="255"/>
      <c r="C28" s="251"/>
      <c r="D28" s="233" t="s">
        <v>10</v>
      </c>
      <c r="E28" s="256">
        <v>0.133</v>
      </c>
      <c r="F28" s="253"/>
      <c r="G28" s="254"/>
      <c r="H28" s="254"/>
      <c r="I28" s="254"/>
      <c r="J28" s="282" t="e">
        <f t="shared" si="43"/>
        <v>#DIV/0!</v>
      </c>
      <c r="K28" s="253"/>
      <c r="L28" s="254"/>
      <c r="M28" s="254"/>
      <c r="N28" s="254"/>
      <c r="O28" s="254" t="e">
        <f t="shared" si="44"/>
        <v>#DIV/0!</v>
      </c>
      <c r="P28" s="253"/>
      <c r="Q28" s="254"/>
      <c r="R28" s="254"/>
      <c r="S28" s="254"/>
      <c r="T28" s="254" t="e">
        <f t="shared" si="45"/>
        <v>#DIV/0!</v>
      </c>
      <c r="U28" s="253"/>
      <c r="V28" s="254"/>
      <c r="W28" s="254"/>
      <c r="X28" s="254"/>
      <c r="Y28" s="254" t="e">
        <f t="shared" si="46"/>
        <v>#DIV/0!</v>
      </c>
      <c r="Z28" s="253"/>
      <c r="AA28" s="254"/>
      <c r="AB28" s="254"/>
      <c r="AC28" s="254"/>
      <c r="AD28" s="254" t="e">
        <f t="shared" ref="AD28:AD36" si="74">AB28/(AB28+AC28)*AB28/(AB28+AC28)</f>
        <v>#DIV/0!</v>
      </c>
      <c r="AE28" s="253"/>
      <c r="AF28" s="254"/>
      <c r="AG28" s="254"/>
      <c r="AH28" s="254"/>
      <c r="AI28" s="254" t="e">
        <f t="shared" si="47"/>
        <v>#DIV/0!</v>
      </c>
      <c r="AJ28" s="253"/>
      <c r="AK28" s="254"/>
      <c r="AL28" s="254"/>
      <c r="AM28" s="254"/>
      <c r="AN28" s="254" t="e">
        <f t="shared" si="48"/>
        <v>#DIV/0!</v>
      </c>
      <c r="AO28" s="253"/>
      <c r="AP28" s="254"/>
      <c r="AQ28" s="254"/>
      <c r="AR28" s="254"/>
      <c r="AS28" s="254" t="e">
        <f t="shared" ref="AS28:AS37" si="75">AQ28/(AQ28+AR28)*AQ28/(AQ28+AR28)</f>
        <v>#DIV/0!</v>
      </c>
      <c r="AT28" s="253"/>
      <c r="AU28" s="254"/>
      <c r="AV28" s="254"/>
      <c r="AW28" s="254"/>
      <c r="AX28" s="254" t="e">
        <f t="shared" si="49"/>
        <v>#DIV/0!</v>
      </c>
      <c r="AY28" s="253"/>
      <c r="AZ28" s="254"/>
      <c r="BA28" s="254"/>
      <c r="BB28" s="254"/>
      <c r="BC28" s="254" t="e">
        <f t="shared" si="50"/>
        <v>#DIV/0!</v>
      </c>
      <c r="BD28" s="253"/>
      <c r="BE28" s="254"/>
      <c r="BF28" s="254"/>
      <c r="BG28" s="254"/>
      <c r="BH28" s="254" t="e">
        <f t="shared" si="51"/>
        <v>#DIV/0!</v>
      </c>
      <c r="BI28" s="253"/>
      <c r="BJ28" s="254"/>
      <c r="BK28" s="254"/>
      <c r="BL28" s="254"/>
      <c r="BM28" s="254" t="e">
        <f t="shared" si="52"/>
        <v>#DIV/0!</v>
      </c>
      <c r="BN28" s="253"/>
      <c r="BO28" s="254"/>
      <c r="BP28" s="254"/>
      <c r="BQ28" s="254"/>
      <c r="BR28" s="254" t="e">
        <f t="shared" si="53"/>
        <v>#DIV/0!</v>
      </c>
      <c r="BS28" s="253"/>
      <c r="BT28" s="254"/>
      <c r="BU28" s="254"/>
      <c r="BV28" s="254"/>
      <c r="BW28" s="254" t="e">
        <f t="shared" si="54"/>
        <v>#DIV/0!</v>
      </c>
      <c r="BX28" s="253"/>
      <c r="BY28" s="254"/>
      <c r="BZ28" s="254"/>
      <c r="CA28" s="254"/>
      <c r="CB28" s="254" t="e">
        <f t="shared" si="55"/>
        <v>#DIV/0!</v>
      </c>
      <c r="CC28" s="253"/>
      <c r="CD28" s="254"/>
      <c r="CE28" s="254"/>
      <c r="CF28" s="254"/>
      <c r="CG28" s="254" t="e">
        <f t="shared" si="56"/>
        <v>#DIV/0!</v>
      </c>
      <c r="CH28" s="253"/>
      <c r="CI28" s="254"/>
      <c r="CJ28" s="254"/>
      <c r="CK28" s="254"/>
      <c r="CL28" s="254" t="e">
        <f t="shared" si="57"/>
        <v>#DIV/0!</v>
      </c>
      <c r="CM28" s="253"/>
      <c r="CN28" s="254"/>
      <c r="CO28" s="254"/>
      <c r="CP28" s="254"/>
      <c r="CQ28" s="254" t="e">
        <f t="shared" si="58"/>
        <v>#DIV/0!</v>
      </c>
      <c r="CR28" s="253"/>
      <c r="CS28" s="254"/>
      <c r="CT28" s="254"/>
      <c r="CU28" s="254"/>
      <c r="CV28" s="254" t="e">
        <f t="shared" si="59"/>
        <v>#DIV/0!</v>
      </c>
      <c r="CW28" s="253"/>
      <c r="CX28" s="254"/>
      <c r="CY28" s="254"/>
      <c r="CZ28" s="254"/>
      <c r="DA28" s="254" t="e">
        <f t="shared" si="60"/>
        <v>#DIV/0!</v>
      </c>
      <c r="DB28" s="253"/>
      <c r="DC28" s="254"/>
      <c r="DD28" s="254"/>
      <c r="DE28" s="254"/>
      <c r="DF28" s="254" t="e">
        <f t="shared" si="61"/>
        <v>#DIV/0!</v>
      </c>
      <c r="DG28" s="253"/>
      <c r="DH28" s="254"/>
      <c r="DI28" s="254"/>
      <c r="DJ28" s="254"/>
      <c r="DK28" s="254" t="e">
        <f t="shared" si="62"/>
        <v>#DIV/0!</v>
      </c>
      <c r="DL28" s="253"/>
      <c r="DM28" s="254"/>
      <c r="DN28" s="254"/>
      <c r="DO28" s="254"/>
      <c r="DP28" s="254" t="e">
        <f t="shared" si="63"/>
        <v>#DIV/0!</v>
      </c>
      <c r="DQ28" s="253"/>
      <c r="DR28" s="254"/>
      <c r="DS28" s="254"/>
      <c r="DT28" s="254"/>
      <c r="DU28" s="254" t="e">
        <f t="shared" si="64"/>
        <v>#DIV/0!</v>
      </c>
      <c r="DV28" s="253"/>
      <c r="DW28" s="254"/>
      <c r="DX28" s="254"/>
      <c r="DY28" s="254"/>
      <c r="DZ28" s="254" t="e">
        <f t="shared" si="65"/>
        <v>#DIV/0!</v>
      </c>
      <c r="EA28" s="253"/>
      <c r="EB28" s="254"/>
      <c r="EC28" s="254"/>
      <c r="ED28" s="254"/>
      <c r="EE28" s="254" t="e">
        <f t="shared" si="66"/>
        <v>#DIV/0!</v>
      </c>
      <c r="EF28" s="253"/>
      <c r="EG28" s="254"/>
      <c r="EH28" s="254"/>
      <c r="EI28" s="254"/>
      <c r="EJ28" s="254" t="e">
        <f t="shared" si="67"/>
        <v>#DIV/0!</v>
      </c>
      <c r="EK28" s="253"/>
      <c r="EL28" s="254"/>
      <c r="EM28" s="254"/>
      <c r="EN28" s="254"/>
      <c r="EO28" s="254" t="e">
        <f t="shared" si="68"/>
        <v>#DIV/0!</v>
      </c>
      <c r="EP28" s="253"/>
      <c r="EQ28" s="254"/>
      <c r="ER28" s="254"/>
      <c r="ES28" s="254"/>
      <c r="ET28" s="254" t="e">
        <f t="shared" si="69"/>
        <v>#DIV/0!</v>
      </c>
      <c r="EU28" s="253"/>
      <c r="EV28" s="254"/>
      <c r="EW28" s="254"/>
      <c r="EX28" s="254"/>
      <c r="EY28" s="254" t="e">
        <f t="shared" si="70"/>
        <v>#DIV/0!</v>
      </c>
      <c r="EZ28" s="253"/>
      <c r="FA28" s="254"/>
      <c r="FB28" s="254"/>
      <c r="FC28" s="254"/>
      <c r="FD28" s="254" t="e">
        <f t="shared" si="71"/>
        <v>#DIV/0!</v>
      </c>
      <c r="FE28" s="254">
        <f t="shared" si="36"/>
        <v>0</v>
      </c>
      <c r="FF28" s="254"/>
      <c r="FG28" s="254">
        <f t="shared" si="72"/>
        <v>0</v>
      </c>
      <c r="FH28" s="300">
        <f t="shared" ref="FH28:FH36" si="76">FB28+EW28+ER28+EM28+EH28+EC28+DX28+DS28+DN28+DI28+DD28+CY28+CT28+CO28+CJ28+CE28+BZ28+BU28+BP28+BK28+BF28+BA28+AV28+AQ28+AL28+AG28+AB28+W28+R28+M28+H28</f>
        <v>0</v>
      </c>
      <c r="FI28" s="285">
        <v>0</v>
      </c>
      <c r="FJ28" s="254">
        <f t="shared" si="73"/>
        <v>0</v>
      </c>
      <c r="FK28" s="293"/>
      <c r="FL28" s="294"/>
      <c r="FM28" s="323"/>
    </row>
    <row r="29" s="212" customFormat="1" ht="27" customHeight="1" spans="1:169">
      <c r="A29" s="249"/>
      <c r="B29" s="255"/>
      <c r="C29" s="251"/>
      <c r="D29" s="233" t="s">
        <v>11</v>
      </c>
      <c r="E29" s="256">
        <v>0.23</v>
      </c>
      <c r="F29" s="253">
        <v>337</v>
      </c>
      <c r="G29" s="254">
        <v>14</v>
      </c>
      <c r="H29" s="254">
        <v>323</v>
      </c>
      <c r="I29" s="254"/>
      <c r="J29" s="282">
        <f t="shared" si="43"/>
        <v>1</v>
      </c>
      <c r="K29" s="253">
        <v>352</v>
      </c>
      <c r="L29" s="254">
        <v>3</v>
      </c>
      <c r="M29" s="254">
        <v>349</v>
      </c>
      <c r="N29" s="254"/>
      <c r="O29" s="254">
        <f t="shared" si="44"/>
        <v>1</v>
      </c>
      <c r="P29" s="253">
        <v>116</v>
      </c>
      <c r="Q29" s="254">
        <v>1</v>
      </c>
      <c r="R29" s="254">
        <v>115</v>
      </c>
      <c r="S29" s="254"/>
      <c r="T29" s="254">
        <f t="shared" si="45"/>
        <v>1</v>
      </c>
      <c r="U29" s="253">
        <v>127</v>
      </c>
      <c r="V29" s="254">
        <v>16</v>
      </c>
      <c r="W29" s="254">
        <v>102</v>
      </c>
      <c r="X29" s="254">
        <v>9</v>
      </c>
      <c r="Y29" s="254">
        <f t="shared" si="46"/>
        <v>0.844411979547115</v>
      </c>
      <c r="Z29" s="253">
        <v>337</v>
      </c>
      <c r="AA29" s="254">
        <v>4</v>
      </c>
      <c r="AB29" s="254">
        <v>173</v>
      </c>
      <c r="AC29" s="254"/>
      <c r="AD29" s="254">
        <f t="shared" si="74"/>
        <v>1</v>
      </c>
      <c r="AE29" s="253">
        <v>431</v>
      </c>
      <c r="AF29" s="254">
        <v>4</v>
      </c>
      <c r="AG29" s="254">
        <v>417</v>
      </c>
      <c r="AH29" s="254">
        <v>10</v>
      </c>
      <c r="AI29" s="254">
        <f t="shared" si="47"/>
        <v>0.953710051610002</v>
      </c>
      <c r="AJ29" s="253">
        <v>474</v>
      </c>
      <c r="AK29" s="254">
        <v>1</v>
      </c>
      <c r="AL29" s="254">
        <v>473</v>
      </c>
      <c r="AM29" s="254"/>
      <c r="AN29" s="254">
        <f t="shared" si="48"/>
        <v>1</v>
      </c>
      <c r="AO29" s="253">
        <v>355</v>
      </c>
      <c r="AP29" s="254">
        <v>2</v>
      </c>
      <c r="AQ29" s="254">
        <v>353</v>
      </c>
      <c r="AR29" s="254"/>
      <c r="AS29" s="254">
        <f t="shared" si="75"/>
        <v>1</v>
      </c>
      <c r="AT29" s="253">
        <v>390</v>
      </c>
      <c r="AU29" s="254">
        <v>6</v>
      </c>
      <c r="AV29" s="254">
        <v>379</v>
      </c>
      <c r="AW29" s="254">
        <v>5</v>
      </c>
      <c r="AX29" s="254">
        <f t="shared" si="49"/>
        <v>0.974127875434028</v>
      </c>
      <c r="AY29" s="253">
        <v>403</v>
      </c>
      <c r="AZ29" s="254">
        <v>3</v>
      </c>
      <c r="BA29" s="254">
        <v>395</v>
      </c>
      <c r="BB29" s="254">
        <v>5</v>
      </c>
      <c r="BC29" s="254">
        <f t="shared" si="50"/>
        <v>0.97515625</v>
      </c>
      <c r="BD29" s="253"/>
      <c r="BE29" s="254"/>
      <c r="BF29" s="254"/>
      <c r="BG29" s="254"/>
      <c r="BH29" s="254" t="e">
        <f t="shared" si="51"/>
        <v>#DIV/0!</v>
      </c>
      <c r="BI29" s="253"/>
      <c r="BJ29" s="254"/>
      <c r="BK29" s="254"/>
      <c r="BL29" s="254"/>
      <c r="BM29" s="254" t="e">
        <f t="shared" si="52"/>
        <v>#DIV/0!</v>
      </c>
      <c r="BN29" s="253"/>
      <c r="BO29" s="254"/>
      <c r="BP29" s="254"/>
      <c r="BQ29" s="254"/>
      <c r="BR29" s="254" t="e">
        <f t="shared" si="53"/>
        <v>#DIV/0!</v>
      </c>
      <c r="BS29" s="253"/>
      <c r="BT29" s="254"/>
      <c r="BU29" s="254"/>
      <c r="BV29" s="254"/>
      <c r="BW29" s="254" t="e">
        <f t="shared" si="54"/>
        <v>#DIV/0!</v>
      </c>
      <c r="BX29" s="253"/>
      <c r="BY29" s="254"/>
      <c r="BZ29" s="254"/>
      <c r="CA29" s="254"/>
      <c r="CB29" s="254" t="e">
        <f t="shared" si="55"/>
        <v>#DIV/0!</v>
      </c>
      <c r="CC29" s="253"/>
      <c r="CD29" s="254"/>
      <c r="CE29" s="254"/>
      <c r="CF29" s="254"/>
      <c r="CG29" s="254" t="e">
        <f t="shared" si="56"/>
        <v>#DIV/0!</v>
      </c>
      <c r="CH29" s="253"/>
      <c r="CI29" s="254"/>
      <c r="CJ29" s="254"/>
      <c r="CK29" s="254"/>
      <c r="CL29" s="254" t="e">
        <f t="shared" si="57"/>
        <v>#DIV/0!</v>
      </c>
      <c r="CM29" s="253"/>
      <c r="CN29" s="254"/>
      <c r="CO29" s="254"/>
      <c r="CP29" s="254"/>
      <c r="CQ29" s="254" t="e">
        <f t="shared" si="58"/>
        <v>#DIV/0!</v>
      </c>
      <c r="CR29" s="253"/>
      <c r="CS29" s="254"/>
      <c r="CT29" s="254"/>
      <c r="CU29" s="254"/>
      <c r="CV29" s="254" t="e">
        <f t="shared" si="59"/>
        <v>#DIV/0!</v>
      </c>
      <c r="CW29" s="253"/>
      <c r="CX29" s="254"/>
      <c r="CY29" s="254">
        <v>165</v>
      </c>
      <c r="CZ29" s="254"/>
      <c r="DA29" s="254">
        <f t="shared" si="60"/>
        <v>1</v>
      </c>
      <c r="DB29" s="253">
        <v>377</v>
      </c>
      <c r="DC29" s="254">
        <v>4</v>
      </c>
      <c r="DD29" s="254">
        <v>373</v>
      </c>
      <c r="DE29" s="254"/>
      <c r="DF29" s="254">
        <f t="shared" si="61"/>
        <v>1</v>
      </c>
      <c r="DG29" s="253">
        <v>317</v>
      </c>
      <c r="DH29" s="254">
        <v>2</v>
      </c>
      <c r="DI29" s="254">
        <v>315</v>
      </c>
      <c r="DJ29" s="254"/>
      <c r="DK29" s="254">
        <f t="shared" si="62"/>
        <v>1</v>
      </c>
      <c r="DL29" s="253">
        <v>429</v>
      </c>
      <c r="DM29" s="254">
        <v>5</v>
      </c>
      <c r="DN29" s="254">
        <v>424</v>
      </c>
      <c r="DO29" s="254"/>
      <c r="DP29" s="254">
        <f t="shared" si="63"/>
        <v>1</v>
      </c>
      <c r="DQ29" s="253">
        <v>367</v>
      </c>
      <c r="DR29" s="254">
        <v>7</v>
      </c>
      <c r="DS29" s="254">
        <v>360</v>
      </c>
      <c r="DT29" s="254"/>
      <c r="DU29" s="254">
        <f t="shared" si="64"/>
        <v>1</v>
      </c>
      <c r="DV29" s="253">
        <v>433</v>
      </c>
      <c r="DW29" s="254">
        <v>9</v>
      </c>
      <c r="DX29" s="254">
        <v>424</v>
      </c>
      <c r="DY29" s="254"/>
      <c r="DZ29" s="254">
        <f t="shared" si="65"/>
        <v>1</v>
      </c>
      <c r="EA29" s="253">
        <v>435</v>
      </c>
      <c r="EB29" s="254">
        <v>12</v>
      </c>
      <c r="EC29" s="254">
        <v>423</v>
      </c>
      <c r="ED29" s="254"/>
      <c r="EE29" s="254">
        <f t="shared" si="66"/>
        <v>1</v>
      </c>
      <c r="EF29" s="253">
        <v>469</v>
      </c>
      <c r="EG29" s="254">
        <v>6</v>
      </c>
      <c r="EH29" s="254">
        <v>463</v>
      </c>
      <c r="EI29" s="254"/>
      <c r="EJ29" s="254">
        <f t="shared" si="67"/>
        <v>1</v>
      </c>
      <c r="EK29" s="253">
        <v>469</v>
      </c>
      <c r="EL29" s="254">
        <v>2</v>
      </c>
      <c r="EM29" s="254">
        <v>457</v>
      </c>
      <c r="EN29" s="254">
        <v>10</v>
      </c>
      <c r="EO29" s="254">
        <f t="shared" si="68"/>
        <v>0.95763197593643</v>
      </c>
      <c r="EP29" s="253"/>
      <c r="EQ29" s="254"/>
      <c r="ER29" s="254"/>
      <c r="ES29" s="254"/>
      <c r="ET29" s="254" t="e">
        <f t="shared" si="69"/>
        <v>#DIV/0!</v>
      </c>
      <c r="EU29" s="253"/>
      <c r="EV29" s="254"/>
      <c r="EW29" s="254"/>
      <c r="EX29" s="254"/>
      <c r="EY29" s="254" t="e">
        <f t="shared" si="70"/>
        <v>#DIV/0!</v>
      </c>
      <c r="EZ29" s="253"/>
      <c r="FA29" s="254"/>
      <c r="FB29" s="254"/>
      <c r="FC29" s="254"/>
      <c r="FD29" s="254" t="e">
        <f t="shared" si="71"/>
        <v>#DIV/0!</v>
      </c>
      <c r="FE29" s="254">
        <f t="shared" si="36"/>
        <v>6618</v>
      </c>
      <c r="FF29" s="254"/>
      <c r="FG29" s="254">
        <f t="shared" si="72"/>
        <v>101</v>
      </c>
      <c r="FH29" s="300">
        <f t="shared" si="76"/>
        <v>6483</v>
      </c>
      <c r="FI29" s="285">
        <f>FH29/FE29*FH29/FE29</f>
        <v>0.959618291497104</v>
      </c>
      <c r="FJ29" s="254">
        <f t="shared" si="73"/>
        <v>1491.09</v>
      </c>
      <c r="FK29" s="293"/>
      <c r="FL29" s="294"/>
      <c r="FM29" s="323"/>
    </row>
    <row r="30" s="212" customFormat="1" ht="27" customHeight="1" spans="1:169">
      <c r="A30" s="249"/>
      <c r="B30" s="255"/>
      <c r="C30" s="251"/>
      <c r="D30" s="233" t="s">
        <v>12</v>
      </c>
      <c r="E30" s="256">
        <v>0.25</v>
      </c>
      <c r="F30" s="253">
        <v>340</v>
      </c>
      <c r="G30" s="254">
        <v>7</v>
      </c>
      <c r="H30" s="254">
        <v>333</v>
      </c>
      <c r="I30" s="254"/>
      <c r="J30" s="282">
        <f t="shared" si="43"/>
        <v>1</v>
      </c>
      <c r="K30" s="253">
        <v>408</v>
      </c>
      <c r="L30" s="254">
        <v>6</v>
      </c>
      <c r="M30" s="254">
        <v>402</v>
      </c>
      <c r="N30" s="254"/>
      <c r="O30" s="254">
        <f t="shared" si="44"/>
        <v>1</v>
      </c>
      <c r="P30" s="253">
        <v>135</v>
      </c>
      <c r="Q30" s="254">
        <v>2</v>
      </c>
      <c r="R30" s="254">
        <v>133</v>
      </c>
      <c r="S30" s="254"/>
      <c r="T30" s="254">
        <f t="shared" si="45"/>
        <v>1</v>
      </c>
      <c r="U30" s="253">
        <v>132</v>
      </c>
      <c r="V30" s="254">
        <v>7</v>
      </c>
      <c r="W30" s="254">
        <v>116</v>
      </c>
      <c r="X30" s="254">
        <v>9</v>
      </c>
      <c r="Y30" s="254">
        <f t="shared" si="46"/>
        <v>0.861184</v>
      </c>
      <c r="Z30" s="253">
        <v>278</v>
      </c>
      <c r="AA30" s="254">
        <v>2</v>
      </c>
      <c r="AB30" s="254">
        <v>170</v>
      </c>
      <c r="AC30" s="254"/>
      <c r="AD30" s="254">
        <f t="shared" si="74"/>
        <v>1</v>
      </c>
      <c r="AE30" s="253">
        <v>368</v>
      </c>
      <c r="AF30" s="254">
        <v>11</v>
      </c>
      <c r="AG30" s="254">
        <v>347</v>
      </c>
      <c r="AH30" s="254">
        <v>10</v>
      </c>
      <c r="AI30" s="254">
        <f t="shared" si="47"/>
        <v>0.944762218612935</v>
      </c>
      <c r="AJ30" s="253">
        <v>405</v>
      </c>
      <c r="AK30" s="254">
        <v>2</v>
      </c>
      <c r="AL30" s="254">
        <v>398</v>
      </c>
      <c r="AM30" s="254">
        <v>5</v>
      </c>
      <c r="AN30" s="254">
        <f t="shared" si="48"/>
        <v>0.975340036574328</v>
      </c>
      <c r="AO30" s="253">
        <v>303</v>
      </c>
      <c r="AP30" s="254">
        <v>4</v>
      </c>
      <c r="AQ30" s="254">
        <v>299</v>
      </c>
      <c r="AR30" s="254"/>
      <c r="AS30" s="254">
        <f t="shared" si="75"/>
        <v>1</v>
      </c>
      <c r="AT30" s="253">
        <v>331</v>
      </c>
      <c r="AU30" s="254">
        <v>5</v>
      </c>
      <c r="AV30" s="254">
        <v>326</v>
      </c>
      <c r="AW30" s="254"/>
      <c r="AX30" s="254">
        <f t="shared" si="49"/>
        <v>1</v>
      </c>
      <c r="AY30" s="253">
        <v>342</v>
      </c>
      <c r="AZ30" s="254">
        <v>5</v>
      </c>
      <c r="BA30" s="254">
        <v>337</v>
      </c>
      <c r="BB30" s="254"/>
      <c r="BC30" s="254">
        <f t="shared" si="50"/>
        <v>1</v>
      </c>
      <c r="BD30" s="253"/>
      <c r="BE30" s="254"/>
      <c r="BF30" s="254"/>
      <c r="BG30" s="254"/>
      <c r="BH30" s="254" t="e">
        <f t="shared" si="51"/>
        <v>#DIV/0!</v>
      </c>
      <c r="BI30" s="253"/>
      <c r="BJ30" s="254"/>
      <c r="BK30" s="254"/>
      <c r="BL30" s="254"/>
      <c r="BM30" s="254" t="e">
        <f t="shared" si="52"/>
        <v>#DIV/0!</v>
      </c>
      <c r="BN30" s="253"/>
      <c r="BO30" s="254"/>
      <c r="BP30" s="254"/>
      <c r="BQ30" s="254"/>
      <c r="BR30" s="254" t="e">
        <f t="shared" si="53"/>
        <v>#DIV/0!</v>
      </c>
      <c r="BS30" s="253"/>
      <c r="BT30" s="254"/>
      <c r="BU30" s="254"/>
      <c r="BV30" s="254"/>
      <c r="BW30" s="254" t="e">
        <f t="shared" si="54"/>
        <v>#DIV/0!</v>
      </c>
      <c r="BX30" s="253"/>
      <c r="BY30" s="254"/>
      <c r="BZ30" s="254"/>
      <c r="CA30" s="254"/>
      <c r="CB30" s="254" t="e">
        <f t="shared" si="55"/>
        <v>#DIV/0!</v>
      </c>
      <c r="CC30" s="253"/>
      <c r="CD30" s="254"/>
      <c r="CE30" s="254"/>
      <c r="CF30" s="254"/>
      <c r="CG30" s="254" t="e">
        <f t="shared" si="56"/>
        <v>#DIV/0!</v>
      </c>
      <c r="CH30" s="253"/>
      <c r="CI30" s="254"/>
      <c r="CJ30" s="254"/>
      <c r="CK30" s="254"/>
      <c r="CL30" s="254" t="e">
        <f t="shared" si="57"/>
        <v>#DIV/0!</v>
      </c>
      <c r="CM30" s="253"/>
      <c r="CN30" s="254"/>
      <c r="CO30" s="254"/>
      <c r="CP30" s="254"/>
      <c r="CQ30" s="254" t="e">
        <f t="shared" si="58"/>
        <v>#DIV/0!</v>
      </c>
      <c r="CR30" s="253"/>
      <c r="CS30" s="254"/>
      <c r="CT30" s="254"/>
      <c r="CU30" s="254"/>
      <c r="CV30" s="254" t="e">
        <f t="shared" si="59"/>
        <v>#DIV/0!</v>
      </c>
      <c r="CW30" s="253"/>
      <c r="CX30" s="254"/>
      <c r="CY30" s="254">
        <v>110</v>
      </c>
      <c r="CZ30" s="254"/>
      <c r="DA30" s="254">
        <f t="shared" si="60"/>
        <v>1</v>
      </c>
      <c r="DB30" s="253">
        <v>365</v>
      </c>
      <c r="DC30" s="254">
        <v>2</v>
      </c>
      <c r="DD30" s="254">
        <v>363</v>
      </c>
      <c r="DE30" s="254"/>
      <c r="DF30" s="254">
        <f t="shared" si="61"/>
        <v>1</v>
      </c>
      <c r="DG30" s="253">
        <v>327</v>
      </c>
      <c r="DH30" s="254">
        <v>9</v>
      </c>
      <c r="DI30" s="254">
        <v>318</v>
      </c>
      <c r="DJ30" s="254"/>
      <c r="DK30" s="254">
        <f t="shared" si="62"/>
        <v>1</v>
      </c>
      <c r="DL30" s="253">
        <v>394</v>
      </c>
      <c r="DM30" s="254">
        <v>10</v>
      </c>
      <c r="DN30" s="254">
        <v>384</v>
      </c>
      <c r="DO30" s="254"/>
      <c r="DP30" s="254">
        <f t="shared" si="63"/>
        <v>1</v>
      </c>
      <c r="DQ30" s="253">
        <v>314</v>
      </c>
      <c r="DR30" s="254">
        <v>1</v>
      </c>
      <c r="DS30" s="254">
        <v>313</v>
      </c>
      <c r="DT30" s="254"/>
      <c r="DU30" s="254">
        <f t="shared" si="64"/>
        <v>1</v>
      </c>
      <c r="DV30" s="253">
        <v>407</v>
      </c>
      <c r="DW30" s="254">
        <v>6</v>
      </c>
      <c r="DX30" s="254">
        <v>401</v>
      </c>
      <c r="DY30" s="254"/>
      <c r="DZ30" s="254">
        <f t="shared" si="65"/>
        <v>1</v>
      </c>
      <c r="EA30" s="253">
        <v>372</v>
      </c>
      <c r="EB30" s="254">
        <v>4</v>
      </c>
      <c r="EC30" s="254">
        <v>368</v>
      </c>
      <c r="ED30" s="254"/>
      <c r="EE30" s="254">
        <f t="shared" si="66"/>
        <v>1</v>
      </c>
      <c r="EF30" s="253">
        <v>402</v>
      </c>
      <c r="EG30" s="254">
        <v>5</v>
      </c>
      <c r="EH30" s="254">
        <v>397</v>
      </c>
      <c r="EI30" s="254"/>
      <c r="EJ30" s="254">
        <f t="shared" si="67"/>
        <v>1</v>
      </c>
      <c r="EK30" s="253">
        <v>369</v>
      </c>
      <c r="EL30" s="254">
        <v>3</v>
      </c>
      <c r="EM30" s="254">
        <v>365</v>
      </c>
      <c r="EN30" s="254"/>
      <c r="EO30" s="254">
        <f t="shared" si="68"/>
        <v>1</v>
      </c>
      <c r="EP30" s="253"/>
      <c r="EQ30" s="254"/>
      <c r="ER30" s="254"/>
      <c r="ES30" s="254"/>
      <c r="ET30" s="254" t="e">
        <f t="shared" si="69"/>
        <v>#DIV/0!</v>
      </c>
      <c r="EU30" s="253"/>
      <c r="EV30" s="254"/>
      <c r="EW30" s="254"/>
      <c r="EX30" s="254"/>
      <c r="EY30" s="254" t="e">
        <f t="shared" si="70"/>
        <v>#DIV/0!</v>
      </c>
      <c r="EZ30" s="253"/>
      <c r="FA30" s="254"/>
      <c r="FB30" s="254"/>
      <c r="FC30" s="254"/>
      <c r="FD30" s="254" t="e">
        <f t="shared" si="71"/>
        <v>#DIV/0!</v>
      </c>
      <c r="FE30" s="254">
        <f t="shared" ref="FE30:FE36" si="77">F30+K30+P30+U30+Z30+AE30+AJ30+AO30+AT30+AY30+BD30+BI30+BN30+BS30+BX30+CC30+CH30+CM30+CR30+CW30+DB30+DG30+DL30+DQ30+DV30+EA30+EF30+EK30+EP30+EU30+EZ30</f>
        <v>5992</v>
      </c>
      <c r="FF30" s="254"/>
      <c r="FG30" s="254">
        <f t="shared" si="72"/>
        <v>91</v>
      </c>
      <c r="FH30" s="300">
        <f t="shared" si="76"/>
        <v>5880</v>
      </c>
      <c r="FI30" s="285">
        <f>FH30/FE30*FH30/FE30</f>
        <v>0.962966197921216</v>
      </c>
      <c r="FJ30" s="254">
        <f t="shared" si="73"/>
        <v>1470</v>
      </c>
      <c r="FK30" s="293"/>
      <c r="FL30" s="294"/>
      <c r="FM30" s="323"/>
    </row>
    <row r="31" s="212" customFormat="1" ht="27" customHeight="1" spans="1:169">
      <c r="A31" s="249"/>
      <c r="B31" s="255"/>
      <c r="C31" s="251"/>
      <c r="D31" s="233" t="s">
        <v>13</v>
      </c>
      <c r="E31" s="256">
        <v>0.373</v>
      </c>
      <c r="F31" s="253"/>
      <c r="G31" s="254"/>
      <c r="H31" s="254"/>
      <c r="I31" s="254"/>
      <c r="J31" s="282" t="e">
        <f t="shared" si="43"/>
        <v>#DIV/0!</v>
      </c>
      <c r="K31" s="253"/>
      <c r="L31" s="254"/>
      <c r="M31" s="254"/>
      <c r="N31" s="254"/>
      <c r="O31" s="254" t="e">
        <f t="shared" si="44"/>
        <v>#DIV/0!</v>
      </c>
      <c r="P31" s="253"/>
      <c r="Q31" s="254"/>
      <c r="R31" s="254"/>
      <c r="S31" s="254"/>
      <c r="T31" s="254" t="e">
        <f t="shared" si="45"/>
        <v>#DIV/0!</v>
      </c>
      <c r="U31" s="253"/>
      <c r="V31" s="254"/>
      <c r="W31" s="254"/>
      <c r="X31" s="254"/>
      <c r="Y31" s="254" t="e">
        <f t="shared" si="46"/>
        <v>#DIV/0!</v>
      </c>
      <c r="Z31" s="253"/>
      <c r="AA31" s="254"/>
      <c r="AB31" s="254"/>
      <c r="AC31" s="254"/>
      <c r="AD31" s="254" t="e">
        <f t="shared" si="74"/>
        <v>#DIV/0!</v>
      </c>
      <c r="AE31" s="253"/>
      <c r="AF31" s="254"/>
      <c r="AG31" s="254"/>
      <c r="AH31" s="254"/>
      <c r="AI31" s="254" t="e">
        <f t="shared" si="47"/>
        <v>#DIV/0!</v>
      </c>
      <c r="AJ31" s="253"/>
      <c r="AK31" s="254"/>
      <c r="AL31" s="254"/>
      <c r="AM31" s="254"/>
      <c r="AN31" s="254" t="e">
        <f t="shared" si="48"/>
        <v>#DIV/0!</v>
      </c>
      <c r="AO31" s="253"/>
      <c r="AP31" s="254"/>
      <c r="AQ31" s="254"/>
      <c r="AR31" s="254"/>
      <c r="AS31" s="254" t="e">
        <f t="shared" si="75"/>
        <v>#DIV/0!</v>
      </c>
      <c r="AT31" s="253"/>
      <c r="AU31" s="254"/>
      <c r="AV31" s="254"/>
      <c r="AW31" s="254"/>
      <c r="AX31" s="254" t="e">
        <f t="shared" si="49"/>
        <v>#DIV/0!</v>
      </c>
      <c r="AY31" s="253"/>
      <c r="AZ31" s="254"/>
      <c r="BA31" s="254"/>
      <c r="BB31" s="254"/>
      <c r="BC31" s="254" t="e">
        <f t="shared" si="50"/>
        <v>#DIV/0!</v>
      </c>
      <c r="BD31" s="253"/>
      <c r="BE31" s="254"/>
      <c r="BF31" s="254">
        <v>60</v>
      </c>
      <c r="BG31" s="254"/>
      <c r="BH31" s="254">
        <f t="shared" si="51"/>
        <v>1</v>
      </c>
      <c r="BI31" s="253"/>
      <c r="BJ31" s="254"/>
      <c r="BK31" s="254">
        <v>100</v>
      </c>
      <c r="BL31" s="254"/>
      <c r="BM31" s="254">
        <f t="shared" si="52"/>
        <v>1</v>
      </c>
      <c r="BN31" s="253"/>
      <c r="BO31" s="254"/>
      <c r="BP31" s="254">
        <v>100</v>
      </c>
      <c r="BQ31" s="254"/>
      <c r="BR31" s="254">
        <f t="shared" si="53"/>
        <v>1</v>
      </c>
      <c r="BS31" s="253"/>
      <c r="BT31" s="254"/>
      <c r="BU31" s="254">
        <v>100</v>
      </c>
      <c r="BV31" s="254"/>
      <c r="BW31" s="254">
        <f t="shared" si="54"/>
        <v>1</v>
      </c>
      <c r="BX31" s="253"/>
      <c r="BY31" s="254"/>
      <c r="BZ31" s="254">
        <v>100</v>
      </c>
      <c r="CA31" s="254"/>
      <c r="CB31" s="254">
        <f t="shared" si="55"/>
        <v>1</v>
      </c>
      <c r="CC31" s="253"/>
      <c r="CD31" s="254"/>
      <c r="CE31" s="254">
        <v>100</v>
      </c>
      <c r="CF31" s="254"/>
      <c r="CG31" s="254">
        <f t="shared" si="56"/>
        <v>1</v>
      </c>
      <c r="CH31" s="253"/>
      <c r="CI31" s="254"/>
      <c r="CJ31" s="254">
        <v>100</v>
      </c>
      <c r="CK31" s="254"/>
      <c r="CL31" s="254">
        <f t="shared" si="57"/>
        <v>1</v>
      </c>
      <c r="CM31" s="253"/>
      <c r="CN31" s="254"/>
      <c r="CO31" s="254"/>
      <c r="CP31" s="254"/>
      <c r="CQ31" s="254" t="e">
        <f t="shared" si="58"/>
        <v>#DIV/0!</v>
      </c>
      <c r="CR31" s="253"/>
      <c r="CS31" s="254"/>
      <c r="CT31" s="254"/>
      <c r="CU31" s="254"/>
      <c r="CV31" s="254" t="e">
        <f t="shared" si="59"/>
        <v>#DIV/0!</v>
      </c>
      <c r="CW31" s="253"/>
      <c r="CX31" s="254"/>
      <c r="CY31" s="254"/>
      <c r="CZ31" s="254"/>
      <c r="DA31" s="254" t="e">
        <f t="shared" si="60"/>
        <v>#DIV/0!</v>
      </c>
      <c r="DB31" s="253"/>
      <c r="DC31" s="254"/>
      <c r="DD31" s="254"/>
      <c r="DE31" s="254"/>
      <c r="DF31" s="254" t="e">
        <f t="shared" si="61"/>
        <v>#DIV/0!</v>
      </c>
      <c r="DG31" s="253"/>
      <c r="DH31" s="254"/>
      <c r="DI31" s="254"/>
      <c r="DJ31" s="254"/>
      <c r="DK31" s="254" t="e">
        <f t="shared" si="62"/>
        <v>#DIV/0!</v>
      </c>
      <c r="DL31" s="253"/>
      <c r="DM31" s="254"/>
      <c r="DN31" s="254"/>
      <c r="DO31" s="254"/>
      <c r="DP31" s="254" t="e">
        <f t="shared" si="63"/>
        <v>#DIV/0!</v>
      </c>
      <c r="DQ31" s="253"/>
      <c r="DR31" s="254"/>
      <c r="DS31" s="254"/>
      <c r="DT31" s="254"/>
      <c r="DU31" s="254" t="e">
        <f t="shared" si="64"/>
        <v>#DIV/0!</v>
      </c>
      <c r="DV31" s="253"/>
      <c r="DW31" s="254"/>
      <c r="DX31" s="254"/>
      <c r="DY31" s="254"/>
      <c r="DZ31" s="254" t="e">
        <f t="shared" si="65"/>
        <v>#DIV/0!</v>
      </c>
      <c r="EA31" s="253"/>
      <c r="EB31" s="254"/>
      <c r="EC31" s="254"/>
      <c r="ED31" s="254"/>
      <c r="EE31" s="254" t="e">
        <f t="shared" si="66"/>
        <v>#DIV/0!</v>
      </c>
      <c r="EF31" s="253"/>
      <c r="EG31" s="254"/>
      <c r="EH31" s="254"/>
      <c r="EI31" s="254"/>
      <c r="EJ31" s="254" t="e">
        <f t="shared" si="67"/>
        <v>#DIV/0!</v>
      </c>
      <c r="EK31" s="253"/>
      <c r="EL31" s="254"/>
      <c r="EM31" s="254"/>
      <c r="EN31" s="254"/>
      <c r="EO31" s="254" t="e">
        <f t="shared" si="68"/>
        <v>#DIV/0!</v>
      </c>
      <c r="EP31" s="253"/>
      <c r="EQ31" s="254"/>
      <c r="ER31" s="254"/>
      <c r="ES31" s="254"/>
      <c r="ET31" s="254" t="e">
        <f t="shared" si="69"/>
        <v>#DIV/0!</v>
      </c>
      <c r="EU31" s="253"/>
      <c r="EV31" s="254"/>
      <c r="EW31" s="254"/>
      <c r="EX31" s="254"/>
      <c r="EY31" s="254" t="e">
        <f t="shared" si="70"/>
        <v>#DIV/0!</v>
      </c>
      <c r="EZ31" s="253"/>
      <c r="FA31" s="254"/>
      <c r="FB31" s="254"/>
      <c r="FC31" s="254"/>
      <c r="FD31" s="254" t="e">
        <f t="shared" si="71"/>
        <v>#DIV/0!</v>
      </c>
      <c r="FE31" s="254">
        <f t="shared" si="77"/>
        <v>0</v>
      </c>
      <c r="FF31" s="254"/>
      <c r="FG31" s="254">
        <f t="shared" si="72"/>
        <v>0</v>
      </c>
      <c r="FH31" s="300">
        <f t="shared" si="76"/>
        <v>660</v>
      </c>
      <c r="FI31" s="285" t="e">
        <f>FH31/FE31*FH31/FE31</f>
        <v>#DIV/0!</v>
      </c>
      <c r="FJ31" s="254">
        <f t="shared" si="73"/>
        <v>246.18</v>
      </c>
      <c r="FK31" s="293"/>
      <c r="FL31" s="294"/>
      <c r="FM31" s="323"/>
    </row>
    <row r="32" s="212" customFormat="1" ht="27" customHeight="1" spans="1:169">
      <c r="A32" s="249"/>
      <c r="B32" s="255"/>
      <c r="C32" s="251"/>
      <c r="D32" s="233" t="s">
        <v>14</v>
      </c>
      <c r="E32" s="256">
        <v>0.373</v>
      </c>
      <c r="F32" s="253"/>
      <c r="G32" s="254"/>
      <c r="H32" s="254"/>
      <c r="I32" s="254"/>
      <c r="J32" s="282" t="e">
        <f t="shared" si="43"/>
        <v>#DIV/0!</v>
      </c>
      <c r="K32" s="253"/>
      <c r="L32" s="254"/>
      <c r="M32" s="254"/>
      <c r="N32" s="254"/>
      <c r="O32" s="254" t="e">
        <f t="shared" si="44"/>
        <v>#DIV/0!</v>
      </c>
      <c r="P32" s="253"/>
      <c r="Q32" s="254"/>
      <c r="R32" s="254"/>
      <c r="S32" s="254"/>
      <c r="T32" s="254" t="e">
        <f t="shared" si="45"/>
        <v>#DIV/0!</v>
      </c>
      <c r="U32" s="253"/>
      <c r="V32" s="254"/>
      <c r="W32" s="254"/>
      <c r="X32" s="254"/>
      <c r="Y32" s="254" t="e">
        <f t="shared" si="46"/>
        <v>#DIV/0!</v>
      </c>
      <c r="Z32" s="253"/>
      <c r="AA32" s="254"/>
      <c r="AB32" s="254"/>
      <c r="AC32" s="254"/>
      <c r="AD32" s="254" t="e">
        <f t="shared" si="74"/>
        <v>#DIV/0!</v>
      </c>
      <c r="AE32" s="253"/>
      <c r="AF32" s="254"/>
      <c r="AG32" s="254"/>
      <c r="AH32" s="254"/>
      <c r="AI32" s="254" t="e">
        <f t="shared" si="47"/>
        <v>#DIV/0!</v>
      </c>
      <c r="AJ32" s="253"/>
      <c r="AK32" s="254"/>
      <c r="AL32" s="254"/>
      <c r="AM32" s="254"/>
      <c r="AN32" s="254" t="e">
        <f t="shared" si="48"/>
        <v>#DIV/0!</v>
      </c>
      <c r="AO32" s="253"/>
      <c r="AP32" s="254"/>
      <c r="AQ32" s="254"/>
      <c r="AR32" s="254"/>
      <c r="AS32" s="254" t="e">
        <f t="shared" si="75"/>
        <v>#DIV/0!</v>
      </c>
      <c r="AT32" s="253"/>
      <c r="AU32" s="254"/>
      <c r="AV32" s="254"/>
      <c r="AW32" s="254"/>
      <c r="AX32" s="254" t="e">
        <f t="shared" si="49"/>
        <v>#DIV/0!</v>
      </c>
      <c r="AY32" s="253"/>
      <c r="AZ32" s="254"/>
      <c r="BA32" s="254"/>
      <c r="BB32" s="254"/>
      <c r="BC32" s="254" t="e">
        <f t="shared" si="50"/>
        <v>#DIV/0!</v>
      </c>
      <c r="BD32" s="253"/>
      <c r="BE32" s="254"/>
      <c r="BF32" s="254"/>
      <c r="BG32" s="254"/>
      <c r="BH32" s="254" t="e">
        <f t="shared" si="51"/>
        <v>#DIV/0!</v>
      </c>
      <c r="BI32" s="253"/>
      <c r="BJ32" s="254"/>
      <c r="BK32" s="254"/>
      <c r="BL32" s="254"/>
      <c r="BM32" s="254" t="e">
        <f t="shared" si="52"/>
        <v>#DIV/0!</v>
      </c>
      <c r="BN32" s="253"/>
      <c r="BO32" s="254"/>
      <c r="BP32" s="254"/>
      <c r="BQ32" s="254"/>
      <c r="BR32" s="254" t="e">
        <f t="shared" si="53"/>
        <v>#DIV/0!</v>
      </c>
      <c r="BS32" s="253"/>
      <c r="BT32" s="254"/>
      <c r="BU32" s="254"/>
      <c r="BV32" s="254"/>
      <c r="BW32" s="254" t="e">
        <f t="shared" si="54"/>
        <v>#DIV/0!</v>
      </c>
      <c r="BX32" s="253"/>
      <c r="BY32" s="254"/>
      <c r="BZ32" s="254"/>
      <c r="CA32" s="254"/>
      <c r="CB32" s="254" t="e">
        <f t="shared" si="55"/>
        <v>#DIV/0!</v>
      </c>
      <c r="CC32" s="253"/>
      <c r="CD32" s="254"/>
      <c r="CE32" s="254"/>
      <c r="CF32" s="254"/>
      <c r="CG32" s="254" t="e">
        <f t="shared" si="56"/>
        <v>#DIV/0!</v>
      </c>
      <c r="CH32" s="253"/>
      <c r="CI32" s="254"/>
      <c r="CJ32" s="254"/>
      <c r="CK32" s="254"/>
      <c r="CL32" s="254" t="e">
        <f t="shared" si="57"/>
        <v>#DIV/0!</v>
      </c>
      <c r="CM32" s="253"/>
      <c r="CN32" s="254"/>
      <c r="CO32" s="254"/>
      <c r="CP32" s="254"/>
      <c r="CQ32" s="254" t="e">
        <f t="shared" si="58"/>
        <v>#DIV/0!</v>
      </c>
      <c r="CR32" s="253"/>
      <c r="CS32" s="254"/>
      <c r="CT32" s="254"/>
      <c r="CU32" s="254"/>
      <c r="CV32" s="254" t="e">
        <f t="shared" si="59"/>
        <v>#DIV/0!</v>
      </c>
      <c r="CW32" s="253"/>
      <c r="CX32" s="254"/>
      <c r="CY32" s="254"/>
      <c r="CZ32" s="254"/>
      <c r="DA32" s="254" t="e">
        <f t="shared" si="60"/>
        <v>#DIV/0!</v>
      </c>
      <c r="DB32" s="253"/>
      <c r="DC32" s="254"/>
      <c r="DD32" s="254"/>
      <c r="DE32" s="254"/>
      <c r="DF32" s="254" t="e">
        <f t="shared" si="61"/>
        <v>#DIV/0!</v>
      </c>
      <c r="DG32" s="253"/>
      <c r="DH32" s="254"/>
      <c r="DI32" s="254"/>
      <c r="DJ32" s="254"/>
      <c r="DK32" s="254" t="e">
        <f t="shared" si="62"/>
        <v>#DIV/0!</v>
      </c>
      <c r="DL32" s="253"/>
      <c r="DM32" s="254"/>
      <c r="DN32" s="254"/>
      <c r="DO32" s="254"/>
      <c r="DP32" s="254" t="e">
        <f t="shared" si="63"/>
        <v>#DIV/0!</v>
      </c>
      <c r="DQ32" s="253"/>
      <c r="DR32" s="254"/>
      <c r="DS32" s="254"/>
      <c r="DT32" s="254"/>
      <c r="DU32" s="254" t="e">
        <f t="shared" si="64"/>
        <v>#DIV/0!</v>
      </c>
      <c r="DV32" s="253"/>
      <c r="DW32" s="254"/>
      <c r="DX32" s="254"/>
      <c r="DY32" s="254"/>
      <c r="DZ32" s="254" t="e">
        <f t="shared" si="65"/>
        <v>#DIV/0!</v>
      </c>
      <c r="EA32" s="253"/>
      <c r="EB32" s="254"/>
      <c r="EC32" s="254"/>
      <c r="ED32" s="254"/>
      <c r="EE32" s="254" t="e">
        <f t="shared" si="66"/>
        <v>#DIV/0!</v>
      </c>
      <c r="EF32" s="253"/>
      <c r="EG32" s="254"/>
      <c r="EH32" s="254"/>
      <c r="EI32" s="254"/>
      <c r="EJ32" s="254" t="e">
        <f t="shared" si="67"/>
        <v>#DIV/0!</v>
      </c>
      <c r="EK32" s="253"/>
      <c r="EL32" s="254"/>
      <c r="EM32" s="254"/>
      <c r="EN32" s="254"/>
      <c r="EO32" s="254" t="e">
        <f t="shared" si="68"/>
        <v>#DIV/0!</v>
      </c>
      <c r="EP32" s="253"/>
      <c r="EQ32" s="254"/>
      <c r="ER32" s="254"/>
      <c r="ES32" s="254"/>
      <c r="ET32" s="254" t="e">
        <f t="shared" si="69"/>
        <v>#DIV/0!</v>
      </c>
      <c r="EU32" s="253"/>
      <c r="EV32" s="254"/>
      <c r="EW32" s="254"/>
      <c r="EX32" s="254"/>
      <c r="EY32" s="254" t="e">
        <f t="shared" si="70"/>
        <v>#DIV/0!</v>
      </c>
      <c r="EZ32" s="253"/>
      <c r="FA32" s="254"/>
      <c r="FB32" s="254"/>
      <c r="FC32" s="254"/>
      <c r="FD32" s="254" t="e">
        <f t="shared" si="71"/>
        <v>#DIV/0!</v>
      </c>
      <c r="FE32" s="254">
        <f t="shared" si="77"/>
        <v>0</v>
      </c>
      <c r="FF32" s="254"/>
      <c r="FG32" s="254">
        <f t="shared" si="72"/>
        <v>0</v>
      </c>
      <c r="FH32" s="300">
        <f t="shared" si="76"/>
        <v>0</v>
      </c>
      <c r="FI32" s="301">
        <v>0</v>
      </c>
      <c r="FJ32" s="254">
        <f t="shared" si="73"/>
        <v>0</v>
      </c>
      <c r="FK32" s="293"/>
      <c r="FL32" s="294"/>
      <c r="FM32" s="323"/>
    </row>
    <row r="33" s="212" customFormat="1" ht="27" customHeight="1" spans="1:169">
      <c r="A33" s="249"/>
      <c r="B33" s="255"/>
      <c r="C33" s="251"/>
      <c r="D33" s="233" t="s">
        <v>15</v>
      </c>
      <c r="E33" s="256">
        <v>0.373</v>
      </c>
      <c r="F33" s="253"/>
      <c r="G33" s="254"/>
      <c r="H33" s="254"/>
      <c r="I33" s="254"/>
      <c r="J33" s="282" t="e">
        <f t="shared" si="43"/>
        <v>#DIV/0!</v>
      </c>
      <c r="K33" s="253"/>
      <c r="L33" s="254"/>
      <c r="M33" s="254"/>
      <c r="N33" s="254"/>
      <c r="O33" s="254" t="e">
        <f t="shared" si="44"/>
        <v>#DIV/0!</v>
      </c>
      <c r="P33" s="253"/>
      <c r="Q33" s="254"/>
      <c r="R33" s="254"/>
      <c r="S33" s="254"/>
      <c r="T33" s="254" t="e">
        <f t="shared" si="45"/>
        <v>#DIV/0!</v>
      </c>
      <c r="U33" s="253"/>
      <c r="V33" s="254"/>
      <c r="W33" s="254"/>
      <c r="X33" s="254"/>
      <c r="Y33" s="254" t="e">
        <f t="shared" si="46"/>
        <v>#DIV/0!</v>
      </c>
      <c r="Z33" s="253"/>
      <c r="AA33" s="254"/>
      <c r="AB33" s="254"/>
      <c r="AC33" s="254"/>
      <c r="AD33" s="254" t="e">
        <f t="shared" si="74"/>
        <v>#DIV/0!</v>
      </c>
      <c r="AE33" s="253"/>
      <c r="AF33" s="254"/>
      <c r="AG33" s="254"/>
      <c r="AH33" s="254"/>
      <c r="AI33" s="254" t="e">
        <f t="shared" si="47"/>
        <v>#DIV/0!</v>
      </c>
      <c r="AJ33" s="253"/>
      <c r="AK33" s="254"/>
      <c r="AL33" s="254"/>
      <c r="AM33" s="254"/>
      <c r="AN33" s="254" t="e">
        <f t="shared" si="48"/>
        <v>#DIV/0!</v>
      </c>
      <c r="AO33" s="253"/>
      <c r="AP33" s="254"/>
      <c r="AQ33" s="254"/>
      <c r="AR33" s="254"/>
      <c r="AS33" s="254" t="e">
        <f t="shared" si="75"/>
        <v>#DIV/0!</v>
      </c>
      <c r="AT33" s="253"/>
      <c r="AU33" s="254"/>
      <c r="AV33" s="254"/>
      <c r="AW33" s="254"/>
      <c r="AX33" s="254" t="e">
        <f t="shared" si="49"/>
        <v>#DIV/0!</v>
      </c>
      <c r="AY33" s="253"/>
      <c r="AZ33" s="254"/>
      <c r="BA33" s="254"/>
      <c r="BB33" s="254"/>
      <c r="BC33" s="254" t="e">
        <f t="shared" si="50"/>
        <v>#DIV/0!</v>
      </c>
      <c r="BD33" s="253"/>
      <c r="BE33" s="254"/>
      <c r="BF33" s="254"/>
      <c r="BG33" s="254"/>
      <c r="BH33" s="254" t="e">
        <f t="shared" si="51"/>
        <v>#DIV/0!</v>
      </c>
      <c r="BI33" s="253"/>
      <c r="BJ33" s="254"/>
      <c r="BK33" s="254"/>
      <c r="BL33" s="254"/>
      <c r="BM33" s="254" t="e">
        <f t="shared" si="52"/>
        <v>#DIV/0!</v>
      </c>
      <c r="BN33" s="253"/>
      <c r="BO33" s="254"/>
      <c r="BP33" s="254"/>
      <c r="BQ33" s="254"/>
      <c r="BR33" s="254" t="e">
        <f t="shared" si="53"/>
        <v>#DIV/0!</v>
      </c>
      <c r="BS33" s="253"/>
      <c r="BT33" s="254"/>
      <c r="BU33" s="254"/>
      <c r="BV33" s="254"/>
      <c r="BW33" s="254" t="e">
        <f t="shared" si="54"/>
        <v>#DIV/0!</v>
      </c>
      <c r="BX33" s="253"/>
      <c r="BY33" s="254"/>
      <c r="BZ33" s="254"/>
      <c r="CA33" s="254"/>
      <c r="CB33" s="254" t="e">
        <f t="shared" si="55"/>
        <v>#DIV/0!</v>
      </c>
      <c r="CC33" s="253"/>
      <c r="CD33" s="254"/>
      <c r="CE33" s="254"/>
      <c r="CF33" s="254"/>
      <c r="CG33" s="254" t="e">
        <f t="shared" si="56"/>
        <v>#DIV/0!</v>
      </c>
      <c r="CH33" s="253"/>
      <c r="CI33" s="254"/>
      <c r="CJ33" s="254"/>
      <c r="CK33" s="254"/>
      <c r="CL33" s="254" t="e">
        <f t="shared" si="57"/>
        <v>#DIV/0!</v>
      </c>
      <c r="CM33" s="253"/>
      <c r="CN33" s="254"/>
      <c r="CO33" s="254"/>
      <c r="CP33" s="254"/>
      <c r="CQ33" s="254" t="e">
        <f t="shared" si="58"/>
        <v>#DIV/0!</v>
      </c>
      <c r="CR33" s="253"/>
      <c r="CS33" s="254"/>
      <c r="CT33" s="254"/>
      <c r="CU33" s="254"/>
      <c r="CV33" s="254" t="e">
        <f t="shared" si="59"/>
        <v>#DIV/0!</v>
      </c>
      <c r="CW33" s="253"/>
      <c r="CX33" s="254"/>
      <c r="CY33" s="254"/>
      <c r="CZ33" s="254"/>
      <c r="DA33" s="254" t="e">
        <f t="shared" si="60"/>
        <v>#DIV/0!</v>
      </c>
      <c r="DB33" s="253"/>
      <c r="DC33" s="254"/>
      <c r="DD33" s="254"/>
      <c r="DE33" s="254"/>
      <c r="DF33" s="254" t="e">
        <f t="shared" si="61"/>
        <v>#DIV/0!</v>
      </c>
      <c r="DG33" s="253"/>
      <c r="DH33" s="254"/>
      <c r="DI33" s="254"/>
      <c r="DJ33" s="254"/>
      <c r="DK33" s="254" t="e">
        <f t="shared" si="62"/>
        <v>#DIV/0!</v>
      </c>
      <c r="DL33" s="253"/>
      <c r="DM33" s="254"/>
      <c r="DN33" s="254"/>
      <c r="DO33" s="254"/>
      <c r="DP33" s="254" t="e">
        <f t="shared" si="63"/>
        <v>#DIV/0!</v>
      </c>
      <c r="DQ33" s="253"/>
      <c r="DR33" s="254"/>
      <c r="DS33" s="254"/>
      <c r="DT33" s="254"/>
      <c r="DU33" s="254" t="e">
        <f t="shared" si="64"/>
        <v>#DIV/0!</v>
      </c>
      <c r="DV33" s="253"/>
      <c r="DW33" s="254"/>
      <c r="DX33" s="254"/>
      <c r="DY33" s="254"/>
      <c r="DZ33" s="254" t="e">
        <f t="shared" si="65"/>
        <v>#DIV/0!</v>
      </c>
      <c r="EA33" s="253"/>
      <c r="EB33" s="254"/>
      <c r="EC33" s="254"/>
      <c r="ED33" s="254"/>
      <c r="EE33" s="254" t="e">
        <f t="shared" si="66"/>
        <v>#DIV/0!</v>
      </c>
      <c r="EF33" s="253"/>
      <c r="EG33" s="254"/>
      <c r="EH33" s="254"/>
      <c r="EI33" s="254"/>
      <c r="EJ33" s="254" t="e">
        <f t="shared" si="67"/>
        <v>#DIV/0!</v>
      </c>
      <c r="EK33" s="253"/>
      <c r="EL33" s="254"/>
      <c r="EM33" s="254"/>
      <c r="EN33" s="254"/>
      <c r="EO33" s="254" t="e">
        <f t="shared" si="68"/>
        <v>#DIV/0!</v>
      </c>
      <c r="EP33" s="253"/>
      <c r="EQ33" s="254"/>
      <c r="ER33" s="254"/>
      <c r="ES33" s="254"/>
      <c r="ET33" s="254" t="e">
        <f t="shared" si="69"/>
        <v>#DIV/0!</v>
      </c>
      <c r="EU33" s="253"/>
      <c r="EV33" s="254"/>
      <c r="EW33" s="254"/>
      <c r="EX33" s="254"/>
      <c r="EY33" s="254" t="e">
        <f t="shared" si="70"/>
        <v>#DIV/0!</v>
      </c>
      <c r="EZ33" s="253"/>
      <c r="FA33" s="254"/>
      <c r="FB33" s="254"/>
      <c r="FC33" s="254"/>
      <c r="FD33" s="254" t="e">
        <f t="shared" si="71"/>
        <v>#DIV/0!</v>
      </c>
      <c r="FE33" s="254">
        <f t="shared" si="77"/>
        <v>0</v>
      </c>
      <c r="FF33" s="254"/>
      <c r="FG33" s="254">
        <f t="shared" si="72"/>
        <v>0</v>
      </c>
      <c r="FH33" s="300">
        <f t="shared" si="76"/>
        <v>0</v>
      </c>
      <c r="FI33" s="301">
        <v>0</v>
      </c>
      <c r="FJ33" s="254">
        <f t="shared" si="73"/>
        <v>0</v>
      </c>
      <c r="FK33" s="293"/>
      <c r="FL33" s="294"/>
      <c r="FM33" s="323"/>
    </row>
    <row r="34" s="212" customFormat="1" ht="27" customHeight="1" spans="1:169">
      <c r="A34" s="249"/>
      <c r="B34" s="255"/>
      <c r="C34" s="251"/>
      <c r="D34" s="233" t="s">
        <v>16</v>
      </c>
      <c r="E34" s="256">
        <v>0.373</v>
      </c>
      <c r="F34" s="253"/>
      <c r="G34" s="254"/>
      <c r="H34" s="254"/>
      <c r="I34" s="254"/>
      <c r="J34" s="282" t="e">
        <f t="shared" si="43"/>
        <v>#DIV/0!</v>
      </c>
      <c r="K34" s="253"/>
      <c r="L34" s="254"/>
      <c r="M34" s="254"/>
      <c r="N34" s="254"/>
      <c r="O34" s="254" t="e">
        <f t="shared" si="44"/>
        <v>#DIV/0!</v>
      </c>
      <c r="P34" s="253"/>
      <c r="Q34" s="254"/>
      <c r="R34" s="254"/>
      <c r="S34" s="254"/>
      <c r="T34" s="254" t="e">
        <f t="shared" si="45"/>
        <v>#DIV/0!</v>
      </c>
      <c r="U34" s="253"/>
      <c r="V34" s="254"/>
      <c r="W34" s="254"/>
      <c r="X34" s="254"/>
      <c r="Y34" s="254" t="e">
        <f t="shared" si="46"/>
        <v>#DIV/0!</v>
      </c>
      <c r="Z34" s="253"/>
      <c r="AA34" s="254"/>
      <c r="AB34" s="254"/>
      <c r="AC34" s="254"/>
      <c r="AD34" s="254" t="e">
        <f t="shared" si="74"/>
        <v>#DIV/0!</v>
      </c>
      <c r="AE34" s="253"/>
      <c r="AF34" s="254"/>
      <c r="AG34" s="254"/>
      <c r="AH34" s="254"/>
      <c r="AI34" s="254" t="e">
        <f t="shared" si="47"/>
        <v>#DIV/0!</v>
      </c>
      <c r="AJ34" s="253"/>
      <c r="AK34" s="254"/>
      <c r="AL34" s="254"/>
      <c r="AM34" s="254"/>
      <c r="AN34" s="254" t="e">
        <f t="shared" si="48"/>
        <v>#DIV/0!</v>
      </c>
      <c r="AO34" s="253"/>
      <c r="AP34" s="254"/>
      <c r="AQ34" s="254"/>
      <c r="AR34" s="254"/>
      <c r="AS34" s="254" t="e">
        <f t="shared" si="75"/>
        <v>#DIV/0!</v>
      </c>
      <c r="AT34" s="253"/>
      <c r="AU34" s="254"/>
      <c r="AV34" s="254"/>
      <c r="AW34" s="254"/>
      <c r="AX34" s="254" t="e">
        <f t="shared" si="49"/>
        <v>#DIV/0!</v>
      </c>
      <c r="AY34" s="253"/>
      <c r="AZ34" s="254"/>
      <c r="BA34" s="254"/>
      <c r="BB34" s="254"/>
      <c r="BC34" s="254" t="e">
        <f t="shared" si="50"/>
        <v>#DIV/0!</v>
      </c>
      <c r="BD34" s="253"/>
      <c r="BE34" s="254"/>
      <c r="BF34" s="254"/>
      <c r="BG34" s="254"/>
      <c r="BH34" s="254" t="e">
        <f t="shared" si="51"/>
        <v>#DIV/0!</v>
      </c>
      <c r="BI34" s="253"/>
      <c r="BJ34" s="254"/>
      <c r="BK34" s="254"/>
      <c r="BL34" s="254"/>
      <c r="BM34" s="254" t="e">
        <f t="shared" si="52"/>
        <v>#DIV/0!</v>
      </c>
      <c r="BN34" s="253"/>
      <c r="BO34" s="254"/>
      <c r="BP34" s="254"/>
      <c r="BQ34" s="254"/>
      <c r="BR34" s="254" t="e">
        <f t="shared" si="53"/>
        <v>#DIV/0!</v>
      </c>
      <c r="BS34" s="253"/>
      <c r="BT34" s="254"/>
      <c r="BU34" s="254"/>
      <c r="BV34" s="254"/>
      <c r="BW34" s="254" t="e">
        <f t="shared" si="54"/>
        <v>#DIV/0!</v>
      </c>
      <c r="BX34" s="253"/>
      <c r="BY34" s="254"/>
      <c r="BZ34" s="254"/>
      <c r="CA34" s="254"/>
      <c r="CB34" s="254" t="e">
        <f t="shared" si="55"/>
        <v>#DIV/0!</v>
      </c>
      <c r="CC34" s="253"/>
      <c r="CD34" s="254"/>
      <c r="CE34" s="254"/>
      <c r="CF34" s="254"/>
      <c r="CG34" s="254" t="e">
        <f t="shared" si="56"/>
        <v>#DIV/0!</v>
      </c>
      <c r="CH34" s="253"/>
      <c r="CI34" s="254"/>
      <c r="CJ34" s="254"/>
      <c r="CK34" s="254"/>
      <c r="CL34" s="254" t="e">
        <f t="shared" si="57"/>
        <v>#DIV/0!</v>
      </c>
      <c r="CM34" s="253"/>
      <c r="CN34" s="254"/>
      <c r="CO34" s="254"/>
      <c r="CP34" s="254"/>
      <c r="CQ34" s="254" t="e">
        <f t="shared" si="58"/>
        <v>#DIV/0!</v>
      </c>
      <c r="CR34" s="253"/>
      <c r="CS34" s="254"/>
      <c r="CT34" s="254"/>
      <c r="CU34" s="254"/>
      <c r="CV34" s="254" t="e">
        <f t="shared" si="59"/>
        <v>#DIV/0!</v>
      </c>
      <c r="CW34" s="253"/>
      <c r="CX34" s="254"/>
      <c r="CY34" s="254"/>
      <c r="CZ34" s="254"/>
      <c r="DA34" s="254" t="e">
        <f t="shared" si="60"/>
        <v>#DIV/0!</v>
      </c>
      <c r="DB34" s="253"/>
      <c r="DC34" s="254"/>
      <c r="DD34" s="254"/>
      <c r="DE34" s="254"/>
      <c r="DF34" s="254" t="e">
        <f t="shared" si="61"/>
        <v>#DIV/0!</v>
      </c>
      <c r="DG34" s="253"/>
      <c r="DH34" s="254"/>
      <c r="DI34" s="254"/>
      <c r="DJ34" s="254"/>
      <c r="DK34" s="254" t="e">
        <f t="shared" si="62"/>
        <v>#DIV/0!</v>
      </c>
      <c r="DL34" s="253"/>
      <c r="DM34" s="254"/>
      <c r="DN34" s="254"/>
      <c r="DO34" s="254"/>
      <c r="DP34" s="254" t="e">
        <f t="shared" si="63"/>
        <v>#DIV/0!</v>
      </c>
      <c r="DQ34" s="253"/>
      <c r="DR34" s="254"/>
      <c r="DS34" s="254"/>
      <c r="DT34" s="254"/>
      <c r="DU34" s="254" t="e">
        <f t="shared" si="64"/>
        <v>#DIV/0!</v>
      </c>
      <c r="DV34" s="253"/>
      <c r="DW34" s="254"/>
      <c r="DX34" s="254"/>
      <c r="DY34" s="254"/>
      <c r="DZ34" s="254" t="e">
        <f t="shared" si="65"/>
        <v>#DIV/0!</v>
      </c>
      <c r="EA34" s="253"/>
      <c r="EB34" s="254"/>
      <c r="EC34" s="254"/>
      <c r="ED34" s="254"/>
      <c r="EE34" s="254" t="e">
        <f t="shared" si="66"/>
        <v>#DIV/0!</v>
      </c>
      <c r="EF34" s="253"/>
      <c r="EG34" s="254"/>
      <c r="EH34" s="254"/>
      <c r="EI34" s="254"/>
      <c r="EJ34" s="254" t="e">
        <f t="shared" si="67"/>
        <v>#DIV/0!</v>
      </c>
      <c r="EK34" s="253"/>
      <c r="EL34" s="254"/>
      <c r="EM34" s="254"/>
      <c r="EN34" s="254"/>
      <c r="EO34" s="254" t="e">
        <f t="shared" si="68"/>
        <v>#DIV/0!</v>
      </c>
      <c r="EP34" s="253"/>
      <c r="EQ34" s="254"/>
      <c r="ER34" s="254"/>
      <c r="ES34" s="254"/>
      <c r="ET34" s="254" t="e">
        <f t="shared" si="69"/>
        <v>#DIV/0!</v>
      </c>
      <c r="EU34" s="253"/>
      <c r="EV34" s="254"/>
      <c r="EW34" s="254"/>
      <c r="EX34" s="254"/>
      <c r="EY34" s="254" t="e">
        <f t="shared" si="70"/>
        <v>#DIV/0!</v>
      </c>
      <c r="EZ34" s="253"/>
      <c r="FA34" s="254"/>
      <c r="FB34" s="254"/>
      <c r="FC34" s="254"/>
      <c r="FD34" s="254" t="e">
        <f t="shared" si="71"/>
        <v>#DIV/0!</v>
      </c>
      <c r="FE34" s="254">
        <f t="shared" si="77"/>
        <v>0</v>
      </c>
      <c r="FF34" s="254"/>
      <c r="FG34" s="254">
        <f t="shared" si="72"/>
        <v>0</v>
      </c>
      <c r="FH34" s="300">
        <f t="shared" si="76"/>
        <v>0</v>
      </c>
      <c r="FI34" s="301">
        <v>0</v>
      </c>
      <c r="FJ34" s="254">
        <f t="shared" si="73"/>
        <v>0</v>
      </c>
      <c r="FK34" s="293"/>
      <c r="FL34" s="294"/>
      <c r="FM34" s="323"/>
    </row>
    <row r="35" s="212" customFormat="1" ht="27" customHeight="1" spans="1:169">
      <c r="A35" s="249"/>
      <c r="B35" s="257"/>
      <c r="C35" s="251"/>
      <c r="D35" s="233" t="s">
        <v>17</v>
      </c>
      <c r="E35" s="256">
        <v>0.373</v>
      </c>
      <c r="F35" s="253"/>
      <c r="G35" s="254"/>
      <c r="H35" s="254"/>
      <c r="I35" s="254"/>
      <c r="J35" s="282" t="e">
        <f t="shared" si="43"/>
        <v>#DIV/0!</v>
      </c>
      <c r="K35" s="253"/>
      <c r="L35" s="254"/>
      <c r="M35" s="254"/>
      <c r="N35" s="254"/>
      <c r="O35" s="254" t="e">
        <f t="shared" si="44"/>
        <v>#DIV/0!</v>
      </c>
      <c r="P35" s="253"/>
      <c r="Q35" s="254"/>
      <c r="R35" s="254"/>
      <c r="S35" s="254"/>
      <c r="T35" s="254" t="e">
        <f t="shared" si="45"/>
        <v>#DIV/0!</v>
      </c>
      <c r="U35" s="253"/>
      <c r="V35" s="254"/>
      <c r="W35" s="254"/>
      <c r="X35" s="254"/>
      <c r="Y35" s="254" t="e">
        <f t="shared" si="46"/>
        <v>#DIV/0!</v>
      </c>
      <c r="Z35" s="253"/>
      <c r="AA35" s="254"/>
      <c r="AB35" s="254"/>
      <c r="AC35" s="254"/>
      <c r="AD35" s="254" t="e">
        <f t="shared" si="74"/>
        <v>#DIV/0!</v>
      </c>
      <c r="AE35" s="253"/>
      <c r="AF35" s="254"/>
      <c r="AG35" s="254"/>
      <c r="AH35" s="254"/>
      <c r="AI35" s="254" t="e">
        <f t="shared" si="47"/>
        <v>#DIV/0!</v>
      </c>
      <c r="AJ35" s="253"/>
      <c r="AK35" s="254"/>
      <c r="AL35" s="254"/>
      <c r="AM35" s="254"/>
      <c r="AN35" s="254" t="e">
        <f t="shared" si="48"/>
        <v>#DIV/0!</v>
      </c>
      <c r="AO35" s="253"/>
      <c r="AP35" s="254"/>
      <c r="AQ35" s="254"/>
      <c r="AR35" s="254"/>
      <c r="AS35" s="254" t="e">
        <f t="shared" si="75"/>
        <v>#DIV/0!</v>
      </c>
      <c r="AT35" s="253"/>
      <c r="AU35" s="254"/>
      <c r="AV35" s="254"/>
      <c r="AW35" s="254"/>
      <c r="AX35" s="254" t="e">
        <f t="shared" si="49"/>
        <v>#DIV/0!</v>
      </c>
      <c r="AY35" s="253"/>
      <c r="AZ35" s="254"/>
      <c r="BA35" s="254"/>
      <c r="BB35" s="254"/>
      <c r="BC35" s="254" t="e">
        <f t="shared" si="50"/>
        <v>#DIV/0!</v>
      </c>
      <c r="BD35" s="253"/>
      <c r="BE35" s="254"/>
      <c r="BF35" s="254"/>
      <c r="BG35" s="254"/>
      <c r="BH35" s="254" t="e">
        <f t="shared" si="51"/>
        <v>#DIV/0!</v>
      </c>
      <c r="BI35" s="253"/>
      <c r="BJ35" s="254"/>
      <c r="BK35" s="254"/>
      <c r="BL35" s="254"/>
      <c r="BM35" s="254" t="e">
        <f t="shared" si="52"/>
        <v>#DIV/0!</v>
      </c>
      <c r="BN35" s="253"/>
      <c r="BO35" s="254"/>
      <c r="BP35" s="254"/>
      <c r="BQ35" s="254"/>
      <c r="BR35" s="254" t="e">
        <f t="shared" si="53"/>
        <v>#DIV/0!</v>
      </c>
      <c r="BS35" s="253"/>
      <c r="BT35" s="254"/>
      <c r="BU35" s="254"/>
      <c r="BV35" s="254"/>
      <c r="BW35" s="254" t="e">
        <f t="shared" si="54"/>
        <v>#DIV/0!</v>
      </c>
      <c r="BX35" s="253"/>
      <c r="BY35" s="254"/>
      <c r="BZ35" s="254"/>
      <c r="CA35" s="254"/>
      <c r="CB35" s="254" t="e">
        <f t="shared" si="55"/>
        <v>#DIV/0!</v>
      </c>
      <c r="CC35" s="253"/>
      <c r="CD35" s="254"/>
      <c r="CE35" s="254"/>
      <c r="CF35" s="254"/>
      <c r="CG35" s="254" t="e">
        <f t="shared" si="56"/>
        <v>#DIV/0!</v>
      </c>
      <c r="CH35" s="253"/>
      <c r="CI35" s="254"/>
      <c r="CJ35" s="254"/>
      <c r="CK35" s="254"/>
      <c r="CL35" s="254" t="e">
        <f t="shared" si="57"/>
        <v>#DIV/0!</v>
      </c>
      <c r="CM35" s="253"/>
      <c r="CN35" s="254"/>
      <c r="CO35" s="254"/>
      <c r="CP35" s="254"/>
      <c r="CQ35" s="254" t="e">
        <f t="shared" si="58"/>
        <v>#DIV/0!</v>
      </c>
      <c r="CR35" s="253"/>
      <c r="CS35" s="254"/>
      <c r="CT35" s="254"/>
      <c r="CU35" s="254"/>
      <c r="CV35" s="254" t="e">
        <f t="shared" si="59"/>
        <v>#DIV/0!</v>
      </c>
      <c r="CW35" s="253"/>
      <c r="CX35" s="254"/>
      <c r="CY35" s="254"/>
      <c r="CZ35" s="254"/>
      <c r="DA35" s="254" t="e">
        <f t="shared" si="60"/>
        <v>#DIV/0!</v>
      </c>
      <c r="DB35" s="253"/>
      <c r="DC35" s="254"/>
      <c r="DD35" s="254"/>
      <c r="DE35" s="254"/>
      <c r="DF35" s="254" t="e">
        <f t="shared" si="61"/>
        <v>#DIV/0!</v>
      </c>
      <c r="DG35" s="253"/>
      <c r="DH35" s="254"/>
      <c r="DI35" s="254"/>
      <c r="DJ35" s="254"/>
      <c r="DK35" s="254" t="e">
        <f t="shared" si="62"/>
        <v>#DIV/0!</v>
      </c>
      <c r="DL35" s="253"/>
      <c r="DM35" s="254"/>
      <c r="DN35" s="254"/>
      <c r="DO35" s="254"/>
      <c r="DP35" s="254" t="e">
        <f t="shared" si="63"/>
        <v>#DIV/0!</v>
      </c>
      <c r="DQ35" s="253"/>
      <c r="DR35" s="254"/>
      <c r="DS35" s="254"/>
      <c r="DT35" s="254"/>
      <c r="DU35" s="254" t="e">
        <f t="shared" si="64"/>
        <v>#DIV/0!</v>
      </c>
      <c r="DV35" s="253"/>
      <c r="DW35" s="254"/>
      <c r="DX35" s="254"/>
      <c r="DY35" s="254"/>
      <c r="DZ35" s="254" t="e">
        <f t="shared" si="65"/>
        <v>#DIV/0!</v>
      </c>
      <c r="EA35" s="253"/>
      <c r="EB35" s="254"/>
      <c r="EC35" s="254"/>
      <c r="ED35" s="254"/>
      <c r="EE35" s="254" t="e">
        <f t="shared" si="66"/>
        <v>#DIV/0!</v>
      </c>
      <c r="EF35" s="253"/>
      <c r="EG35" s="254"/>
      <c r="EH35" s="254"/>
      <c r="EI35" s="254"/>
      <c r="EJ35" s="254" t="e">
        <f t="shared" si="67"/>
        <v>#DIV/0!</v>
      </c>
      <c r="EK35" s="253"/>
      <c r="EL35" s="254"/>
      <c r="EM35" s="254"/>
      <c r="EN35" s="254"/>
      <c r="EO35" s="254" t="e">
        <f t="shared" si="68"/>
        <v>#DIV/0!</v>
      </c>
      <c r="EP35" s="253"/>
      <c r="EQ35" s="254"/>
      <c r="ER35" s="254"/>
      <c r="ES35" s="254"/>
      <c r="ET35" s="254" t="e">
        <f t="shared" si="69"/>
        <v>#DIV/0!</v>
      </c>
      <c r="EU35" s="253"/>
      <c r="EV35" s="254"/>
      <c r="EW35" s="254"/>
      <c r="EX35" s="254"/>
      <c r="EY35" s="254" t="e">
        <f t="shared" si="70"/>
        <v>#DIV/0!</v>
      </c>
      <c r="EZ35" s="253"/>
      <c r="FA35" s="254"/>
      <c r="FB35" s="254"/>
      <c r="FC35" s="254"/>
      <c r="FD35" s="254" t="e">
        <f t="shared" si="71"/>
        <v>#DIV/0!</v>
      </c>
      <c r="FE35" s="254">
        <f t="shared" si="77"/>
        <v>0</v>
      </c>
      <c r="FF35" s="254"/>
      <c r="FG35" s="254">
        <f t="shared" si="72"/>
        <v>0</v>
      </c>
      <c r="FH35" s="300">
        <f t="shared" si="76"/>
        <v>0</v>
      </c>
      <c r="FI35" s="301">
        <v>0</v>
      </c>
      <c r="FJ35" s="254">
        <f t="shared" si="73"/>
        <v>0</v>
      </c>
      <c r="FK35" s="295"/>
      <c r="FL35" s="296"/>
      <c r="FM35" s="324"/>
    </row>
    <row r="36" s="213" customFormat="1" ht="27" hidden="1" customHeight="1" spans="1:167">
      <c r="A36" s="233"/>
      <c r="B36" s="258"/>
      <c r="C36" s="259"/>
      <c r="D36" s="233" t="s">
        <v>54</v>
      </c>
      <c r="E36" s="260">
        <v>0.373</v>
      </c>
      <c r="F36" s="261"/>
      <c r="G36" s="262"/>
      <c r="H36" s="262"/>
      <c r="I36" s="262"/>
      <c r="J36" s="282" t="e">
        <f t="shared" si="43"/>
        <v>#DIV/0!</v>
      </c>
      <c r="K36" s="261"/>
      <c r="L36" s="262"/>
      <c r="M36" s="262"/>
      <c r="N36" s="262"/>
      <c r="O36" s="262" t="e">
        <f t="shared" si="44"/>
        <v>#DIV/0!</v>
      </c>
      <c r="P36" s="261"/>
      <c r="Q36" s="262"/>
      <c r="R36" s="262"/>
      <c r="S36" s="262"/>
      <c r="T36" s="262" t="e">
        <f t="shared" si="45"/>
        <v>#DIV/0!</v>
      </c>
      <c r="U36" s="261"/>
      <c r="V36" s="262"/>
      <c r="W36" s="262"/>
      <c r="X36" s="262"/>
      <c r="Y36" s="262" t="e">
        <f t="shared" si="46"/>
        <v>#DIV/0!</v>
      </c>
      <c r="Z36" s="261"/>
      <c r="AA36" s="262"/>
      <c r="AB36" s="262"/>
      <c r="AC36" s="262"/>
      <c r="AD36" s="262" t="e">
        <f t="shared" si="74"/>
        <v>#DIV/0!</v>
      </c>
      <c r="AE36" s="261"/>
      <c r="AF36" s="262"/>
      <c r="AG36" s="262"/>
      <c r="AH36" s="262"/>
      <c r="AI36" s="262" t="e">
        <f t="shared" si="47"/>
        <v>#DIV/0!</v>
      </c>
      <c r="AJ36" s="261"/>
      <c r="AK36" s="262"/>
      <c r="AL36" s="262"/>
      <c r="AM36" s="262"/>
      <c r="AN36" s="262" t="e">
        <f t="shared" si="48"/>
        <v>#DIV/0!</v>
      </c>
      <c r="AO36" s="261"/>
      <c r="AP36" s="262"/>
      <c r="AQ36" s="262"/>
      <c r="AR36" s="262"/>
      <c r="AS36" s="262" t="e">
        <f t="shared" si="75"/>
        <v>#DIV/0!</v>
      </c>
      <c r="AT36" s="261"/>
      <c r="AU36" s="262"/>
      <c r="AV36" s="262"/>
      <c r="AW36" s="262"/>
      <c r="AX36" s="262" t="e">
        <f t="shared" si="49"/>
        <v>#DIV/0!</v>
      </c>
      <c r="AY36" s="261"/>
      <c r="AZ36" s="262"/>
      <c r="BA36" s="262"/>
      <c r="BB36" s="262"/>
      <c r="BC36" s="262" t="e">
        <f t="shared" si="50"/>
        <v>#DIV/0!</v>
      </c>
      <c r="BD36" s="261"/>
      <c r="BE36" s="262"/>
      <c r="BF36" s="262"/>
      <c r="BG36" s="262"/>
      <c r="BH36" s="262" t="e">
        <f t="shared" si="51"/>
        <v>#DIV/0!</v>
      </c>
      <c r="BI36" s="261"/>
      <c r="BJ36" s="262"/>
      <c r="BK36" s="262"/>
      <c r="BL36" s="262"/>
      <c r="BM36" s="262" t="e">
        <f t="shared" si="52"/>
        <v>#DIV/0!</v>
      </c>
      <c r="BN36" s="261"/>
      <c r="BO36" s="262"/>
      <c r="BP36" s="262"/>
      <c r="BQ36" s="262"/>
      <c r="BR36" s="262" t="e">
        <f t="shared" si="53"/>
        <v>#DIV/0!</v>
      </c>
      <c r="BS36" s="261"/>
      <c r="BT36" s="262"/>
      <c r="BU36" s="262"/>
      <c r="BV36" s="262"/>
      <c r="BW36" s="262" t="e">
        <f t="shared" si="54"/>
        <v>#DIV/0!</v>
      </c>
      <c r="BX36" s="261"/>
      <c r="BY36" s="262"/>
      <c r="BZ36" s="262"/>
      <c r="CA36" s="262"/>
      <c r="CB36" s="262" t="e">
        <f t="shared" si="55"/>
        <v>#DIV/0!</v>
      </c>
      <c r="CC36" s="261"/>
      <c r="CD36" s="262"/>
      <c r="CE36" s="262"/>
      <c r="CF36" s="262"/>
      <c r="CG36" s="262" t="e">
        <f t="shared" si="56"/>
        <v>#DIV/0!</v>
      </c>
      <c r="CH36" s="261"/>
      <c r="CI36" s="262"/>
      <c r="CJ36" s="262"/>
      <c r="CK36" s="262"/>
      <c r="CL36" s="262" t="e">
        <f t="shared" si="57"/>
        <v>#DIV/0!</v>
      </c>
      <c r="CM36" s="261"/>
      <c r="CN36" s="262"/>
      <c r="CO36" s="262"/>
      <c r="CP36" s="262"/>
      <c r="CQ36" s="262" t="e">
        <f t="shared" si="58"/>
        <v>#DIV/0!</v>
      </c>
      <c r="CR36" s="261"/>
      <c r="CS36" s="262"/>
      <c r="CT36" s="262"/>
      <c r="CU36" s="262"/>
      <c r="CV36" s="262" t="e">
        <f t="shared" si="59"/>
        <v>#DIV/0!</v>
      </c>
      <c r="CW36" s="261"/>
      <c r="CX36" s="262"/>
      <c r="CY36" s="262"/>
      <c r="CZ36" s="262"/>
      <c r="DA36" s="262" t="e">
        <f t="shared" si="60"/>
        <v>#DIV/0!</v>
      </c>
      <c r="DB36" s="261"/>
      <c r="DC36" s="262"/>
      <c r="DD36" s="262"/>
      <c r="DE36" s="262"/>
      <c r="DF36" s="262" t="e">
        <f t="shared" si="61"/>
        <v>#DIV/0!</v>
      </c>
      <c r="DG36" s="261"/>
      <c r="DH36" s="262"/>
      <c r="DI36" s="262"/>
      <c r="DJ36" s="262"/>
      <c r="DK36" s="262" t="e">
        <f t="shared" si="62"/>
        <v>#DIV/0!</v>
      </c>
      <c r="DL36" s="261"/>
      <c r="DM36" s="262"/>
      <c r="DN36" s="262"/>
      <c r="DO36" s="262"/>
      <c r="DP36" s="262" t="e">
        <f t="shared" si="63"/>
        <v>#DIV/0!</v>
      </c>
      <c r="DQ36" s="261"/>
      <c r="DR36" s="262"/>
      <c r="DS36" s="262"/>
      <c r="DT36" s="262"/>
      <c r="DU36" s="262" t="e">
        <f t="shared" si="64"/>
        <v>#DIV/0!</v>
      </c>
      <c r="DV36" s="261"/>
      <c r="DW36" s="262"/>
      <c r="DX36" s="262"/>
      <c r="DY36" s="262"/>
      <c r="DZ36" s="262" t="e">
        <f t="shared" si="65"/>
        <v>#DIV/0!</v>
      </c>
      <c r="EA36" s="261"/>
      <c r="EB36" s="262"/>
      <c r="EC36" s="262"/>
      <c r="ED36" s="262"/>
      <c r="EE36" s="262" t="e">
        <f t="shared" si="66"/>
        <v>#DIV/0!</v>
      </c>
      <c r="EF36" s="261"/>
      <c r="EG36" s="262"/>
      <c r="EH36" s="262"/>
      <c r="EI36" s="262"/>
      <c r="EJ36" s="262" t="e">
        <f t="shared" si="67"/>
        <v>#DIV/0!</v>
      </c>
      <c r="EK36" s="261"/>
      <c r="EL36" s="262"/>
      <c r="EM36" s="262"/>
      <c r="EN36" s="262"/>
      <c r="EO36" s="262" t="e">
        <f t="shared" si="68"/>
        <v>#DIV/0!</v>
      </c>
      <c r="EP36" s="261"/>
      <c r="EQ36" s="262"/>
      <c r="ER36" s="262"/>
      <c r="ES36" s="262"/>
      <c r="ET36" s="262" t="e">
        <f t="shared" si="69"/>
        <v>#DIV/0!</v>
      </c>
      <c r="EU36" s="261"/>
      <c r="EV36" s="262"/>
      <c r="EW36" s="262"/>
      <c r="EX36" s="262"/>
      <c r="EY36" s="262" t="e">
        <f t="shared" si="70"/>
        <v>#DIV/0!</v>
      </c>
      <c r="EZ36" s="261"/>
      <c r="FA36" s="262"/>
      <c r="FB36" s="262"/>
      <c r="FC36" s="262"/>
      <c r="FD36" s="262" t="e">
        <f t="shared" si="71"/>
        <v>#DIV/0!</v>
      </c>
      <c r="FE36" s="254">
        <f t="shared" si="77"/>
        <v>0</v>
      </c>
      <c r="FF36" s="262"/>
      <c r="FG36" s="262">
        <f t="shared" si="72"/>
        <v>0</v>
      </c>
      <c r="FH36" s="302">
        <f t="shared" si="76"/>
        <v>0</v>
      </c>
      <c r="FI36" s="303" t="e">
        <f>FH36/FE36*FH36/FE36</f>
        <v>#DIV/0!</v>
      </c>
      <c r="FJ36" s="262">
        <f t="shared" si="73"/>
        <v>0</v>
      </c>
      <c r="FK36" s="304"/>
    </row>
    <row r="37" s="214" customFormat="1" ht="27" customHeight="1" spans="1:169">
      <c r="A37" s="263">
        <v>7</v>
      </c>
      <c r="B37" s="264" t="s">
        <v>28</v>
      </c>
      <c r="C37" s="265"/>
      <c r="D37" s="266" t="s">
        <v>8</v>
      </c>
      <c r="E37" s="267">
        <v>0.4</v>
      </c>
      <c r="F37" s="268"/>
      <c r="G37" s="268"/>
      <c r="H37" s="269"/>
      <c r="I37" s="269"/>
      <c r="J37" s="269" t="e">
        <f t="shared" ref="J37:J86" si="78">H37/(H37+I37)*H37/(H37+I37)</f>
        <v>#DIV/0!</v>
      </c>
      <c r="K37" s="268"/>
      <c r="L37" s="268"/>
      <c r="M37" s="269"/>
      <c r="N37" s="269"/>
      <c r="O37" s="269" t="e">
        <f t="shared" ref="O37:O86" si="79">M37/(M37+N37)*M37/(M37+N37)</f>
        <v>#DIV/0!</v>
      </c>
      <c r="P37" s="268"/>
      <c r="Q37" s="268"/>
      <c r="R37" s="269">
        <v>82</v>
      </c>
      <c r="S37" s="269"/>
      <c r="T37" s="269">
        <f t="shared" ref="T37:T86" si="80">R37/(R37+S37)*R37/(R37+S37)</f>
        <v>1</v>
      </c>
      <c r="U37" s="268"/>
      <c r="V37" s="268"/>
      <c r="W37" s="269">
        <v>49</v>
      </c>
      <c r="X37" s="269"/>
      <c r="Y37" s="269">
        <f t="shared" ref="Y37:Y86" si="81">W37/(W37+X37)*W37/(W37+X37)</f>
        <v>1</v>
      </c>
      <c r="Z37" s="268"/>
      <c r="AA37" s="268"/>
      <c r="AB37" s="269"/>
      <c r="AC37" s="269"/>
      <c r="AD37" s="269" t="e">
        <f t="shared" ref="AD37:AD86" si="82">AB37/(AB37+AC37)*AB37/(AB37+AC37)</f>
        <v>#DIV/0!</v>
      </c>
      <c r="AE37" s="268"/>
      <c r="AF37" s="268"/>
      <c r="AG37" s="269"/>
      <c r="AH37" s="269"/>
      <c r="AI37" s="269" t="e">
        <f t="shared" ref="AI37:AI86" si="83">AG37/(AG37+AH37)*AG37/(AG37+AH37)</f>
        <v>#DIV/0!</v>
      </c>
      <c r="AJ37" s="268"/>
      <c r="AK37" s="268"/>
      <c r="AL37" s="269"/>
      <c r="AM37" s="269"/>
      <c r="AN37" s="269" t="e">
        <f t="shared" ref="AN37:AN86" si="84">AL37/(AL37+AM37)*AL37/(AL37+AM37)</f>
        <v>#DIV/0!</v>
      </c>
      <c r="AO37" s="268"/>
      <c r="AP37" s="268"/>
      <c r="AQ37" s="269"/>
      <c r="AR37" s="269"/>
      <c r="AS37" s="269" t="e">
        <f t="shared" si="75"/>
        <v>#DIV/0!</v>
      </c>
      <c r="AT37" s="268"/>
      <c r="AU37" s="268"/>
      <c r="AV37" s="269"/>
      <c r="AW37" s="269"/>
      <c r="AX37" s="269" t="e">
        <f t="shared" ref="AX37:AX86" si="85">AV37/(AV37+AW37)*AV37/(AV37+AW37)</f>
        <v>#DIV/0!</v>
      </c>
      <c r="AY37" s="268"/>
      <c r="AZ37" s="268"/>
      <c r="BA37" s="269"/>
      <c r="BB37" s="269"/>
      <c r="BC37" s="269" t="e">
        <f t="shared" ref="BC37:BC86" si="86">BA37/(BA37+BB37)*BA37/(BA37+BB37)</f>
        <v>#DIV/0!</v>
      </c>
      <c r="BD37" s="268"/>
      <c r="BE37" s="268"/>
      <c r="BF37" s="269"/>
      <c r="BG37" s="269"/>
      <c r="BH37" s="269" t="e">
        <f t="shared" ref="BH37:BH86" si="87">BF37/(BF37+BG37)*BF37/(BF37+BG37)</f>
        <v>#DIV/0!</v>
      </c>
      <c r="BI37" s="268"/>
      <c r="BJ37" s="268"/>
      <c r="BK37" s="269"/>
      <c r="BL37" s="269"/>
      <c r="BM37" s="269" t="e">
        <f t="shared" ref="BM37:BM86" si="88">BK37/(BK37+BL37)*BK37/(BK37+BL37)</f>
        <v>#DIV/0!</v>
      </c>
      <c r="BN37" s="268"/>
      <c r="BO37" s="268"/>
      <c r="BP37" s="269"/>
      <c r="BQ37" s="269"/>
      <c r="BR37" s="269" t="e">
        <f t="shared" ref="BR37:BR86" si="89">BP37/(BP37+BQ37)*BP37/(BP37+BQ37)</f>
        <v>#DIV/0!</v>
      </c>
      <c r="BS37" s="268"/>
      <c r="BT37" s="268"/>
      <c r="BU37" s="269"/>
      <c r="BV37" s="269"/>
      <c r="BW37" s="269" t="e">
        <f t="shared" ref="BW37:BW86" si="90">BU37/(BU37+BV37)*BU37/(BU37+BV37)</f>
        <v>#DIV/0!</v>
      </c>
      <c r="BX37" s="268"/>
      <c r="BY37" s="268"/>
      <c r="BZ37" s="269"/>
      <c r="CA37" s="269"/>
      <c r="CB37" s="269" t="e">
        <f t="shared" ref="CB37:CB86" si="91">BZ37/(BZ37+CA37)*BZ37/(BZ37+CA37)</f>
        <v>#DIV/0!</v>
      </c>
      <c r="CC37" s="268"/>
      <c r="CD37" s="268"/>
      <c r="CE37" s="269"/>
      <c r="CF37" s="269"/>
      <c r="CG37" s="269" t="e">
        <f t="shared" ref="CG37:CG86" si="92">CE37/(CE37+CF37)*CE37/(CE37+CF37)</f>
        <v>#DIV/0!</v>
      </c>
      <c r="CH37" s="268"/>
      <c r="CI37" s="268"/>
      <c r="CJ37" s="269"/>
      <c r="CK37" s="269"/>
      <c r="CL37" s="269" t="e">
        <f t="shared" ref="CL37:CL86" si="93">CJ37/(CJ37+CK37)*CJ37/(CJ37+CK37)</f>
        <v>#DIV/0!</v>
      </c>
      <c r="CM37" s="268"/>
      <c r="CN37" s="268"/>
      <c r="CO37" s="269"/>
      <c r="CP37" s="269"/>
      <c r="CQ37" s="269" t="e">
        <f t="shared" ref="CQ37:CQ86" si="94">CO37/(CO37+CP37)*CO37/(CO37+CP37)</f>
        <v>#DIV/0!</v>
      </c>
      <c r="CR37" s="268"/>
      <c r="CS37" s="268"/>
      <c r="CT37" s="269"/>
      <c r="CU37" s="269"/>
      <c r="CV37" s="269" t="e">
        <f t="shared" ref="CV37:CV86" si="95">CT37/(CT37+CU37)*CT37/(CT37+CU37)</f>
        <v>#DIV/0!</v>
      </c>
      <c r="CW37" s="268"/>
      <c r="CX37" s="268"/>
      <c r="CY37" s="269">
        <v>237</v>
      </c>
      <c r="CZ37" s="269"/>
      <c r="DA37" s="269">
        <f t="shared" ref="DA37:DA86" si="96">CY37/(CY37+CZ37)*CY37/(CY37+CZ37)</f>
        <v>1</v>
      </c>
      <c r="DB37" s="268"/>
      <c r="DC37" s="268"/>
      <c r="DD37" s="269"/>
      <c r="DE37" s="269"/>
      <c r="DF37" s="269" t="e">
        <f t="shared" ref="DF37:DF86" si="97">DD37/(DD37+DE37)*DD37/(DD37+DE37)</f>
        <v>#DIV/0!</v>
      </c>
      <c r="DG37" s="268"/>
      <c r="DH37" s="268"/>
      <c r="DI37" s="269"/>
      <c r="DJ37" s="269"/>
      <c r="DK37" s="269" t="e">
        <f t="shared" ref="DK37:DK86" si="98">DI37/(DI37+DJ37)*DI37/(DI37+DJ37)</f>
        <v>#DIV/0!</v>
      </c>
      <c r="DL37" s="268"/>
      <c r="DM37" s="268"/>
      <c r="DN37" s="269"/>
      <c r="DO37" s="269"/>
      <c r="DP37" s="269" t="e">
        <f t="shared" ref="DP37:DP86" si="99">DN37/(DN37+DO37)*DN37/(DN37+DO37)</f>
        <v>#DIV/0!</v>
      </c>
      <c r="DQ37" s="268"/>
      <c r="DR37" s="268"/>
      <c r="DS37" s="269">
        <v>40</v>
      </c>
      <c r="DT37" s="269"/>
      <c r="DU37" s="269">
        <f t="shared" ref="DU37:DU86" si="100">DS37/(DS37+DT37)*DS37/(DS37+DT37)</f>
        <v>1</v>
      </c>
      <c r="DV37" s="268"/>
      <c r="DW37" s="268"/>
      <c r="DX37" s="269"/>
      <c r="DY37" s="269"/>
      <c r="DZ37" s="269" t="e">
        <f t="shared" ref="DZ37:DZ86" si="101">DX37/(DX37+DY37)*DX37/(DX37+DY37)</f>
        <v>#DIV/0!</v>
      </c>
      <c r="EA37" s="268"/>
      <c r="EB37" s="268"/>
      <c r="EC37" s="269"/>
      <c r="ED37" s="269"/>
      <c r="EE37" s="269" t="e">
        <f t="shared" ref="EE37:EE86" si="102">EC37/(EC37+ED37)*EC37/(EC37+ED37)</f>
        <v>#DIV/0!</v>
      </c>
      <c r="EF37" s="268"/>
      <c r="EG37" s="268"/>
      <c r="EH37" s="269"/>
      <c r="EI37" s="269"/>
      <c r="EJ37" s="269" t="e">
        <f t="shared" ref="EJ37:EJ86" si="103">EH37/(EH37+EI37)*EH37/(EH37+EI37)</f>
        <v>#DIV/0!</v>
      </c>
      <c r="EK37" s="268"/>
      <c r="EL37" s="268"/>
      <c r="EM37" s="269"/>
      <c r="EN37" s="269"/>
      <c r="EO37" s="269" t="e">
        <f t="shared" ref="EO37:EO86" si="104">EM37/(EM37+EN37)*EM37/(EM37+EN37)</f>
        <v>#DIV/0!</v>
      </c>
      <c r="EP37" s="268"/>
      <c r="EQ37" s="268"/>
      <c r="ER37" s="269"/>
      <c r="ES37" s="269"/>
      <c r="ET37" s="269" t="e">
        <f t="shared" ref="ET37:ET86" si="105">ER37/(ER37+ES37)*ER37/(ER37+ES37)</f>
        <v>#DIV/0!</v>
      </c>
      <c r="EU37" s="268"/>
      <c r="EV37" s="268"/>
      <c r="EW37" s="269">
        <v>210</v>
      </c>
      <c r="EX37" s="269"/>
      <c r="EY37" s="269">
        <f t="shared" ref="EY37:EY86" si="106">EW37/(EW37+EX37)*EW37/(EW37+EX37)</f>
        <v>1</v>
      </c>
      <c r="EZ37" s="268"/>
      <c r="FA37" s="268"/>
      <c r="FB37" s="269"/>
      <c r="FC37" s="269"/>
      <c r="FD37" s="269" t="e">
        <f t="shared" ref="FD37:FD86" si="107">FB37/(FB37+FC37)*FB37/(FB37+FC37)</f>
        <v>#DIV/0!</v>
      </c>
      <c r="FE37" s="269">
        <f t="shared" ref="FE37:FE68" si="108">F37+K37+P37+U37+Z37+AE37+AJ37+AO37+AT37+AY37+BD37+BI37+BN37+BS37+BX37+CC37+CH37+CM37+CR37+CW37+DB37+DG37+DL37+DQ37+DV37+EA37+EF37+EK37+EP37+EU37+EZ37</f>
        <v>0</v>
      </c>
      <c r="FF37" s="269"/>
      <c r="FG37" s="269">
        <f t="shared" ref="FG37:FG86" si="109">FA37+EQ37+EL37+EG37+EB37+DW37+DR37+DM37+DH37+DC37+CX37+CS37+CN37+CI37+CD37+BY37+BT37+BO37+BJ37+BE37+AZ37+AU37+AP37+AK37+AF37+AA37+V37+Q37+L37+G37</f>
        <v>0</v>
      </c>
      <c r="FH37" s="305">
        <f t="shared" ref="FH37:FH89" si="110">FB37+EW37+ER37+EM37+EH37+EC37+DX37+DS37+DN37+DI37+DD37+CY37+CT37+CO37+CJ37+CE37+BZ37+BU37+BP37+BK37+BF37+BA37+AV37+AQ37+AL37+AG37+AB37+W37+R37+M37+H37</f>
        <v>618</v>
      </c>
      <c r="FI37" s="306" t="e">
        <f t="shared" ref="FI37:FI86" si="111">FH37/FE37*FH37/FE37</f>
        <v>#DIV/0!</v>
      </c>
      <c r="FJ37" s="269">
        <f t="shared" ref="FJ37:FJ86" si="112">FH37*E37</f>
        <v>247.2</v>
      </c>
      <c r="FK37" s="307">
        <f>FJ37+FJ38+FJ39+FJ40+FJ41+FJ42+FJ43+FJ44+FJ45+FJ46</f>
        <v>2559.804</v>
      </c>
      <c r="FL37" s="308">
        <f>(FH37+FH38+FH39+FH40+FH41+FH42+FH43+FH44+FH45+FH46)/(FE37+FE38+FE39+FE40+FE41+FE42+FE43+FE44+FE45+FE46)</f>
        <v>1.01895761417011</v>
      </c>
      <c r="FM37" s="325"/>
    </row>
    <row r="38" s="214" customFormat="1" ht="27" customHeight="1" spans="1:169">
      <c r="A38" s="263"/>
      <c r="B38" s="270"/>
      <c r="C38" s="265"/>
      <c r="D38" s="266" t="s">
        <v>9</v>
      </c>
      <c r="E38" s="271">
        <v>0.133</v>
      </c>
      <c r="F38" s="268">
        <v>762</v>
      </c>
      <c r="G38" s="268">
        <v>6</v>
      </c>
      <c r="H38" s="269">
        <v>736</v>
      </c>
      <c r="I38" s="269">
        <v>20</v>
      </c>
      <c r="J38" s="269">
        <f t="shared" si="78"/>
        <v>0.947789815514683</v>
      </c>
      <c r="K38" s="268">
        <v>803</v>
      </c>
      <c r="L38" s="268">
        <v>7</v>
      </c>
      <c r="M38" s="269">
        <v>781</v>
      </c>
      <c r="N38" s="269">
        <v>15</v>
      </c>
      <c r="O38" s="269">
        <f t="shared" si="79"/>
        <v>0.962666662458019</v>
      </c>
      <c r="P38" s="268">
        <v>240</v>
      </c>
      <c r="Q38" s="268">
        <v>4</v>
      </c>
      <c r="R38" s="269">
        <v>236</v>
      </c>
      <c r="S38" s="269"/>
      <c r="T38" s="269">
        <f t="shared" si="80"/>
        <v>1</v>
      </c>
      <c r="U38" s="268">
        <v>224</v>
      </c>
      <c r="V38" s="268">
        <v>14</v>
      </c>
      <c r="W38" s="269">
        <v>199</v>
      </c>
      <c r="X38" s="269">
        <v>11</v>
      </c>
      <c r="Y38" s="269">
        <f t="shared" si="81"/>
        <v>0.897981859410431</v>
      </c>
      <c r="Z38" s="268">
        <v>782</v>
      </c>
      <c r="AA38" s="268">
        <v>6</v>
      </c>
      <c r="AB38" s="269">
        <v>772</v>
      </c>
      <c r="AC38" s="269">
        <v>4</v>
      </c>
      <c r="AD38" s="269">
        <f t="shared" si="82"/>
        <v>0.989717291954512</v>
      </c>
      <c r="AE38" s="268">
        <v>765</v>
      </c>
      <c r="AF38" s="268">
        <v>6</v>
      </c>
      <c r="AG38" s="269">
        <v>749</v>
      </c>
      <c r="AH38" s="269">
        <v>10</v>
      </c>
      <c r="AI38" s="269">
        <f t="shared" si="83"/>
        <v>0.973823125567412</v>
      </c>
      <c r="AJ38" s="268">
        <v>813</v>
      </c>
      <c r="AK38" s="268">
        <v>11</v>
      </c>
      <c r="AL38" s="269">
        <v>782</v>
      </c>
      <c r="AM38" s="269">
        <v>20</v>
      </c>
      <c r="AN38" s="269">
        <f t="shared" si="84"/>
        <v>0.950746574959111</v>
      </c>
      <c r="AO38" s="268">
        <v>658</v>
      </c>
      <c r="AP38" s="268">
        <v>15</v>
      </c>
      <c r="AQ38" s="269">
        <v>643</v>
      </c>
      <c r="AR38" s="269"/>
      <c r="AS38" s="269"/>
      <c r="AT38" s="268">
        <v>630</v>
      </c>
      <c r="AU38" s="268">
        <v>10</v>
      </c>
      <c r="AV38" s="269">
        <v>620</v>
      </c>
      <c r="AW38" s="269"/>
      <c r="AX38" s="269">
        <f t="shared" si="85"/>
        <v>1</v>
      </c>
      <c r="AY38" s="268">
        <v>681</v>
      </c>
      <c r="AZ38" s="268">
        <v>10</v>
      </c>
      <c r="BA38" s="269">
        <v>671</v>
      </c>
      <c r="BB38" s="269"/>
      <c r="BC38" s="269">
        <f t="shared" si="86"/>
        <v>1</v>
      </c>
      <c r="BD38" s="268">
        <v>627</v>
      </c>
      <c r="BE38" s="268">
        <v>10</v>
      </c>
      <c r="BF38" s="269">
        <v>617</v>
      </c>
      <c r="BG38" s="269"/>
      <c r="BH38" s="269">
        <f t="shared" si="87"/>
        <v>1</v>
      </c>
      <c r="BI38" s="268">
        <v>548</v>
      </c>
      <c r="BJ38" s="268">
        <v>7</v>
      </c>
      <c r="BK38" s="269">
        <v>541</v>
      </c>
      <c r="BL38" s="269"/>
      <c r="BM38" s="269">
        <f t="shared" si="88"/>
        <v>1</v>
      </c>
      <c r="BN38" s="268">
        <v>629</v>
      </c>
      <c r="BO38" s="268">
        <v>6</v>
      </c>
      <c r="BP38" s="269">
        <v>623</v>
      </c>
      <c r="BQ38" s="269"/>
      <c r="BR38" s="269">
        <f t="shared" si="89"/>
        <v>1</v>
      </c>
      <c r="BS38" s="268">
        <v>772</v>
      </c>
      <c r="BT38" s="268">
        <v>16</v>
      </c>
      <c r="BU38" s="269">
        <v>756</v>
      </c>
      <c r="BV38" s="269"/>
      <c r="BW38" s="269">
        <f t="shared" si="90"/>
        <v>1</v>
      </c>
      <c r="BX38" s="268">
        <v>524</v>
      </c>
      <c r="BY38" s="268">
        <v>13</v>
      </c>
      <c r="BZ38" s="269">
        <v>511</v>
      </c>
      <c r="CA38" s="269"/>
      <c r="CB38" s="269">
        <f t="shared" si="91"/>
        <v>1</v>
      </c>
      <c r="CC38" s="268">
        <v>643</v>
      </c>
      <c r="CD38" s="268">
        <v>7</v>
      </c>
      <c r="CE38" s="269">
        <v>636</v>
      </c>
      <c r="CF38" s="269"/>
      <c r="CG38" s="269">
        <f t="shared" si="92"/>
        <v>1</v>
      </c>
      <c r="CH38" s="268"/>
      <c r="CI38" s="268"/>
      <c r="CJ38" s="269"/>
      <c r="CK38" s="269"/>
      <c r="CL38" s="269" t="e">
        <f t="shared" si="93"/>
        <v>#DIV/0!</v>
      </c>
      <c r="CM38" s="268">
        <v>820</v>
      </c>
      <c r="CN38" s="268">
        <v>22</v>
      </c>
      <c r="CO38" s="269">
        <v>798</v>
      </c>
      <c r="CP38" s="269"/>
      <c r="CQ38" s="269">
        <f t="shared" si="94"/>
        <v>1</v>
      </c>
      <c r="CR38" s="268">
        <v>421</v>
      </c>
      <c r="CS38" s="268">
        <v>8</v>
      </c>
      <c r="CT38" s="269">
        <v>413</v>
      </c>
      <c r="CU38" s="269"/>
      <c r="CV38" s="269">
        <f t="shared" si="95"/>
        <v>1</v>
      </c>
      <c r="CW38" s="268"/>
      <c r="CX38" s="268"/>
      <c r="CY38" s="269"/>
      <c r="CZ38" s="269"/>
      <c r="DA38" s="269" t="e">
        <f t="shared" si="96"/>
        <v>#DIV/0!</v>
      </c>
      <c r="DB38" s="268">
        <v>714</v>
      </c>
      <c r="DC38" s="268">
        <v>6</v>
      </c>
      <c r="DD38" s="269">
        <v>708</v>
      </c>
      <c r="DE38" s="269"/>
      <c r="DF38" s="269">
        <f t="shared" si="97"/>
        <v>1</v>
      </c>
      <c r="DG38" s="268">
        <v>573</v>
      </c>
      <c r="DH38" s="268">
        <v>5</v>
      </c>
      <c r="DI38" s="269">
        <v>568</v>
      </c>
      <c r="DJ38" s="269"/>
      <c r="DK38" s="269">
        <f t="shared" si="98"/>
        <v>1</v>
      </c>
      <c r="DL38" s="268">
        <v>694</v>
      </c>
      <c r="DM38" s="268">
        <v>3</v>
      </c>
      <c r="DN38" s="269">
        <v>691</v>
      </c>
      <c r="DO38" s="269"/>
      <c r="DP38" s="269">
        <f t="shared" si="99"/>
        <v>1</v>
      </c>
      <c r="DQ38" s="268">
        <v>557</v>
      </c>
      <c r="DR38" s="268">
        <v>2</v>
      </c>
      <c r="DS38" s="269">
        <v>555</v>
      </c>
      <c r="DT38" s="269"/>
      <c r="DU38" s="269">
        <f t="shared" si="100"/>
        <v>1</v>
      </c>
      <c r="DV38" s="268">
        <v>742</v>
      </c>
      <c r="DW38" s="268">
        <v>8</v>
      </c>
      <c r="DX38" s="269">
        <v>734</v>
      </c>
      <c r="DY38" s="269"/>
      <c r="DZ38" s="269">
        <f t="shared" si="101"/>
        <v>1</v>
      </c>
      <c r="EA38" s="268">
        <v>742</v>
      </c>
      <c r="EB38" s="268">
        <v>4</v>
      </c>
      <c r="EC38" s="269">
        <v>738</v>
      </c>
      <c r="ED38" s="269"/>
      <c r="EE38" s="269">
        <f t="shared" si="102"/>
        <v>1</v>
      </c>
      <c r="EF38" s="268">
        <v>818</v>
      </c>
      <c r="EG38" s="268">
        <v>2</v>
      </c>
      <c r="EH38" s="269">
        <v>816</v>
      </c>
      <c r="EI38" s="269"/>
      <c r="EJ38" s="269">
        <f t="shared" si="103"/>
        <v>1</v>
      </c>
      <c r="EK38" s="268">
        <v>671</v>
      </c>
      <c r="EL38" s="268">
        <v>6</v>
      </c>
      <c r="EM38" s="269">
        <v>665</v>
      </c>
      <c r="EN38" s="269"/>
      <c r="EO38" s="269">
        <f t="shared" si="104"/>
        <v>1</v>
      </c>
      <c r="EP38" s="268">
        <v>818</v>
      </c>
      <c r="EQ38" s="268">
        <v>4</v>
      </c>
      <c r="ER38" s="269">
        <v>814</v>
      </c>
      <c r="ES38" s="269"/>
      <c r="ET38" s="269">
        <f t="shared" si="105"/>
        <v>1</v>
      </c>
      <c r="EU38" s="268"/>
      <c r="EV38" s="268"/>
      <c r="EW38" s="269">
        <v>15</v>
      </c>
      <c r="EX38" s="269"/>
      <c r="EY38" s="269">
        <f t="shared" si="106"/>
        <v>1</v>
      </c>
      <c r="EZ38" s="268"/>
      <c r="FA38" s="268"/>
      <c r="FB38" s="269"/>
      <c r="FC38" s="269"/>
      <c r="FD38" s="269" t="e">
        <f t="shared" si="107"/>
        <v>#DIV/0!</v>
      </c>
      <c r="FE38" s="269">
        <f t="shared" si="108"/>
        <v>17671</v>
      </c>
      <c r="FF38" s="269"/>
      <c r="FG38" s="269">
        <f t="shared" si="109"/>
        <v>218</v>
      </c>
      <c r="FH38" s="305">
        <f t="shared" si="110"/>
        <v>17388</v>
      </c>
      <c r="FI38" s="306">
        <f t="shared" si="111"/>
        <v>0.968226598831084</v>
      </c>
      <c r="FJ38" s="269">
        <f t="shared" si="112"/>
        <v>2312.604</v>
      </c>
      <c r="FK38" s="309"/>
      <c r="FL38" s="310"/>
      <c r="FM38" s="326"/>
    </row>
    <row r="39" s="214" customFormat="1" ht="27" customHeight="1" spans="1:169">
      <c r="A39" s="263"/>
      <c r="B39" s="270"/>
      <c r="C39" s="265"/>
      <c r="D39" s="266" t="s">
        <v>10</v>
      </c>
      <c r="E39" s="271">
        <v>0.133</v>
      </c>
      <c r="F39" s="268"/>
      <c r="G39" s="269"/>
      <c r="H39" s="269"/>
      <c r="I39" s="269"/>
      <c r="J39" s="269" t="e">
        <f t="shared" si="78"/>
        <v>#DIV/0!</v>
      </c>
      <c r="K39" s="268"/>
      <c r="L39" s="269"/>
      <c r="M39" s="269"/>
      <c r="N39" s="269"/>
      <c r="O39" s="269" t="e">
        <f t="shared" si="79"/>
        <v>#DIV/0!</v>
      </c>
      <c r="P39" s="268"/>
      <c r="Q39" s="269"/>
      <c r="R39" s="269"/>
      <c r="S39" s="269"/>
      <c r="T39" s="269" t="e">
        <f t="shared" si="80"/>
        <v>#DIV/0!</v>
      </c>
      <c r="U39" s="268"/>
      <c r="V39" s="269"/>
      <c r="W39" s="269"/>
      <c r="X39" s="269"/>
      <c r="Y39" s="269" t="e">
        <f t="shared" si="81"/>
        <v>#DIV/0!</v>
      </c>
      <c r="Z39" s="268"/>
      <c r="AA39" s="269"/>
      <c r="AB39" s="269"/>
      <c r="AC39" s="269"/>
      <c r="AD39" s="269" t="e">
        <f t="shared" si="82"/>
        <v>#DIV/0!</v>
      </c>
      <c r="AE39" s="268"/>
      <c r="AF39" s="269"/>
      <c r="AG39" s="269"/>
      <c r="AH39" s="269"/>
      <c r="AI39" s="269" t="e">
        <f t="shared" si="83"/>
        <v>#DIV/0!</v>
      </c>
      <c r="AJ39" s="268"/>
      <c r="AK39" s="269"/>
      <c r="AL39" s="269"/>
      <c r="AM39" s="269"/>
      <c r="AN39" s="269" t="e">
        <f t="shared" si="84"/>
        <v>#DIV/0!</v>
      </c>
      <c r="AO39" s="268"/>
      <c r="AP39" s="269"/>
      <c r="AQ39" s="269"/>
      <c r="AR39" s="269"/>
      <c r="AS39" s="269" t="e">
        <f t="shared" ref="AS39:AS48" si="113">AQ39/(AQ39+AR39)*AQ39/(AQ39+AR39)</f>
        <v>#DIV/0!</v>
      </c>
      <c r="AT39" s="268"/>
      <c r="AU39" s="269"/>
      <c r="AV39" s="269"/>
      <c r="AW39" s="269"/>
      <c r="AX39" s="269" t="e">
        <f t="shared" si="85"/>
        <v>#DIV/0!</v>
      </c>
      <c r="AY39" s="268"/>
      <c r="AZ39" s="269"/>
      <c r="BA39" s="269"/>
      <c r="BB39" s="269"/>
      <c r="BC39" s="269" t="e">
        <f t="shared" si="86"/>
        <v>#DIV/0!</v>
      </c>
      <c r="BD39" s="268"/>
      <c r="BE39" s="269"/>
      <c r="BF39" s="269"/>
      <c r="BG39" s="269"/>
      <c r="BH39" s="269" t="e">
        <f t="shared" si="87"/>
        <v>#DIV/0!</v>
      </c>
      <c r="BI39" s="268"/>
      <c r="BJ39" s="269"/>
      <c r="BK39" s="269"/>
      <c r="BL39" s="269"/>
      <c r="BM39" s="269" t="e">
        <f t="shared" si="88"/>
        <v>#DIV/0!</v>
      </c>
      <c r="BN39" s="268"/>
      <c r="BO39" s="269"/>
      <c r="BP39" s="269"/>
      <c r="BQ39" s="269"/>
      <c r="BR39" s="269" t="e">
        <f t="shared" si="89"/>
        <v>#DIV/0!</v>
      </c>
      <c r="BS39" s="268"/>
      <c r="BT39" s="269"/>
      <c r="BU39" s="269"/>
      <c r="BV39" s="269"/>
      <c r="BW39" s="269" t="e">
        <f t="shared" si="90"/>
        <v>#DIV/0!</v>
      </c>
      <c r="BX39" s="268"/>
      <c r="BY39" s="269"/>
      <c r="BZ39" s="269"/>
      <c r="CA39" s="269"/>
      <c r="CB39" s="269" t="e">
        <f t="shared" si="91"/>
        <v>#DIV/0!</v>
      </c>
      <c r="CC39" s="268"/>
      <c r="CD39" s="269"/>
      <c r="CE39" s="269"/>
      <c r="CF39" s="269"/>
      <c r="CG39" s="269" t="e">
        <f t="shared" si="92"/>
        <v>#DIV/0!</v>
      </c>
      <c r="CH39" s="268"/>
      <c r="CI39" s="269"/>
      <c r="CJ39" s="269"/>
      <c r="CK39" s="269"/>
      <c r="CL39" s="269" t="e">
        <f t="shared" si="93"/>
        <v>#DIV/0!</v>
      </c>
      <c r="CM39" s="268"/>
      <c r="CN39" s="269"/>
      <c r="CO39" s="269"/>
      <c r="CP39" s="269"/>
      <c r="CQ39" s="269" t="e">
        <f t="shared" si="94"/>
        <v>#DIV/0!</v>
      </c>
      <c r="CR39" s="268"/>
      <c r="CS39" s="269"/>
      <c r="CT39" s="269"/>
      <c r="CU39" s="269"/>
      <c r="CV39" s="269" t="e">
        <f t="shared" si="95"/>
        <v>#DIV/0!</v>
      </c>
      <c r="CW39" s="268"/>
      <c r="CX39" s="269"/>
      <c r="CY39" s="269"/>
      <c r="CZ39" s="269"/>
      <c r="DA39" s="269" t="e">
        <f t="shared" si="96"/>
        <v>#DIV/0!</v>
      </c>
      <c r="DB39" s="268"/>
      <c r="DC39" s="269"/>
      <c r="DD39" s="269"/>
      <c r="DE39" s="269"/>
      <c r="DF39" s="269" t="e">
        <f t="shared" si="97"/>
        <v>#DIV/0!</v>
      </c>
      <c r="DG39" s="268"/>
      <c r="DH39" s="269"/>
      <c r="DI39" s="269"/>
      <c r="DJ39" s="269"/>
      <c r="DK39" s="269" t="e">
        <f t="shared" si="98"/>
        <v>#DIV/0!</v>
      </c>
      <c r="DL39" s="268"/>
      <c r="DM39" s="269"/>
      <c r="DN39" s="269"/>
      <c r="DO39" s="269"/>
      <c r="DP39" s="269" t="e">
        <f t="shared" si="99"/>
        <v>#DIV/0!</v>
      </c>
      <c r="DQ39" s="268"/>
      <c r="DR39" s="269"/>
      <c r="DS39" s="269"/>
      <c r="DT39" s="269"/>
      <c r="DU39" s="269" t="e">
        <f t="shared" si="100"/>
        <v>#DIV/0!</v>
      </c>
      <c r="DV39" s="268"/>
      <c r="DW39" s="269"/>
      <c r="DX39" s="269"/>
      <c r="DY39" s="269"/>
      <c r="DZ39" s="269" t="e">
        <f t="shared" si="101"/>
        <v>#DIV/0!</v>
      </c>
      <c r="EA39" s="268"/>
      <c r="EB39" s="269"/>
      <c r="EC39" s="269"/>
      <c r="ED39" s="269"/>
      <c r="EE39" s="269" t="e">
        <f t="shared" si="102"/>
        <v>#DIV/0!</v>
      </c>
      <c r="EF39" s="268"/>
      <c r="EG39" s="269"/>
      <c r="EH39" s="269"/>
      <c r="EI39" s="269"/>
      <c r="EJ39" s="269" t="e">
        <f t="shared" si="103"/>
        <v>#DIV/0!</v>
      </c>
      <c r="EK39" s="268"/>
      <c r="EL39" s="269"/>
      <c r="EM39" s="269"/>
      <c r="EN39" s="269"/>
      <c r="EO39" s="269" t="e">
        <f t="shared" si="104"/>
        <v>#DIV/0!</v>
      </c>
      <c r="EP39" s="268"/>
      <c r="EQ39" s="269"/>
      <c r="ER39" s="269"/>
      <c r="ES39" s="269"/>
      <c r="ET39" s="269" t="e">
        <f t="shared" si="105"/>
        <v>#DIV/0!</v>
      </c>
      <c r="EU39" s="268"/>
      <c r="EV39" s="269"/>
      <c r="EW39" s="269"/>
      <c r="EX39" s="269"/>
      <c r="EY39" s="269" t="e">
        <f t="shared" si="106"/>
        <v>#DIV/0!</v>
      </c>
      <c r="EZ39" s="268"/>
      <c r="FA39" s="269"/>
      <c r="FB39" s="269"/>
      <c r="FC39" s="269"/>
      <c r="FD39" s="269" t="e">
        <f t="shared" si="107"/>
        <v>#DIV/0!</v>
      </c>
      <c r="FE39" s="269">
        <f t="shared" si="108"/>
        <v>0</v>
      </c>
      <c r="FF39" s="269"/>
      <c r="FG39" s="269">
        <f t="shared" si="109"/>
        <v>0</v>
      </c>
      <c r="FH39" s="305">
        <f t="shared" si="110"/>
        <v>0</v>
      </c>
      <c r="FI39" s="306" t="e">
        <f t="shared" si="111"/>
        <v>#DIV/0!</v>
      </c>
      <c r="FJ39" s="269">
        <f t="shared" si="112"/>
        <v>0</v>
      </c>
      <c r="FK39" s="309"/>
      <c r="FL39" s="310"/>
      <c r="FM39" s="326"/>
    </row>
    <row r="40" s="214" customFormat="1" ht="27" customHeight="1" spans="1:169">
      <c r="A40" s="263"/>
      <c r="B40" s="270"/>
      <c r="C40" s="265"/>
      <c r="D40" s="266" t="s">
        <v>11</v>
      </c>
      <c r="E40" s="271">
        <v>0.23</v>
      </c>
      <c r="F40" s="268"/>
      <c r="G40" s="269"/>
      <c r="H40" s="269"/>
      <c r="I40" s="269"/>
      <c r="J40" s="269" t="e">
        <f t="shared" si="78"/>
        <v>#DIV/0!</v>
      </c>
      <c r="K40" s="268"/>
      <c r="L40" s="269"/>
      <c r="M40" s="269"/>
      <c r="N40" s="269"/>
      <c r="O40" s="269" t="e">
        <f t="shared" si="79"/>
        <v>#DIV/0!</v>
      </c>
      <c r="P40" s="268"/>
      <c r="Q40" s="269"/>
      <c r="R40" s="269"/>
      <c r="S40" s="269"/>
      <c r="T40" s="269" t="e">
        <f t="shared" si="80"/>
        <v>#DIV/0!</v>
      </c>
      <c r="U40" s="268"/>
      <c r="V40" s="269"/>
      <c r="W40" s="269"/>
      <c r="X40" s="269"/>
      <c r="Y40" s="269" t="e">
        <f t="shared" si="81"/>
        <v>#DIV/0!</v>
      </c>
      <c r="Z40" s="268"/>
      <c r="AA40" s="269"/>
      <c r="AB40" s="269"/>
      <c r="AC40" s="269"/>
      <c r="AD40" s="269" t="e">
        <f t="shared" si="82"/>
        <v>#DIV/0!</v>
      </c>
      <c r="AE40" s="268"/>
      <c r="AF40" s="269"/>
      <c r="AG40" s="269"/>
      <c r="AH40" s="269"/>
      <c r="AI40" s="269" t="e">
        <f t="shared" si="83"/>
        <v>#DIV/0!</v>
      </c>
      <c r="AJ40" s="268"/>
      <c r="AK40" s="269"/>
      <c r="AL40" s="269"/>
      <c r="AM40" s="269"/>
      <c r="AN40" s="269" t="e">
        <f t="shared" si="84"/>
        <v>#DIV/0!</v>
      </c>
      <c r="AO40" s="268"/>
      <c r="AP40" s="269"/>
      <c r="AQ40" s="269"/>
      <c r="AR40" s="269"/>
      <c r="AS40" s="269" t="e">
        <f t="shared" si="113"/>
        <v>#DIV/0!</v>
      </c>
      <c r="AT40" s="268"/>
      <c r="AU40" s="269"/>
      <c r="AV40" s="269"/>
      <c r="AW40" s="269"/>
      <c r="AX40" s="269" t="e">
        <f t="shared" si="85"/>
        <v>#DIV/0!</v>
      </c>
      <c r="AY40" s="268"/>
      <c r="AZ40" s="269"/>
      <c r="BA40" s="269"/>
      <c r="BB40" s="269"/>
      <c r="BC40" s="269" t="e">
        <f t="shared" si="86"/>
        <v>#DIV/0!</v>
      </c>
      <c r="BD40" s="268"/>
      <c r="BE40" s="269"/>
      <c r="BF40" s="269"/>
      <c r="BG40" s="269"/>
      <c r="BH40" s="269" t="e">
        <f t="shared" si="87"/>
        <v>#DIV/0!</v>
      </c>
      <c r="BI40" s="268"/>
      <c r="BJ40" s="269"/>
      <c r="BK40" s="269"/>
      <c r="BL40" s="269"/>
      <c r="BM40" s="269" t="e">
        <f t="shared" si="88"/>
        <v>#DIV/0!</v>
      </c>
      <c r="BN40" s="268"/>
      <c r="BO40" s="269"/>
      <c r="BP40" s="269"/>
      <c r="BQ40" s="269"/>
      <c r="BR40" s="269" t="e">
        <f t="shared" si="89"/>
        <v>#DIV/0!</v>
      </c>
      <c r="BS40" s="268"/>
      <c r="BT40" s="269"/>
      <c r="BU40" s="269"/>
      <c r="BV40" s="269"/>
      <c r="BW40" s="269" t="e">
        <f t="shared" si="90"/>
        <v>#DIV/0!</v>
      </c>
      <c r="BX40" s="268"/>
      <c r="BY40" s="269"/>
      <c r="BZ40" s="269"/>
      <c r="CA40" s="269"/>
      <c r="CB40" s="269" t="e">
        <f t="shared" si="91"/>
        <v>#DIV/0!</v>
      </c>
      <c r="CC40" s="268"/>
      <c r="CD40" s="269"/>
      <c r="CE40" s="269"/>
      <c r="CF40" s="269"/>
      <c r="CG40" s="269" t="e">
        <f t="shared" si="92"/>
        <v>#DIV/0!</v>
      </c>
      <c r="CH40" s="268"/>
      <c r="CI40" s="269"/>
      <c r="CJ40" s="269"/>
      <c r="CK40" s="269"/>
      <c r="CL40" s="269" t="e">
        <f t="shared" si="93"/>
        <v>#DIV/0!</v>
      </c>
      <c r="CM40" s="268"/>
      <c r="CN40" s="269"/>
      <c r="CO40" s="269"/>
      <c r="CP40" s="269"/>
      <c r="CQ40" s="269" t="e">
        <f t="shared" si="94"/>
        <v>#DIV/0!</v>
      </c>
      <c r="CR40" s="268"/>
      <c r="CS40" s="269"/>
      <c r="CT40" s="269"/>
      <c r="CU40" s="269"/>
      <c r="CV40" s="269" t="e">
        <f t="shared" si="95"/>
        <v>#DIV/0!</v>
      </c>
      <c r="CW40" s="268"/>
      <c r="CX40" s="269"/>
      <c r="CY40" s="269"/>
      <c r="CZ40" s="269"/>
      <c r="DA40" s="269" t="e">
        <f t="shared" si="96"/>
        <v>#DIV/0!</v>
      </c>
      <c r="DB40" s="268"/>
      <c r="DC40" s="269"/>
      <c r="DD40" s="269"/>
      <c r="DE40" s="269"/>
      <c r="DF40" s="269" t="e">
        <f t="shared" si="97"/>
        <v>#DIV/0!</v>
      </c>
      <c r="DG40" s="268"/>
      <c r="DH40" s="269"/>
      <c r="DI40" s="269"/>
      <c r="DJ40" s="269"/>
      <c r="DK40" s="269" t="e">
        <f t="shared" si="98"/>
        <v>#DIV/0!</v>
      </c>
      <c r="DL40" s="268"/>
      <c r="DM40" s="269"/>
      <c r="DN40" s="269"/>
      <c r="DO40" s="269"/>
      <c r="DP40" s="269" t="e">
        <f t="shared" si="99"/>
        <v>#DIV/0!</v>
      </c>
      <c r="DQ40" s="268"/>
      <c r="DR40" s="269"/>
      <c r="DS40" s="269"/>
      <c r="DT40" s="269"/>
      <c r="DU40" s="269" t="e">
        <f t="shared" si="100"/>
        <v>#DIV/0!</v>
      </c>
      <c r="DV40" s="268"/>
      <c r="DW40" s="269"/>
      <c r="DX40" s="269"/>
      <c r="DY40" s="269"/>
      <c r="DZ40" s="269" t="e">
        <f t="shared" si="101"/>
        <v>#DIV/0!</v>
      </c>
      <c r="EA40" s="268"/>
      <c r="EB40" s="269"/>
      <c r="EC40" s="269"/>
      <c r="ED40" s="269"/>
      <c r="EE40" s="269" t="e">
        <f t="shared" si="102"/>
        <v>#DIV/0!</v>
      </c>
      <c r="EF40" s="268"/>
      <c r="EG40" s="269"/>
      <c r="EH40" s="269"/>
      <c r="EI40" s="269"/>
      <c r="EJ40" s="269" t="e">
        <f t="shared" si="103"/>
        <v>#DIV/0!</v>
      </c>
      <c r="EK40" s="268"/>
      <c r="EL40" s="269"/>
      <c r="EM40" s="269"/>
      <c r="EN40" s="269"/>
      <c r="EO40" s="269" t="e">
        <f t="shared" si="104"/>
        <v>#DIV/0!</v>
      </c>
      <c r="EP40" s="268"/>
      <c r="EQ40" s="269"/>
      <c r="ER40" s="269"/>
      <c r="ES40" s="269"/>
      <c r="ET40" s="269" t="e">
        <f t="shared" si="105"/>
        <v>#DIV/0!</v>
      </c>
      <c r="EU40" s="268"/>
      <c r="EV40" s="269"/>
      <c r="EW40" s="269"/>
      <c r="EX40" s="269"/>
      <c r="EY40" s="269" t="e">
        <f t="shared" si="106"/>
        <v>#DIV/0!</v>
      </c>
      <c r="EZ40" s="268"/>
      <c r="FA40" s="269"/>
      <c r="FB40" s="269"/>
      <c r="FC40" s="269"/>
      <c r="FD40" s="269" t="e">
        <f t="shared" si="107"/>
        <v>#DIV/0!</v>
      </c>
      <c r="FE40" s="269">
        <f t="shared" si="108"/>
        <v>0</v>
      </c>
      <c r="FF40" s="269"/>
      <c r="FG40" s="269">
        <f t="shared" si="109"/>
        <v>0</v>
      </c>
      <c r="FH40" s="305">
        <f t="shared" si="110"/>
        <v>0</v>
      </c>
      <c r="FI40" s="306" t="e">
        <f t="shared" si="111"/>
        <v>#DIV/0!</v>
      </c>
      <c r="FJ40" s="269">
        <f t="shared" si="112"/>
        <v>0</v>
      </c>
      <c r="FK40" s="309"/>
      <c r="FL40" s="310"/>
      <c r="FM40" s="326"/>
    </row>
    <row r="41" s="214" customFormat="1" ht="27" customHeight="1" spans="1:171">
      <c r="A41" s="263"/>
      <c r="B41" s="270"/>
      <c r="C41" s="265"/>
      <c r="D41" s="266" t="s">
        <v>12</v>
      </c>
      <c r="E41" s="271">
        <v>0.25</v>
      </c>
      <c r="F41" s="268"/>
      <c r="G41" s="269"/>
      <c r="H41" s="269"/>
      <c r="I41" s="269"/>
      <c r="J41" s="269" t="e">
        <f t="shared" si="78"/>
        <v>#DIV/0!</v>
      </c>
      <c r="K41" s="268"/>
      <c r="L41" s="269"/>
      <c r="M41" s="269"/>
      <c r="N41" s="269"/>
      <c r="O41" s="269" t="e">
        <f t="shared" si="79"/>
        <v>#DIV/0!</v>
      </c>
      <c r="P41" s="268"/>
      <c r="Q41" s="269"/>
      <c r="R41" s="269"/>
      <c r="S41" s="269"/>
      <c r="T41" s="269" t="e">
        <f t="shared" si="80"/>
        <v>#DIV/0!</v>
      </c>
      <c r="U41" s="268"/>
      <c r="V41" s="269"/>
      <c r="W41" s="269"/>
      <c r="X41" s="269"/>
      <c r="Y41" s="269" t="e">
        <f t="shared" si="81"/>
        <v>#DIV/0!</v>
      </c>
      <c r="Z41" s="268"/>
      <c r="AA41" s="269"/>
      <c r="AB41" s="269"/>
      <c r="AC41" s="269"/>
      <c r="AD41" s="269" t="e">
        <f t="shared" si="82"/>
        <v>#DIV/0!</v>
      </c>
      <c r="AE41" s="268"/>
      <c r="AF41" s="269"/>
      <c r="AG41" s="269"/>
      <c r="AH41" s="269"/>
      <c r="AI41" s="269" t="e">
        <f t="shared" si="83"/>
        <v>#DIV/0!</v>
      </c>
      <c r="AJ41" s="268"/>
      <c r="AK41" s="269"/>
      <c r="AL41" s="269"/>
      <c r="AM41" s="269"/>
      <c r="AN41" s="269" t="e">
        <f t="shared" si="84"/>
        <v>#DIV/0!</v>
      </c>
      <c r="AO41" s="268"/>
      <c r="AP41" s="269"/>
      <c r="AQ41" s="269"/>
      <c r="AR41" s="269"/>
      <c r="AS41" s="269" t="e">
        <f t="shared" si="113"/>
        <v>#DIV/0!</v>
      </c>
      <c r="AT41" s="268"/>
      <c r="AU41" s="269"/>
      <c r="AV41" s="269"/>
      <c r="AW41" s="269"/>
      <c r="AX41" s="269" t="e">
        <f t="shared" si="85"/>
        <v>#DIV/0!</v>
      </c>
      <c r="AY41" s="268"/>
      <c r="AZ41" s="269"/>
      <c r="BA41" s="269"/>
      <c r="BB41" s="269"/>
      <c r="BC41" s="269" t="e">
        <f t="shared" si="86"/>
        <v>#DIV/0!</v>
      </c>
      <c r="BD41" s="268"/>
      <c r="BE41" s="269"/>
      <c r="BF41" s="269"/>
      <c r="BG41" s="269"/>
      <c r="BH41" s="269" t="e">
        <f t="shared" si="87"/>
        <v>#DIV/0!</v>
      </c>
      <c r="BI41" s="268"/>
      <c r="BJ41" s="269"/>
      <c r="BK41" s="269"/>
      <c r="BL41" s="269"/>
      <c r="BM41" s="269" t="e">
        <f t="shared" si="88"/>
        <v>#DIV/0!</v>
      </c>
      <c r="BN41" s="268"/>
      <c r="BO41" s="269"/>
      <c r="BP41" s="269"/>
      <c r="BQ41" s="269"/>
      <c r="BR41" s="269" t="e">
        <f t="shared" si="89"/>
        <v>#DIV/0!</v>
      </c>
      <c r="BS41" s="268"/>
      <c r="BT41" s="269"/>
      <c r="BU41" s="269"/>
      <c r="BV41" s="269"/>
      <c r="BW41" s="269" t="e">
        <f t="shared" si="90"/>
        <v>#DIV/0!</v>
      </c>
      <c r="BX41" s="268"/>
      <c r="BY41" s="269"/>
      <c r="BZ41" s="269"/>
      <c r="CA41" s="269"/>
      <c r="CB41" s="269" t="e">
        <f t="shared" si="91"/>
        <v>#DIV/0!</v>
      </c>
      <c r="CC41" s="268"/>
      <c r="CD41" s="269"/>
      <c r="CE41" s="269"/>
      <c r="CF41" s="269"/>
      <c r="CG41" s="269" t="e">
        <f t="shared" si="92"/>
        <v>#DIV/0!</v>
      </c>
      <c r="CH41" s="268"/>
      <c r="CI41" s="269"/>
      <c r="CJ41" s="269"/>
      <c r="CK41" s="269"/>
      <c r="CL41" s="269" t="e">
        <f t="shared" si="93"/>
        <v>#DIV/0!</v>
      </c>
      <c r="CM41" s="268"/>
      <c r="CN41" s="269"/>
      <c r="CO41" s="269"/>
      <c r="CP41" s="269"/>
      <c r="CQ41" s="269" t="e">
        <f t="shared" si="94"/>
        <v>#DIV/0!</v>
      </c>
      <c r="CR41" s="268"/>
      <c r="CS41" s="269"/>
      <c r="CT41" s="269"/>
      <c r="CU41" s="269"/>
      <c r="CV41" s="269" t="e">
        <f t="shared" si="95"/>
        <v>#DIV/0!</v>
      </c>
      <c r="CW41" s="268"/>
      <c r="CX41" s="269"/>
      <c r="CY41" s="269"/>
      <c r="CZ41" s="269"/>
      <c r="DA41" s="269" t="e">
        <f t="shared" si="96"/>
        <v>#DIV/0!</v>
      </c>
      <c r="DB41" s="268"/>
      <c r="DC41" s="269"/>
      <c r="DD41" s="269"/>
      <c r="DE41" s="269"/>
      <c r="DF41" s="269" t="e">
        <f t="shared" si="97"/>
        <v>#DIV/0!</v>
      </c>
      <c r="DG41" s="268"/>
      <c r="DH41" s="269"/>
      <c r="DI41" s="269"/>
      <c r="DJ41" s="269"/>
      <c r="DK41" s="269" t="e">
        <f t="shared" si="98"/>
        <v>#DIV/0!</v>
      </c>
      <c r="DL41" s="268"/>
      <c r="DM41" s="269"/>
      <c r="DN41" s="269"/>
      <c r="DO41" s="269"/>
      <c r="DP41" s="269" t="e">
        <f t="shared" si="99"/>
        <v>#DIV/0!</v>
      </c>
      <c r="DQ41" s="268"/>
      <c r="DR41" s="269"/>
      <c r="DS41" s="269"/>
      <c r="DT41" s="269"/>
      <c r="DU41" s="269" t="e">
        <f t="shared" si="100"/>
        <v>#DIV/0!</v>
      </c>
      <c r="DV41" s="268"/>
      <c r="DW41" s="269"/>
      <c r="DX41" s="269"/>
      <c r="DY41" s="269"/>
      <c r="DZ41" s="269" t="e">
        <f t="shared" si="101"/>
        <v>#DIV/0!</v>
      </c>
      <c r="EA41" s="268"/>
      <c r="EB41" s="269"/>
      <c r="EC41" s="269"/>
      <c r="ED41" s="269"/>
      <c r="EE41" s="269" t="e">
        <f t="shared" si="102"/>
        <v>#DIV/0!</v>
      </c>
      <c r="EF41" s="268"/>
      <c r="EG41" s="269"/>
      <c r="EH41" s="269"/>
      <c r="EI41" s="269"/>
      <c r="EJ41" s="269" t="e">
        <f t="shared" si="103"/>
        <v>#DIV/0!</v>
      </c>
      <c r="EK41" s="268"/>
      <c r="EL41" s="269"/>
      <c r="EM41" s="269"/>
      <c r="EN41" s="269"/>
      <c r="EO41" s="269" t="e">
        <f t="shared" si="104"/>
        <v>#DIV/0!</v>
      </c>
      <c r="EP41" s="268"/>
      <c r="EQ41" s="269"/>
      <c r="ER41" s="269"/>
      <c r="ES41" s="269"/>
      <c r="ET41" s="269" t="e">
        <f t="shared" si="105"/>
        <v>#DIV/0!</v>
      </c>
      <c r="EU41" s="268"/>
      <c r="EV41" s="269"/>
      <c r="EW41" s="269"/>
      <c r="EX41" s="269"/>
      <c r="EY41" s="269" t="e">
        <f t="shared" si="106"/>
        <v>#DIV/0!</v>
      </c>
      <c r="EZ41" s="268"/>
      <c r="FA41" s="269"/>
      <c r="FB41" s="269"/>
      <c r="FC41" s="269"/>
      <c r="FD41" s="269" t="e">
        <f t="shared" si="107"/>
        <v>#DIV/0!</v>
      </c>
      <c r="FE41" s="269">
        <f t="shared" si="108"/>
        <v>0</v>
      </c>
      <c r="FF41" s="269"/>
      <c r="FG41" s="269">
        <f t="shared" si="109"/>
        <v>0</v>
      </c>
      <c r="FH41" s="305">
        <f t="shared" si="110"/>
        <v>0</v>
      </c>
      <c r="FI41" s="306" t="e">
        <f t="shared" si="111"/>
        <v>#DIV/0!</v>
      </c>
      <c r="FJ41" s="269">
        <f t="shared" si="112"/>
        <v>0</v>
      </c>
      <c r="FK41" s="309"/>
      <c r="FL41" s="310"/>
      <c r="FM41" s="326"/>
      <c r="FO41" s="327"/>
    </row>
    <row r="42" s="214" customFormat="1" ht="27" customHeight="1" spans="1:169">
      <c r="A42" s="263"/>
      <c r="B42" s="270"/>
      <c r="C42" s="265"/>
      <c r="D42" s="266" t="s">
        <v>52</v>
      </c>
      <c r="E42" s="271">
        <v>0.373</v>
      </c>
      <c r="F42" s="268"/>
      <c r="G42" s="269"/>
      <c r="H42" s="269"/>
      <c r="I42" s="269"/>
      <c r="J42" s="269" t="e">
        <f t="shared" si="78"/>
        <v>#DIV/0!</v>
      </c>
      <c r="K42" s="268"/>
      <c r="L42" s="269"/>
      <c r="M42" s="269"/>
      <c r="N42" s="269"/>
      <c r="O42" s="269" t="e">
        <f t="shared" si="79"/>
        <v>#DIV/0!</v>
      </c>
      <c r="P42" s="268"/>
      <c r="Q42" s="269"/>
      <c r="R42" s="269"/>
      <c r="S42" s="269"/>
      <c r="T42" s="269" t="e">
        <f t="shared" si="80"/>
        <v>#DIV/0!</v>
      </c>
      <c r="U42" s="268"/>
      <c r="V42" s="269"/>
      <c r="W42" s="269"/>
      <c r="X42" s="269"/>
      <c r="Y42" s="269" t="e">
        <f t="shared" si="81"/>
        <v>#DIV/0!</v>
      </c>
      <c r="Z42" s="268"/>
      <c r="AA42" s="269"/>
      <c r="AB42" s="269"/>
      <c r="AC42" s="269"/>
      <c r="AD42" s="269" t="e">
        <f t="shared" si="82"/>
        <v>#DIV/0!</v>
      </c>
      <c r="AE42" s="268"/>
      <c r="AF42" s="269"/>
      <c r="AG42" s="269"/>
      <c r="AH42" s="269"/>
      <c r="AI42" s="269" t="e">
        <f t="shared" si="83"/>
        <v>#DIV/0!</v>
      </c>
      <c r="AJ42" s="268"/>
      <c r="AK42" s="269"/>
      <c r="AL42" s="269"/>
      <c r="AM42" s="269"/>
      <c r="AN42" s="269" t="e">
        <f t="shared" si="84"/>
        <v>#DIV/0!</v>
      </c>
      <c r="AO42" s="268"/>
      <c r="AP42" s="269"/>
      <c r="AQ42" s="269"/>
      <c r="AR42" s="269"/>
      <c r="AS42" s="269" t="e">
        <f t="shared" si="113"/>
        <v>#DIV/0!</v>
      </c>
      <c r="AT42" s="268"/>
      <c r="AU42" s="269"/>
      <c r="AV42" s="269"/>
      <c r="AW42" s="269"/>
      <c r="AX42" s="269" t="e">
        <f t="shared" si="85"/>
        <v>#DIV/0!</v>
      </c>
      <c r="AY42" s="268"/>
      <c r="AZ42" s="269"/>
      <c r="BA42" s="269"/>
      <c r="BB42" s="269"/>
      <c r="BC42" s="269" t="e">
        <f t="shared" si="86"/>
        <v>#DIV/0!</v>
      </c>
      <c r="BD42" s="268"/>
      <c r="BE42" s="269"/>
      <c r="BF42" s="269"/>
      <c r="BG42" s="269"/>
      <c r="BH42" s="269" t="e">
        <f t="shared" si="87"/>
        <v>#DIV/0!</v>
      </c>
      <c r="BI42" s="268"/>
      <c r="BJ42" s="269"/>
      <c r="BK42" s="269"/>
      <c r="BL42" s="269"/>
      <c r="BM42" s="269" t="e">
        <f t="shared" si="88"/>
        <v>#DIV/0!</v>
      </c>
      <c r="BN42" s="268"/>
      <c r="BO42" s="269"/>
      <c r="BP42" s="269"/>
      <c r="BQ42" s="269"/>
      <c r="BR42" s="269" t="e">
        <f t="shared" si="89"/>
        <v>#DIV/0!</v>
      </c>
      <c r="BS42" s="268"/>
      <c r="BT42" s="269"/>
      <c r="BU42" s="269"/>
      <c r="BV42" s="269"/>
      <c r="BW42" s="269" t="e">
        <f t="shared" si="90"/>
        <v>#DIV/0!</v>
      </c>
      <c r="BX42" s="268"/>
      <c r="BY42" s="269"/>
      <c r="BZ42" s="269"/>
      <c r="CA42" s="269"/>
      <c r="CB42" s="269" t="e">
        <f t="shared" si="91"/>
        <v>#DIV/0!</v>
      </c>
      <c r="CC42" s="268"/>
      <c r="CD42" s="269"/>
      <c r="CE42" s="269"/>
      <c r="CF42" s="269"/>
      <c r="CG42" s="269" t="e">
        <f t="shared" si="92"/>
        <v>#DIV/0!</v>
      </c>
      <c r="CH42" s="268"/>
      <c r="CI42" s="269"/>
      <c r="CJ42" s="269"/>
      <c r="CK42" s="269"/>
      <c r="CL42" s="269" t="e">
        <f t="shared" si="93"/>
        <v>#DIV/0!</v>
      </c>
      <c r="CM42" s="268"/>
      <c r="CN42" s="269"/>
      <c r="CO42" s="269"/>
      <c r="CP42" s="269"/>
      <c r="CQ42" s="269" t="e">
        <f t="shared" si="94"/>
        <v>#DIV/0!</v>
      </c>
      <c r="CR42" s="268"/>
      <c r="CS42" s="269"/>
      <c r="CT42" s="269"/>
      <c r="CU42" s="269"/>
      <c r="CV42" s="269" t="e">
        <f t="shared" si="95"/>
        <v>#DIV/0!</v>
      </c>
      <c r="CW42" s="268"/>
      <c r="CX42" s="269"/>
      <c r="CY42" s="269"/>
      <c r="CZ42" s="269"/>
      <c r="DA42" s="269" t="e">
        <f t="shared" si="96"/>
        <v>#DIV/0!</v>
      </c>
      <c r="DB42" s="268"/>
      <c r="DC42" s="269"/>
      <c r="DD42" s="269"/>
      <c r="DE42" s="269"/>
      <c r="DF42" s="269" t="e">
        <f t="shared" si="97"/>
        <v>#DIV/0!</v>
      </c>
      <c r="DG42" s="268"/>
      <c r="DH42" s="269"/>
      <c r="DI42" s="269"/>
      <c r="DJ42" s="269"/>
      <c r="DK42" s="269" t="e">
        <f t="shared" si="98"/>
        <v>#DIV/0!</v>
      </c>
      <c r="DL42" s="268"/>
      <c r="DM42" s="269"/>
      <c r="DN42" s="269"/>
      <c r="DO42" s="269"/>
      <c r="DP42" s="269" t="e">
        <f t="shared" si="99"/>
        <v>#DIV/0!</v>
      </c>
      <c r="DQ42" s="268"/>
      <c r="DR42" s="269"/>
      <c r="DS42" s="269"/>
      <c r="DT42" s="269"/>
      <c r="DU42" s="269" t="e">
        <f t="shared" si="100"/>
        <v>#DIV/0!</v>
      </c>
      <c r="DV42" s="268"/>
      <c r="DW42" s="269"/>
      <c r="DX42" s="269"/>
      <c r="DY42" s="269"/>
      <c r="DZ42" s="269" t="e">
        <f t="shared" si="101"/>
        <v>#DIV/0!</v>
      </c>
      <c r="EA42" s="268"/>
      <c r="EB42" s="269"/>
      <c r="EC42" s="269"/>
      <c r="ED42" s="269"/>
      <c r="EE42" s="269" t="e">
        <f t="shared" si="102"/>
        <v>#DIV/0!</v>
      </c>
      <c r="EF42" s="268"/>
      <c r="EG42" s="269"/>
      <c r="EH42" s="269"/>
      <c r="EI42" s="269"/>
      <c r="EJ42" s="269" t="e">
        <f t="shared" si="103"/>
        <v>#DIV/0!</v>
      </c>
      <c r="EK42" s="268"/>
      <c r="EL42" s="269"/>
      <c r="EM42" s="269"/>
      <c r="EN42" s="269"/>
      <c r="EO42" s="269" t="e">
        <f t="shared" si="104"/>
        <v>#DIV/0!</v>
      </c>
      <c r="EP42" s="268"/>
      <c r="EQ42" s="269"/>
      <c r="ER42" s="269"/>
      <c r="ES42" s="269"/>
      <c r="ET42" s="269" t="e">
        <f t="shared" si="105"/>
        <v>#DIV/0!</v>
      </c>
      <c r="EU42" s="268"/>
      <c r="EV42" s="269"/>
      <c r="EW42" s="269"/>
      <c r="EX42" s="269"/>
      <c r="EY42" s="269" t="e">
        <f t="shared" si="106"/>
        <v>#DIV/0!</v>
      </c>
      <c r="EZ42" s="268"/>
      <c r="FA42" s="269"/>
      <c r="FB42" s="269"/>
      <c r="FC42" s="269"/>
      <c r="FD42" s="269" t="e">
        <f t="shared" si="107"/>
        <v>#DIV/0!</v>
      </c>
      <c r="FE42" s="269">
        <f t="shared" si="108"/>
        <v>0</v>
      </c>
      <c r="FF42" s="269"/>
      <c r="FG42" s="269">
        <f t="shared" si="109"/>
        <v>0</v>
      </c>
      <c r="FH42" s="305">
        <f t="shared" si="110"/>
        <v>0</v>
      </c>
      <c r="FI42" s="306" t="e">
        <f t="shared" si="111"/>
        <v>#DIV/0!</v>
      </c>
      <c r="FJ42" s="269">
        <f t="shared" si="112"/>
        <v>0</v>
      </c>
      <c r="FK42" s="309"/>
      <c r="FL42" s="310"/>
      <c r="FM42" s="326"/>
    </row>
    <row r="43" s="214" customFormat="1" ht="27" customHeight="1" spans="1:169">
      <c r="A43" s="263"/>
      <c r="B43" s="270"/>
      <c r="C43" s="265"/>
      <c r="D43" s="266" t="s">
        <v>14</v>
      </c>
      <c r="E43" s="271">
        <v>0.373</v>
      </c>
      <c r="F43" s="268"/>
      <c r="G43" s="269"/>
      <c r="H43" s="269"/>
      <c r="I43" s="269"/>
      <c r="J43" s="269" t="e">
        <f t="shared" si="78"/>
        <v>#DIV/0!</v>
      </c>
      <c r="K43" s="268"/>
      <c r="L43" s="269"/>
      <c r="M43" s="269"/>
      <c r="N43" s="269"/>
      <c r="O43" s="269" t="e">
        <f t="shared" si="79"/>
        <v>#DIV/0!</v>
      </c>
      <c r="P43" s="268"/>
      <c r="Q43" s="269"/>
      <c r="R43" s="269"/>
      <c r="S43" s="269"/>
      <c r="T43" s="269" t="e">
        <f t="shared" si="80"/>
        <v>#DIV/0!</v>
      </c>
      <c r="U43" s="268"/>
      <c r="V43" s="269"/>
      <c r="W43" s="269"/>
      <c r="X43" s="269"/>
      <c r="Y43" s="269" t="e">
        <f t="shared" si="81"/>
        <v>#DIV/0!</v>
      </c>
      <c r="Z43" s="268"/>
      <c r="AA43" s="269"/>
      <c r="AB43" s="269"/>
      <c r="AC43" s="269"/>
      <c r="AD43" s="269" t="e">
        <f t="shared" si="82"/>
        <v>#DIV/0!</v>
      </c>
      <c r="AE43" s="268"/>
      <c r="AF43" s="269"/>
      <c r="AG43" s="269"/>
      <c r="AH43" s="269"/>
      <c r="AI43" s="269" t="e">
        <f t="shared" si="83"/>
        <v>#DIV/0!</v>
      </c>
      <c r="AJ43" s="268"/>
      <c r="AK43" s="269"/>
      <c r="AL43" s="269"/>
      <c r="AM43" s="269"/>
      <c r="AN43" s="269" t="e">
        <f t="shared" si="84"/>
        <v>#DIV/0!</v>
      </c>
      <c r="AO43" s="268"/>
      <c r="AP43" s="269"/>
      <c r="AQ43" s="269"/>
      <c r="AR43" s="269"/>
      <c r="AS43" s="269" t="e">
        <f t="shared" si="113"/>
        <v>#DIV/0!</v>
      </c>
      <c r="AT43" s="268"/>
      <c r="AU43" s="269"/>
      <c r="AV43" s="269"/>
      <c r="AW43" s="269"/>
      <c r="AX43" s="269" t="e">
        <f t="shared" si="85"/>
        <v>#DIV/0!</v>
      </c>
      <c r="AY43" s="268"/>
      <c r="AZ43" s="269"/>
      <c r="BA43" s="269"/>
      <c r="BB43" s="269"/>
      <c r="BC43" s="269" t="e">
        <f t="shared" si="86"/>
        <v>#DIV/0!</v>
      </c>
      <c r="BD43" s="268"/>
      <c r="BE43" s="269"/>
      <c r="BF43" s="269"/>
      <c r="BG43" s="269"/>
      <c r="BH43" s="269" t="e">
        <f t="shared" si="87"/>
        <v>#DIV/0!</v>
      </c>
      <c r="BI43" s="268"/>
      <c r="BJ43" s="269"/>
      <c r="BK43" s="269"/>
      <c r="BL43" s="269"/>
      <c r="BM43" s="269" t="e">
        <f t="shared" si="88"/>
        <v>#DIV/0!</v>
      </c>
      <c r="BN43" s="268"/>
      <c r="BO43" s="269"/>
      <c r="BP43" s="269"/>
      <c r="BQ43" s="269"/>
      <c r="BR43" s="269" t="e">
        <f t="shared" si="89"/>
        <v>#DIV/0!</v>
      </c>
      <c r="BS43" s="268"/>
      <c r="BT43" s="269"/>
      <c r="BU43" s="269"/>
      <c r="BV43" s="269"/>
      <c r="BW43" s="269" t="e">
        <f t="shared" si="90"/>
        <v>#DIV/0!</v>
      </c>
      <c r="BX43" s="268"/>
      <c r="BY43" s="269"/>
      <c r="BZ43" s="269"/>
      <c r="CA43" s="269"/>
      <c r="CB43" s="269" t="e">
        <f t="shared" si="91"/>
        <v>#DIV/0!</v>
      </c>
      <c r="CC43" s="268"/>
      <c r="CD43" s="269"/>
      <c r="CE43" s="269"/>
      <c r="CF43" s="269"/>
      <c r="CG43" s="269" t="e">
        <f t="shared" si="92"/>
        <v>#DIV/0!</v>
      </c>
      <c r="CH43" s="268"/>
      <c r="CI43" s="269"/>
      <c r="CJ43" s="269"/>
      <c r="CK43" s="269"/>
      <c r="CL43" s="269" t="e">
        <f t="shared" si="93"/>
        <v>#DIV/0!</v>
      </c>
      <c r="CM43" s="268"/>
      <c r="CN43" s="269"/>
      <c r="CO43" s="269"/>
      <c r="CP43" s="269"/>
      <c r="CQ43" s="269" t="e">
        <f t="shared" si="94"/>
        <v>#DIV/0!</v>
      </c>
      <c r="CR43" s="268"/>
      <c r="CS43" s="269"/>
      <c r="CT43" s="269"/>
      <c r="CU43" s="269"/>
      <c r="CV43" s="269" t="e">
        <f t="shared" si="95"/>
        <v>#DIV/0!</v>
      </c>
      <c r="CW43" s="268"/>
      <c r="CX43" s="269"/>
      <c r="CY43" s="269"/>
      <c r="CZ43" s="269"/>
      <c r="DA43" s="269" t="e">
        <f t="shared" si="96"/>
        <v>#DIV/0!</v>
      </c>
      <c r="DB43" s="268"/>
      <c r="DC43" s="269"/>
      <c r="DD43" s="269"/>
      <c r="DE43" s="269"/>
      <c r="DF43" s="269" t="e">
        <f t="shared" si="97"/>
        <v>#DIV/0!</v>
      </c>
      <c r="DG43" s="268"/>
      <c r="DH43" s="269"/>
      <c r="DI43" s="269"/>
      <c r="DJ43" s="269"/>
      <c r="DK43" s="269" t="e">
        <f t="shared" si="98"/>
        <v>#DIV/0!</v>
      </c>
      <c r="DL43" s="268"/>
      <c r="DM43" s="269"/>
      <c r="DN43" s="269"/>
      <c r="DO43" s="269"/>
      <c r="DP43" s="269" t="e">
        <f t="shared" si="99"/>
        <v>#DIV/0!</v>
      </c>
      <c r="DQ43" s="268"/>
      <c r="DR43" s="269"/>
      <c r="DS43" s="269"/>
      <c r="DT43" s="269"/>
      <c r="DU43" s="269" t="e">
        <f t="shared" si="100"/>
        <v>#DIV/0!</v>
      </c>
      <c r="DV43" s="268"/>
      <c r="DW43" s="269"/>
      <c r="DX43" s="269"/>
      <c r="DY43" s="269"/>
      <c r="DZ43" s="269" t="e">
        <f t="shared" si="101"/>
        <v>#DIV/0!</v>
      </c>
      <c r="EA43" s="268"/>
      <c r="EB43" s="269"/>
      <c r="EC43" s="269"/>
      <c r="ED43" s="269"/>
      <c r="EE43" s="269" t="e">
        <f t="shared" si="102"/>
        <v>#DIV/0!</v>
      </c>
      <c r="EF43" s="268"/>
      <c r="EG43" s="269"/>
      <c r="EH43" s="269"/>
      <c r="EI43" s="269"/>
      <c r="EJ43" s="269" t="e">
        <f t="shared" si="103"/>
        <v>#DIV/0!</v>
      </c>
      <c r="EK43" s="268"/>
      <c r="EL43" s="269"/>
      <c r="EM43" s="269"/>
      <c r="EN43" s="269"/>
      <c r="EO43" s="269" t="e">
        <f t="shared" si="104"/>
        <v>#DIV/0!</v>
      </c>
      <c r="EP43" s="268"/>
      <c r="EQ43" s="269"/>
      <c r="ER43" s="269"/>
      <c r="ES43" s="269"/>
      <c r="ET43" s="269" t="e">
        <f t="shared" si="105"/>
        <v>#DIV/0!</v>
      </c>
      <c r="EU43" s="268"/>
      <c r="EV43" s="269"/>
      <c r="EW43" s="269"/>
      <c r="EX43" s="269"/>
      <c r="EY43" s="269" t="e">
        <f t="shared" si="106"/>
        <v>#DIV/0!</v>
      </c>
      <c r="EZ43" s="268"/>
      <c r="FA43" s="269"/>
      <c r="FB43" s="269"/>
      <c r="FC43" s="269"/>
      <c r="FD43" s="269" t="e">
        <f t="shared" si="107"/>
        <v>#DIV/0!</v>
      </c>
      <c r="FE43" s="269">
        <f t="shared" si="108"/>
        <v>0</v>
      </c>
      <c r="FF43" s="269"/>
      <c r="FG43" s="269">
        <f t="shared" si="109"/>
        <v>0</v>
      </c>
      <c r="FH43" s="305">
        <f t="shared" si="110"/>
        <v>0</v>
      </c>
      <c r="FI43" s="306" t="e">
        <f t="shared" si="111"/>
        <v>#DIV/0!</v>
      </c>
      <c r="FJ43" s="269">
        <f t="shared" si="112"/>
        <v>0</v>
      </c>
      <c r="FK43" s="309"/>
      <c r="FL43" s="310"/>
      <c r="FM43" s="326"/>
    </row>
    <row r="44" s="214" customFormat="1" ht="27" customHeight="1" spans="1:169">
      <c r="A44" s="263"/>
      <c r="B44" s="270"/>
      <c r="C44" s="265"/>
      <c r="D44" s="266" t="s">
        <v>15</v>
      </c>
      <c r="E44" s="271">
        <v>0.373</v>
      </c>
      <c r="F44" s="268"/>
      <c r="G44" s="269"/>
      <c r="H44" s="269"/>
      <c r="I44" s="269"/>
      <c r="J44" s="269" t="e">
        <f t="shared" si="78"/>
        <v>#DIV/0!</v>
      </c>
      <c r="K44" s="268"/>
      <c r="L44" s="269"/>
      <c r="M44" s="269"/>
      <c r="N44" s="269"/>
      <c r="O44" s="269" t="e">
        <f t="shared" si="79"/>
        <v>#DIV/0!</v>
      </c>
      <c r="P44" s="268"/>
      <c r="Q44" s="269"/>
      <c r="R44" s="269"/>
      <c r="S44" s="269"/>
      <c r="T44" s="269" t="e">
        <f t="shared" si="80"/>
        <v>#DIV/0!</v>
      </c>
      <c r="U44" s="268"/>
      <c r="V44" s="269"/>
      <c r="W44" s="269"/>
      <c r="X44" s="269"/>
      <c r="Y44" s="269" t="e">
        <f t="shared" si="81"/>
        <v>#DIV/0!</v>
      </c>
      <c r="Z44" s="268"/>
      <c r="AA44" s="269"/>
      <c r="AB44" s="269"/>
      <c r="AC44" s="269"/>
      <c r="AD44" s="269" t="e">
        <f t="shared" si="82"/>
        <v>#DIV/0!</v>
      </c>
      <c r="AE44" s="268"/>
      <c r="AF44" s="269"/>
      <c r="AG44" s="269"/>
      <c r="AH44" s="269"/>
      <c r="AI44" s="269" t="e">
        <f t="shared" si="83"/>
        <v>#DIV/0!</v>
      </c>
      <c r="AJ44" s="268"/>
      <c r="AK44" s="269"/>
      <c r="AL44" s="269"/>
      <c r="AM44" s="269"/>
      <c r="AN44" s="269" t="e">
        <f t="shared" si="84"/>
        <v>#DIV/0!</v>
      </c>
      <c r="AO44" s="268"/>
      <c r="AP44" s="269"/>
      <c r="AQ44" s="269"/>
      <c r="AR44" s="269"/>
      <c r="AS44" s="269" t="e">
        <f t="shared" si="113"/>
        <v>#DIV/0!</v>
      </c>
      <c r="AT44" s="268"/>
      <c r="AU44" s="269"/>
      <c r="AV44" s="269"/>
      <c r="AW44" s="269"/>
      <c r="AX44" s="269" t="e">
        <f t="shared" si="85"/>
        <v>#DIV/0!</v>
      </c>
      <c r="AY44" s="268"/>
      <c r="AZ44" s="269"/>
      <c r="BA44" s="269"/>
      <c r="BB44" s="269"/>
      <c r="BC44" s="269" t="e">
        <f t="shared" si="86"/>
        <v>#DIV/0!</v>
      </c>
      <c r="BD44" s="268"/>
      <c r="BE44" s="269"/>
      <c r="BF44" s="269"/>
      <c r="BG44" s="269"/>
      <c r="BH44" s="269" t="e">
        <f t="shared" si="87"/>
        <v>#DIV/0!</v>
      </c>
      <c r="BI44" s="268"/>
      <c r="BJ44" s="269"/>
      <c r="BK44" s="269"/>
      <c r="BL44" s="269"/>
      <c r="BM44" s="269" t="e">
        <f t="shared" si="88"/>
        <v>#DIV/0!</v>
      </c>
      <c r="BN44" s="268"/>
      <c r="BO44" s="269"/>
      <c r="BP44" s="269"/>
      <c r="BQ44" s="269"/>
      <c r="BR44" s="269" t="e">
        <f t="shared" si="89"/>
        <v>#DIV/0!</v>
      </c>
      <c r="BS44" s="268"/>
      <c r="BT44" s="269"/>
      <c r="BU44" s="269"/>
      <c r="BV44" s="269"/>
      <c r="BW44" s="269" t="e">
        <f t="shared" si="90"/>
        <v>#DIV/0!</v>
      </c>
      <c r="BX44" s="268"/>
      <c r="BY44" s="269"/>
      <c r="BZ44" s="269"/>
      <c r="CA44" s="269"/>
      <c r="CB44" s="269" t="e">
        <f t="shared" si="91"/>
        <v>#DIV/0!</v>
      </c>
      <c r="CC44" s="268"/>
      <c r="CD44" s="269"/>
      <c r="CE44" s="269"/>
      <c r="CF44" s="269"/>
      <c r="CG44" s="269" t="e">
        <f t="shared" si="92"/>
        <v>#DIV/0!</v>
      </c>
      <c r="CH44" s="268"/>
      <c r="CI44" s="269"/>
      <c r="CJ44" s="269"/>
      <c r="CK44" s="269"/>
      <c r="CL44" s="269" t="e">
        <f t="shared" si="93"/>
        <v>#DIV/0!</v>
      </c>
      <c r="CM44" s="268"/>
      <c r="CN44" s="269"/>
      <c r="CO44" s="269"/>
      <c r="CP44" s="269"/>
      <c r="CQ44" s="269" t="e">
        <f t="shared" si="94"/>
        <v>#DIV/0!</v>
      </c>
      <c r="CR44" s="268"/>
      <c r="CS44" s="269"/>
      <c r="CT44" s="269"/>
      <c r="CU44" s="269"/>
      <c r="CV44" s="269" t="e">
        <f t="shared" si="95"/>
        <v>#DIV/0!</v>
      </c>
      <c r="CW44" s="268"/>
      <c r="CX44" s="269"/>
      <c r="CY44" s="269"/>
      <c r="CZ44" s="269"/>
      <c r="DA44" s="269" t="e">
        <f t="shared" si="96"/>
        <v>#DIV/0!</v>
      </c>
      <c r="DB44" s="268"/>
      <c r="DC44" s="269"/>
      <c r="DD44" s="269"/>
      <c r="DE44" s="269"/>
      <c r="DF44" s="269" t="e">
        <f t="shared" si="97"/>
        <v>#DIV/0!</v>
      </c>
      <c r="DG44" s="268"/>
      <c r="DH44" s="269"/>
      <c r="DI44" s="269"/>
      <c r="DJ44" s="269"/>
      <c r="DK44" s="269" t="e">
        <f t="shared" si="98"/>
        <v>#DIV/0!</v>
      </c>
      <c r="DL44" s="268"/>
      <c r="DM44" s="269"/>
      <c r="DN44" s="269"/>
      <c r="DO44" s="269"/>
      <c r="DP44" s="269" t="e">
        <f t="shared" si="99"/>
        <v>#DIV/0!</v>
      </c>
      <c r="DQ44" s="268"/>
      <c r="DR44" s="269"/>
      <c r="DS44" s="269"/>
      <c r="DT44" s="269"/>
      <c r="DU44" s="269" t="e">
        <f t="shared" si="100"/>
        <v>#DIV/0!</v>
      </c>
      <c r="DV44" s="268"/>
      <c r="DW44" s="269"/>
      <c r="DX44" s="269"/>
      <c r="DY44" s="269"/>
      <c r="DZ44" s="269" t="e">
        <f t="shared" si="101"/>
        <v>#DIV/0!</v>
      </c>
      <c r="EA44" s="268"/>
      <c r="EB44" s="269"/>
      <c r="EC44" s="269"/>
      <c r="ED44" s="269"/>
      <c r="EE44" s="269" t="e">
        <f t="shared" si="102"/>
        <v>#DIV/0!</v>
      </c>
      <c r="EF44" s="268"/>
      <c r="EG44" s="269"/>
      <c r="EH44" s="269"/>
      <c r="EI44" s="269"/>
      <c r="EJ44" s="269" t="e">
        <f t="shared" si="103"/>
        <v>#DIV/0!</v>
      </c>
      <c r="EK44" s="268"/>
      <c r="EL44" s="269"/>
      <c r="EM44" s="269"/>
      <c r="EN44" s="269"/>
      <c r="EO44" s="269" t="e">
        <f t="shared" si="104"/>
        <v>#DIV/0!</v>
      </c>
      <c r="EP44" s="268"/>
      <c r="EQ44" s="269"/>
      <c r="ER44" s="269"/>
      <c r="ES44" s="269"/>
      <c r="ET44" s="269" t="e">
        <f t="shared" si="105"/>
        <v>#DIV/0!</v>
      </c>
      <c r="EU44" s="268"/>
      <c r="EV44" s="269"/>
      <c r="EW44" s="269"/>
      <c r="EX44" s="269"/>
      <c r="EY44" s="269" t="e">
        <f t="shared" si="106"/>
        <v>#DIV/0!</v>
      </c>
      <c r="EZ44" s="268"/>
      <c r="FA44" s="269"/>
      <c r="FB44" s="269"/>
      <c r="FC44" s="269"/>
      <c r="FD44" s="269" t="e">
        <f t="shared" si="107"/>
        <v>#DIV/0!</v>
      </c>
      <c r="FE44" s="269">
        <f t="shared" si="108"/>
        <v>0</v>
      </c>
      <c r="FF44" s="269"/>
      <c r="FG44" s="269">
        <f t="shared" si="109"/>
        <v>0</v>
      </c>
      <c r="FH44" s="305">
        <f t="shared" si="110"/>
        <v>0</v>
      </c>
      <c r="FI44" s="306" t="e">
        <f t="shared" si="111"/>
        <v>#DIV/0!</v>
      </c>
      <c r="FJ44" s="269">
        <f t="shared" si="112"/>
        <v>0</v>
      </c>
      <c r="FK44" s="309"/>
      <c r="FL44" s="310"/>
      <c r="FM44" s="326"/>
    </row>
    <row r="45" s="214" customFormat="1" ht="27" customHeight="1" spans="1:169">
      <c r="A45" s="263"/>
      <c r="B45" s="270"/>
      <c r="C45" s="265"/>
      <c r="D45" s="266" t="s">
        <v>16</v>
      </c>
      <c r="E45" s="271">
        <v>0.373</v>
      </c>
      <c r="F45" s="268"/>
      <c r="G45" s="269"/>
      <c r="H45" s="269"/>
      <c r="I45" s="269"/>
      <c r="J45" s="269" t="e">
        <f t="shared" si="78"/>
        <v>#DIV/0!</v>
      </c>
      <c r="K45" s="268"/>
      <c r="L45" s="269"/>
      <c r="M45" s="269"/>
      <c r="N45" s="269"/>
      <c r="O45" s="269" t="e">
        <f t="shared" si="79"/>
        <v>#DIV/0!</v>
      </c>
      <c r="P45" s="268"/>
      <c r="Q45" s="269"/>
      <c r="R45" s="269"/>
      <c r="S45" s="269"/>
      <c r="T45" s="269" t="e">
        <f t="shared" si="80"/>
        <v>#DIV/0!</v>
      </c>
      <c r="U45" s="268"/>
      <c r="V45" s="269"/>
      <c r="W45" s="269"/>
      <c r="X45" s="269"/>
      <c r="Y45" s="269" t="e">
        <f t="shared" si="81"/>
        <v>#DIV/0!</v>
      </c>
      <c r="Z45" s="268"/>
      <c r="AA45" s="269"/>
      <c r="AB45" s="269"/>
      <c r="AC45" s="269"/>
      <c r="AD45" s="269" t="e">
        <f t="shared" si="82"/>
        <v>#DIV/0!</v>
      </c>
      <c r="AE45" s="268"/>
      <c r="AF45" s="269"/>
      <c r="AG45" s="269"/>
      <c r="AH45" s="269"/>
      <c r="AI45" s="269" t="e">
        <f t="shared" si="83"/>
        <v>#DIV/0!</v>
      </c>
      <c r="AJ45" s="268"/>
      <c r="AK45" s="269"/>
      <c r="AL45" s="269"/>
      <c r="AM45" s="269"/>
      <c r="AN45" s="269" t="e">
        <f t="shared" si="84"/>
        <v>#DIV/0!</v>
      </c>
      <c r="AO45" s="268"/>
      <c r="AP45" s="269"/>
      <c r="AQ45" s="269"/>
      <c r="AR45" s="269"/>
      <c r="AS45" s="269" t="e">
        <f t="shared" si="113"/>
        <v>#DIV/0!</v>
      </c>
      <c r="AT45" s="268"/>
      <c r="AU45" s="269"/>
      <c r="AV45" s="269"/>
      <c r="AW45" s="269"/>
      <c r="AX45" s="269" t="e">
        <f t="shared" si="85"/>
        <v>#DIV/0!</v>
      </c>
      <c r="AY45" s="268"/>
      <c r="AZ45" s="269"/>
      <c r="BA45" s="269"/>
      <c r="BB45" s="269"/>
      <c r="BC45" s="269" t="e">
        <f t="shared" si="86"/>
        <v>#DIV/0!</v>
      </c>
      <c r="BD45" s="268"/>
      <c r="BE45" s="269"/>
      <c r="BF45" s="269"/>
      <c r="BG45" s="269"/>
      <c r="BH45" s="269" t="e">
        <f t="shared" si="87"/>
        <v>#DIV/0!</v>
      </c>
      <c r="BI45" s="268"/>
      <c r="BJ45" s="269"/>
      <c r="BK45" s="269"/>
      <c r="BL45" s="269"/>
      <c r="BM45" s="269" t="e">
        <f t="shared" si="88"/>
        <v>#DIV/0!</v>
      </c>
      <c r="BN45" s="268"/>
      <c r="BO45" s="269"/>
      <c r="BP45" s="269"/>
      <c r="BQ45" s="269"/>
      <c r="BR45" s="269" t="e">
        <f t="shared" si="89"/>
        <v>#DIV/0!</v>
      </c>
      <c r="BS45" s="268"/>
      <c r="BT45" s="269"/>
      <c r="BU45" s="269"/>
      <c r="BV45" s="269"/>
      <c r="BW45" s="269" t="e">
        <f t="shared" si="90"/>
        <v>#DIV/0!</v>
      </c>
      <c r="BX45" s="268"/>
      <c r="BY45" s="269"/>
      <c r="BZ45" s="269"/>
      <c r="CA45" s="269"/>
      <c r="CB45" s="269" t="e">
        <f t="shared" si="91"/>
        <v>#DIV/0!</v>
      </c>
      <c r="CC45" s="268"/>
      <c r="CD45" s="269"/>
      <c r="CE45" s="269"/>
      <c r="CF45" s="269"/>
      <c r="CG45" s="269" t="e">
        <f t="shared" si="92"/>
        <v>#DIV/0!</v>
      </c>
      <c r="CH45" s="268"/>
      <c r="CI45" s="269"/>
      <c r="CJ45" s="269"/>
      <c r="CK45" s="269"/>
      <c r="CL45" s="269" t="e">
        <f t="shared" si="93"/>
        <v>#DIV/0!</v>
      </c>
      <c r="CM45" s="268"/>
      <c r="CN45" s="269"/>
      <c r="CO45" s="269"/>
      <c r="CP45" s="269"/>
      <c r="CQ45" s="269" t="e">
        <f t="shared" si="94"/>
        <v>#DIV/0!</v>
      </c>
      <c r="CR45" s="268"/>
      <c r="CS45" s="269"/>
      <c r="CT45" s="269"/>
      <c r="CU45" s="269"/>
      <c r="CV45" s="269" t="e">
        <f t="shared" si="95"/>
        <v>#DIV/0!</v>
      </c>
      <c r="CW45" s="268"/>
      <c r="CX45" s="269"/>
      <c r="CY45" s="269"/>
      <c r="CZ45" s="269"/>
      <c r="DA45" s="269" t="e">
        <f t="shared" si="96"/>
        <v>#DIV/0!</v>
      </c>
      <c r="DB45" s="268"/>
      <c r="DC45" s="269"/>
      <c r="DD45" s="269"/>
      <c r="DE45" s="269"/>
      <c r="DF45" s="269" t="e">
        <f t="shared" si="97"/>
        <v>#DIV/0!</v>
      </c>
      <c r="DG45" s="268"/>
      <c r="DH45" s="269"/>
      <c r="DI45" s="269"/>
      <c r="DJ45" s="269"/>
      <c r="DK45" s="269" t="e">
        <f t="shared" si="98"/>
        <v>#DIV/0!</v>
      </c>
      <c r="DL45" s="268"/>
      <c r="DM45" s="269"/>
      <c r="DN45" s="269"/>
      <c r="DO45" s="269"/>
      <c r="DP45" s="269" t="e">
        <f t="shared" si="99"/>
        <v>#DIV/0!</v>
      </c>
      <c r="DQ45" s="268"/>
      <c r="DR45" s="269"/>
      <c r="DS45" s="269"/>
      <c r="DT45" s="269"/>
      <c r="DU45" s="269" t="e">
        <f t="shared" si="100"/>
        <v>#DIV/0!</v>
      </c>
      <c r="DV45" s="268"/>
      <c r="DW45" s="269"/>
      <c r="DX45" s="269"/>
      <c r="DY45" s="269"/>
      <c r="DZ45" s="269" t="e">
        <f t="shared" si="101"/>
        <v>#DIV/0!</v>
      </c>
      <c r="EA45" s="268"/>
      <c r="EB45" s="269"/>
      <c r="EC45" s="269"/>
      <c r="ED45" s="269"/>
      <c r="EE45" s="269" t="e">
        <f t="shared" si="102"/>
        <v>#DIV/0!</v>
      </c>
      <c r="EF45" s="268"/>
      <c r="EG45" s="269"/>
      <c r="EH45" s="269"/>
      <c r="EI45" s="269"/>
      <c r="EJ45" s="269" t="e">
        <f t="shared" si="103"/>
        <v>#DIV/0!</v>
      </c>
      <c r="EK45" s="268"/>
      <c r="EL45" s="269"/>
      <c r="EM45" s="269"/>
      <c r="EN45" s="269"/>
      <c r="EO45" s="269" t="e">
        <f t="shared" si="104"/>
        <v>#DIV/0!</v>
      </c>
      <c r="EP45" s="268"/>
      <c r="EQ45" s="269"/>
      <c r="ER45" s="269"/>
      <c r="ES45" s="269"/>
      <c r="ET45" s="269" t="e">
        <f t="shared" si="105"/>
        <v>#DIV/0!</v>
      </c>
      <c r="EU45" s="268"/>
      <c r="EV45" s="269"/>
      <c r="EW45" s="269"/>
      <c r="EX45" s="269"/>
      <c r="EY45" s="269" t="e">
        <f t="shared" si="106"/>
        <v>#DIV/0!</v>
      </c>
      <c r="EZ45" s="268"/>
      <c r="FA45" s="269"/>
      <c r="FB45" s="269"/>
      <c r="FC45" s="269"/>
      <c r="FD45" s="269" t="e">
        <f t="shared" si="107"/>
        <v>#DIV/0!</v>
      </c>
      <c r="FE45" s="269">
        <f t="shared" si="108"/>
        <v>0</v>
      </c>
      <c r="FF45" s="269"/>
      <c r="FG45" s="269">
        <f t="shared" si="109"/>
        <v>0</v>
      </c>
      <c r="FH45" s="305">
        <f t="shared" si="110"/>
        <v>0</v>
      </c>
      <c r="FI45" s="306" t="e">
        <f t="shared" si="111"/>
        <v>#DIV/0!</v>
      </c>
      <c r="FJ45" s="269">
        <f t="shared" si="112"/>
        <v>0</v>
      </c>
      <c r="FK45" s="309"/>
      <c r="FL45" s="310"/>
      <c r="FM45" s="326"/>
    </row>
    <row r="46" s="214" customFormat="1" ht="27" customHeight="1" spans="1:169">
      <c r="A46" s="263"/>
      <c r="B46" s="272"/>
      <c r="C46" s="265"/>
      <c r="D46" s="266" t="s">
        <v>17</v>
      </c>
      <c r="E46" s="271">
        <v>0.373</v>
      </c>
      <c r="F46" s="268"/>
      <c r="G46" s="269"/>
      <c r="H46" s="269"/>
      <c r="I46" s="269"/>
      <c r="J46" s="269" t="e">
        <f t="shared" si="78"/>
        <v>#DIV/0!</v>
      </c>
      <c r="K46" s="268"/>
      <c r="L46" s="269"/>
      <c r="M46" s="269"/>
      <c r="N46" s="269"/>
      <c r="O46" s="269" t="e">
        <f t="shared" si="79"/>
        <v>#DIV/0!</v>
      </c>
      <c r="P46" s="268"/>
      <c r="Q46" s="269"/>
      <c r="R46" s="269"/>
      <c r="S46" s="269"/>
      <c r="T46" s="269" t="e">
        <f t="shared" si="80"/>
        <v>#DIV/0!</v>
      </c>
      <c r="U46" s="268"/>
      <c r="V46" s="269"/>
      <c r="W46" s="269"/>
      <c r="X46" s="269"/>
      <c r="Y46" s="269" t="e">
        <f t="shared" si="81"/>
        <v>#DIV/0!</v>
      </c>
      <c r="Z46" s="268"/>
      <c r="AA46" s="269"/>
      <c r="AB46" s="269"/>
      <c r="AC46" s="269"/>
      <c r="AD46" s="269" t="e">
        <f t="shared" si="82"/>
        <v>#DIV/0!</v>
      </c>
      <c r="AE46" s="268"/>
      <c r="AF46" s="269"/>
      <c r="AG46" s="269"/>
      <c r="AH46" s="269"/>
      <c r="AI46" s="269" t="e">
        <f t="shared" si="83"/>
        <v>#DIV/0!</v>
      </c>
      <c r="AJ46" s="268"/>
      <c r="AK46" s="269"/>
      <c r="AL46" s="269"/>
      <c r="AM46" s="269"/>
      <c r="AN46" s="269" t="e">
        <f t="shared" si="84"/>
        <v>#DIV/0!</v>
      </c>
      <c r="AO46" s="268"/>
      <c r="AP46" s="269"/>
      <c r="AQ46" s="269"/>
      <c r="AR46" s="269"/>
      <c r="AS46" s="269" t="e">
        <f t="shared" si="113"/>
        <v>#DIV/0!</v>
      </c>
      <c r="AT46" s="268"/>
      <c r="AU46" s="269"/>
      <c r="AV46" s="269"/>
      <c r="AW46" s="269"/>
      <c r="AX46" s="269" t="e">
        <f t="shared" si="85"/>
        <v>#DIV/0!</v>
      </c>
      <c r="AY46" s="268"/>
      <c r="AZ46" s="269"/>
      <c r="BA46" s="269"/>
      <c r="BB46" s="269"/>
      <c r="BC46" s="269" t="e">
        <f t="shared" si="86"/>
        <v>#DIV/0!</v>
      </c>
      <c r="BD46" s="268"/>
      <c r="BE46" s="269"/>
      <c r="BF46" s="269"/>
      <c r="BG46" s="269"/>
      <c r="BH46" s="269" t="e">
        <f t="shared" si="87"/>
        <v>#DIV/0!</v>
      </c>
      <c r="BI46" s="268"/>
      <c r="BJ46" s="269"/>
      <c r="BK46" s="269"/>
      <c r="BL46" s="269"/>
      <c r="BM46" s="269" t="e">
        <f t="shared" si="88"/>
        <v>#DIV/0!</v>
      </c>
      <c r="BN46" s="268"/>
      <c r="BO46" s="269"/>
      <c r="BP46" s="269"/>
      <c r="BQ46" s="269"/>
      <c r="BR46" s="269" t="e">
        <f t="shared" si="89"/>
        <v>#DIV/0!</v>
      </c>
      <c r="BS46" s="268"/>
      <c r="BT46" s="269"/>
      <c r="BU46" s="269"/>
      <c r="BV46" s="269"/>
      <c r="BW46" s="269" t="e">
        <f t="shared" si="90"/>
        <v>#DIV/0!</v>
      </c>
      <c r="BX46" s="268"/>
      <c r="BY46" s="269"/>
      <c r="BZ46" s="269"/>
      <c r="CA46" s="269"/>
      <c r="CB46" s="269" t="e">
        <f t="shared" si="91"/>
        <v>#DIV/0!</v>
      </c>
      <c r="CC46" s="268"/>
      <c r="CD46" s="269"/>
      <c r="CE46" s="269"/>
      <c r="CF46" s="269"/>
      <c r="CG46" s="269" t="e">
        <f t="shared" si="92"/>
        <v>#DIV/0!</v>
      </c>
      <c r="CH46" s="268"/>
      <c r="CI46" s="269"/>
      <c r="CJ46" s="269"/>
      <c r="CK46" s="269"/>
      <c r="CL46" s="269" t="e">
        <f t="shared" si="93"/>
        <v>#DIV/0!</v>
      </c>
      <c r="CM46" s="268"/>
      <c r="CN46" s="269"/>
      <c r="CO46" s="269"/>
      <c r="CP46" s="269"/>
      <c r="CQ46" s="269" t="e">
        <f t="shared" si="94"/>
        <v>#DIV/0!</v>
      </c>
      <c r="CR46" s="268"/>
      <c r="CS46" s="269"/>
      <c r="CT46" s="269"/>
      <c r="CU46" s="269"/>
      <c r="CV46" s="269" t="e">
        <f t="shared" si="95"/>
        <v>#DIV/0!</v>
      </c>
      <c r="CW46" s="268"/>
      <c r="CX46" s="269"/>
      <c r="CY46" s="269"/>
      <c r="CZ46" s="269"/>
      <c r="DA46" s="269" t="e">
        <f t="shared" si="96"/>
        <v>#DIV/0!</v>
      </c>
      <c r="DB46" s="268"/>
      <c r="DC46" s="269"/>
      <c r="DD46" s="269"/>
      <c r="DE46" s="269"/>
      <c r="DF46" s="269" t="e">
        <f t="shared" si="97"/>
        <v>#DIV/0!</v>
      </c>
      <c r="DG46" s="268"/>
      <c r="DH46" s="269"/>
      <c r="DI46" s="269"/>
      <c r="DJ46" s="269"/>
      <c r="DK46" s="269" t="e">
        <f t="shared" si="98"/>
        <v>#DIV/0!</v>
      </c>
      <c r="DL46" s="268"/>
      <c r="DM46" s="269"/>
      <c r="DN46" s="269"/>
      <c r="DO46" s="269"/>
      <c r="DP46" s="269" t="e">
        <f t="shared" si="99"/>
        <v>#DIV/0!</v>
      </c>
      <c r="DQ46" s="268"/>
      <c r="DR46" s="269"/>
      <c r="DS46" s="269"/>
      <c r="DT46" s="269"/>
      <c r="DU46" s="269" t="e">
        <f t="shared" si="100"/>
        <v>#DIV/0!</v>
      </c>
      <c r="DV46" s="268"/>
      <c r="DW46" s="269"/>
      <c r="DX46" s="269"/>
      <c r="DY46" s="269"/>
      <c r="DZ46" s="269" t="e">
        <f t="shared" si="101"/>
        <v>#DIV/0!</v>
      </c>
      <c r="EA46" s="268"/>
      <c r="EB46" s="269"/>
      <c r="EC46" s="269"/>
      <c r="ED46" s="269"/>
      <c r="EE46" s="269" t="e">
        <f t="shared" si="102"/>
        <v>#DIV/0!</v>
      </c>
      <c r="EF46" s="268"/>
      <c r="EG46" s="269"/>
      <c r="EH46" s="269"/>
      <c r="EI46" s="269"/>
      <c r="EJ46" s="269" t="e">
        <f t="shared" si="103"/>
        <v>#DIV/0!</v>
      </c>
      <c r="EK46" s="268"/>
      <c r="EL46" s="269"/>
      <c r="EM46" s="269"/>
      <c r="EN46" s="269"/>
      <c r="EO46" s="269" t="e">
        <f t="shared" si="104"/>
        <v>#DIV/0!</v>
      </c>
      <c r="EP46" s="268"/>
      <c r="EQ46" s="269"/>
      <c r="ER46" s="269"/>
      <c r="ES46" s="269"/>
      <c r="ET46" s="269" t="e">
        <f t="shared" si="105"/>
        <v>#DIV/0!</v>
      </c>
      <c r="EU46" s="268"/>
      <c r="EV46" s="269"/>
      <c r="EW46" s="269"/>
      <c r="EX46" s="269"/>
      <c r="EY46" s="269" t="e">
        <f t="shared" si="106"/>
        <v>#DIV/0!</v>
      </c>
      <c r="EZ46" s="268"/>
      <c r="FA46" s="269"/>
      <c r="FB46" s="269"/>
      <c r="FC46" s="269"/>
      <c r="FD46" s="269" t="e">
        <f t="shared" si="107"/>
        <v>#DIV/0!</v>
      </c>
      <c r="FE46" s="269">
        <f t="shared" si="108"/>
        <v>0</v>
      </c>
      <c r="FF46" s="269"/>
      <c r="FG46" s="269">
        <f t="shared" si="109"/>
        <v>0</v>
      </c>
      <c r="FH46" s="305">
        <f t="shared" si="110"/>
        <v>0</v>
      </c>
      <c r="FI46" s="306" t="e">
        <f t="shared" si="111"/>
        <v>#DIV/0!</v>
      </c>
      <c r="FJ46" s="269">
        <f t="shared" si="112"/>
        <v>0</v>
      </c>
      <c r="FK46" s="311"/>
      <c r="FL46" s="312"/>
      <c r="FM46" s="328"/>
    </row>
    <row r="47" s="214" customFormat="1" ht="27" customHeight="1" spans="1:171">
      <c r="A47" s="263">
        <v>8</v>
      </c>
      <c r="B47" s="273" t="s">
        <v>29</v>
      </c>
      <c r="C47" s="274"/>
      <c r="D47" s="233" t="s">
        <v>8</v>
      </c>
      <c r="E47" s="275">
        <v>0.4</v>
      </c>
      <c r="F47" s="276">
        <v>328</v>
      </c>
      <c r="G47" s="276">
        <v>10</v>
      </c>
      <c r="H47" s="277">
        <v>278</v>
      </c>
      <c r="I47" s="277">
        <v>40</v>
      </c>
      <c r="J47" s="277">
        <f t="shared" si="78"/>
        <v>0.764249831889561</v>
      </c>
      <c r="K47" s="276">
        <v>420</v>
      </c>
      <c r="L47" s="276">
        <v>12</v>
      </c>
      <c r="M47" s="277">
        <v>371</v>
      </c>
      <c r="N47" s="277">
        <v>37</v>
      </c>
      <c r="O47" s="277">
        <f t="shared" si="79"/>
        <v>0.82685145136486</v>
      </c>
      <c r="P47" s="276">
        <v>111</v>
      </c>
      <c r="Q47" s="276">
        <v>3</v>
      </c>
      <c r="R47" s="277">
        <v>305</v>
      </c>
      <c r="S47" s="277"/>
      <c r="T47" s="277">
        <f t="shared" si="80"/>
        <v>1</v>
      </c>
      <c r="U47" s="276"/>
      <c r="V47" s="276"/>
      <c r="W47" s="277"/>
      <c r="X47" s="277"/>
      <c r="Y47" s="277" t="e">
        <f t="shared" si="81"/>
        <v>#DIV/0!</v>
      </c>
      <c r="Z47" s="276"/>
      <c r="AA47" s="276"/>
      <c r="AB47" s="277"/>
      <c r="AC47" s="277"/>
      <c r="AD47" s="277" t="e">
        <f t="shared" si="82"/>
        <v>#DIV/0!</v>
      </c>
      <c r="AE47" s="276">
        <v>415</v>
      </c>
      <c r="AF47" s="276">
        <v>12</v>
      </c>
      <c r="AG47" s="277">
        <v>356</v>
      </c>
      <c r="AH47" s="277">
        <v>47</v>
      </c>
      <c r="AI47" s="277">
        <f t="shared" si="83"/>
        <v>0.780350842625717</v>
      </c>
      <c r="AJ47" s="276">
        <v>467</v>
      </c>
      <c r="AK47" s="276">
        <v>10</v>
      </c>
      <c r="AL47" s="277">
        <v>397</v>
      </c>
      <c r="AM47" s="277">
        <v>60</v>
      </c>
      <c r="AN47" s="277">
        <f t="shared" si="84"/>
        <v>0.754655277257732</v>
      </c>
      <c r="AO47" s="276">
        <v>343</v>
      </c>
      <c r="AP47" s="276">
        <v>10</v>
      </c>
      <c r="AQ47" s="277">
        <v>305</v>
      </c>
      <c r="AR47" s="277">
        <v>28</v>
      </c>
      <c r="AS47" s="277">
        <f t="shared" si="113"/>
        <v>0.838901965028091</v>
      </c>
      <c r="AT47" s="276">
        <v>402</v>
      </c>
      <c r="AU47" s="276">
        <v>15</v>
      </c>
      <c r="AV47" s="277">
        <v>369</v>
      </c>
      <c r="AW47" s="277">
        <v>18</v>
      </c>
      <c r="AX47" s="277">
        <f t="shared" si="85"/>
        <v>0.909140075716604</v>
      </c>
      <c r="AY47" s="276">
        <v>339</v>
      </c>
      <c r="AZ47" s="276">
        <v>9</v>
      </c>
      <c r="BA47" s="277">
        <v>317</v>
      </c>
      <c r="BB47" s="277">
        <v>13</v>
      </c>
      <c r="BC47" s="277">
        <f t="shared" si="86"/>
        <v>0.922764003673095</v>
      </c>
      <c r="BD47" s="276">
        <v>313</v>
      </c>
      <c r="BE47" s="276">
        <v>5</v>
      </c>
      <c r="BF47" s="277">
        <v>285</v>
      </c>
      <c r="BG47" s="277">
        <v>23</v>
      </c>
      <c r="BH47" s="277">
        <f t="shared" si="87"/>
        <v>0.856225754764716</v>
      </c>
      <c r="BI47" s="276">
        <v>294</v>
      </c>
      <c r="BJ47" s="276">
        <v>6</v>
      </c>
      <c r="BK47" s="277">
        <v>272</v>
      </c>
      <c r="BL47" s="277">
        <v>16</v>
      </c>
      <c r="BM47" s="277">
        <f t="shared" si="88"/>
        <v>0.891975308641975</v>
      </c>
      <c r="BN47" s="276">
        <v>387</v>
      </c>
      <c r="BO47" s="276">
        <v>10</v>
      </c>
      <c r="BP47" s="277">
        <v>348</v>
      </c>
      <c r="BQ47" s="277">
        <v>29</v>
      </c>
      <c r="BR47" s="277">
        <f t="shared" si="89"/>
        <v>0.85207100591716</v>
      </c>
      <c r="BS47" s="276">
        <v>401</v>
      </c>
      <c r="BT47" s="276">
        <v>11</v>
      </c>
      <c r="BU47" s="277">
        <v>354</v>
      </c>
      <c r="BV47" s="277">
        <v>36</v>
      </c>
      <c r="BW47" s="277">
        <f t="shared" si="90"/>
        <v>0.823905325443787</v>
      </c>
      <c r="BX47" s="276">
        <v>282</v>
      </c>
      <c r="BY47" s="276">
        <v>8</v>
      </c>
      <c r="BZ47" s="277">
        <v>262</v>
      </c>
      <c r="CA47" s="277">
        <v>12</v>
      </c>
      <c r="CB47" s="277">
        <f t="shared" si="91"/>
        <v>0.914326815493633</v>
      </c>
      <c r="CC47" s="276">
        <v>363</v>
      </c>
      <c r="CD47" s="276">
        <v>11</v>
      </c>
      <c r="CE47" s="277">
        <v>327</v>
      </c>
      <c r="CF47" s="277">
        <v>25</v>
      </c>
      <c r="CG47" s="277">
        <f t="shared" si="92"/>
        <v>0.862998773243802</v>
      </c>
      <c r="CH47" s="276">
        <v>268</v>
      </c>
      <c r="CI47" s="276">
        <v>15</v>
      </c>
      <c r="CJ47" s="277">
        <v>243</v>
      </c>
      <c r="CK47" s="277">
        <v>10</v>
      </c>
      <c r="CL47" s="277">
        <f t="shared" si="93"/>
        <v>0.922510896905123</v>
      </c>
      <c r="CM47" s="276">
        <v>379</v>
      </c>
      <c r="CN47" s="276">
        <v>6</v>
      </c>
      <c r="CO47" s="277">
        <v>353</v>
      </c>
      <c r="CP47" s="277">
        <v>20</v>
      </c>
      <c r="CQ47" s="277">
        <f t="shared" si="94"/>
        <v>0.89563642375062</v>
      </c>
      <c r="CR47" s="276">
        <v>228</v>
      </c>
      <c r="CS47" s="276">
        <v>10</v>
      </c>
      <c r="CT47" s="277">
        <v>218</v>
      </c>
      <c r="CU47" s="277"/>
      <c r="CV47" s="277">
        <f t="shared" si="95"/>
        <v>1</v>
      </c>
      <c r="CW47" s="276"/>
      <c r="CX47" s="276"/>
      <c r="CY47" s="277">
        <v>524</v>
      </c>
      <c r="CZ47" s="277"/>
      <c r="DA47" s="277">
        <f t="shared" si="96"/>
        <v>1</v>
      </c>
      <c r="DB47" s="276">
        <v>392</v>
      </c>
      <c r="DC47" s="276">
        <v>17</v>
      </c>
      <c r="DD47" s="277">
        <v>360</v>
      </c>
      <c r="DE47" s="277">
        <v>15</v>
      </c>
      <c r="DF47" s="277">
        <f t="shared" si="97"/>
        <v>0.9216</v>
      </c>
      <c r="DG47" s="276">
        <v>315</v>
      </c>
      <c r="DH47" s="276">
        <v>3</v>
      </c>
      <c r="DI47" s="277">
        <v>302</v>
      </c>
      <c r="DJ47" s="277">
        <v>10</v>
      </c>
      <c r="DK47" s="277">
        <f t="shared" si="98"/>
        <v>0.936924720578567</v>
      </c>
      <c r="DL47" s="276">
        <v>365</v>
      </c>
      <c r="DM47" s="276">
        <v>4</v>
      </c>
      <c r="DN47" s="277">
        <v>347</v>
      </c>
      <c r="DO47" s="277">
        <v>15</v>
      </c>
      <c r="DP47" s="277">
        <f t="shared" si="99"/>
        <v>0.918844052379354</v>
      </c>
      <c r="DQ47" s="276">
        <v>284</v>
      </c>
      <c r="DR47" s="276">
        <v>7</v>
      </c>
      <c r="DS47" s="277">
        <v>347</v>
      </c>
      <c r="DT47" s="277"/>
      <c r="DU47" s="277">
        <f t="shared" si="100"/>
        <v>1</v>
      </c>
      <c r="DV47" s="276">
        <v>400</v>
      </c>
      <c r="DW47" s="276">
        <v>5</v>
      </c>
      <c r="DX47" s="277">
        <v>360</v>
      </c>
      <c r="DY47" s="277">
        <v>35</v>
      </c>
      <c r="DZ47" s="277">
        <f t="shared" si="101"/>
        <v>0.83063611600705</v>
      </c>
      <c r="EA47" s="276">
        <v>312</v>
      </c>
      <c r="EB47" s="276">
        <v>7</v>
      </c>
      <c r="EC47" s="277">
        <v>300</v>
      </c>
      <c r="ED47" s="277">
        <v>5</v>
      </c>
      <c r="EE47" s="277">
        <f t="shared" si="102"/>
        <v>0.96748185971513</v>
      </c>
      <c r="EF47" s="276">
        <v>408</v>
      </c>
      <c r="EG47" s="276">
        <v>6</v>
      </c>
      <c r="EH47" s="277">
        <v>377</v>
      </c>
      <c r="EI47" s="277">
        <v>25</v>
      </c>
      <c r="EJ47" s="277">
        <f t="shared" si="103"/>
        <v>0.879489369075023</v>
      </c>
      <c r="EK47" s="276">
        <v>335</v>
      </c>
      <c r="EL47" s="276">
        <v>4</v>
      </c>
      <c r="EM47" s="277">
        <v>316</v>
      </c>
      <c r="EN47" s="277">
        <v>15</v>
      </c>
      <c r="EO47" s="277">
        <f t="shared" si="104"/>
        <v>0.911419209390203</v>
      </c>
      <c r="EP47" s="276">
        <v>408</v>
      </c>
      <c r="EQ47" s="276">
        <v>6</v>
      </c>
      <c r="ER47" s="277">
        <v>371</v>
      </c>
      <c r="ES47" s="277">
        <v>31</v>
      </c>
      <c r="ET47" s="277">
        <f t="shared" si="105"/>
        <v>0.851717779262889</v>
      </c>
      <c r="EU47" s="276"/>
      <c r="EV47" s="276"/>
      <c r="EW47" s="277">
        <v>311</v>
      </c>
      <c r="EX47" s="277"/>
      <c r="EY47" s="277">
        <f t="shared" si="106"/>
        <v>1</v>
      </c>
      <c r="EZ47" s="276"/>
      <c r="FA47" s="276"/>
      <c r="FB47" s="277"/>
      <c r="FC47" s="277"/>
      <c r="FD47" s="277" t="e">
        <f t="shared" si="107"/>
        <v>#DIV/0!</v>
      </c>
      <c r="FE47" s="277">
        <f t="shared" si="108"/>
        <v>8959</v>
      </c>
      <c r="FF47" s="277"/>
      <c r="FG47" s="277">
        <f t="shared" si="109"/>
        <v>222</v>
      </c>
      <c r="FH47" s="313">
        <f>FB47+EW47+ER47+EM47+EH47+EC47+DX47+DS47+DN47+DI47+DD47+CY47+CT47+CO47+CJ47+CE47+BZ47+BU47+BP47+BK47+BF47+BA47+AV47+AQ47+AL47+AG47+AB47+W47+R47+M47+H47-FN47</f>
        <v>8710</v>
      </c>
      <c r="FI47" s="314">
        <f t="shared" si="111"/>
        <v>0.945185905440843</v>
      </c>
      <c r="FJ47" s="277">
        <f t="shared" si="112"/>
        <v>3484</v>
      </c>
      <c r="FK47" s="315">
        <f>FJ47+FJ48+FJ49+FJ50+FJ51+FJ52+FJ53+FJ54+FJ55+FJ56</f>
        <v>3507</v>
      </c>
      <c r="FL47" s="316">
        <f>(FH47+FH48+FH49+FH50+FH51+FH52+FH53+FH54+FH55+FH56)/(FE47+FE48+FE49+FE50+FE51+FE52+FE53+FE54+FE55+FE56)</f>
        <v>0.983368679540127</v>
      </c>
      <c r="FM47" s="329"/>
      <c r="FN47" s="330">
        <f>FC47+EX47+ES47+EN47+EI47+ED47+DY47+DT47+DO47+DJ47+DE47+CZ47+CU47+CP47+CK47+CF47+CA47+BV47+BQ47+BL47+BG47+BB47+AW47+AR47+AM47+AH47+X47+S47+N47+I47</f>
        <v>565</v>
      </c>
      <c r="FO47" s="331"/>
    </row>
    <row r="48" s="214" customFormat="1" ht="27" customHeight="1" spans="1:169">
      <c r="A48" s="263"/>
      <c r="B48" s="278"/>
      <c r="C48" s="274"/>
      <c r="D48" s="233" t="s">
        <v>9</v>
      </c>
      <c r="E48" s="279">
        <v>0.133</v>
      </c>
      <c r="F48" s="276"/>
      <c r="G48" s="276"/>
      <c r="H48" s="277"/>
      <c r="I48" s="277"/>
      <c r="J48" s="277" t="e">
        <f t="shared" si="78"/>
        <v>#DIV/0!</v>
      </c>
      <c r="K48" s="276"/>
      <c r="L48" s="276"/>
      <c r="M48" s="277"/>
      <c r="N48" s="277"/>
      <c r="O48" s="277" t="e">
        <f t="shared" si="79"/>
        <v>#DIV/0!</v>
      </c>
      <c r="P48" s="276"/>
      <c r="Q48" s="276"/>
      <c r="R48" s="277"/>
      <c r="S48" s="277"/>
      <c r="T48" s="277" t="e">
        <f t="shared" si="80"/>
        <v>#DIV/0!</v>
      </c>
      <c r="U48" s="276"/>
      <c r="V48" s="276"/>
      <c r="W48" s="277"/>
      <c r="X48" s="277"/>
      <c r="Y48" s="277" t="e">
        <f t="shared" si="81"/>
        <v>#DIV/0!</v>
      </c>
      <c r="Z48" s="276"/>
      <c r="AA48" s="276"/>
      <c r="AB48" s="277"/>
      <c r="AC48" s="277"/>
      <c r="AD48" s="277" t="e">
        <f t="shared" si="82"/>
        <v>#DIV/0!</v>
      </c>
      <c r="AE48" s="276"/>
      <c r="AF48" s="276"/>
      <c r="AG48" s="277"/>
      <c r="AH48" s="277"/>
      <c r="AI48" s="277" t="e">
        <f t="shared" si="83"/>
        <v>#DIV/0!</v>
      </c>
      <c r="AJ48" s="276"/>
      <c r="AK48" s="276"/>
      <c r="AL48" s="277"/>
      <c r="AM48" s="277"/>
      <c r="AN48" s="277" t="e">
        <f t="shared" si="84"/>
        <v>#DIV/0!</v>
      </c>
      <c r="AO48" s="276"/>
      <c r="AP48" s="276"/>
      <c r="AQ48" s="277"/>
      <c r="AR48" s="277"/>
      <c r="AS48" s="277" t="e">
        <f t="shared" si="113"/>
        <v>#DIV/0!</v>
      </c>
      <c r="AT48" s="276"/>
      <c r="AU48" s="276"/>
      <c r="AV48" s="277"/>
      <c r="AW48" s="277"/>
      <c r="AX48" s="277" t="e">
        <f t="shared" si="85"/>
        <v>#DIV/0!</v>
      </c>
      <c r="AY48" s="276"/>
      <c r="AZ48" s="276"/>
      <c r="BA48" s="277"/>
      <c r="BB48" s="277"/>
      <c r="BC48" s="277" t="e">
        <f t="shared" si="86"/>
        <v>#DIV/0!</v>
      </c>
      <c r="BD48" s="276"/>
      <c r="BE48" s="276"/>
      <c r="BF48" s="277"/>
      <c r="BG48" s="277"/>
      <c r="BH48" s="277" t="e">
        <f t="shared" si="87"/>
        <v>#DIV/0!</v>
      </c>
      <c r="BI48" s="276"/>
      <c r="BJ48" s="276"/>
      <c r="BK48" s="277"/>
      <c r="BL48" s="277"/>
      <c r="BM48" s="277" t="e">
        <f t="shared" si="88"/>
        <v>#DIV/0!</v>
      </c>
      <c r="BN48" s="276"/>
      <c r="BO48" s="276"/>
      <c r="BP48" s="277"/>
      <c r="BQ48" s="277"/>
      <c r="BR48" s="277" t="e">
        <f t="shared" si="89"/>
        <v>#DIV/0!</v>
      </c>
      <c r="BS48" s="276"/>
      <c r="BT48" s="276"/>
      <c r="BU48" s="277"/>
      <c r="BV48" s="277"/>
      <c r="BW48" s="277" t="e">
        <f t="shared" si="90"/>
        <v>#DIV/0!</v>
      </c>
      <c r="BX48" s="276"/>
      <c r="BY48" s="276"/>
      <c r="BZ48" s="277"/>
      <c r="CA48" s="277"/>
      <c r="CB48" s="277" t="e">
        <f t="shared" si="91"/>
        <v>#DIV/0!</v>
      </c>
      <c r="CC48" s="276"/>
      <c r="CD48" s="276"/>
      <c r="CE48" s="277"/>
      <c r="CF48" s="277"/>
      <c r="CG48" s="277" t="e">
        <f t="shared" si="92"/>
        <v>#DIV/0!</v>
      </c>
      <c r="CH48" s="276"/>
      <c r="CI48" s="276"/>
      <c r="CJ48" s="277"/>
      <c r="CK48" s="277"/>
      <c r="CL48" s="277" t="e">
        <f t="shared" si="93"/>
        <v>#DIV/0!</v>
      </c>
      <c r="CM48" s="276"/>
      <c r="CN48" s="276"/>
      <c r="CO48" s="277"/>
      <c r="CP48" s="277"/>
      <c r="CQ48" s="277" t="e">
        <f t="shared" si="94"/>
        <v>#DIV/0!</v>
      </c>
      <c r="CR48" s="276"/>
      <c r="CS48" s="276"/>
      <c r="CT48" s="277"/>
      <c r="CU48" s="277"/>
      <c r="CV48" s="277" t="e">
        <f t="shared" si="95"/>
        <v>#DIV/0!</v>
      </c>
      <c r="CW48" s="276"/>
      <c r="CX48" s="276"/>
      <c r="CY48" s="277"/>
      <c r="CZ48" s="277"/>
      <c r="DA48" s="277" t="e">
        <f t="shared" si="96"/>
        <v>#DIV/0!</v>
      </c>
      <c r="DB48" s="276"/>
      <c r="DC48" s="276"/>
      <c r="DD48" s="277"/>
      <c r="DE48" s="277"/>
      <c r="DF48" s="277" t="e">
        <f t="shared" si="97"/>
        <v>#DIV/0!</v>
      </c>
      <c r="DG48" s="276"/>
      <c r="DH48" s="276"/>
      <c r="DI48" s="277"/>
      <c r="DJ48" s="277"/>
      <c r="DK48" s="277" t="e">
        <f t="shared" si="98"/>
        <v>#DIV/0!</v>
      </c>
      <c r="DL48" s="276"/>
      <c r="DM48" s="276"/>
      <c r="DN48" s="277"/>
      <c r="DO48" s="277"/>
      <c r="DP48" s="277" t="e">
        <f t="shared" si="99"/>
        <v>#DIV/0!</v>
      </c>
      <c r="DQ48" s="276"/>
      <c r="DR48" s="276"/>
      <c r="DS48" s="277"/>
      <c r="DT48" s="277"/>
      <c r="DU48" s="277" t="e">
        <f t="shared" si="100"/>
        <v>#DIV/0!</v>
      </c>
      <c r="DV48" s="276"/>
      <c r="DW48" s="276"/>
      <c r="DX48" s="277"/>
      <c r="DY48" s="277"/>
      <c r="DZ48" s="277" t="e">
        <f t="shared" si="101"/>
        <v>#DIV/0!</v>
      </c>
      <c r="EA48" s="276"/>
      <c r="EB48" s="276"/>
      <c r="EC48" s="277"/>
      <c r="ED48" s="277"/>
      <c r="EE48" s="277" t="e">
        <f t="shared" si="102"/>
        <v>#DIV/0!</v>
      </c>
      <c r="EF48" s="276"/>
      <c r="EG48" s="276"/>
      <c r="EH48" s="277"/>
      <c r="EI48" s="277"/>
      <c r="EJ48" s="277" t="e">
        <f t="shared" si="103"/>
        <v>#DIV/0!</v>
      </c>
      <c r="EK48" s="276"/>
      <c r="EL48" s="276"/>
      <c r="EM48" s="277"/>
      <c r="EN48" s="277"/>
      <c r="EO48" s="277" t="e">
        <f t="shared" si="104"/>
        <v>#DIV/0!</v>
      </c>
      <c r="EP48" s="276"/>
      <c r="EQ48" s="276"/>
      <c r="ER48" s="277"/>
      <c r="ES48" s="277"/>
      <c r="ET48" s="277" t="e">
        <f t="shared" si="105"/>
        <v>#DIV/0!</v>
      </c>
      <c r="EU48" s="276"/>
      <c r="EV48" s="276"/>
      <c r="EW48" s="277"/>
      <c r="EX48" s="277"/>
      <c r="EY48" s="277" t="e">
        <f t="shared" si="106"/>
        <v>#DIV/0!</v>
      </c>
      <c r="EZ48" s="276"/>
      <c r="FA48" s="276"/>
      <c r="FB48" s="277"/>
      <c r="FC48" s="277"/>
      <c r="FD48" s="277" t="e">
        <f t="shared" si="107"/>
        <v>#DIV/0!</v>
      </c>
      <c r="FE48" s="277">
        <f t="shared" si="108"/>
        <v>0</v>
      </c>
      <c r="FF48" s="277"/>
      <c r="FG48" s="277">
        <f t="shared" si="109"/>
        <v>0</v>
      </c>
      <c r="FH48" s="313">
        <f t="shared" si="110"/>
        <v>0</v>
      </c>
      <c r="FI48" s="314" t="e">
        <f t="shared" si="111"/>
        <v>#DIV/0!</v>
      </c>
      <c r="FJ48" s="277">
        <f t="shared" si="112"/>
        <v>0</v>
      </c>
      <c r="FK48" s="317"/>
      <c r="FL48" s="318"/>
      <c r="FM48" s="332"/>
    </row>
    <row r="49" s="214" customFormat="1" ht="27" customHeight="1" spans="1:169">
      <c r="A49" s="263"/>
      <c r="B49" s="278"/>
      <c r="C49" s="274"/>
      <c r="D49" s="233" t="s">
        <v>10</v>
      </c>
      <c r="E49" s="279">
        <v>0.133</v>
      </c>
      <c r="F49" s="276"/>
      <c r="G49" s="277"/>
      <c r="H49" s="277"/>
      <c r="I49" s="277"/>
      <c r="J49" s="277" t="e">
        <f t="shared" si="78"/>
        <v>#DIV/0!</v>
      </c>
      <c r="K49" s="276"/>
      <c r="L49" s="277"/>
      <c r="M49" s="277"/>
      <c r="N49" s="277"/>
      <c r="O49" s="277" t="e">
        <f t="shared" si="79"/>
        <v>#DIV/0!</v>
      </c>
      <c r="P49" s="276"/>
      <c r="Q49" s="277"/>
      <c r="R49" s="277"/>
      <c r="S49" s="277"/>
      <c r="T49" s="277" t="e">
        <f t="shared" si="80"/>
        <v>#DIV/0!</v>
      </c>
      <c r="U49" s="276"/>
      <c r="V49" s="277"/>
      <c r="W49" s="277"/>
      <c r="X49" s="277"/>
      <c r="Y49" s="277" t="e">
        <f t="shared" si="81"/>
        <v>#DIV/0!</v>
      </c>
      <c r="Z49" s="276"/>
      <c r="AA49" s="277"/>
      <c r="AB49" s="277"/>
      <c r="AC49" s="277"/>
      <c r="AD49" s="277" t="e">
        <f t="shared" si="82"/>
        <v>#DIV/0!</v>
      </c>
      <c r="AE49" s="276"/>
      <c r="AF49" s="277"/>
      <c r="AG49" s="277"/>
      <c r="AH49" s="277"/>
      <c r="AI49" s="277" t="e">
        <f t="shared" si="83"/>
        <v>#DIV/0!</v>
      </c>
      <c r="AJ49" s="276"/>
      <c r="AK49" s="277"/>
      <c r="AL49" s="277"/>
      <c r="AM49" s="277"/>
      <c r="AN49" s="277" t="e">
        <f t="shared" si="84"/>
        <v>#DIV/0!</v>
      </c>
      <c r="AO49" s="276"/>
      <c r="AP49" s="277"/>
      <c r="AQ49" s="277"/>
      <c r="AR49" s="277"/>
      <c r="AS49" s="277" t="e">
        <f t="shared" ref="AS49:AS58" si="114">AQ49/(AQ49+AR49)*AQ49/(AQ49+AR49)</f>
        <v>#DIV/0!</v>
      </c>
      <c r="AT49" s="276"/>
      <c r="AU49" s="277"/>
      <c r="AV49" s="277"/>
      <c r="AW49" s="277"/>
      <c r="AX49" s="277" t="e">
        <f t="shared" si="85"/>
        <v>#DIV/0!</v>
      </c>
      <c r="AY49" s="276"/>
      <c r="AZ49" s="277"/>
      <c r="BA49" s="277"/>
      <c r="BB49" s="277"/>
      <c r="BC49" s="277" t="e">
        <f t="shared" si="86"/>
        <v>#DIV/0!</v>
      </c>
      <c r="BD49" s="276"/>
      <c r="BE49" s="277"/>
      <c r="BF49" s="277"/>
      <c r="BG49" s="277"/>
      <c r="BH49" s="277" t="e">
        <f t="shared" si="87"/>
        <v>#DIV/0!</v>
      </c>
      <c r="BI49" s="276"/>
      <c r="BJ49" s="277"/>
      <c r="BK49" s="277"/>
      <c r="BL49" s="277"/>
      <c r="BM49" s="277" t="e">
        <f t="shared" si="88"/>
        <v>#DIV/0!</v>
      </c>
      <c r="BN49" s="276"/>
      <c r="BO49" s="277"/>
      <c r="BP49" s="277"/>
      <c r="BQ49" s="277"/>
      <c r="BR49" s="277" t="e">
        <f t="shared" si="89"/>
        <v>#DIV/0!</v>
      </c>
      <c r="BS49" s="276"/>
      <c r="BT49" s="277"/>
      <c r="BU49" s="277"/>
      <c r="BV49" s="277"/>
      <c r="BW49" s="277" t="e">
        <f t="shared" si="90"/>
        <v>#DIV/0!</v>
      </c>
      <c r="BX49" s="276"/>
      <c r="BY49" s="277"/>
      <c r="BZ49" s="277"/>
      <c r="CA49" s="277"/>
      <c r="CB49" s="277" t="e">
        <f t="shared" si="91"/>
        <v>#DIV/0!</v>
      </c>
      <c r="CC49" s="276"/>
      <c r="CD49" s="277"/>
      <c r="CE49" s="277"/>
      <c r="CF49" s="277"/>
      <c r="CG49" s="277" t="e">
        <f t="shared" si="92"/>
        <v>#DIV/0!</v>
      </c>
      <c r="CH49" s="276"/>
      <c r="CI49" s="277"/>
      <c r="CJ49" s="277"/>
      <c r="CK49" s="277"/>
      <c r="CL49" s="277" t="e">
        <f t="shared" si="93"/>
        <v>#DIV/0!</v>
      </c>
      <c r="CM49" s="276"/>
      <c r="CN49" s="277"/>
      <c r="CO49" s="277"/>
      <c r="CP49" s="277"/>
      <c r="CQ49" s="277" t="e">
        <f t="shared" si="94"/>
        <v>#DIV/0!</v>
      </c>
      <c r="CR49" s="276"/>
      <c r="CS49" s="277"/>
      <c r="CT49" s="277"/>
      <c r="CU49" s="277"/>
      <c r="CV49" s="277" t="e">
        <f t="shared" si="95"/>
        <v>#DIV/0!</v>
      </c>
      <c r="CW49" s="276"/>
      <c r="CX49" s="277"/>
      <c r="CY49" s="277"/>
      <c r="CZ49" s="277"/>
      <c r="DA49" s="277" t="e">
        <f t="shared" si="96"/>
        <v>#DIV/0!</v>
      </c>
      <c r="DB49" s="276"/>
      <c r="DC49" s="277"/>
      <c r="DD49" s="277"/>
      <c r="DE49" s="277"/>
      <c r="DF49" s="277" t="e">
        <f t="shared" si="97"/>
        <v>#DIV/0!</v>
      </c>
      <c r="DG49" s="276"/>
      <c r="DH49" s="277"/>
      <c r="DI49" s="277"/>
      <c r="DJ49" s="277"/>
      <c r="DK49" s="277" t="e">
        <f t="shared" si="98"/>
        <v>#DIV/0!</v>
      </c>
      <c r="DL49" s="276"/>
      <c r="DM49" s="277"/>
      <c r="DN49" s="277"/>
      <c r="DO49" s="277"/>
      <c r="DP49" s="277" t="e">
        <f t="shared" si="99"/>
        <v>#DIV/0!</v>
      </c>
      <c r="DQ49" s="276"/>
      <c r="DR49" s="277"/>
      <c r="DS49" s="277"/>
      <c r="DT49" s="277"/>
      <c r="DU49" s="277" t="e">
        <f t="shared" si="100"/>
        <v>#DIV/0!</v>
      </c>
      <c r="DV49" s="276"/>
      <c r="DW49" s="277"/>
      <c r="DX49" s="277"/>
      <c r="DY49" s="277"/>
      <c r="DZ49" s="277" t="e">
        <f t="shared" si="101"/>
        <v>#DIV/0!</v>
      </c>
      <c r="EA49" s="276"/>
      <c r="EB49" s="277"/>
      <c r="EC49" s="277"/>
      <c r="ED49" s="277"/>
      <c r="EE49" s="277" t="e">
        <f t="shared" si="102"/>
        <v>#DIV/0!</v>
      </c>
      <c r="EF49" s="276"/>
      <c r="EG49" s="277"/>
      <c r="EH49" s="277"/>
      <c r="EI49" s="277"/>
      <c r="EJ49" s="277" t="e">
        <f t="shared" si="103"/>
        <v>#DIV/0!</v>
      </c>
      <c r="EK49" s="276"/>
      <c r="EL49" s="277"/>
      <c r="EM49" s="277"/>
      <c r="EN49" s="277"/>
      <c r="EO49" s="277" t="e">
        <f t="shared" si="104"/>
        <v>#DIV/0!</v>
      </c>
      <c r="EP49" s="276"/>
      <c r="EQ49" s="277"/>
      <c r="ER49" s="277"/>
      <c r="ES49" s="277"/>
      <c r="ET49" s="277" t="e">
        <f t="shared" si="105"/>
        <v>#DIV/0!</v>
      </c>
      <c r="EU49" s="276"/>
      <c r="EV49" s="277"/>
      <c r="EW49" s="277"/>
      <c r="EX49" s="277"/>
      <c r="EY49" s="277" t="e">
        <f t="shared" si="106"/>
        <v>#DIV/0!</v>
      </c>
      <c r="EZ49" s="276"/>
      <c r="FA49" s="277"/>
      <c r="FB49" s="277"/>
      <c r="FC49" s="277"/>
      <c r="FD49" s="277" t="e">
        <f t="shared" si="107"/>
        <v>#DIV/0!</v>
      </c>
      <c r="FE49" s="277">
        <f t="shared" si="108"/>
        <v>0</v>
      </c>
      <c r="FF49" s="277"/>
      <c r="FG49" s="277">
        <f t="shared" si="109"/>
        <v>0</v>
      </c>
      <c r="FH49" s="313">
        <f t="shared" si="110"/>
        <v>0</v>
      </c>
      <c r="FI49" s="314" t="e">
        <f t="shared" si="111"/>
        <v>#DIV/0!</v>
      </c>
      <c r="FJ49" s="277">
        <f t="shared" si="112"/>
        <v>0</v>
      </c>
      <c r="FK49" s="317"/>
      <c r="FL49" s="318"/>
      <c r="FM49" s="332"/>
    </row>
    <row r="50" s="214" customFormat="1" ht="27" customHeight="1" spans="1:169">
      <c r="A50" s="263"/>
      <c r="B50" s="278"/>
      <c r="C50" s="274"/>
      <c r="D50" s="233" t="s">
        <v>11</v>
      </c>
      <c r="E50" s="279">
        <v>0.23</v>
      </c>
      <c r="F50" s="276"/>
      <c r="G50" s="277"/>
      <c r="H50" s="277"/>
      <c r="I50" s="277"/>
      <c r="J50" s="277" t="e">
        <f t="shared" si="78"/>
        <v>#DIV/0!</v>
      </c>
      <c r="K50" s="276"/>
      <c r="L50" s="277"/>
      <c r="M50" s="277"/>
      <c r="N50" s="277"/>
      <c r="O50" s="277" t="e">
        <f t="shared" si="79"/>
        <v>#DIV/0!</v>
      </c>
      <c r="P50" s="276"/>
      <c r="Q50" s="277"/>
      <c r="R50" s="277"/>
      <c r="S50" s="277"/>
      <c r="T50" s="277" t="e">
        <f t="shared" si="80"/>
        <v>#DIV/0!</v>
      </c>
      <c r="U50" s="276"/>
      <c r="V50" s="277"/>
      <c r="W50" s="277"/>
      <c r="X50" s="277"/>
      <c r="Y50" s="277" t="e">
        <f t="shared" si="81"/>
        <v>#DIV/0!</v>
      </c>
      <c r="Z50" s="276"/>
      <c r="AA50" s="277"/>
      <c r="AB50" s="277"/>
      <c r="AC50" s="277"/>
      <c r="AD50" s="277" t="e">
        <f t="shared" si="82"/>
        <v>#DIV/0!</v>
      </c>
      <c r="AE50" s="276"/>
      <c r="AF50" s="277"/>
      <c r="AG50" s="277"/>
      <c r="AH50" s="277"/>
      <c r="AI50" s="277" t="e">
        <f t="shared" si="83"/>
        <v>#DIV/0!</v>
      </c>
      <c r="AJ50" s="276"/>
      <c r="AK50" s="277"/>
      <c r="AL50" s="277"/>
      <c r="AM50" s="277"/>
      <c r="AN50" s="277" t="e">
        <f t="shared" si="84"/>
        <v>#DIV/0!</v>
      </c>
      <c r="AO50" s="276"/>
      <c r="AP50" s="277"/>
      <c r="AQ50" s="277"/>
      <c r="AR50" s="277"/>
      <c r="AS50" s="277" t="e">
        <f t="shared" si="114"/>
        <v>#DIV/0!</v>
      </c>
      <c r="AT50" s="276"/>
      <c r="AU50" s="277"/>
      <c r="AV50" s="277"/>
      <c r="AW50" s="277"/>
      <c r="AX50" s="277" t="e">
        <f t="shared" si="85"/>
        <v>#DIV/0!</v>
      </c>
      <c r="AY50" s="276"/>
      <c r="AZ50" s="277"/>
      <c r="BA50" s="277"/>
      <c r="BB50" s="277"/>
      <c r="BC50" s="277" t="e">
        <f t="shared" si="86"/>
        <v>#DIV/0!</v>
      </c>
      <c r="BD50" s="276"/>
      <c r="BE50" s="277"/>
      <c r="BF50" s="277"/>
      <c r="BG50" s="277"/>
      <c r="BH50" s="277" t="e">
        <f t="shared" si="87"/>
        <v>#DIV/0!</v>
      </c>
      <c r="BI50" s="276"/>
      <c r="BJ50" s="277"/>
      <c r="BK50" s="277"/>
      <c r="BL50" s="277"/>
      <c r="BM50" s="277" t="e">
        <f t="shared" si="88"/>
        <v>#DIV/0!</v>
      </c>
      <c r="BN50" s="276"/>
      <c r="BO50" s="277"/>
      <c r="BP50" s="277"/>
      <c r="BQ50" s="277"/>
      <c r="BR50" s="277" t="e">
        <f t="shared" si="89"/>
        <v>#DIV/0!</v>
      </c>
      <c r="BS50" s="276"/>
      <c r="BT50" s="277"/>
      <c r="BU50" s="277"/>
      <c r="BV50" s="277"/>
      <c r="BW50" s="277" t="e">
        <f t="shared" si="90"/>
        <v>#DIV/0!</v>
      </c>
      <c r="BX50" s="276"/>
      <c r="BY50" s="277"/>
      <c r="BZ50" s="277"/>
      <c r="CA50" s="277"/>
      <c r="CB50" s="277" t="e">
        <f t="shared" si="91"/>
        <v>#DIV/0!</v>
      </c>
      <c r="CC50" s="276"/>
      <c r="CD50" s="277"/>
      <c r="CE50" s="277"/>
      <c r="CF50" s="277"/>
      <c r="CG50" s="277" t="e">
        <f t="shared" si="92"/>
        <v>#DIV/0!</v>
      </c>
      <c r="CH50" s="276"/>
      <c r="CI50" s="277"/>
      <c r="CJ50" s="277"/>
      <c r="CK50" s="277"/>
      <c r="CL50" s="277" t="e">
        <f t="shared" si="93"/>
        <v>#DIV/0!</v>
      </c>
      <c r="CM50" s="276"/>
      <c r="CN50" s="277"/>
      <c r="CO50" s="277"/>
      <c r="CP50" s="277"/>
      <c r="CQ50" s="277" t="e">
        <f t="shared" si="94"/>
        <v>#DIV/0!</v>
      </c>
      <c r="CR50" s="276"/>
      <c r="CS50" s="277"/>
      <c r="CT50" s="277"/>
      <c r="CU50" s="277"/>
      <c r="CV50" s="277" t="e">
        <f t="shared" si="95"/>
        <v>#DIV/0!</v>
      </c>
      <c r="CW50" s="276"/>
      <c r="CX50" s="277"/>
      <c r="CY50" s="277"/>
      <c r="CZ50" s="277"/>
      <c r="DA50" s="277" t="e">
        <f t="shared" si="96"/>
        <v>#DIV/0!</v>
      </c>
      <c r="DB50" s="276"/>
      <c r="DC50" s="277"/>
      <c r="DD50" s="277"/>
      <c r="DE50" s="277"/>
      <c r="DF50" s="277" t="e">
        <f t="shared" si="97"/>
        <v>#DIV/0!</v>
      </c>
      <c r="DG50" s="276"/>
      <c r="DH50" s="277"/>
      <c r="DI50" s="277"/>
      <c r="DJ50" s="277"/>
      <c r="DK50" s="277" t="e">
        <f t="shared" si="98"/>
        <v>#DIV/0!</v>
      </c>
      <c r="DL50" s="276"/>
      <c r="DM50" s="277"/>
      <c r="DN50" s="277"/>
      <c r="DO50" s="277"/>
      <c r="DP50" s="277" t="e">
        <f t="shared" si="99"/>
        <v>#DIV/0!</v>
      </c>
      <c r="DQ50" s="276"/>
      <c r="DR50" s="277"/>
      <c r="DS50" s="277"/>
      <c r="DT50" s="277"/>
      <c r="DU50" s="277" t="e">
        <f t="shared" si="100"/>
        <v>#DIV/0!</v>
      </c>
      <c r="DV50" s="276"/>
      <c r="DW50" s="277"/>
      <c r="DX50" s="277"/>
      <c r="DY50" s="277"/>
      <c r="DZ50" s="277" t="e">
        <f t="shared" si="101"/>
        <v>#DIV/0!</v>
      </c>
      <c r="EA50" s="276"/>
      <c r="EB50" s="277"/>
      <c r="EC50" s="277"/>
      <c r="ED50" s="277"/>
      <c r="EE50" s="277" t="e">
        <f t="shared" si="102"/>
        <v>#DIV/0!</v>
      </c>
      <c r="EF50" s="276"/>
      <c r="EG50" s="277"/>
      <c r="EH50" s="277"/>
      <c r="EI50" s="277"/>
      <c r="EJ50" s="277" t="e">
        <f t="shared" si="103"/>
        <v>#DIV/0!</v>
      </c>
      <c r="EK50" s="276"/>
      <c r="EL50" s="277"/>
      <c r="EM50" s="277"/>
      <c r="EN50" s="277"/>
      <c r="EO50" s="277" t="e">
        <f t="shared" si="104"/>
        <v>#DIV/0!</v>
      </c>
      <c r="EP50" s="276"/>
      <c r="EQ50" s="277"/>
      <c r="ER50" s="277"/>
      <c r="ES50" s="277"/>
      <c r="ET50" s="277" t="e">
        <f t="shared" si="105"/>
        <v>#DIV/0!</v>
      </c>
      <c r="EU50" s="276"/>
      <c r="EV50" s="277"/>
      <c r="EW50" s="277">
        <v>100</v>
      </c>
      <c r="EX50" s="277"/>
      <c r="EY50" s="277">
        <f t="shared" si="106"/>
        <v>1</v>
      </c>
      <c r="EZ50" s="276"/>
      <c r="FA50" s="277"/>
      <c r="FB50" s="277"/>
      <c r="FC50" s="277"/>
      <c r="FD50" s="277" t="e">
        <f t="shared" si="107"/>
        <v>#DIV/0!</v>
      </c>
      <c r="FE50" s="277">
        <f t="shared" si="108"/>
        <v>0</v>
      </c>
      <c r="FF50" s="277"/>
      <c r="FG50" s="277">
        <f t="shared" si="109"/>
        <v>0</v>
      </c>
      <c r="FH50" s="313">
        <f t="shared" si="110"/>
        <v>100</v>
      </c>
      <c r="FI50" s="314" t="e">
        <f t="shared" si="111"/>
        <v>#DIV/0!</v>
      </c>
      <c r="FJ50" s="277">
        <f t="shared" si="112"/>
        <v>23</v>
      </c>
      <c r="FK50" s="317"/>
      <c r="FL50" s="318"/>
      <c r="FM50" s="332"/>
    </row>
    <row r="51" s="214" customFormat="1" ht="27" customHeight="1" spans="1:171">
      <c r="A51" s="263"/>
      <c r="B51" s="278"/>
      <c r="C51" s="274"/>
      <c r="D51" s="233" t="s">
        <v>12</v>
      </c>
      <c r="E51" s="279">
        <v>0.25</v>
      </c>
      <c r="F51" s="276"/>
      <c r="G51" s="277"/>
      <c r="H51" s="277"/>
      <c r="I51" s="277"/>
      <c r="J51" s="277" t="e">
        <f t="shared" si="78"/>
        <v>#DIV/0!</v>
      </c>
      <c r="K51" s="276"/>
      <c r="L51" s="277"/>
      <c r="M51" s="277"/>
      <c r="N51" s="277"/>
      <c r="O51" s="277" t="e">
        <f t="shared" si="79"/>
        <v>#DIV/0!</v>
      </c>
      <c r="P51" s="276"/>
      <c r="Q51" s="277"/>
      <c r="R51" s="277"/>
      <c r="S51" s="277"/>
      <c r="T51" s="277" t="e">
        <f t="shared" si="80"/>
        <v>#DIV/0!</v>
      </c>
      <c r="U51" s="276"/>
      <c r="V51" s="277"/>
      <c r="W51" s="277"/>
      <c r="X51" s="277"/>
      <c r="Y51" s="277" t="e">
        <f t="shared" si="81"/>
        <v>#DIV/0!</v>
      </c>
      <c r="Z51" s="276"/>
      <c r="AA51" s="277"/>
      <c r="AB51" s="277"/>
      <c r="AC51" s="277"/>
      <c r="AD51" s="277" t="e">
        <f t="shared" si="82"/>
        <v>#DIV/0!</v>
      </c>
      <c r="AE51" s="276"/>
      <c r="AF51" s="277"/>
      <c r="AG51" s="277"/>
      <c r="AH51" s="277"/>
      <c r="AI51" s="277" t="e">
        <f t="shared" si="83"/>
        <v>#DIV/0!</v>
      </c>
      <c r="AJ51" s="276"/>
      <c r="AK51" s="277"/>
      <c r="AL51" s="277"/>
      <c r="AM51" s="277"/>
      <c r="AN51" s="277" t="e">
        <f t="shared" si="84"/>
        <v>#DIV/0!</v>
      </c>
      <c r="AO51" s="276"/>
      <c r="AP51" s="277"/>
      <c r="AQ51" s="277"/>
      <c r="AR51" s="277"/>
      <c r="AS51" s="277" t="e">
        <f t="shared" si="114"/>
        <v>#DIV/0!</v>
      </c>
      <c r="AT51" s="276"/>
      <c r="AU51" s="277"/>
      <c r="AV51" s="277"/>
      <c r="AW51" s="277"/>
      <c r="AX51" s="277" t="e">
        <f t="shared" si="85"/>
        <v>#DIV/0!</v>
      </c>
      <c r="AY51" s="276"/>
      <c r="AZ51" s="277"/>
      <c r="BA51" s="277"/>
      <c r="BB51" s="277"/>
      <c r="BC51" s="277" t="e">
        <f t="shared" si="86"/>
        <v>#DIV/0!</v>
      </c>
      <c r="BD51" s="276"/>
      <c r="BE51" s="277"/>
      <c r="BF51" s="277"/>
      <c r="BG51" s="277"/>
      <c r="BH51" s="277" t="e">
        <f t="shared" si="87"/>
        <v>#DIV/0!</v>
      </c>
      <c r="BI51" s="276"/>
      <c r="BJ51" s="277"/>
      <c r="BK51" s="277"/>
      <c r="BL51" s="277"/>
      <c r="BM51" s="277" t="e">
        <f t="shared" si="88"/>
        <v>#DIV/0!</v>
      </c>
      <c r="BN51" s="276"/>
      <c r="BO51" s="277"/>
      <c r="BP51" s="277"/>
      <c r="BQ51" s="277"/>
      <c r="BR51" s="277" t="e">
        <f t="shared" si="89"/>
        <v>#DIV/0!</v>
      </c>
      <c r="BS51" s="276"/>
      <c r="BT51" s="277"/>
      <c r="BU51" s="277"/>
      <c r="BV51" s="277"/>
      <c r="BW51" s="277" t="e">
        <f t="shared" si="90"/>
        <v>#DIV/0!</v>
      </c>
      <c r="BX51" s="276"/>
      <c r="BY51" s="277"/>
      <c r="BZ51" s="277"/>
      <c r="CA51" s="277"/>
      <c r="CB51" s="277" t="e">
        <f t="shared" si="91"/>
        <v>#DIV/0!</v>
      </c>
      <c r="CC51" s="276"/>
      <c r="CD51" s="277"/>
      <c r="CE51" s="277"/>
      <c r="CF51" s="277"/>
      <c r="CG51" s="277" t="e">
        <f t="shared" si="92"/>
        <v>#DIV/0!</v>
      </c>
      <c r="CH51" s="276"/>
      <c r="CI51" s="277"/>
      <c r="CJ51" s="277"/>
      <c r="CK51" s="277"/>
      <c r="CL51" s="277" t="e">
        <f t="shared" si="93"/>
        <v>#DIV/0!</v>
      </c>
      <c r="CM51" s="276"/>
      <c r="CN51" s="277"/>
      <c r="CO51" s="277"/>
      <c r="CP51" s="277"/>
      <c r="CQ51" s="277" t="e">
        <f t="shared" si="94"/>
        <v>#DIV/0!</v>
      </c>
      <c r="CR51" s="276"/>
      <c r="CS51" s="277"/>
      <c r="CT51" s="277"/>
      <c r="CU51" s="277"/>
      <c r="CV51" s="277" t="e">
        <f t="shared" si="95"/>
        <v>#DIV/0!</v>
      </c>
      <c r="CW51" s="276"/>
      <c r="CX51" s="277"/>
      <c r="CY51" s="277"/>
      <c r="CZ51" s="277"/>
      <c r="DA51" s="277" t="e">
        <f t="shared" si="96"/>
        <v>#DIV/0!</v>
      </c>
      <c r="DB51" s="276"/>
      <c r="DC51" s="277"/>
      <c r="DD51" s="277"/>
      <c r="DE51" s="277"/>
      <c r="DF51" s="277" t="e">
        <f t="shared" si="97"/>
        <v>#DIV/0!</v>
      </c>
      <c r="DG51" s="276"/>
      <c r="DH51" s="277"/>
      <c r="DI51" s="277"/>
      <c r="DJ51" s="277"/>
      <c r="DK51" s="277" t="e">
        <f t="shared" si="98"/>
        <v>#DIV/0!</v>
      </c>
      <c r="DL51" s="276"/>
      <c r="DM51" s="277"/>
      <c r="DN51" s="277"/>
      <c r="DO51" s="277"/>
      <c r="DP51" s="277" t="e">
        <f t="shared" si="99"/>
        <v>#DIV/0!</v>
      </c>
      <c r="DQ51" s="276"/>
      <c r="DR51" s="277"/>
      <c r="DS51" s="277"/>
      <c r="DT51" s="277"/>
      <c r="DU51" s="277" t="e">
        <f t="shared" si="100"/>
        <v>#DIV/0!</v>
      </c>
      <c r="DV51" s="276"/>
      <c r="DW51" s="277"/>
      <c r="DX51" s="277"/>
      <c r="DY51" s="277"/>
      <c r="DZ51" s="277" t="e">
        <f t="shared" si="101"/>
        <v>#DIV/0!</v>
      </c>
      <c r="EA51" s="276"/>
      <c r="EB51" s="277"/>
      <c r="EC51" s="277"/>
      <c r="ED51" s="277"/>
      <c r="EE51" s="277" t="e">
        <f t="shared" si="102"/>
        <v>#DIV/0!</v>
      </c>
      <c r="EF51" s="276"/>
      <c r="EG51" s="277"/>
      <c r="EH51" s="277"/>
      <c r="EI51" s="277"/>
      <c r="EJ51" s="277" t="e">
        <f t="shared" si="103"/>
        <v>#DIV/0!</v>
      </c>
      <c r="EK51" s="276"/>
      <c r="EL51" s="277"/>
      <c r="EM51" s="277"/>
      <c r="EN51" s="277"/>
      <c r="EO51" s="277" t="e">
        <f t="shared" si="104"/>
        <v>#DIV/0!</v>
      </c>
      <c r="EP51" s="276"/>
      <c r="EQ51" s="277"/>
      <c r="ER51" s="277"/>
      <c r="ES51" s="277"/>
      <c r="ET51" s="277" t="e">
        <f t="shared" si="105"/>
        <v>#DIV/0!</v>
      </c>
      <c r="EU51" s="276"/>
      <c r="EV51" s="277"/>
      <c r="EW51" s="277"/>
      <c r="EX51" s="277"/>
      <c r="EY51" s="277" t="e">
        <f t="shared" si="106"/>
        <v>#DIV/0!</v>
      </c>
      <c r="EZ51" s="276"/>
      <c r="FA51" s="277"/>
      <c r="FB51" s="277"/>
      <c r="FC51" s="277"/>
      <c r="FD51" s="277" t="e">
        <f t="shared" si="107"/>
        <v>#DIV/0!</v>
      </c>
      <c r="FE51" s="277">
        <f t="shared" si="108"/>
        <v>0</v>
      </c>
      <c r="FF51" s="277"/>
      <c r="FG51" s="277">
        <f t="shared" si="109"/>
        <v>0</v>
      </c>
      <c r="FH51" s="313">
        <f t="shared" si="110"/>
        <v>0</v>
      </c>
      <c r="FI51" s="314" t="e">
        <f t="shared" si="111"/>
        <v>#DIV/0!</v>
      </c>
      <c r="FJ51" s="277">
        <f t="shared" si="112"/>
        <v>0</v>
      </c>
      <c r="FK51" s="317"/>
      <c r="FL51" s="318"/>
      <c r="FM51" s="332"/>
      <c r="FO51" s="327"/>
    </row>
    <row r="52" s="214" customFormat="1" ht="27" customHeight="1" spans="1:169">
      <c r="A52" s="263"/>
      <c r="B52" s="278"/>
      <c r="C52" s="274"/>
      <c r="D52" s="233" t="s">
        <v>52</v>
      </c>
      <c r="E52" s="279">
        <v>0.373</v>
      </c>
      <c r="F52" s="276"/>
      <c r="G52" s="277"/>
      <c r="H52" s="277"/>
      <c r="I52" s="277"/>
      <c r="J52" s="277" t="e">
        <f t="shared" si="78"/>
        <v>#DIV/0!</v>
      </c>
      <c r="K52" s="276"/>
      <c r="L52" s="277"/>
      <c r="M52" s="277"/>
      <c r="N52" s="277"/>
      <c r="O52" s="277" t="e">
        <f t="shared" si="79"/>
        <v>#DIV/0!</v>
      </c>
      <c r="P52" s="276"/>
      <c r="Q52" s="277"/>
      <c r="R52" s="277"/>
      <c r="S52" s="277"/>
      <c r="T52" s="277" t="e">
        <f t="shared" si="80"/>
        <v>#DIV/0!</v>
      </c>
      <c r="U52" s="276"/>
      <c r="V52" s="277"/>
      <c r="W52" s="277"/>
      <c r="X52" s="277"/>
      <c r="Y52" s="277" t="e">
        <f t="shared" si="81"/>
        <v>#DIV/0!</v>
      </c>
      <c r="Z52" s="276"/>
      <c r="AA52" s="277"/>
      <c r="AB52" s="277"/>
      <c r="AC52" s="277"/>
      <c r="AD52" s="277" t="e">
        <f t="shared" si="82"/>
        <v>#DIV/0!</v>
      </c>
      <c r="AE52" s="276"/>
      <c r="AF52" s="277"/>
      <c r="AG52" s="277"/>
      <c r="AH52" s="277"/>
      <c r="AI52" s="277" t="e">
        <f t="shared" si="83"/>
        <v>#DIV/0!</v>
      </c>
      <c r="AJ52" s="276"/>
      <c r="AK52" s="277"/>
      <c r="AL52" s="277"/>
      <c r="AM52" s="277"/>
      <c r="AN52" s="277" t="e">
        <f t="shared" si="84"/>
        <v>#DIV/0!</v>
      </c>
      <c r="AO52" s="276"/>
      <c r="AP52" s="277"/>
      <c r="AQ52" s="277"/>
      <c r="AR52" s="277"/>
      <c r="AS52" s="277" t="e">
        <f t="shared" si="114"/>
        <v>#DIV/0!</v>
      </c>
      <c r="AT52" s="276"/>
      <c r="AU52" s="277"/>
      <c r="AV52" s="277"/>
      <c r="AW52" s="277"/>
      <c r="AX52" s="277" t="e">
        <f t="shared" si="85"/>
        <v>#DIV/0!</v>
      </c>
      <c r="AY52" s="276"/>
      <c r="AZ52" s="277"/>
      <c r="BA52" s="277"/>
      <c r="BB52" s="277"/>
      <c r="BC52" s="277" t="e">
        <f t="shared" si="86"/>
        <v>#DIV/0!</v>
      </c>
      <c r="BD52" s="276"/>
      <c r="BE52" s="277"/>
      <c r="BF52" s="277"/>
      <c r="BG52" s="277"/>
      <c r="BH52" s="277" t="e">
        <f t="shared" si="87"/>
        <v>#DIV/0!</v>
      </c>
      <c r="BI52" s="276"/>
      <c r="BJ52" s="277"/>
      <c r="BK52" s="277"/>
      <c r="BL52" s="277"/>
      <c r="BM52" s="277" t="e">
        <f t="shared" si="88"/>
        <v>#DIV/0!</v>
      </c>
      <c r="BN52" s="276"/>
      <c r="BO52" s="277"/>
      <c r="BP52" s="277"/>
      <c r="BQ52" s="277"/>
      <c r="BR52" s="277" t="e">
        <f t="shared" si="89"/>
        <v>#DIV/0!</v>
      </c>
      <c r="BS52" s="276"/>
      <c r="BT52" s="277"/>
      <c r="BU52" s="277"/>
      <c r="BV52" s="277"/>
      <c r="BW52" s="277" t="e">
        <f t="shared" si="90"/>
        <v>#DIV/0!</v>
      </c>
      <c r="BX52" s="276"/>
      <c r="BY52" s="277"/>
      <c r="BZ52" s="277"/>
      <c r="CA52" s="277"/>
      <c r="CB52" s="277" t="e">
        <f t="shared" si="91"/>
        <v>#DIV/0!</v>
      </c>
      <c r="CC52" s="276"/>
      <c r="CD52" s="277"/>
      <c r="CE52" s="277"/>
      <c r="CF52" s="277"/>
      <c r="CG52" s="277" t="e">
        <f t="shared" si="92"/>
        <v>#DIV/0!</v>
      </c>
      <c r="CH52" s="276"/>
      <c r="CI52" s="277"/>
      <c r="CJ52" s="277"/>
      <c r="CK52" s="277"/>
      <c r="CL52" s="277" t="e">
        <f t="shared" si="93"/>
        <v>#DIV/0!</v>
      </c>
      <c r="CM52" s="276"/>
      <c r="CN52" s="277"/>
      <c r="CO52" s="277"/>
      <c r="CP52" s="277"/>
      <c r="CQ52" s="277" t="e">
        <f t="shared" si="94"/>
        <v>#DIV/0!</v>
      </c>
      <c r="CR52" s="276"/>
      <c r="CS52" s="277"/>
      <c r="CT52" s="277"/>
      <c r="CU52" s="277"/>
      <c r="CV52" s="277" t="e">
        <f t="shared" si="95"/>
        <v>#DIV/0!</v>
      </c>
      <c r="CW52" s="276"/>
      <c r="CX52" s="277"/>
      <c r="CY52" s="277"/>
      <c r="CZ52" s="277"/>
      <c r="DA52" s="277" t="e">
        <f t="shared" si="96"/>
        <v>#DIV/0!</v>
      </c>
      <c r="DB52" s="276"/>
      <c r="DC52" s="277"/>
      <c r="DD52" s="277"/>
      <c r="DE52" s="277"/>
      <c r="DF52" s="277" t="e">
        <f t="shared" si="97"/>
        <v>#DIV/0!</v>
      </c>
      <c r="DG52" s="276"/>
      <c r="DH52" s="277"/>
      <c r="DI52" s="277"/>
      <c r="DJ52" s="277"/>
      <c r="DK52" s="277" t="e">
        <f t="shared" si="98"/>
        <v>#DIV/0!</v>
      </c>
      <c r="DL52" s="276"/>
      <c r="DM52" s="277"/>
      <c r="DN52" s="277"/>
      <c r="DO52" s="277"/>
      <c r="DP52" s="277" t="e">
        <f t="shared" si="99"/>
        <v>#DIV/0!</v>
      </c>
      <c r="DQ52" s="276"/>
      <c r="DR52" s="277"/>
      <c r="DS52" s="277"/>
      <c r="DT52" s="277"/>
      <c r="DU52" s="277" t="e">
        <f t="shared" si="100"/>
        <v>#DIV/0!</v>
      </c>
      <c r="DV52" s="276"/>
      <c r="DW52" s="277"/>
      <c r="DX52" s="277"/>
      <c r="DY52" s="277"/>
      <c r="DZ52" s="277" t="e">
        <f t="shared" si="101"/>
        <v>#DIV/0!</v>
      </c>
      <c r="EA52" s="276"/>
      <c r="EB52" s="277"/>
      <c r="EC52" s="277"/>
      <c r="ED52" s="277"/>
      <c r="EE52" s="277" t="e">
        <f t="shared" si="102"/>
        <v>#DIV/0!</v>
      </c>
      <c r="EF52" s="276"/>
      <c r="EG52" s="277"/>
      <c r="EH52" s="277"/>
      <c r="EI52" s="277"/>
      <c r="EJ52" s="277" t="e">
        <f t="shared" si="103"/>
        <v>#DIV/0!</v>
      </c>
      <c r="EK52" s="276"/>
      <c r="EL52" s="277"/>
      <c r="EM52" s="277"/>
      <c r="EN52" s="277"/>
      <c r="EO52" s="277" t="e">
        <f t="shared" si="104"/>
        <v>#DIV/0!</v>
      </c>
      <c r="EP52" s="276"/>
      <c r="EQ52" s="277"/>
      <c r="ER52" s="277"/>
      <c r="ES52" s="277"/>
      <c r="ET52" s="277" t="e">
        <f t="shared" si="105"/>
        <v>#DIV/0!</v>
      </c>
      <c r="EU52" s="276"/>
      <c r="EV52" s="277"/>
      <c r="EW52" s="277"/>
      <c r="EX52" s="277"/>
      <c r="EY52" s="277" t="e">
        <f t="shared" si="106"/>
        <v>#DIV/0!</v>
      </c>
      <c r="EZ52" s="276"/>
      <c r="FA52" s="277"/>
      <c r="FB52" s="277"/>
      <c r="FC52" s="277"/>
      <c r="FD52" s="277" t="e">
        <f t="shared" si="107"/>
        <v>#DIV/0!</v>
      </c>
      <c r="FE52" s="277">
        <f t="shared" si="108"/>
        <v>0</v>
      </c>
      <c r="FF52" s="277"/>
      <c r="FG52" s="277">
        <f t="shared" si="109"/>
        <v>0</v>
      </c>
      <c r="FH52" s="313">
        <f t="shared" si="110"/>
        <v>0</v>
      </c>
      <c r="FI52" s="314" t="e">
        <f t="shared" si="111"/>
        <v>#DIV/0!</v>
      </c>
      <c r="FJ52" s="277">
        <f t="shared" si="112"/>
        <v>0</v>
      </c>
      <c r="FK52" s="317"/>
      <c r="FL52" s="318"/>
      <c r="FM52" s="332"/>
    </row>
    <row r="53" s="214" customFormat="1" ht="27" customHeight="1" spans="1:169">
      <c r="A53" s="263"/>
      <c r="B53" s="278"/>
      <c r="C53" s="274"/>
      <c r="D53" s="233" t="s">
        <v>14</v>
      </c>
      <c r="E53" s="279">
        <v>0.373</v>
      </c>
      <c r="F53" s="276"/>
      <c r="G53" s="277"/>
      <c r="H53" s="277"/>
      <c r="I53" s="277"/>
      <c r="J53" s="277" t="e">
        <f t="shared" si="78"/>
        <v>#DIV/0!</v>
      </c>
      <c r="K53" s="276"/>
      <c r="L53" s="277"/>
      <c r="M53" s="277"/>
      <c r="N53" s="277"/>
      <c r="O53" s="277" t="e">
        <f t="shared" si="79"/>
        <v>#DIV/0!</v>
      </c>
      <c r="P53" s="276"/>
      <c r="Q53" s="277"/>
      <c r="R53" s="277"/>
      <c r="S53" s="277"/>
      <c r="T53" s="277" t="e">
        <f t="shared" si="80"/>
        <v>#DIV/0!</v>
      </c>
      <c r="U53" s="276"/>
      <c r="V53" s="277"/>
      <c r="W53" s="277"/>
      <c r="X53" s="277"/>
      <c r="Y53" s="277" t="e">
        <f t="shared" si="81"/>
        <v>#DIV/0!</v>
      </c>
      <c r="Z53" s="276"/>
      <c r="AA53" s="277"/>
      <c r="AB53" s="277"/>
      <c r="AC53" s="277"/>
      <c r="AD53" s="277" t="e">
        <f t="shared" si="82"/>
        <v>#DIV/0!</v>
      </c>
      <c r="AE53" s="276"/>
      <c r="AF53" s="277"/>
      <c r="AG53" s="277"/>
      <c r="AH53" s="277"/>
      <c r="AI53" s="277" t="e">
        <f t="shared" si="83"/>
        <v>#DIV/0!</v>
      </c>
      <c r="AJ53" s="276"/>
      <c r="AK53" s="277"/>
      <c r="AL53" s="277"/>
      <c r="AM53" s="277"/>
      <c r="AN53" s="277" t="e">
        <f t="shared" si="84"/>
        <v>#DIV/0!</v>
      </c>
      <c r="AO53" s="276"/>
      <c r="AP53" s="277"/>
      <c r="AQ53" s="277"/>
      <c r="AR53" s="277"/>
      <c r="AS53" s="277" t="e">
        <f t="shared" si="114"/>
        <v>#DIV/0!</v>
      </c>
      <c r="AT53" s="276"/>
      <c r="AU53" s="277"/>
      <c r="AV53" s="277"/>
      <c r="AW53" s="277"/>
      <c r="AX53" s="277" t="e">
        <f t="shared" si="85"/>
        <v>#DIV/0!</v>
      </c>
      <c r="AY53" s="276"/>
      <c r="AZ53" s="277"/>
      <c r="BA53" s="277"/>
      <c r="BB53" s="277"/>
      <c r="BC53" s="277" t="e">
        <f t="shared" si="86"/>
        <v>#DIV/0!</v>
      </c>
      <c r="BD53" s="276"/>
      <c r="BE53" s="277"/>
      <c r="BF53" s="277"/>
      <c r="BG53" s="277"/>
      <c r="BH53" s="277" t="e">
        <f t="shared" si="87"/>
        <v>#DIV/0!</v>
      </c>
      <c r="BI53" s="276"/>
      <c r="BJ53" s="277"/>
      <c r="BK53" s="277"/>
      <c r="BL53" s="277"/>
      <c r="BM53" s="277" t="e">
        <f t="shared" si="88"/>
        <v>#DIV/0!</v>
      </c>
      <c r="BN53" s="276"/>
      <c r="BO53" s="277"/>
      <c r="BP53" s="277"/>
      <c r="BQ53" s="277"/>
      <c r="BR53" s="277" t="e">
        <f t="shared" si="89"/>
        <v>#DIV/0!</v>
      </c>
      <c r="BS53" s="276"/>
      <c r="BT53" s="277"/>
      <c r="BU53" s="277"/>
      <c r="BV53" s="277"/>
      <c r="BW53" s="277" t="e">
        <f t="shared" si="90"/>
        <v>#DIV/0!</v>
      </c>
      <c r="BX53" s="276"/>
      <c r="BY53" s="277"/>
      <c r="BZ53" s="277"/>
      <c r="CA53" s="277"/>
      <c r="CB53" s="277" t="e">
        <f t="shared" si="91"/>
        <v>#DIV/0!</v>
      </c>
      <c r="CC53" s="276"/>
      <c r="CD53" s="277"/>
      <c r="CE53" s="277"/>
      <c r="CF53" s="277"/>
      <c r="CG53" s="277" t="e">
        <f t="shared" si="92"/>
        <v>#DIV/0!</v>
      </c>
      <c r="CH53" s="276"/>
      <c r="CI53" s="277"/>
      <c r="CJ53" s="277"/>
      <c r="CK53" s="277"/>
      <c r="CL53" s="277" t="e">
        <f t="shared" si="93"/>
        <v>#DIV/0!</v>
      </c>
      <c r="CM53" s="276"/>
      <c r="CN53" s="277"/>
      <c r="CO53" s="277"/>
      <c r="CP53" s="277"/>
      <c r="CQ53" s="277" t="e">
        <f t="shared" si="94"/>
        <v>#DIV/0!</v>
      </c>
      <c r="CR53" s="276"/>
      <c r="CS53" s="277"/>
      <c r="CT53" s="277"/>
      <c r="CU53" s="277"/>
      <c r="CV53" s="277" t="e">
        <f t="shared" si="95"/>
        <v>#DIV/0!</v>
      </c>
      <c r="CW53" s="276"/>
      <c r="CX53" s="277"/>
      <c r="CY53" s="277"/>
      <c r="CZ53" s="277"/>
      <c r="DA53" s="277" t="e">
        <f t="shared" si="96"/>
        <v>#DIV/0!</v>
      </c>
      <c r="DB53" s="276"/>
      <c r="DC53" s="277"/>
      <c r="DD53" s="277"/>
      <c r="DE53" s="277"/>
      <c r="DF53" s="277" t="e">
        <f t="shared" si="97"/>
        <v>#DIV/0!</v>
      </c>
      <c r="DG53" s="276"/>
      <c r="DH53" s="277"/>
      <c r="DI53" s="277"/>
      <c r="DJ53" s="277"/>
      <c r="DK53" s="277" t="e">
        <f t="shared" si="98"/>
        <v>#DIV/0!</v>
      </c>
      <c r="DL53" s="276"/>
      <c r="DM53" s="277"/>
      <c r="DN53" s="277"/>
      <c r="DO53" s="277"/>
      <c r="DP53" s="277" t="e">
        <f t="shared" si="99"/>
        <v>#DIV/0!</v>
      </c>
      <c r="DQ53" s="276"/>
      <c r="DR53" s="277"/>
      <c r="DS53" s="277"/>
      <c r="DT53" s="277"/>
      <c r="DU53" s="277" t="e">
        <f t="shared" si="100"/>
        <v>#DIV/0!</v>
      </c>
      <c r="DV53" s="276"/>
      <c r="DW53" s="277"/>
      <c r="DX53" s="277"/>
      <c r="DY53" s="277"/>
      <c r="DZ53" s="277" t="e">
        <f t="shared" si="101"/>
        <v>#DIV/0!</v>
      </c>
      <c r="EA53" s="276"/>
      <c r="EB53" s="277"/>
      <c r="EC53" s="277"/>
      <c r="ED53" s="277"/>
      <c r="EE53" s="277" t="e">
        <f t="shared" si="102"/>
        <v>#DIV/0!</v>
      </c>
      <c r="EF53" s="276"/>
      <c r="EG53" s="277"/>
      <c r="EH53" s="277"/>
      <c r="EI53" s="277"/>
      <c r="EJ53" s="277" t="e">
        <f t="shared" si="103"/>
        <v>#DIV/0!</v>
      </c>
      <c r="EK53" s="276"/>
      <c r="EL53" s="277"/>
      <c r="EM53" s="277"/>
      <c r="EN53" s="277"/>
      <c r="EO53" s="277" t="e">
        <f t="shared" si="104"/>
        <v>#DIV/0!</v>
      </c>
      <c r="EP53" s="276"/>
      <c r="EQ53" s="277"/>
      <c r="ER53" s="277"/>
      <c r="ES53" s="277"/>
      <c r="ET53" s="277" t="e">
        <f t="shared" si="105"/>
        <v>#DIV/0!</v>
      </c>
      <c r="EU53" s="276"/>
      <c r="EV53" s="277"/>
      <c r="EW53" s="277"/>
      <c r="EX53" s="277"/>
      <c r="EY53" s="277" t="e">
        <f t="shared" si="106"/>
        <v>#DIV/0!</v>
      </c>
      <c r="EZ53" s="276"/>
      <c r="FA53" s="277"/>
      <c r="FB53" s="277"/>
      <c r="FC53" s="277"/>
      <c r="FD53" s="277" t="e">
        <f t="shared" si="107"/>
        <v>#DIV/0!</v>
      </c>
      <c r="FE53" s="277">
        <f t="shared" si="108"/>
        <v>0</v>
      </c>
      <c r="FF53" s="277"/>
      <c r="FG53" s="277">
        <f t="shared" si="109"/>
        <v>0</v>
      </c>
      <c r="FH53" s="313">
        <f t="shared" si="110"/>
        <v>0</v>
      </c>
      <c r="FI53" s="314" t="e">
        <f t="shared" si="111"/>
        <v>#DIV/0!</v>
      </c>
      <c r="FJ53" s="277">
        <f t="shared" si="112"/>
        <v>0</v>
      </c>
      <c r="FK53" s="317"/>
      <c r="FL53" s="318"/>
      <c r="FM53" s="332"/>
    </row>
    <row r="54" s="214" customFormat="1" ht="27" customHeight="1" spans="1:169">
      <c r="A54" s="263"/>
      <c r="B54" s="278"/>
      <c r="C54" s="274"/>
      <c r="D54" s="233" t="s">
        <v>15</v>
      </c>
      <c r="E54" s="279">
        <v>0.373</v>
      </c>
      <c r="F54" s="276"/>
      <c r="G54" s="277"/>
      <c r="H54" s="277"/>
      <c r="I54" s="277"/>
      <c r="J54" s="277" t="e">
        <f t="shared" si="78"/>
        <v>#DIV/0!</v>
      </c>
      <c r="K54" s="276"/>
      <c r="L54" s="277"/>
      <c r="M54" s="277"/>
      <c r="N54" s="277"/>
      <c r="O54" s="277" t="e">
        <f t="shared" si="79"/>
        <v>#DIV/0!</v>
      </c>
      <c r="P54" s="276"/>
      <c r="Q54" s="277"/>
      <c r="R54" s="277"/>
      <c r="S54" s="277"/>
      <c r="T54" s="277" t="e">
        <f t="shared" si="80"/>
        <v>#DIV/0!</v>
      </c>
      <c r="U54" s="276"/>
      <c r="V54" s="277"/>
      <c r="W54" s="277"/>
      <c r="X54" s="277"/>
      <c r="Y54" s="277" t="e">
        <f t="shared" si="81"/>
        <v>#DIV/0!</v>
      </c>
      <c r="Z54" s="276"/>
      <c r="AA54" s="277"/>
      <c r="AB54" s="277"/>
      <c r="AC54" s="277"/>
      <c r="AD54" s="277" t="e">
        <f t="shared" si="82"/>
        <v>#DIV/0!</v>
      </c>
      <c r="AE54" s="276"/>
      <c r="AF54" s="277"/>
      <c r="AG54" s="277"/>
      <c r="AH54" s="277"/>
      <c r="AI54" s="277" t="e">
        <f t="shared" si="83"/>
        <v>#DIV/0!</v>
      </c>
      <c r="AJ54" s="276"/>
      <c r="AK54" s="277"/>
      <c r="AL54" s="277"/>
      <c r="AM54" s="277"/>
      <c r="AN54" s="277" t="e">
        <f t="shared" si="84"/>
        <v>#DIV/0!</v>
      </c>
      <c r="AO54" s="276"/>
      <c r="AP54" s="277"/>
      <c r="AQ54" s="277"/>
      <c r="AR54" s="277"/>
      <c r="AS54" s="277" t="e">
        <f t="shared" si="114"/>
        <v>#DIV/0!</v>
      </c>
      <c r="AT54" s="276"/>
      <c r="AU54" s="277"/>
      <c r="AV54" s="277"/>
      <c r="AW54" s="277"/>
      <c r="AX54" s="277" t="e">
        <f t="shared" si="85"/>
        <v>#DIV/0!</v>
      </c>
      <c r="AY54" s="276"/>
      <c r="AZ54" s="277"/>
      <c r="BA54" s="277"/>
      <c r="BB54" s="277"/>
      <c r="BC54" s="277" t="e">
        <f t="shared" si="86"/>
        <v>#DIV/0!</v>
      </c>
      <c r="BD54" s="276"/>
      <c r="BE54" s="277"/>
      <c r="BF54" s="277"/>
      <c r="BG54" s="277"/>
      <c r="BH54" s="277" t="e">
        <f t="shared" si="87"/>
        <v>#DIV/0!</v>
      </c>
      <c r="BI54" s="276"/>
      <c r="BJ54" s="277"/>
      <c r="BK54" s="277"/>
      <c r="BL54" s="277"/>
      <c r="BM54" s="277" t="e">
        <f t="shared" si="88"/>
        <v>#DIV/0!</v>
      </c>
      <c r="BN54" s="276"/>
      <c r="BO54" s="277"/>
      <c r="BP54" s="277"/>
      <c r="BQ54" s="277"/>
      <c r="BR54" s="277" t="e">
        <f t="shared" si="89"/>
        <v>#DIV/0!</v>
      </c>
      <c r="BS54" s="276"/>
      <c r="BT54" s="277"/>
      <c r="BU54" s="277"/>
      <c r="BV54" s="277"/>
      <c r="BW54" s="277" t="e">
        <f t="shared" si="90"/>
        <v>#DIV/0!</v>
      </c>
      <c r="BX54" s="276"/>
      <c r="BY54" s="277"/>
      <c r="BZ54" s="277"/>
      <c r="CA54" s="277"/>
      <c r="CB54" s="277" t="e">
        <f t="shared" si="91"/>
        <v>#DIV/0!</v>
      </c>
      <c r="CC54" s="276"/>
      <c r="CD54" s="277"/>
      <c r="CE54" s="277"/>
      <c r="CF54" s="277"/>
      <c r="CG54" s="277" t="e">
        <f t="shared" si="92"/>
        <v>#DIV/0!</v>
      </c>
      <c r="CH54" s="276"/>
      <c r="CI54" s="277"/>
      <c r="CJ54" s="277"/>
      <c r="CK54" s="277"/>
      <c r="CL54" s="277" t="e">
        <f t="shared" si="93"/>
        <v>#DIV/0!</v>
      </c>
      <c r="CM54" s="276"/>
      <c r="CN54" s="277"/>
      <c r="CO54" s="277"/>
      <c r="CP54" s="277"/>
      <c r="CQ54" s="277" t="e">
        <f t="shared" si="94"/>
        <v>#DIV/0!</v>
      </c>
      <c r="CR54" s="276"/>
      <c r="CS54" s="277"/>
      <c r="CT54" s="277"/>
      <c r="CU54" s="277"/>
      <c r="CV54" s="277" t="e">
        <f t="shared" si="95"/>
        <v>#DIV/0!</v>
      </c>
      <c r="CW54" s="276"/>
      <c r="CX54" s="277"/>
      <c r="CY54" s="277"/>
      <c r="CZ54" s="277"/>
      <c r="DA54" s="277" t="e">
        <f t="shared" si="96"/>
        <v>#DIV/0!</v>
      </c>
      <c r="DB54" s="276"/>
      <c r="DC54" s="277"/>
      <c r="DD54" s="277"/>
      <c r="DE54" s="277"/>
      <c r="DF54" s="277" t="e">
        <f t="shared" si="97"/>
        <v>#DIV/0!</v>
      </c>
      <c r="DG54" s="276"/>
      <c r="DH54" s="277"/>
      <c r="DI54" s="277"/>
      <c r="DJ54" s="277"/>
      <c r="DK54" s="277" t="e">
        <f t="shared" si="98"/>
        <v>#DIV/0!</v>
      </c>
      <c r="DL54" s="276"/>
      <c r="DM54" s="277"/>
      <c r="DN54" s="277"/>
      <c r="DO54" s="277"/>
      <c r="DP54" s="277" t="e">
        <f t="shared" si="99"/>
        <v>#DIV/0!</v>
      </c>
      <c r="DQ54" s="276"/>
      <c r="DR54" s="277"/>
      <c r="DS54" s="277"/>
      <c r="DT54" s="277"/>
      <c r="DU54" s="277" t="e">
        <f t="shared" si="100"/>
        <v>#DIV/0!</v>
      </c>
      <c r="DV54" s="276"/>
      <c r="DW54" s="277"/>
      <c r="DX54" s="277"/>
      <c r="DY54" s="277"/>
      <c r="DZ54" s="277" t="e">
        <f t="shared" si="101"/>
        <v>#DIV/0!</v>
      </c>
      <c r="EA54" s="276"/>
      <c r="EB54" s="277"/>
      <c r="EC54" s="277"/>
      <c r="ED54" s="277"/>
      <c r="EE54" s="277" t="e">
        <f t="shared" si="102"/>
        <v>#DIV/0!</v>
      </c>
      <c r="EF54" s="276"/>
      <c r="EG54" s="277"/>
      <c r="EH54" s="277"/>
      <c r="EI54" s="277"/>
      <c r="EJ54" s="277" t="e">
        <f t="shared" si="103"/>
        <v>#DIV/0!</v>
      </c>
      <c r="EK54" s="276"/>
      <c r="EL54" s="277"/>
      <c r="EM54" s="277"/>
      <c r="EN54" s="277"/>
      <c r="EO54" s="277" t="e">
        <f t="shared" si="104"/>
        <v>#DIV/0!</v>
      </c>
      <c r="EP54" s="276"/>
      <c r="EQ54" s="277"/>
      <c r="ER54" s="277"/>
      <c r="ES54" s="277"/>
      <c r="ET54" s="277" t="e">
        <f t="shared" si="105"/>
        <v>#DIV/0!</v>
      </c>
      <c r="EU54" s="276"/>
      <c r="EV54" s="277"/>
      <c r="EW54" s="277"/>
      <c r="EX54" s="277"/>
      <c r="EY54" s="277" t="e">
        <f t="shared" si="106"/>
        <v>#DIV/0!</v>
      </c>
      <c r="EZ54" s="276"/>
      <c r="FA54" s="277"/>
      <c r="FB54" s="277"/>
      <c r="FC54" s="277"/>
      <c r="FD54" s="277" t="e">
        <f t="shared" si="107"/>
        <v>#DIV/0!</v>
      </c>
      <c r="FE54" s="277">
        <f t="shared" si="108"/>
        <v>0</v>
      </c>
      <c r="FF54" s="277"/>
      <c r="FG54" s="277">
        <f t="shared" si="109"/>
        <v>0</v>
      </c>
      <c r="FH54" s="313">
        <f t="shared" si="110"/>
        <v>0</v>
      </c>
      <c r="FI54" s="314" t="e">
        <f t="shared" si="111"/>
        <v>#DIV/0!</v>
      </c>
      <c r="FJ54" s="277">
        <f t="shared" si="112"/>
        <v>0</v>
      </c>
      <c r="FK54" s="317"/>
      <c r="FL54" s="318"/>
      <c r="FM54" s="332"/>
    </row>
    <row r="55" s="214" customFormat="1" ht="27" customHeight="1" spans="1:169">
      <c r="A55" s="263"/>
      <c r="B55" s="278"/>
      <c r="C55" s="274"/>
      <c r="D55" s="233" t="s">
        <v>16</v>
      </c>
      <c r="E55" s="279">
        <v>0.373</v>
      </c>
      <c r="F55" s="276"/>
      <c r="G55" s="277"/>
      <c r="H55" s="277"/>
      <c r="I55" s="277"/>
      <c r="J55" s="277" t="e">
        <f t="shared" si="78"/>
        <v>#DIV/0!</v>
      </c>
      <c r="K55" s="276"/>
      <c r="L55" s="277"/>
      <c r="M55" s="277"/>
      <c r="N55" s="277"/>
      <c r="O55" s="277" t="e">
        <f t="shared" si="79"/>
        <v>#DIV/0!</v>
      </c>
      <c r="P55" s="276"/>
      <c r="Q55" s="277"/>
      <c r="R55" s="277"/>
      <c r="S55" s="277"/>
      <c r="T55" s="277" t="e">
        <f t="shared" si="80"/>
        <v>#DIV/0!</v>
      </c>
      <c r="U55" s="276"/>
      <c r="V55" s="277"/>
      <c r="W55" s="277"/>
      <c r="X55" s="277"/>
      <c r="Y55" s="277" t="e">
        <f t="shared" si="81"/>
        <v>#DIV/0!</v>
      </c>
      <c r="Z55" s="276"/>
      <c r="AA55" s="277"/>
      <c r="AB55" s="277"/>
      <c r="AC55" s="277"/>
      <c r="AD55" s="277" t="e">
        <f t="shared" si="82"/>
        <v>#DIV/0!</v>
      </c>
      <c r="AE55" s="276"/>
      <c r="AF55" s="277"/>
      <c r="AG55" s="277"/>
      <c r="AH55" s="277"/>
      <c r="AI55" s="277" t="e">
        <f t="shared" si="83"/>
        <v>#DIV/0!</v>
      </c>
      <c r="AJ55" s="276"/>
      <c r="AK55" s="277"/>
      <c r="AL55" s="277"/>
      <c r="AM55" s="277"/>
      <c r="AN55" s="277" t="e">
        <f t="shared" si="84"/>
        <v>#DIV/0!</v>
      </c>
      <c r="AO55" s="276"/>
      <c r="AP55" s="277"/>
      <c r="AQ55" s="277"/>
      <c r="AR55" s="277"/>
      <c r="AS55" s="277" t="e">
        <f t="shared" si="114"/>
        <v>#DIV/0!</v>
      </c>
      <c r="AT55" s="276"/>
      <c r="AU55" s="277"/>
      <c r="AV55" s="277"/>
      <c r="AW55" s="277"/>
      <c r="AX55" s="277" t="e">
        <f t="shared" si="85"/>
        <v>#DIV/0!</v>
      </c>
      <c r="AY55" s="276"/>
      <c r="AZ55" s="277"/>
      <c r="BA55" s="277"/>
      <c r="BB55" s="277"/>
      <c r="BC55" s="277" t="e">
        <f t="shared" si="86"/>
        <v>#DIV/0!</v>
      </c>
      <c r="BD55" s="276"/>
      <c r="BE55" s="277"/>
      <c r="BF55" s="277"/>
      <c r="BG55" s="277"/>
      <c r="BH55" s="277" t="e">
        <f t="shared" si="87"/>
        <v>#DIV/0!</v>
      </c>
      <c r="BI55" s="276"/>
      <c r="BJ55" s="277"/>
      <c r="BK55" s="277"/>
      <c r="BL55" s="277"/>
      <c r="BM55" s="277" t="e">
        <f t="shared" si="88"/>
        <v>#DIV/0!</v>
      </c>
      <c r="BN55" s="276"/>
      <c r="BO55" s="277"/>
      <c r="BP55" s="277"/>
      <c r="BQ55" s="277"/>
      <c r="BR55" s="277" t="e">
        <f t="shared" si="89"/>
        <v>#DIV/0!</v>
      </c>
      <c r="BS55" s="276"/>
      <c r="BT55" s="277"/>
      <c r="BU55" s="277"/>
      <c r="BV55" s="277"/>
      <c r="BW55" s="277" t="e">
        <f t="shared" si="90"/>
        <v>#DIV/0!</v>
      </c>
      <c r="BX55" s="276"/>
      <c r="BY55" s="277"/>
      <c r="BZ55" s="277"/>
      <c r="CA55" s="277"/>
      <c r="CB55" s="277" t="e">
        <f t="shared" si="91"/>
        <v>#DIV/0!</v>
      </c>
      <c r="CC55" s="276"/>
      <c r="CD55" s="277"/>
      <c r="CE55" s="277"/>
      <c r="CF55" s="277"/>
      <c r="CG55" s="277" t="e">
        <f t="shared" si="92"/>
        <v>#DIV/0!</v>
      </c>
      <c r="CH55" s="276"/>
      <c r="CI55" s="277"/>
      <c r="CJ55" s="277"/>
      <c r="CK55" s="277"/>
      <c r="CL55" s="277" t="e">
        <f t="shared" si="93"/>
        <v>#DIV/0!</v>
      </c>
      <c r="CM55" s="276"/>
      <c r="CN55" s="277"/>
      <c r="CO55" s="277"/>
      <c r="CP55" s="277"/>
      <c r="CQ55" s="277" t="e">
        <f t="shared" si="94"/>
        <v>#DIV/0!</v>
      </c>
      <c r="CR55" s="276"/>
      <c r="CS55" s="277"/>
      <c r="CT55" s="277"/>
      <c r="CU55" s="277"/>
      <c r="CV55" s="277" t="e">
        <f t="shared" si="95"/>
        <v>#DIV/0!</v>
      </c>
      <c r="CW55" s="276"/>
      <c r="CX55" s="277"/>
      <c r="CY55" s="277"/>
      <c r="CZ55" s="277"/>
      <c r="DA55" s="277" t="e">
        <f t="shared" si="96"/>
        <v>#DIV/0!</v>
      </c>
      <c r="DB55" s="276"/>
      <c r="DC55" s="277"/>
      <c r="DD55" s="277"/>
      <c r="DE55" s="277"/>
      <c r="DF55" s="277" t="e">
        <f t="shared" si="97"/>
        <v>#DIV/0!</v>
      </c>
      <c r="DG55" s="276"/>
      <c r="DH55" s="277"/>
      <c r="DI55" s="277"/>
      <c r="DJ55" s="277"/>
      <c r="DK55" s="277" t="e">
        <f t="shared" si="98"/>
        <v>#DIV/0!</v>
      </c>
      <c r="DL55" s="276"/>
      <c r="DM55" s="277"/>
      <c r="DN55" s="277"/>
      <c r="DO55" s="277"/>
      <c r="DP55" s="277" t="e">
        <f t="shared" si="99"/>
        <v>#DIV/0!</v>
      </c>
      <c r="DQ55" s="276"/>
      <c r="DR55" s="277"/>
      <c r="DS55" s="277"/>
      <c r="DT55" s="277"/>
      <c r="DU55" s="277" t="e">
        <f t="shared" si="100"/>
        <v>#DIV/0!</v>
      </c>
      <c r="DV55" s="276"/>
      <c r="DW55" s="277"/>
      <c r="DX55" s="277"/>
      <c r="DY55" s="277"/>
      <c r="DZ55" s="277" t="e">
        <f t="shared" si="101"/>
        <v>#DIV/0!</v>
      </c>
      <c r="EA55" s="276"/>
      <c r="EB55" s="277"/>
      <c r="EC55" s="277"/>
      <c r="ED55" s="277"/>
      <c r="EE55" s="277" t="e">
        <f t="shared" si="102"/>
        <v>#DIV/0!</v>
      </c>
      <c r="EF55" s="276"/>
      <c r="EG55" s="277"/>
      <c r="EH55" s="277"/>
      <c r="EI55" s="277"/>
      <c r="EJ55" s="277" t="e">
        <f t="shared" si="103"/>
        <v>#DIV/0!</v>
      </c>
      <c r="EK55" s="276"/>
      <c r="EL55" s="277"/>
      <c r="EM55" s="277"/>
      <c r="EN55" s="277"/>
      <c r="EO55" s="277" t="e">
        <f t="shared" si="104"/>
        <v>#DIV/0!</v>
      </c>
      <c r="EP55" s="276"/>
      <c r="EQ55" s="277"/>
      <c r="ER55" s="277"/>
      <c r="ES55" s="277"/>
      <c r="ET55" s="277" t="e">
        <f t="shared" si="105"/>
        <v>#DIV/0!</v>
      </c>
      <c r="EU55" s="276"/>
      <c r="EV55" s="277"/>
      <c r="EW55" s="277"/>
      <c r="EX55" s="277"/>
      <c r="EY55" s="277" t="e">
        <f t="shared" si="106"/>
        <v>#DIV/0!</v>
      </c>
      <c r="EZ55" s="276"/>
      <c r="FA55" s="277"/>
      <c r="FB55" s="277"/>
      <c r="FC55" s="277"/>
      <c r="FD55" s="277" t="e">
        <f t="shared" si="107"/>
        <v>#DIV/0!</v>
      </c>
      <c r="FE55" s="277">
        <f t="shared" si="108"/>
        <v>0</v>
      </c>
      <c r="FF55" s="277"/>
      <c r="FG55" s="277">
        <f t="shared" si="109"/>
        <v>0</v>
      </c>
      <c r="FH55" s="313">
        <f t="shared" si="110"/>
        <v>0</v>
      </c>
      <c r="FI55" s="314" t="e">
        <f t="shared" si="111"/>
        <v>#DIV/0!</v>
      </c>
      <c r="FJ55" s="277">
        <f t="shared" si="112"/>
        <v>0</v>
      </c>
      <c r="FK55" s="317"/>
      <c r="FL55" s="318"/>
      <c r="FM55" s="332"/>
    </row>
    <row r="56" s="214" customFormat="1" ht="27" customHeight="1" spans="1:169">
      <c r="A56" s="263"/>
      <c r="B56" s="280"/>
      <c r="C56" s="274"/>
      <c r="D56" s="233" t="s">
        <v>17</v>
      </c>
      <c r="E56" s="279">
        <v>0.373</v>
      </c>
      <c r="F56" s="276"/>
      <c r="G56" s="277"/>
      <c r="H56" s="277"/>
      <c r="I56" s="277"/>
      <c r="J56" s="277" t="e">
        <f t="shared" si="78"/>
        <v>#DIV/0!</v>
      </c>
      <c r="K56" s="276"/>
      <c r="L56" s="277"/>
      <c r="M56" s="277"/>
      <c r="N56" s="277"/>
      <c r="O56" s="277" t="e">
        <f t="shared" si="79"/>
        <v>#DIV/0!</v>
      </c>
      <c r="P56" s="276"/>
      <c r="Q56" s="277"/>
      <c r="R56" s="277"/>
      <c r="S56" s="277"/>
      <c r="T56" s="277" t="e">
        <f t="shared" si="80"/>
        <v>#DIV/0!</v>
      </c>
      <c r="U56" s="276"/>
      <c r="V56" s="277"/>
      <c r="W56" s="277"/>
      <c r="X56" s="277"/>
      <c r="Y56" s="277" t="e">
        <f t="shared" si="81"/>
        <v>#DIV/0!</v>
      </c>
      <c r="Z56" s="276"/>
      <c r="AA56" s="277"/>
      <c r="AB56" s="277"/>
      <c r="AC56" s="277"/>
      <c r="AD56" s="277" t="e">
        <f t="shared" si="82"/>
        <v>#DIV/0!</v>
      </c>
      <c r="AE56" s="276"/>
      <c r="AF56" s="277"/>
      <c r="AG56" s="277"/>
      <c r="AH56" s="277"/>
      <c r="AI56" s="277" t="e">
        <f t="shared" si="83"/>
        <v>#DIV/0!</v>
      </c>
      <c r="AJ56" s="276"/>
      <c r="AK56" s="277"/>
      <c r="AL56" s="277"/>
      <c r="AM56" s="277"/>
      <c r="AN56" s="277" t="e">
        <f t="shared" si="84"/>
        <v>#DIV/0!</v>
      </c>
      <c r="AO56" s="276"/>
      <c r="AP56" s="277"/>
      <c r="AQ56" s="277"/>
      <c r="AR56" s="277"/>
      <c r="AS56" s="277" t="e">
        <f t="shared" si="114"/>
        <v>#DIV/0!</v>
      </c>
      <c r="AT56" s="276"/>
      <c r="AU56" s="277"/>
      <c r="AV56" s="277"/>
      <c r="AW56" s="277"/>
      <c r="AX56" s="277" t="e">
        <f t="shared" si="85"/>
        <v>#DIV/0!</v>
      </c>
      <c r="AY56" s="276"/>
      <c r="AZ56" s="277"/>
      <c r="BA56" s="277"/>
      <c r="BB56" s="277"/>
      <c r="BC56" s="277" t="e">
        <f t="shared" si="86"/>
        <v>#DIV/0!</v>
      </c>
      <c r="BD56" s="276"/>
      <c r="BE56" s="277"/>
      <c r="BF56" s="277"/>
      <c r="BG56" s="277"/>
      <c r="BH56" s="277" t="e">
        <f t="shared" si="87"/>
        <v>#DIV/0!</v>
      </c>
      <c r="BI56" s="276"/>
      <c r="BJ56" s="277"/>
      <c r="BK56" s="277"/>
      <c r="BL56" s="277"/>
      <c r="BM56" s="277" t="e">
        <f t="shared" si="88"/>
        <v>#DIV/0!</v>
      </c>
      <c r="BN56" s="276"/>
      <c r="BO56" s="277"/>
      <c r="BP56" s="277"/>
      <c r="BQ56" s="277"/>
      <c r="BR56" s="277" t="e">
        <f t="shared" si="89"/>
        <v>#DIV/0!</v>
      </c>
      <c r="BS56" s="276"/>
      <c r="BT56" s="277"/>
      <c r="BU56" s="277"/>
      <c r="BV56" s="277"/>
      <c r="BW56" s="277" t="e">
        <f t="shared" si="90"/>
        <v>#DIV/0!</v>
      </c>
      <c r="BX56" s="276"/>
      <c r="BY56" s="277"/>
      <c r="BZ56" s="277"/>
      <c r="CA56" s="277"/>
      <c r="CB56" s="277" t="e">
        <f t="shared" si="91"/>
        <v>#DIV/0!</v>
      </c>
      <c r="CC56" s="276"/>
      <c r="CD56" s="277"/>
      <c r="CE56" s="277"/>
      <c r="CF56" s="277"/>
      <c r="CG56" s="277" t="e">
        <f t="shared" si="92"/>
        <v>#DIV/0!</v>
      </c>
      <c r="CH56" s="276"/>
      <c r="CI56" s="277"/>
      <c r="CJ56" s="277"/>
      <c r="CK56" s="277"/>
      <c r="CL56" s="277" t="e">
        <f t="shared" si="93"/>
        <v>#DIV/0!</v>
      </c>
      <c r="CM56" s="276"/>
      <c r="CN56" s="277"/>
      <c r="CO56" s="277"/>
      <c r="CP56" s="277"/>
      <c r="CQ56" s="277" t="e">
        <f t="shared" si="94"/>
        <v>#DIV/0!</v>
      </c>
      <c r="CR56" s="276"/>
      <c r="CS56" s="277"/>
      <c r="CT56" s="277"/>
      <c r="CU56" s="277"/>
      <c r="CV56" s="277" t="e">
        <f t="shared" si="95"/>
        <v>#DIV/0!</v>
      </c>
      <c r="CW56" s="276"/>
      <c r="CX56" s="277"/>
      <c r="CY56" s="277"/>
      <c r="CZ56" s="277"/>
      <c r="DA56" s="277" t="e">
        <f t="shared" si="96"/>
        <v>#DIV/0!</v>
      </c>
      <c r="DB56" s="276"/>
      <c r="DC56" s="277"/>
      <c r="DD56" s="277"/>
      <c r="DE56" s="277"/>
      <c r="DF56" s="277" t="e">
        <f t="shared" si="97"/>
        <v>#DIV/0!</v>
      </c>
      <c r="DG56" s="276"/>
      <c r="DH56" s="277"/>
      <c r="DI56" s="277"/>
      <c r="DJ56" s="277"/>
      <c r="DK56" s="277" t="e">
        <f t="shared" si="98"/>
        <v>#DIV/0!</v>
      </c>
      <c r="DL56" s="276"/>
      <c r="DM56" s="277"/>
      <c r="DN56" s="277"/>
      <c r="DO56" s="277"/>
      <c r="DP56" s="277" t="e">
        <f t="shared" si="99"/>
        <v>#DIV/0!</v>
      </c>
      <c r="DQ56" s="276"/>
      <c r="DR56" s="277"/>
      <c r="DS56" s="277"/>
      <c r="DT56" s="277"/>
      <c r="DU56" s="277" t="e">
        <f t="shared" si="100"/>
        <v>#DIV/0!</v>
      </c>
      <c r="DV56" s="276"/>
      <c r="DW56" s="277"/>
      <c r="DX56" s="277"/>
      <c r="DY56" s="277"/>
      <c r="DZ56" s="277" t="e">
        <f t="shared" si="101"/>
        <v>#DIV/0!</v>
      </c>
      <c r="EA56" s="276"/>
      <c r="EB56" s="277"/>
      <c r="EC56" s="277"/>
      <c r="ED56" s="277"/>
      <c r="EE56" s="277" t="e">
        <f t="shared" si="102"/>
        <v>#DIV/0!</v>
      </c>
      <c r="EF56" s="276"/>
      <c r="EG56" s="277"/>
      <c r="EH56" s="277"/>
      <c r="EI56" s="277"/>
      <c r="EJ56" s="277" t="e">
        <f t="shared" si="103"/>
        <v>#DIV/0!</v>
      </c>
      <c r="EK56" s="276"/>
      <c r="EL56" s="277"/>
      <c r="EM56" s="277"/>
      <c r="EN56" s="277"/>
      <c r="EO56" s="277" t="e">
        <f t="shared" si="104"/>
        <v>#DIV/0!</v>
      </c>
      <c r="EP56" s="276"/>
      <c r="EQ56" s="277"/>
      <c r="ER56" s="277"/>
      <c r="ES56" s="277"/>
      <c r="ET56" s="277" t="e">
        <f t="shared" si="105"/>
        <v>#DIV/0!</v>
      </c>
      <c r="EU56" s="276"/>
      <c r="EV56" s="277"/>
      <c r="EW56" s="277"/>
      <c r="EX56" s="277"/>
      <c r="EY56" s="277" t="e">
        <f t="shared" si="106"/>
        <v>#DIV/0!</v>
      </c>
      <c r="EZ56" s="276"/>
      <c r="FA56" s="277"/>
      <c r="FB56" s="277"/>
      <c r="FC56" s="277"/>
      <c r="FD56" s="277" t="e">
        <f t="shared" si="107"/>
        <v>#DIV/0!</v>
      </c>
      <c r="FE56" s="277">
        <f t="shared" si="108"/>
        <v>0</v>
      </c>
      <c r="FF56" s="277"/>
      <c r="FG56" s="277">
        <f t="shared" si="109"/>
        <v>0</v>
      </c>
      <c r="FH56" s="313">
        <f t="shared" si="110"/>
        <v>0</v>
      </c>
      <c r="FI56" s="314" t="e">
        <f t="shared" si="111"/>
        <v>#DIV/0!</v>
      </c>
      <c r="FJ56" s="277">
        <f t="shared" si="112"/>
        <v>0</v>
      </c>
      <c r="FK56" s="319"/>
      <c r="FL56" s="320"/>
      <c r="FM56" s="333"/>
    </row>
    <row r="57" s="214" customFormat="1" ht="27" customHeight="1" spans="1:171">
      <c r="A57" s="263">
        <v>9</v>
      </c>
      <c r="B57" s="273" t="s">
        <v>30</v>
      </c>
      <c r="C57" s="274"/>
      <c r="D57" s="233" t="s">
        <v>8</v>
      </c>
      <c r="E57" s="275">
        <v>0.4</v>
      </c>
      <c r="F57" s="276">
        <v>436</v>
      </c>
      <c r="G57" s="276">
        <v>2</v>
      </c>
      <c r="H57" s="277">
        <v>349</v>
      </c>
      <c r="I57" s="277">
        <v>85</v>
      </c>
      <c r="J57" s="277">
        <f t="shared" si="78"/>
        <v>0.646653146170018</v>
      </c>
      <c r="K57" s="276">
        <v>398</v>
      </c>
      <c r="L57" s="276">
        <v>4</v>
      </c>
      <c r="M57" s="277">
        <v>364</v>
      </c>
      <c r="N57" s="277">
        <v>30</v>
      </c>
      <c r="O57" s="277">
        <f t="shared" si="79"/>
        <v>0.853513360303022</v>
      </c>
      <c r="P57" s="276">
        <v>129</v>
      </c>
      <c r="Q57" s="276"/>
      <c r="R57" s="277">
        <v>386</v>
      </c>
      <c r="S57" s="277"/>
      <c r="T57" s="277">
        <f t="shared" si="80"/>
        <v>1</v>
      </c>
      <c r="U57" s="276">
        <v>178</v>
      </c>
      <c r="V57" s="276">
        <v>7</v>
      </c>
      <c r="W57" s="277">
        <v>203</v>
      </c>
      <c r="X57" s="277">
        <v>7</v>
      </c>
      <c r="Y57" s="277">
        <f t="shared" si="81"/>
        <v>0.934444444444445</v>
      </c>
      <c r="Z57" s="276">
        <v>436</v>
      </c>
      <c r="AA57" s="276">
        <v>7</v>
      </c>
      <c r="AB57" s="277">
        <v>404</v>
      </c>
      <c r="AC57" s="277">
        <v>25</v>
      </c>
      <c r="AD57" s="277">
        <f t="shared" si="82"/>
        <v>0.886845865866845</v>
      </c>
      <c r="AE57" s="276">
        <v>416</v>
      </c>
      <c r="AF57" s="276">
        <v>1</v>
      </c>
      <c r="AG57" s="277">
        <v>370</v>
      </c>
      <c r="AH57" s="277">
        <v>45</v>
      </c>
      <c r="AI57" s="277">
        <f t="shared" si="83"/>
        <v>0.794890404993468</v>
      </c>
      <c r="AJ57" s="276">
        <v>468</v>
      </c>
      <c r="AK57" s="276">
        <v>10</v>
      </c>
      <c r="AL57" s="277">
        <v>420</v>
      </c>
      <c r="AM57" s="277">
        <v>38</v>
      </c>
      <c r="AN57" s="277">
        <f t="shared" si="84"/>
        <v>0.840945062069755</v>
      </c>
      <c r="AO57" s="276">
        <v>344</v>
      </c>
      <c r="AP57" s="276">
        <v>7</v>
      </c>
      <c r="AQ57" s="277">
        <v>315</v>
      </c>
      <c r="AR57" s="277">
        <v>22</v>
      </c>
      <c r="AS57" s="277">
        <f t="shared" si="114"/>
        <v>0.873697928131797</v>
      </c>
      <c r="AT57" s="276">
        <v>403</v>
      </c>
      <c r="AU57" s="276">
        <v>4</v>
      </c>
      <c r="AV57" s="277">
        <v>378</v>
      </c>
      <c r="AW57" s="277">
        <v>21</v>
      </c>
      <c r="AX57" s="277">
        <f t="shared" si="85"/>
        <v>0.897506925207756</v>
      </c>
      <c r="AY57" s="276">
        <v>340</v>
      </c>
      <c r="AZ57" s="276">
        <v>5</v>
      </c>
      <c r="BA57" s="277">
        <v>320</v>
      </c>
      <c r="BB57" s="277">
        <v>15</v>
      </c>
      <c r="BC57" s="277">
        <f t="shared" si="86"/>
        <v>0.91245266206282</v>
      </c>
      <c r="BD57" s="276">
        <v>314</v>
      </c>
      <c r="BE57" s="276">
        <v>2</v>
      </c>
      <c r="BF57" s="277">
        <v>302</v>
      </c>
      <c r="BG57" s="277">
        <v>10</v>
      </c>
      <c r="BH57" s="277">
        <f t="shared" si="87"/>
        <v>0.936924720578567</v>
      </c>
      <c r="BI57" s="276">
        <v>308</v>
      </c>
      <c r="BJ57" s="276">
        <v>2</v>
      </c>
      <c r="BK57" s="277">
        <v>287</v>
      </c>
      <c r="BL57" s="277">
        <v>19</v>
      </c>
      <c r="BM57" s="277">
        <f t="shared" si="88"/>
        <v>0.879672348242129</v>
      </c>
      <c r="BN57" s="276">
        <v>306</v>
      </c>
      <c r="BO57" s="276">
        <v>2</v>
      </c>
      <c r="BP57" s="277">
        <v>295</v>
      </c>
      <c r="BQ57" s="277">
        <v>9</v>
      </c>
      <c r="BR57" s="277">
        <f t="shared" si="89"/>
        <v>0.941665945290859</v>
      </c>
      <c r="BS57" s="276">
        <v>402</v>
      </c>
      <c r="BT57" s="276">
        <v>4</v>
      </c>
      <c r="BU57" s="277">
        <v>383</v>
      </c>
      <c r="BV57" s="277">
        <v>15</v>
      </c>
      <c r="BW57" s="277">
        <f t="shared" si="90"/>
        <v>0.926043534254186</v>
      </c>
      <c r="BX57" s="276">
        <v>277</v>
      </c>
      <c r="BY57" s="276">
        <v>4</v>
      </c>
      <c r="BZ57" s="277">
        <v>263</v>
      </c>
      <c r="CA57" s="277">
        <v>10</v>
      </c>
      <c r="CB57" s="277">
        <f t="shared" si="91"/>
        <v>0.928081686323445</v>
      </c>
      <c r="CC57" s="276">
        <v>332</v>
      </c>
      <c r="CD57" s="276">
        <v>1</v>
      </c>
      <c r="CE57" s="277">
        <v>319</v>
      </c>
      <c r="CF57" s="277">
        <v>12</v>
      </c>
      <c r="CG57" s="277">
        <f t="shared" si="92"/>
        <v>0.928806783435712</v>
      </c>
      <c r="CH57" s="276">
        <v>299</v>
      </c>
      <c r="CI57" s="276"/>
      <c r="CJ57" s="277">
        <v>280</v>
      </c>
      <c r="CK57" s="277">
        <v>19</v>
      </c>
      <c r="CL57" s="277">
        <f t="shared" si="93"/>
        <v>0.876947685148936</v>
      </c>
      <c r="CM57" s="276">
        <v>376</v>
      </c>
      <c r="CN57" s="276"/>
      <c r="CO57" s="277">
        <v>350</v>
      </c>
      <c r="CP57" s="277">
        <v>26</v>
      </c>
      <c r="CQ57" s="277">
        <f t="shared" si="94"/>
        <v>0.866483703033047</v>
      </c>
      <c r="CR57" s="276">
        <v>233</v>
      </c>
      <c r="CS57" s="276">
        <v>3</v>
      </c>
      <c r="CT57" s="277">
        <v>230</v>
      </c>
      <c r="CU57" s="277"/>
      <c r="CV57" s="277">
        <f t="shared" si="95"/>
        <v>1</v>
      </c>
      <c r="CW57" s="276"/>
      <c r="CX57" s="276"/>
      <c r="CY57" s="277">
        <v>155</v>
      </c>
      <c r="CZ57" s="277"/>
      <c r="DA57" s="277">
        <f t="shared" si="96"/>
        <v>1</v>
      </c>
      <c r="DB57" s="276">
        <v>359</v>
      </c>
      <c r="DC57" s="276">
        <v>2</v>
      </c>
      <c r="DD57" s="277">
        <v>347</v>
      </c>
      <c r="DE57" s="277">
        <v>10</v>
      </c>
      <c r="DF57" s="277">
        <f t="shared" si="97"/>
        <v>0.944762218612935</v>
      </c>
      <c r="DG57" s="276">
        <v>280</v>
      </c>
      <c r="DH57" s="276">
        <v>3</v>
      </c>
      <c r="DI57" s="277">
        <v>277</v>
      </c>
      <c r="DJ57" s="277"/>
      <c r="DK57" s="277">
        <f t="shared" si="98"/>
        <v>1</v>
      </c>
      <c r="DL57" s="276">
        <v>366</v>
      </c>
      <c r="DM57" s="276">
        <v>4</v>
      </c>
      <c r="DN57" s="277">
        <v>346</v>
      </c>
      <c r="DO57" s="277">
        <v>16</v>
      </c>
      <c r="DP57" s="277">
        <f t="shared" si="99"/>
        <v>0.913555752266414</v>
      </c>
      <c r="DQ57" s="276">
        <v>262</v>
      </c>
      <c r="DR57" s="276">
        <v>7</v>
      </c>
      <c r="DS57" s="277">
        <v>295</v>
      </c>
      <c r="DT57" s="277"/>
      <c r="DU57" s="277">
        <f t="shared" si="100"/>
        <v>1</v>
      </c>
      <c r="DV57" s="276">
        <v>407</v>
      </c>
      <c r="DW57" s="276">
        <v>2</v>
      </c>
      <c r="DX57" s="277">
        <v>376</v>
      </c>
      <c r="DY57" s="277">
        <v>29</v>
      </c>
      <c r="DZ57" s="277">
        <f t="shared" si="101"/>
        <v>0.86191739064167</v>
      </c>
      <c r="EA57" s="276">
        <v>315</v>
      </c>
      <c r="EB57" s="276">
        <v>1</v>
      </c>
      <c r="EC57" s="277">
        <v>306</v>
      </c>
      <c r="ED57" s="277">
        <v>8</v>
      </c>
      <c r="EE57" s="277">
        <f t="shared" si="102"/>
        <v>0.949693699541563</v>
      </c>
      <c r="EF57" s="276">
        <v>410</v>
      </c>
      <c r="EG57" s="276">
        <v>12</v>
      </c>
      <c r="EH57" s="277">
        <v>388</v>
      </c>
      <c r="EI57" s="277">
        <v>10</v>
      </c>
      <c r="EJ57" s="277">
        <f t="shared" si="103"/>
        <v>0.950380040908058</v>
      </c>
      <c r="EK57" s="276">
        <v>337</v>
      </c>
      <c r="EL57" s="276">
        <v>1</v>
      </c>
      <c r="EM57" s="277">
        <v>317</v>
      </c>
      <c r="EN57" s="277">
        <v>19</v>
      </c>
      <c r="EO57" s="277">
        <f t="shared" si="104"/>
        <v>0.890102395124717</v>
      </c>
      <c r="EP57" s="276">
        <v>410</v>
      </c>
      <c r="EQ57" s="276">
        <v>12</v>
      </c>
      <c r="ER57" s="277">
        <v>377</v>
      </c>
      <c r="ES57" s="277">
        <v>21</v>
      </c>
      <c r="ET57" s="277">
        <f t="shared" si="105"/>
        <v>0.897256382414586</v>
      </c>
      <c r="EU57" s="276"/>
      <c r="EV57" s="276"/>
      <c r="EW57" s="277">
        <v>207</v>
      </c>
      <c r="EX57" s="277"/>
      <c r="EY57" s="277">
        <f t="shared" si="106"/>
        <v>1</v>
      </c>
      <c r="EZ57" s="276"/>
      <c r="FA57" s="276"/>
      <c r="FB57" s="277"/>
      <c r="FC57" s="277"/>
      <c r="FD57" s="277" t="e">
        <f t="shared" si="107"/>
        <v>#DIV/0!</v>
      </c>
      <c r="FE57" s="277">
        <f t="shared" si="108"/>
        <v>9541</v>
      </c>
      <c r="FF57" s="277"/>
      <c r="FG57" s="277">
        <f t="shared" si="109"/>
        <v>109</v>
      </c>
      <c r="FH57" s="313">
        <f>FB57+EW57+ER57+EM57+EH57+EC57+DX57+DS57+DN57+DI57+DD57+CY57+CT57+CO57+CJ57+CE57+BZ57+BU57+BP57+BK57+BF57+BA57+AV57+AQ57+AL57+AG57+AB57+W57+R57+M57+H57-FN57</f>
        <v>9113</v>
      </c>
      <c r="FI57" s="314">
        <f t="shared" si="111"/>
        <v>0.912294273619682</v>
      </c>
      <c r="FJ57" s="277">
        <f t="shared" si="112"/>
        <v>3645.2</v>
      </c>
      <c r="FK57" s="315">
        <f>FJ57+FJ58+FJ59+FJ60+FJ61+FJ62+FJ63+FJ64+FJ65+FJ66</f>
        <v>3681.203</v>
      </c>
      <c r="FL57" s="316">
        <f>(FH57+FH58+FH59+FH60+FH61+FH62+FH63+FH64+FH65+FH66)/(FE57+FE58+FE59+FE60+FE61+FE62+FE63+FE64+FE65+FE66)</f>
        <v>0.967089403626454</v>
      </c>
      <c r="FM57" s="329"/>
      <c r="FN57" s="330">
        <f>FC57+EX57+ES57+EN57+EI57+ED57+DY57+DT57+DO57+DJ57+DE57+CZ57+CU57+CP57+CK57+CF57+CA57+BV57+BQ57+BL57+BG57+BB57+AW57+AR57+AM57+AH57+X57+S57+N57+I57</f>
        <v>496</v>
      </c>
      <c r="FO57" s="331"/>
    </row>
    <row r="58" s="214" customFormat="1" ht="27" customHeight="1" spans="1:169">
      <c r="A58" s="263"/>
      <c r="B58" s="278"/>
      <c r="C58" s="274"/>
      <c r="D58" s="233" t="s">
        <v>9</v>
      </c>
      <c r="E58" s="279">
        <v>0.133</v>
      </c>
      <c r="F58" s="276"/>
      <c r="G58" s="276"/>
      <c r="H58" s="277"/>
      <c r="I58" s="277"/>
      <c r="J58" s="277" t="e">
        <f t="shared" si="78"/>
        <v>#DIV/0!</v>
      </c>
      <c r="K58" s="276"/>
      <c r="L58" s="276"/>
      <c r="M58" s="277"/>
      <c r="N58" s="277"/>
      <c r="O58" s="277" t="e">
        <f t="shared" si="79"/>
        <v>#DIV/0!</v>
      </c>
      <c r="P58" s="276"/>
      <c r="Q58" s="276"/>
      <c r="R58" s="277"/>
      <c r="S58" s="277"/>
      <c r="T58" s="277" t="e">
        <f t="shared" si="80"/>
        <v>#DIV/0!</v>
      </c>
      <c r="U58" s="276"/>
      <c r="V58" s="276"/>
      <c r="W58" s="277"/>
      <c r="X58" s="277"/>
      <c r="Y58" s="277" t="e">
        <f t="shared" si="81"/>
        <v>#DIV/0!</v>
      </c>
      <c r="Z58" s="276"/>
      <c r="AA58" s="276"/>
      <c r="AB58" s="277"/>
      <c r="AC58" s="277"/>
      <c r="AD58" s="277" t="e">
        <f t="shared" si="82"/>
        <v>#DIV/0!</v>
      </c>
      <c r="AE58" s="276"/>
      <c r="AF58" s="276"/>
      <c r="AG58" s="277"/>
      <c r="AH58" s="277"/>
      <c r="AI58" s="277" t="e">
        <f t="shared" si="83"/>
        <v>#DIV/0!</v>
      </c>
      <c r="AJ58" s="276"/>
      <c r="AK58" s="276"/>
      <c r="AL58" s="277"/>
      <c r="AM58" s="277"/>
      <c r="AN58" s="277" t="e">
        <f t="shared" si="84"/>
        <v>#DIV/0!</v>
      </c>
      <c r="AO58" s="276"/>
      <c r="AP58" s="276"/>
      <c r="AQ58" s="277"/>
      <c r="AR58" s="277"/>
      <c r="AS58" s="277" t="e">
        <f t="shared" si="114"/>
        <v>#DIV/0!</v>
      </c>
      <c r="AT58" s="276"/>
      <c r="AU58" s="276"/>
      <c r="AV58" s="277"/>
      <c r="AW58" s="277"/>
      <c r="AX58" s="277" t="e">
        <f t="shared" si="85"/>
        <v>#DIV/0!</v>
      </c>
      <c r="AY58" s="276"/>
      <c r="AZ58" s="276"/>
      <c r="BA58" s="277"/>
      <c r="BB58" s="277"/>
      <c r="BC58" s="277" t="e">
        <f t="shared" si="86"/>
        <v>#DIV/0!</v>
      </c>
      <c r="BD58" s="276"/>
      <c r="BE58" s="276"/>
      <c r="BF58" s="277"/>
      <c r="BG58" s="277"/>
      <c r="BH58" s="277" t="e">
        <f t="shared" si="87"/>
        <v>#DIV/0!</v>
      </c>
      <c r="BI58" s="276"/>
      <c r="BJ58" s="276"/>
      <c r="BK58" s="277"/>
      <c r="BL58" s="277"/>
      <c r="BM58" s="277" t="e">
        <f t="shared" si="88"/>
        <v>#DIV/0!</v>
      </c>
      <c r="BN58" s="276"/>
      <c r="BO58" s="276"/>
      <c r="BP58" s="277"/>
      <c r="BQ58" s="277"/>
      <c r="BR58" s="277" t="e">
        <f t="shared" si="89"/>
        <v>#DIV/0!</v>
      </c>
      <c r="BS58" s="276"/>
      <c r="BT58" s="276"/>
      <c r="BU58" s="277"/>
      <c r="BV58" s="277"/>
      <c r="BW58" s="277" t="e">
        <f t="shared" si="90"/>
        <v>#DIV/0!</v>
      </c>
      <c r="BX58" s="276"/>
      <c r="BY58" s="276"/>
      <c r="BZ58" s="277"/>
      <c r="CA58" s="277"/>
      <c r="CB58" s="277" t="e">
        <f t="shared" si="91"/>
        <v>#DIV/0!</v>
      </c>
      <c r="CC58" s="276"/>
      <c r="CD58" s="276"/>
      <c r="CE58" s="277"/>
      <c r="CF58" s="277"/>
      <c r="CG58" s="277" t="e">
        <f t="shared" si="92"/>
        <v>#DIV/0!</v>
      </c>
      <c r="CH58" s="276"/>
      <c r="CI58" s="276"/>
      <c r="CJ58" s="277"/>
      <c r="CK58" s="277"/>
      <c r="CL58" s="277" t="e">
        <f t="shared" si="93"/>
        <v>#DIV/0!</v>
      </c>
      <c r="CM58" s="276"/>
      <c r="CN58" s="276"/>
      <c r="CO58" s="277"/>
      <c r="CP58" s="277"/>
      <c r="CQ58" s="277" t="e">
        <f t="shared" si="94"/>
        <v>#DIV/0!</v>
      </c>
      <c r="CR58" s="276"/>
      <c r="CS58" s="276"/>
      <c r="CT58" s="277"/>
      <c r="CU58" s="277"/>
      <c r="CV58" s="277" t="e">
        <f t="shared" si="95"/>
        <v>#DIV/0!</v>
      </c>
      <c r="CW58" s="276"/>
      <c r="CX58" s="276"/>
      <c r="CY58" s="277"/>
      <c r="CZ58" s="277"/>
      <c r="DA58" s="277" t="e">
        <f t="shared" si="96"/>
        <v>#DIV/0!</v>
      </c>
      <c r="DB58" s="276"/>
      <c r="DC58" s="276"/>
      <c r="DD58" s="277"/>
      <c r="DE58" s="277"/>
      <c r="DF58" s="277" t="e">
        <f t="shared" si="97"/>
        <v>#DIV/0!</v>
      </c>
      <c r="DG58" s="276"/>
      <c r="DH58" s="276"/>
      <c r="DI58" s="277"/>
      <c r="DJ58" s="277"/>
      <c r="DK58" s="277" t="e">
        <f t="shared" si="98"/>
        <v>#DIV/0!</v>
      </c>
      <c r="DL58" s="276"/>
      <c r="DM58" s="276"/>
      <c r="DN58" s="277"/>
      <c r="DO58" s="277"/>
      <c r="DP58" s="277" t="e">
        <f t="shared" si="99"/>
        <v>#DIV/0!</v>
      </c>
      <c r="DQ58" s="276"/>
      <c r="DR58" s="276"/>
      <c r="DS58" s="277"/>
      <c r="DT58" s="277"/>
      <c r="DU58" s="277" t="e">
        <f t="shared" si="100"/>
        <v>#DIV/0!</v>
      </c>
      <c r="DV58" s="276"/>
      <c r="DW58" s="276"/>
      <c r="DX58" s="277"/>
      <c r="DY58" s="277"/>
      <c r="DZ58" s="277" t="e">
        <f t="shared" si="101"/>
        <v>#DIV/0!</v>
      </c>
      <c r="EA58" s="276"/>
      <c r="EB58" s="276"/>
      <c r="EC58" s="277"/>
      <c r="ED58" s="277"/>
      <c r="EE58" s="277" t="e">
        <f t="shared" si="102"/>
        <v>#DIV/0!</v>
      </c>
      <c r="EF58" s="276"/>
      <c r="EG58" s="276"/>
      <c r="EH58" s="277"/>
      <c r="EI58" s="277"/>
      <c r="EJ58" s="277" t="e">
        <f t="shared" si="103"/>
        <v>#DIV/0!</v>
      </c>
      <c r="EK58" s="276"/>
      <c r="EL58" s="276"/>
      <c r="EM58" s="277"/>
      <c r="EN58" s="277"/>
      <c r="EO58" s="277" t="e">
        <f t="shared" si="104"/>
        <v>#DIV/0!</v>
      </c>
      <c r="EP58" s="276"/>
      <c r="EQ58" s="276"/>
      <c r="ER58" s="277"/>
      <c r="ES58" s="277"/>
      <c r="ET58" s="277" t="e">
        <f t="shared" si="105"/>
        <v>#DIV/0!</v>
      </c>
      <c r="EU58" s="276"/>
      <c r="EV58" s="276"/>
      <c r="EW58" s="277"/>
      <c r="EX58" s="277"/>
      <c r="EY58" s="277" t="e">
        <f t="shared" si="106"/>
        <v>#DIV/0!</v>
      </c>
      <c r="EZ58" s="276"/>
      <c r="FA58" s="276"/>
      <c r="FB58" s="277"/>
      <c r="FC58" s="277"/>
      <c r="FD58" s="277" t="e">
        <f t="shared" si="107"/>
        <v>#DIV/0!</v>
      </c>
      <c r="FE58" s="277">
        <f t="shared" si="108"/>
        <v>0</v>
      </c>
      <c r="FF58" s="277"/>
      <c r="FG58" s="277">
        <f t="shared" si="109"/>
        <v>0</v>
      </c>
      <c r="FH58" s="313">
        <f t="shared" si="110"/>
        <v>0</v>
      </c>
      <c r="FI58" s="314" t="e">
        <f t="shared" si="111"/>
        <v>#DIV/0!</v>
      </c>
      <c r="FJ58" s="277">
        <f t="shared" si="112"/>
        <v>0</v>
      </c>
      <c r="FK58" s="317"/>
      <c r="FL58" s="318"/>
      <c r="FM58" s="332"/>
    </row>
    <row r="59" s="214" customFormat="1" ht="27" customHeight="1" spans="1:169">
      <c r="A59" s="263"/>
      <c r="B59" s="278"/>
      <c r="C59" s="274"/>
      <c r="D59" s="233" t="s">
        <v>10</v>
      </c>
      <c r="E59" s="279">
        <v>0.133</v>
      </c>
      <c r="F59" s="276"/>
      <c r="G59" s="277"/>
      <c r="H59" s="277"/>
      <c r="I59" s="277"/>
      <c r="J59" s="277" t="e">
        <f t="shared" si="78"/>
        <v>#DIV/0!</v>
      </c>
      <c r="K59" s="276"/>
      <c r="L59" s="277"/>
      <c r="M59" s="277"/>
      <c r="N59" s="277"/>
      <c r="O59" s="277" t="e">
        <f t="shared" si="79"/>
        <v>#DIV/0!</v>
      </c>
      <c r="P59" s="276"/>
      <c r="Q59" s="277"/>
      <c r="R59" s="277"/>
      <c r="S59" s="277"/>
      <c r="T59" s="277" t="e">
        <f t="shared" si="80"/>
        <v>#DIV/0!</v>
      </c>
      <c r="U59" s="276"/>
      <c r="V59" s="277"/>
      <c r="W59" s="277"/>
      <c r="X59" s="277"/>
      <c r="Y59" s="277" t="e">
        <f t="shared" si="81"/>
        <v>#DIV/0!</v>
      </c>
      <c r="Z59" s="276"/>
      <c r="AA59" s="277"/>
      <c r="AB59" s="277"/>
      <c r="AC59" s="277"/>
      <c r="AD59" s="277" t="e">
        <f t="shared" si="82"/>
        <v>#DIV/0!</v>
      </c>
      <c r="AE59" s="276"/>
      <c r="AF59" s="277"/>
      <c r="AG59" s="277"/>
      <c r="AH59" s="277"/>
      <c r="AI59" s="277" t="e">
        <f t="shared" si="83"/>
        <v>#DIV/0!</v>
      </c>
      <c r="AJ59" s="276"/>
      <c r="AK59" s="277"/>
      <c r="AL59" s="277"/>
      <c r="AM59" s="277"/>
      <c r="AN59" s="277" t="e">
        <f t="shared" si="84"/>
        <v>#DIV/0!</v>
      </c>
      <c r="AO59" s="276"/>
      <c r="AP59" s="277"/>
      <c r="AQ59" s="277"/>
      <c r="AR59" s="277"/>
      <c r="AS59" s="277" t="e">
        <f t="shared" ref="AS59:AS68" si="115">AQ59/(AQ59+AR59)*AQ59/(AQ59+AR59)</f>
        <v>#DIV/0!</v>
      </c>
      <c r="AT59" s="276"/>
      <c r="AU59" s="277"/>
      <c r="AV59" s="277"/>
      <c r="AW59" s="277"/>
      <c r="AX59" s="277" t="e">
        <f t="shared" si="85"/>
        <v>#DIV/0!</v>
      </c>
      <c r="AY59" s="276"/>
      <c r="AZ59" s="277"/>
      <c r="BA59" s="277"/>
      <c r="BB59" s="277"/>
      <c r="BC59" s="277" t="e">
        <f t="shared" si="86"/>
        <v>#DIV/0!</v>
      </c>
      <c r="BD59" s="276"/>
      <c r="BE59" s="277"/>
      <c r="BF59" s="277"/>
      <c r="BG59" s="277"/>
      <c r="BH59" s="277" t="e">
        <f t="shared" si="87"/>
        <v>#DIV/0!</v>
      </c>
      <c r="BI59" s="276"/>
      <c r="BJ59" s="277"/>
      <c r="BK59" s="277"/>
      <c r="BL59" s="277"/>
      <c r="BM59" s="277" t="e">
        <f t="shared" si="88"/>
        <v>#DIV/0!</v>
      </c>
      <c r="BN59" s="276"/>
      <c r="BO59" s="277"/>
      <c r="BP59" s="277"/>
      <c r="BQ59" s="277"/>
      <c r="BR59" s="277" t="e">
        <f t="shared" si="89"/>
        <v>#DIV/0!</v>
      </c>
      <c r="BS59" s="276"/>
      <c r="BT59" s="277"/>
      <c r="BU59" s="277"/>
      <c r="BV59" s="277"/>
      <c r="BW59" s="277" t="e">
        <f t="shared" si="90"/>
        <v>#DIV/0!</v>
      </c>
      <c r="BX59" s="276"/>
      <c r="BY59" s="277"/>
      <c r="BZ59" s="277"/>
      <c r="CA59" s="277"/>
      <c r="CB59" s="277" t="e">
        <f t="shared" si="91"/>
        <v>#DIV/0!</v>
      </c>
      <c r="CC59" s="276"/>
      <c r="CD59" s="277"/>
      <c r="CE59" s="277"/>
      <c r="CF59" s="277"/>
      <c r="CG59" s="277" t="e">
        <f t="shared" si="92"/>
        <v>#DIV/0!</v>
      </c>
      <c r="CH59" s="276"/>
      <c r="CI59" s="277"/>
      <c r="CJ59" s="277"/>
      <c r="CK59" s="277"/>
      <c r="CL59" s="277" t="e">
        <f t="shared" si="93"/>
        <v>#DIV/0!</v>
      </c>
      <c r="CM59" s="276"/>
      <c r="CN59" s="277"/>
      <c r="CO59" s="277"/>
      <c r="CP59" s="277"/>
      <c r="CQ59" s="277" t="e">
        <f t="shared" si="94"/>
        <v>#DIV/0!</v>
      </c>
      <c r="CR59" s="276"/>
      <c r="CS59" s="277"/>
      <c r="CT59" s="277"/>
      <c r="CU59" s="277"/>
      <c r="CV59" s="277" t="e">
        <f t="shared" si="95"/>
        <v>#DIV/0!</v>
      </c>
      <c r="CW59" s="276"/>
      <c r="CX59" s="277"/>
      <c r="CY59" s="277"/>
      <c r="CZ59" s="277"/>
      <c r="DA59" s="277" t="e">
        <f t="shared" si="96"/>
        <v>#DIV/0!</v>
      </c>
      <c r="DB59" s="276"/>
      <c r="DC59" s="277"/>
      <c r="DD59" s="277"/>
      <c r="DE59" s="277"/>
      <c r="DF59" s="277" t="e">
        <f t="shared" si="97"/>
        <v>#DIV/0!</v>
      </c>
      <c r="DG59" s="276"/>
      <c r="DH59" s="277"/>
      <c r="DI59" s="277"/>
      <c r="DJ59" s="277"/>
      <c r="DK59" s="277" t="e">
        <f t="shared" si="98"/>
        <v>#DIV/0!</v>
      </c>
      <c r="DL59" s="276"/>
      <c r="DM59" s="277"/>
      <c r="DN59" s="277"/>
      <c r="DO59" s="277"/>
      <c r="DP59" s="277" t="e">
        <f t="shared" si="99"/>
        <v>#DIV/0!</v>
      </c>
      <c r="DQ59" s="276"/>
      <c r="DR59" s="277"/>
      <c r="DS59" s="277"/>
      <c r="DT59" s="277"/>
      <c r="DU59" s="277" t="e">
        <f t="shared" si="100"/>
        <v>#DIV/0!</v>
      </c>
      <c r="DV59" s="276"/>
      <c r="DW59" s="277"/>
      <c r="DX59" s="277"/>
      <c r="DY59" s="277"/>
      <c r="DZ59" s="277" t="e">
        <f t="shared" si="101"/>
        <v>#DIV/0!</v>
      </c>
      <c r="EA59" s="276"/>
      <c r="EB59" s="277"/>
      <c r="EC59" s="277"/>
      <c r="ED59" s="277"/>
      <c r="EE59" s="277" t="e">
        <f t="shared" si="102"/>
        <v>#DIV/0!</v>
      </c>
      <c r="EF59" s="276"/>
      <c r="EG59" s="277"/>
      <c r="EH59" s="277"/>
      <c r="EI59" s="277"/>
      <c r="EJ59" s="277" t="e">
        <f t="shared" si="103"/>
        <v>#DIV/0!</v>
      </c>
      <c r="EK59" s="276"/>
      <c r="EL59" s="277"/>
      <c r="EM59" s="277"/>
      <c r="EN59" s="277"/>
      <c r="EO59" s="277" t="e">
        <f t="shared" si="104"/>
        <v>#DIV/0!</v>
      </c>
      <c r="EP59" s="276"/>
      <c r="EQ59" s="277"/>
      <c r="ER59" s="277"/>
      <c r="ES59" s="277"/>
      <c r="ET59" s="277" t="e">
        <f t="shared" si="105"/>
        <v>#DIV/0!</v>
      </c>
      <c r="EU59" s="276"/>
      <c r="EV59" s="277"/>
      <c r="EW59" s="277"/>
      <c r="EX59" s="277"/>
      <c r="EY59" s="277" t="e">
        <f t="shared" si="106"/>
        <v>#DIV/0!</v>
      </c>
      <c r="EZ59" s="276"/>
      <c r="FA59" s="277"/>
      <c r="FB59" s="277"/>
      <c r="FC59" s="277"/>
      <c r="FD59" s="277" t="e">
        <f t="shared" si="107"/>
        <v>#DIV/0!</v>
      </c>
      <c r="FE59" s="277">
        <f t="shared" si="108"/>
        <v>0</v>
      </c>
      <c r="FF59" s="277"/>
      <c r="FG59" s="277">
        <f t="shared" si="109"/>
        <v>0</v>
      </c>
      <c r="FH59" s="313">
        <f t="shared" si="110"/>
        <v>0</v>
      </c>
      <c r="FI59" s="314" t="e">
        <f t="shared" si="111"/>
        <v>#DIV/0!</v>
      </c>
      <c r="FJ59" s="277">
        <f t="shared" si="112"/>
        <v>0</v>
      </c>
      <c r="FK59" s="317"/>
      <c r="FL59" s="318"/>
      <c r="FM59" s="332"/>
    </row>
    <row r="60" s="214" customFormat="1" ht="27" customHeight="1" spans="1:169">
      <c r="A60" s="263"/>
      <c r="B60" s="278"/>
      <c r="C60" s="274"/>
      <c r="D60" s="233" t="s">
        <v>11</v>
      </c>
      <c r="E60" s="279">
        <v>0.23</v>
      </c>
      <c r="F60" s="276"/>
      <c r="G60" s="277"/>
      <c r="H60" s="277"/>
      <c r="I60" s="277"/>
      <c r="J60" s="277" t="e">
        <f t="shared" si="78"/>
        <v>#DIV/0!</v>
      </c>
      <c r="K60" s="276"/>
      <c r="L60" s="277"/>
      <c r="M60" s="277"/>
      <c r="N60" s="277"/>
      <c r="O60" s="277" t="e">
        <f t="shared" si="79"/>
        <v>#DIV/0!</v>
      </c>
      <c r="P60" s="276"/>
      <c r="Q60" s="277"/>
      <c r="R60" s="277"/>
      <c r="S60" s="277"/>
      <c r="T60" s="277" t="e">
        <f t="shared" si="80"/>
        <v>#DIV/0!</v>
      </c>
      <c r="U60" s="276"/>
      <c r="V60" s="277"/>
      <c r="W60" s="277"/>
      <c r="X60" s="277"/>
      <c r="Y60" s="277" t="e">
        <f t="shared" si="81"/>
        <v>#DIV/0!</v>
      </c>
      <c r="Z60" s="276"/>
      <c r="AA60" s="277"/>
      <c r="AB60" s="277"/>
      <c r="AC60" s="277"/>
      <c r="AD60" s="277" t="e">
        <f t="shared" si="82"/>
        <v>#DIV/0!</v>
      </c>
      <c r="AE60" s="276"/>
      <c r="AF60" s="277"/>
      <c r="AG60" s="277"/>
      <c r="AH60" s="277"/>
      <c r="AI60" s="277" t="e">
        <f t="shared" si="83"/>
        <v>#DIV/0!</v>
      </c>
      <c r="AJ60" s="276"/>
      <c r="AK60" s="277"/>
      <c r="AL60" s="277"/>
      <c r="AM60" s="277"/>
      <c r="AN60" s="277" t="e">
        <f t="shared" si="84"/>
        <v>#DIV/0!</v>
      </c>
      <c r="AO60" s="276"/>
      <c r="AP60" s="277"/>
      <c r="AQ60" s="277"/>
      <c r="AR60" s="277"/>
      <c r="AS60" s="277" t="e">
        <f t="shared" si="115"/>
        <v>#DIV/0!</v>
      </c>
      <c r="AT60" s="276"/>
      <c r="AU60" s="277"/>
      <c r="AV60" s="277"/>
      <c r="AW60" s="277"/>
      <c r="AX60" s="277" t="e">
        <f t="shared" si="85"/>
        <v>#DIV/0!</v>
      </c>
      <c r="AY60" s="276"/>
      <c r="AZ60" s="277"/>
      <c r="BA60" s="277"/>
      <c r="BB60" s="277"/>
      <c r="BC60" s="277" t="e">
        <f t="shared" si="86"/>
        <v>#DIV/0!</v>
      </c>
      <c r="BD60" s="276"/>
      <c r="BE60" s="277"/>
      <c r="BF60" s="277"/>
      <c r="BG60" s="277"/>
      <c r="BH60" s="277" t="e">
        <f t="shared" si="87"/>
        <v>#DIV/0!</v>
      </c>
      <c r="BI60" s="276"/>
      <c r="BJ60" s="277"/>
      <c r="BK60" s="277"/>
      <c r="BL60" s="277"/>
      <c r="BM60" s="277" t="e">
        <f t="shared" si="88"/>
        <v>#DIV/0!</v>
      </c>
      <c r="BN60" s="276"/>
      <c r="BO60" s="277"/>
      <c r="BP60" s="277"/>
      <c r="BQ60" s="277"/>
      <c r="BR60" s="277" t="e">
        <f t="shared" si="89"/>
        <v>#DIV/0!</v>
      </c>
      <c r="BS60" s="276"/>
      <c r="BT60" s="277"/>
      <c r="BU60" s="277"/>
      <c r="BV60" s="277"/>
      <c r="BW60" s="277" t="e">
        <f t="shared" si="90"/>
        <v>#DIV/0!</v>
      </c>
      <c r="BX60" s="276"/>
      <c r="BY60" s="277"/>
      <c r="BZ60" s="277"/>
      <c r="CA60" s="277"/>
      <c r="CB60" s="277" t="e">
        <f t="shared" si="91"/>
        <v>#DIV/0!</v>
      </c>
      <c r="CC60" s="276"/>
      <c r="CD60" s="277"/>
      <c r="CE60" s="277"/>
      <c r="CF60" s="277"/>
      <c r="CG60" s="277" t="e">
        <f t="shared" si="92"/>
        <v>#DIV/0!</v>
      </c>
      <c r="CH60" s="276"/>
      <c r="CI60" s="277"/>
      <c r="CJ60" s="277"/>
      <c r="CK60" s="277"/>
      <c r="CL60" s="277" t="e">
        <f t="shared" si="93"/>
        <v>#DIV/0!</v>
      </c>
      <c r="CM60" s="276"/>
      <c r="CN60" s="277"/>
      <c r="CO60" s="277"/>
      <c r="CP60" s="277"/>
      <c r="CQ60" s="277" t="e">
        <f t="shared" si="94"/>
        <v>#DIV/0!</v>
      </c>
      <c r="CR60" s="276"/>
      <c r="CS60" s="277"/>
      <c r="CT60" s="277"/>
      <c r="CU60" s="277"/>
      <c r="CV60" s="277" t="e">
        <f t="shared" si="95"/>
        <v>#DIV/0!</v>
      </c>
      <c r="CW60" s="276"/>
      <c r="CX60" s="277"/>
      <c r="CY60" s="277"/>
      <c r="CZ60" s="277"/>
      <c r="DA60" s="277" t="e">
        <f t="shared" si="96"/>
        <v>#DIV/0!</v>
      </c>
      <c r="DB60" s="276"/>
      <c r="DC60" s="277"/>
      <c r="DD60" s="277"/>
      <c r="DE60" s="277"/>
      <c r="DF60" s="277" t="e">
        <f t="shared" si="97"/>
        <v>#DIV/0!</v>
      </c>
      <c r="DG60" s="276"/>
      <c r="DH60" s="277"/>
      <c r="DI60" s="277"/>
      <c r="DJ60" s="277"/>
      <c r="DK60" s="277" t="e">
        <f t="shared" si="98"/>
        <v>#DIV/0!</v>
      </c>
      <c r="DL60" s="276"/>
      <c r="DM60" s="277"/>
      <c r="DN60" s="277"/>
      <c r="DO60" s="277"/>
      <c r="DP60" s="277" t="e">
        <f t="shared" si="99"/>
        <v>#DIV/0!</v>
      </c>
      <c r="DQ60" s="276"/>
      <c r="DR60" s="277"/>
      <c r="DS60" s="277"/>
      <c r="DT60" s="277"/>
      <c r="DU60" s="277" t="e">
        <f t="shared" si="100"/>
        <v>#DIV/0!</v>
      </c>
      <c r="DV60" s="276"/>
      <c r="DW60" s="277"/>
      <c r="DX60" s="277"/>
      <c r="DY60" s="277"/>
      <c r="DZ60" s="277" t="e">
        <f t="shared" si="101"/>
        <v>#DIV/0!</v>
      </c>
      <c r="EA60" s="276"/>
      <c r="EB60" s="277"/>
      <c r="EC60" s="277"/>
      <c r="ED60" s="277"/>
      <c r="EE60" s="277" t="e">
        <f t="shared" si="102"/>
        <v>#DIV/0!</v>
      </c>
      <c r="EF60" s="276"/>
      <c r="EG60" s="277"/>
      <c r="EH60" s="277"/>
      <c r="EI60" s="277"/>
      <c r="EJ60" s="277" t="e">
        <f t="shared" si="103"/>
        <v>#DIV/0!</v>
      </c>
      <c r="EK60" s="276"/>
      <c r="EL60" s="277"/>
      <c r="EM60" s="277"/>
      <c r="EN60" s="277"/>
      <c r="EO60" s="277" t="e">
        <f t="shared" si="104"/>
        <v>#DIV/0!</v>
      </c>
      <c r="EP60" s="276"/>
      <c r="EQ60" s="277"/>
      <c r="ER60" s="277"/>
      <c r="ES60" s="277"/>
      <c r="ET60" s="277" t="e">
        <f t="shared" si="105"/>
        <v>#DIV/0!</v>
      </c>
      <c r="EU60" s="276"/>
      <c r="EV60" s="277"/>
      <c r="EW60" s="277"/>
      <c r="EX60" s="277"/>
      <c r="EY60" s="277" t="e">
        <f t="shared" si="106"/>
        <v>#DIV/0!</v>
      </c>
      <c r="EZ60" s="276"/>
      <c r="FA60" s="277"/>
      <c r="FB60" s="277"/>
      <c r="FC60" s="277"/>
      <c r="FD60" s="277" t="e">
        <f t="shared" si="107"/>
        <v>#DIV/0!</v>
      </c>
      <c r="FE60" s="277">
        <f t="shared" si="108"/>
        <v>0</v>
      </c>
      <c r="FF60" s="277"/>
      <c r="FG60" s="277">
        <f t="shared" si="109"/>
        <v>0</v>
      </c>
      <c r="FH60" s="313">
        <f t="shared" si="110"/>
        <v>0</v>
      </c>
      <c r="FI60" s="314" t="e">
        <f t="shared" si="111"/>
        <v>#DIV/0!</v>
      </c>
      <c r="FJ60" s="277">
        <f t="shared" si="112"/>
        <v>0</v>
      </c>
      <c r="FK60" s="317"/>
      <c r="FL60" s="318"/>
      <c r="FM60" s="332"/>
    </row>
    <row r="61" s="214" customFormat="1" ht="27" customHeight="1" spans="1:171">
      <c r="A61" s="263"/>
      <c r="B61" s="278"/>
      <c r="C61" s="274"/>
      <c r="D61" s="233" t="s">
        <v>12</v>
      </c>
      <c r="E61" s="279">
        <v>0.25</v>
      </c>
      <c r="F61" s="276"/>
      <c r="G61" s="277"/>
      <c r="H61" s="277"/>
      <c r="I61" s="277"/>
      <c r="J61" s="277" t="e">
        <f t="shared" si="78"/>
        <v>#DIV/0!</v>
      </c>
      <c r="K61" s="276"/>
      <c r="L61" s="277"/>
      <c r="M61" s="277"/>
      <c r="N61" s="277"/>
      <c r="O61" s="277" t="e">
        <f t="shared" si="79"/>
        <v>#DIV/0!</v>
      </c>
      <c r="P61" s="276"/>
      <c r="Q61" s="277"/>
      <c r="R61" s="277"/>
      <c r="S61" s="277"/>
      <c r="T61" s="277" t="e">
        <f t="shared" si="80"/>
        <v>#DIV/0!</v>
      </c>
      <c r="U61" s="276"/>
      <c r="V61" s="277"/>
      <c r="W61" s="277"/>
      <c r="X61" s="277"/>
      <c r="Y61" s="277" t="e">
        <f t="shared" si="81"/>
        <v>#DIV/0!</v>
      </c>
      <c r="Z61" s="276"/>
      <c r="AA61" s="277"/>
      <c r="AB61" s="277"/>
      <c r="AC61" s="277"/>
      <c r="AD61" s="277" t="e">
        <f t="shared" si="82"/>
        <v>#DIV/0!</v>
      </c>
      <c r="AE61" s="276"/>
      <c r="AF61" s="277"/>
      <c r="AG61" s="277"/>
      <c r="AH61" s="277"/>
      <c r="AI61" s="277" t="e">
        <f t="shared" si="83"/>
        <v>#DIV/0!</v>
      </c>
      <c r="AJ61" s="276"/>
      <c r="AK61" s="277"/>
      <c r="AL61" s="277"/>
      <c r="AM61" s="277"/>
      <c r="AN61" s="277" t="e">
        <f t="shared" si="84"/>
        <v>#DIV/0!</v>
      </c>
      <c r="AO61" s="276"/>
      <c r="AP61" s="277"/>
      <c r="AQ61" s="277"/>
      <c r="AR61" s="277"/>
      <c r="AS61" s="277" t="e">
        <f t="shared" si="115"/>
        <v>#DIV/0!</v>
      </c>
      <c r="AT61" s="276"/>
      <c r="AU61" s="277"/>
      <c r="AV61" s="277"/>
      <c r="AW61" s="277"/>
      <c r="AX61" s="277" t="e">
        <f t="shared" si="85"/>
        <v>#DIV/0!</v>
      </c>
      <c r="AY61" s="276"/>
      <c r="AZ61" s="277"/>
      <c r="BA61" s="277"/>
      <c r="BB61" s="277"/>
      <c r="BC61" s="277" t="e">
        <f t="shared" si="86"/>
        <v>#DIV/0!</v>
      </c>
      <c r="BD61" s="276"/>
      <c r="BE61" s="277"/>
      <c r="BF61" s="277"/>
      <c r="BG61" s="277"/>
      <c r="BH61" s="277" t="e">
        <f t="shared" si="87"/>
        <v>#DIV/0!</v>
      </c>
      <c r="BI61" s="276"/>
      <c r="BJ61" s="277"/>
      <c r="BK61" s="277"/>
      <c r="BL61" s="277"/>
      <c r="BM61" s="277" t="e">
        <f t="shared" si="88"/>
        <v>#DIV/0!</v>
      </c>
      <c r="BN61" s="276"/>
      <c r="BO61" s="277"/>
      <c r="BP61" s="277"/>
      <c r="BQ61" s="277"/>
      <c r="BR61" s="277" t="e">
        <f t="shared" si="89"/>
        <v>#DIV/0!</v>
      </c>
      <c r="BS61" s="276"/>
      <c r="BT61" s="277"/>
      <c r="BU61" s="277"/>
      <c r="BV61" s="277"/>
      <c r="BW61" s="277" t="e">
        <f t="shared" si="90"/>
        <v>#DIV/0!</v>
      </c>
      <c r="BX61" s="276"/>
      <c r="BY61" s="277"/>
      <c r="BZ61" s="277"/>
      <c r="CA61" s="277"/>
      <c r="CB61" s="277" t="e">
        <f t="shared" si="91"/>
        <v>#DIV/0!</v>
      </c>
      <c r="CC61" s="276"/>
      <c r="CD61" s="277"/>
      <c r="CE61" s="277"/>
      <c r="CF61" s="277"/>
      <c r="CG61" s="277" t="e">
        <f t="shared" si="92"/>
        <v>#DIV/0!</v>
      </c>
      <c r="CH61" s="276"/>
      <c r="CI61" s="277"/>
      <c r="CJ61" s="277"/>
      <c r="CK61" s="277"/>
      <c r="CL61" s="277" t="e">
        <f t="shared" si="93"/>
        <v>#DIV/0!</v>
      </c>
      <c r="CM61" s="276"/>
      <c r="CN61" s="277"/>
      <c r="CO61" s="277"/>
      <c r="CP61" s="277"/>
      <c r="CQ61" s="277" t="e">
        <f t="shared" si="94"/>
        <v>#DIV/0!</v>
      </c>
      <c r="CR61" s="276"/>
      <c r="CS61" s="277"/>
      <c r="CT61" s="277"/>
      <c r="CU61" s="277"/>
      <c r="CV61" s="277" t="e">
        <f t="shared" si="95"/>
        <v>#DIV/0!</v>
      </c>
      <c r="CW61" s="276"/>
      <c r="CX61" s="277"/>
      <c r="CY61" s="277"/>
      <c r="CZ61" s="277"/>
      <c r="DA61" s="277" t="e">
        <f t="shared" si="96"/>
        <v>#DIV/0!</v>
      </c>
      <c r="DB61" s="276"/>
      <c r="DC61" s="277"/>
      <c r="DD61" s="277"/>
      <c r="DE61" s="277"/>
      <c r="DF61" s="277" t="e">
        <f t="shared" si="97"/>
        <v>#DIV/0!</v>
      </c>
      <c r="DG61" s="276"/>
      <c r="DH61" s="277"/>
      <c r="DI61" s="277"/>
      <c r="DJ61" s="277"/>
      <c r="DK61" s="277" t="e">
        <f t="shared" si="98"/>
        <v>#DIV/0!</v>
      </c>
      <c r="DL61" s="276"/>
      <c r="DM61" s="277"/>
      <c r="DN61" s="277"/>
      <c r="DO61" s="277"/>
      <c r="DP61" s="277" t="e">
        <f t="shared" si="99"/>
        <v>#DIV/0!</v>
      </c>
      <c r="DQ61" s="276"/>
      <c r="DR61" s="277"/>
      <c r="DS61" s="277"/>
      <c r="DT61" s="277"/>
      <c r="DU61" s="277" t="e">
        <f t="shared" si="100"/>
        <v>#DIV/0!</v>
      </c>
      <c r="DV61" s="276"/>
      <c r="DW61" s="277"/>
      <c r="DX61" s="277"/>
      <c r="DY61" s="277"/>
      <c r="DZ61" s="277" t="e">
        <f t="shared" si="101"/>
        <v>#DIV/0!</v>
      </c>
      <c r="EA61" s="276"/>
      <c r="EB61" s="277"/>
      <c r="EC61" s="277"/>
      <c r="ED61" s="277"/>
      <c r="EE61" s="277" t="e">
        <f t="shared" si="102"/>
        <v>#DIV/0!</v>
      </c>
      <c r="EF61" s="276"/>
      <c r="EG61" s="277"/>
      <c r="EH61" s="277"/>
      <c r="EI61" s="277"/>
      <c r="EJ61" s="277" t="e">
        <f t="shared" si="103"/>
        <v>#DIV/0!</v>
      </c>
      <c r="EK61" s="276"/>
      <c r="EL61" s="277"/>
      <c r="EM61" s="277"/>
      <c r="EN61" s="277"/>
      <c r="EO61" s="277" t="e">
        <f t="shared" si="104"/>
        <v>#DIV/0!</v>
      </c>
      <c r="EP61" s="276"/>
      <c r="EQ61" s="277"/>
      <c r="ER61" s="277"/>
      <c r="ES61" s="277"/>
      <c r="ET61" s="277" t="e">
        <f t="shared" si="105"/>
        <v>#DIV/0!</v>
      </c>
      <c r="EU61" s="276"/>
      <c r="EV61" s="277"/>
      <c r="EW61" s="277">
        <v>53</v>
      </c>
      <c r="EX61" s="277"/>
      <c r="EY61" s="277">
        <f t="shared" si="106"/>
        <v>1</v>
      </c>
      <c r="EZ61" s="276"/>
      <c r="FA61" s="277"/>
      <c r="FB61" s="277"/>
      <c r="FC61" s="277"/>
      <c r="FD61" s="277" t="e">
        <f t="shared" si="107"/>
        <v>#DIV/0!</v>
      </c>
      <c r="FE61" s="277">
        <f t="shared" si="108"/>
        <v>0</v>
      </c>
      <c r="FF61" s="277"/>
      <c r="FG61" s="277">
        <f t="shared" si="109"/>
        <v>0</v>
      </c>
      <c r="FH61" s="313">
        <f t="shared" si="110"/>
        <v>53</v>
      </c>
      <c r="FI61" s="314" t="e">
        <f t="shared" si="111"/>
        <v>#DIV/0!</v>
      </c>
      <c r="FJ61" s="277">
        <f t="shared" si="112"/>
        <v>13.25</v>
      </c>
      <c r="FK61" s="317"/>
      <c r="FL61" s="318"/>
      <c r="FM61" s="332"/>
      <c r="FO61" s="327"/>
    </row>
    <row r="62" s="214" customFormat="1" ht="27" customHeight="1" spans="1:169">
      <c r="A62" s="263"/>
      <c r="B62" s="278"/>
      <c r="C62" s="274"/>
      <c r="D62" s="233" t="s">
        <v>52</v>
      </c>
      <c r="E62" s="279">
        <v>0.373</v>
      </c>
      <c r="F62" s="276"/>
      <c r="G62" s="277"/>
      <c r="H62" s="277"/>
      <c r="I62" s="277"/>
      <c r="J62" s="277" t="e">
        <f t="shared" si="78"/>
        <v>#DIV/0!</v>
      </c>
      <c r="K62" s="276"/>
      <c r="L62" s="277"/>
      <c r="M62" s="277"/>
      <c r="N62" s="277"/>
      <c r="O62" s="277" t="e">
        <f t="shared" si="79"/>
        <v>#DIV/0!</v>
      </c>
      <c r="P62" s="276"/>
      <c r="Q62" s="277"/>
      <c r="R62" s="277"/>
      <c r="S62" s="277"/>
      <c r="T62" s="277" t="e">
        <f t="shared" si="80"/>
        <v>#DIV/0!</v>
      </c>
      <c r="U62" s="276"/>
      <c r="V62" s="277"/>
      <c r="W62" s="277"/>
      <c r="X62" s="277"/>
      <c r="Y62" s="277" t="e">
        <f t="shared" si="81"/>
        <v>#DIV/0!</v>
      </c>
      <c r="Z62" s="276"/>
      <c r="AA62" s="277"/>
      <c r="AB62" s="277"/>
      <c r="AC62" s="277"/>
      <c r="AD62" s="277" t="e">
        <f t="shared" si="82"/>
        <v>#DIV/0!</v>
      </c>
      <c r="AE62" s="276"/>
      <c r="AF62" s="277"/>
      <c r="AG62" s="277"/>
      <c r="AH62" s="277"/>
      <c r="AI62" s="277" t="e">
        <f t="shared" si="83"/>
        <v>#DIV/0!</v>
      </c>
      <c r="AJ62" s="276"/>
      <c r="AK62" s="277"/>
      <c r="AL62" s="277"/>
      <c r="AM62" s="277"/>
      <c r="AN62" s="277" t="e">
        <f t="shared" si="84"/>
        <v>#DIV/0!</v>
      </c>
      <c r="AO62" s="276"/>
      <c r="AP62" s="277"/>
      <c r="AQ62" s="277"/>
      <c r="AR62" s="277"/>
      <c r="AS62" s="277" t="e">
        <f t="shared" si="115"/>
        <v>#DIV/0!</v>
      </c>
      <c r="AT62" s="276"/>
      <c r="AU62" s="277"/>
      <c r="AV62" s="277"/>
      <c r="AW62" s="277"/>
      <c r="AX62" s="277" t="e">
        <f t="shared" si="85"/>
        <v>#DIV/0!</v>
      </c>
      <c r="AY62" s="276"/>
      <c r="AZ62" s="277"/>
      <c r="BA62" s="277"/>
      <c r="BB62" s="277"/>
      <c r="BC62" s="277" t="e">
        <f t="shared" si="86"/>
        <v>#DIV/0!</v>
      </c>
      <c r="BD62" s="276"/>
      <c r="BE62" s="277"/>
      <c r="BF62" s="277"/>
      <c r="BG62" s="277"/>
      <c r="BH62" s="277" t="e">
        <f t="shared" si="87"/>
        <v>#DIV/0!</v>
      </c>
      <c r="BI62" s="276"/>
      <c r="BJ62" s="277"/>
      <c r="BK62" s="277"/>
      <c r="BL62" s="277"/>
      <c r="BM62" s="277" t="e">
        <f t="shared" si="88"/>
        <v>#DIV/0!</v>
      </c>
      <c r="BN62" s="276"/>
      <c r="BO62" s="277"/>
      <c r="BP62" s="277"/>
      <c r="BQ62" s="277"/>
      <c r="BR62" s="277" t="e">
        <f t="shared" si="89"/>
        <v>#DIV/0!</v>
      </c>
      <c r="BS62" s="276"/>
      <c r="BT62" s="277"/>
      <c r="BU62" s="277"/>
      <c r="BV62" s="277"/>
      <c r="BW62" s="277" t="e">
        <f t="shared" si="90"/>
        <v>#DIV/0!</v>
      </c>
      <c r="BX62" s="276"/>
      <c r="BY62" s="277"/>
      <c r="BZ62" s="277"/>
      <c r="CA62" s="277"/>
      <c r="CB62" s="277" t="e">
        <f t="shared" si="91"/>
        <v>#DIV/0!</v>
      </c>
      <c r="CC62" s="276"/>
      <c r="CD62" s="277"/>
      <c r="CE62" s="277"/>
      <c r="CF62" s="277"/>
      <c r="CG62" s="277" t="e">
        <f t="shared" si="92"/>
        <v>#DIV/0!</v>
      </c>
      <c r="CH62" s="276"/>
      <c r="CI62" s="277"/>
      <c r="CJ62" s="277"/>
      <c r="CK62" s="277"/>
      <c r="CL62" s="277" t="e">
        <f t="shared" si="93"/>
        <v>#DIV/0!</v>
      </c>
      <c r="CM62" s="276"/>
      <c r="CN62" s="277"/>
      <c r="CO62" s="277"/>
      <c r="CP62" s="277"/>
      <c r="CQ62" s="277" t="e">
        <f t="shared" si="94"/>
        <v>#DIV/0!</v>
      </c>
      <c r="CR62" s="276"/>
      <c r="CS62" s="277"/>
      <c r="CT62" s="277"/>
      <c r="CU62" s="277"/>
      <c r="CV62" s="277" t="e">
        <f t="shared" si="95"/>
        <v>#DIV/0!</v>
      </c>
      <c r="CW62" s="276"/>
      <c r="CX62" s="277"/>
      <c r="CY62" s="277">
        <v>61</v>
      </c>
      <c r="CZ62" s="277"/>
      <c r="DA62" s="277">
        <f t="shared" si="96"/>
        <v>1</v>
      </c>
      <c r="DB62" s="276"/>
      <c r="DC62" s="277"/>
      <c r="DD62" s="277"/>
      <c r="DE62" s="277"/>
      <c r="DF62" s="277" t="e">
        <f t="shared" si="97"/>
        <v>#DIV/0!</v>
      </c>
      <c r="DG62" s="276"/>
      <c r="DH62" s="277"/>
      <c r="DI62" s="277"/>
      <c r="DJ62" s="277"/>
      <c r="DK62" s="277" t="e">
        <f t="shared" si="98"/>
        <v>#DIV/0!</v>
      </c>
      <c r="DL62" s="276"/>
      <c r="DM62" s="277"/>
      <c r="DN62" s="277"/>
      <c r="DO62" s="277"/>
      <c r="DP62" s="277" t="e">
        <f t="shared" si="99"/>
        <v>#DIV/0!</v>
      </c>
      <c r="DQ62" s="276"/>
      <c r="DR62" s="277"/>
      <c r="DS62" s="277"/>
      <c r="DT62" s="277"/>
      <c r="DU62" s="277" t="e">
        <f t="shared" si="100"/>
        <v>#DIV/0!</v>
      </c>
      <c r="DV62" s="276"/>
      <c r="DW62" s="277"/>
      <c r="DX62" s="277"/>
      <c r="DY62" s="277"/>
      <c r="DZ62" s="277" t="e">
        <f t="shared" si="101"/>
        <v>#DIV/0!</v>
      </c>
      <c r="EA62" s="276"/>
      <c r="EB62" s="277"/>
      <c r="EC62" s="277"/>
      <c r="ED62" s="277"/>
      <c r="EE62" s="277" t="e">
        <f t="shared" si="102"/>
        <v>#DIV/0!</v>
      </c>
      <c r="EF62" s="276"/>
      <c r="EG62" s="277"/>
      <c r="EH62" s="277"/>
      <c r="EI62" s="277"/>
      <c r="EJ62" s="277" t="e">
        <f t="shared" si="103"/>
        <v>#DIV/0!</v>
      </c>
      <c r="EK62" s="276"/>
      <c r="EL62" s="277"/>
      <c r="EM62" s="277"/>
      <c r="EN62" s="277"/>
      <c r="EO62" s="277" t="e">
        <f t="shared" si="104"/>
        <v>#DIV/0!</v>
      </c>
      <c r="EP62" s="276"/>
      <c r="EQ62" s="277"/>
      <c r="ER62" s="277"/>
      <c r="ES62" s="277"/>
      <c r="ET62" s="277" t="e">
        <f t="shared" si="105"/>
        <v>#DIV/0!</v>
      </c>
      <c r="EU62" s="276"/>
      <c r="EV62" s="277"/>
      <c r="EW62" s="277"/>
      <c r="EX62" s="277"/>
      <c r="EY62" s="277" t="e">
        <f t="shared" si="106"/>
        <v>#DIV/0!</v>
      </c>
      <c r="EZ62" s="276"/>
      <c r="FA62" s="277"/>
      <c r="FB62" s="277"/>
      <c r="FC62" s="277"/>
      <c r="FD62" s="277" t="e">
        <f t="shared" si="107"/>
        <v>#DIV/0!</v>
      </c>
      <c r="FE62" s="277">
        <f t="shared" si="108"/>
        <v>0</v>
      </c>
      <c r="FF62" s="277"/>
      <c r="FG62" s="277">
        <f t="shared" si="109"/>
        <v>0</v>
      </c>
      <c r="FH62" s="313">
        <f t="shared" si="110"/>
        <v>61</v>
      </c>
      <c r="FI62" s="314" t="e">
        <f t="shared" si="111"/>
        <v>#DIV/0!</v>
      </c>
      <c r="FJ62" s="277">
        <f t="shared" si="112"/>
        <v>22.753</v>
      </c>
      <c r="FK62" s="317"/>
      <c r="FL62" s="318"/>
      <c r="FM62" s="332"/>
    </row>
    <row r="63" s="214" customFormat="1" ht="27" customHeight="1" spans="1:169">
      <c r="A63" s="263"/>
      <c r="B63" s="278"/>
      <c r="C63" s="274"/>
      <c r="D63" s="233" t="s">
        <v>14</v>
      </c>
      <c r="E63" s="279">
        <v>0.373</v>
      </c>
      <c r="F63" s="276"/>
      <c r="G63" s="277"/>
      <c r="H63" s="277"/>
      <c r="I63" s="277"/>
      <c r="J63" s="277" t="e">
        <f t="shared" si="78"/>
        <v>#DIV/0!</v>
      </c>
      <c r="K63" s="276"/>
      <c r="L63" s="277"/>
      <c r="M63" s="277"/>
      <c r="N63" s="277"/>
      <c r="O63" s="277" t="e">
        <f t="shared" si="79"/>
        <v>#DIV/0!</v>
      </c>
      <c r="P63" s="276"/>
      <c r="Q63" s="277"/>
      <c r="R63" s="277"/>
      <c r="S63" s="277"/>
      <c r="T63" s="277" t="e">
        <f t="shared" si="80"/>
        <v>#DIV/0!</v>
      </c>
      <c r="U63" s="276"/>
      <c r="V63" s="277"/>
      <c r="W63" s="277"/>
      <c r="X63" s="277"/>
      <c r="Y63" s="277" t="e">
        <f t="shared" si="81"/>
        <v>#DIV/0!</v>
      </c>
      <c r="Z63" s="276"/>
      <c r="AA63" s="277"/>
      <c r="AB63" s="277"/>
      <c r="AC63" s="277"/>
      <c r="AD63" s="277" t="e">
        <f t="shared" si="82"/>
        <v>#DIV/0!</v>
      </c>
      <c r="AE63" s="276"/>
      <c r="AF63" s="277"/>
      <c r="AG63" s="277"/>
      <c r="AH63" s="277"/>
      <c r="AI63" s="277" t="e">
        <f t="shared" si="83"/>
        <v>#DIV/0!</v>
      </c>
      <c r="AJ63" s="276"/>
      <c r="AK63" s="277"/>
      <c r="AL63" s="277"/>
      <c r="AM63" s="277"/>
      <c r="AN63" s="277" t="e">
        <f t="shared" si="84"/>
        <v>#DIV/0!</v>
      </c>
      <c r="AO63" s="276"/>
      <c r="AP63" s="277"/>
      <c r="AQ63" s="277"/>
      <c r="AR63" s="277"/>
      <c r="AS63" s="277" t="e">
        <f t="shared" si="115"/>
        <v>#DIV/0!</v>
      </c>
      <c r="AT63" s="276"/>
      <c r="AU63" s="277"/>
      <c r="AV63" s="277"/>
      <c r="AW63" s="277"/>
      <c r="AX63" s="277" t="e">
        <f t="shared" si="85"/>
        <v>#DIV/0!</v>
      </c>
      <c r="AY63" s="276"/>
      <c r="AZ63" s="277"/>
      <c r="BA63" s="277"/>
      <c r="BB63" s="277"/>
      <c r="BC63" s="277" t="e">
        <f t="shared" si="86"/>
        <v>#DIV/0!</v>
      </c>
      <c r="BD63" s="276"/>
      <c r="BE63" s="277"/>
      <c r="BF63" s="277"/>
      <c r="BG63" s="277"/>
      <c r="BH63" s="277" t="e">
        <f t="shared" si="87"/>
        <v>#DIV/0!</v>
      </c>
      <c r="BI63" s="276"/>
      <c r="BJ63" s="277"/>
      <c r="BK63" s="277"/>
      <c r="BL63" s="277"/>
      <c r="BM63" s="277" t="e">
        <f t="shared" si="88"/>
        <v>#DIV/0!</v>
      </c>
      <c r="BN63" s="276"/>
      <c r="BO63" s="277"/>
      <c r="BP63" s="277"/>
      <c r="BQ63" s="277"/>
      <c r="BR63" s="277" t="e">
        <f t="shared" si="89"/>
        <v>#DIV/0!</v>
      </c>
      <c r="BS63" s="276"/>
      <c r="BT63" s="277"/>
      <c r="BU63" s="277"/>
      <c r="BV63" s="277"/>
      <c r="BW63" s="277" t="e">
        <f t="shared" si="90"/>
        <v>#DIV/0!</v>
      </c>
      <c r="BX63" s="276"/>
      <c r="BY63" s="277"/>
      <c r="BZ63" s="277"/>
      <c r="CA63" s="277"/>
      <c r="CB63" s="277" t="e">
        <f t="shared" si="91"/>
        <v>#DIV/0!</v>
      </c>
      <c r="CC63" s="276"/>
      <c r="CD63" s="277"/>
      <c r="CE63" s="277"/>
      <c r="CF63" s="277"/>
      <c r="CG63" s="277" t="e">
        <f t="shared" si="92"/>
        <v>#DIV/0!</v>
      </c>
      <c r="CH63" s="276"/>
      <c r="CI63" s="277"/>
      <c r="CJ63" s="277"/>
      <c r="CK63" s="277"/>
      <c r="CL63" s="277" t="e">
        <f t="shared" si="93"/>
        <v>#DIV/0!</v>
      </c>
      <c r="CM63" s="276"/>
      <c r="CN63" s="277"/>
      <c r="CO63" s="277"/>
      <c r="CP63" s="277"/>
      <c r="CQ63" s="277" t="e">
        <f t="shared" si="94"/>
        <v>#DIV/0!</v>
      </c>
      <c r="CR63" s="276"/>
      <c r="CS63" s="277"/>
      <c r="CT63" s="277"/>
      <c r="CU63" s="277"/>
      <c r="CV63" s="277" t="e">
        <f t="shared" si="95"/>
        <v>#DIV/0!</v>
      </c>
      <c r="CW63" s="276"/>
      <c r="CX63" s="277"/>
      <c r="CY63" s="277"/>
      <c r="CZ63" s="277"/>
      <c r="DA63" s="277" t="e">
        <f t="shared" si="96"/>
        <v>#DIV/0!</v>
      </c>
      <c r="DB63" s="276"/>
      <c r="DC63" s="277"/>
      <c r="DD63" s="277"/>
      <c r="DE63" s="277"/>
      <c r="DF63" s="277" t="e">
        <f t="shared" si="97"/>
        <v>#DIV/0!</v>
      </c>
      <c r="DG63" s="276"/>
      <c r="DH63" s="277"/>
      <c r="DI63" s="277"/>
      <c r="DJ63" s="277"/>
      <c r="DK63" s="277" t="e">
        <f t="shared" si="98"/>
        <v>#DIV/0!</v>
      </c>
      <c r="DL63" s="276"/>
      <c r="DM63" s="277"/>
      <c r="DN63" s="277"/>
      <c r="DO63" s="277"/>
      <c r="DP63" s="277" t="e">
        <f t="shared" si="99"/>
        <v>#DIV/0!</v>
      </c>
      <c r="DQ63" s="276"/>
      <c r="DR63" s="277"/>
      <c r="DS63" s="277"/>
      <c r="DT63" s="277"/>
      <c r="DU63" s="277" t="e">
        <f t="shared" si="100"/>
        <v>#DIV/0!</v>
      </c>
      <c r="DV63" s="276"/>
      <c r="DW63" s="277"/>
      <c r="DX63" s="277"/>
      <c r="DY63" s="277"/>
      <c r="DZ63" s="277" t="e">
        <f t="shared" si="101"/>
        <v>#DIV/0!</v>
      </c>
      <c r="EA63" s="276"/>
      <c r="EB63" s="277"/>
      <c r="EC63" s="277"/>
      <c r="ED63" s="277"/>
      <c r="EE63" s="277" t="e">
        <f t="shared" si="102"/>
        <v>#DIV/0!</v>
      </c>
      <c r="EF63" s="276"/>
      <c r="EG63" s="277"/>
      <c r="EH63" s="277"/>
      <c r="EI63" s="277"/>
      <c r="EJ63" s="277" t="e">
        <f t="shared" si="103"/>
        <v>#DIV/0!</v>
      </c>
      <c r="EK63" s="276"/>
      <c r="EL63" s="277"/>
      <c r="EM63" s="277"/>
      <c r="EN63" s="277"/>
      <c r="EO63" s="277" t="e">
        <f t="shared" si="104"/>
        <v>#DIV/0!</v>
      </c>
      <c r="EP63" s="276"/>
      <c r="EQ63" s="277"/>
      <c r="ER63" s="277"/>
      <c r="ES63" s="277"/>
      <c r="ET63" s="277" t="e">
        <f t="shared" si="105"/>
        <v>#DIV/0!</v>
      </c>
      <c r="EU63" s="276"/>
      <c r="EV63" s="277"/>
      <c r="EW63" s="277"/>
      <c r="EX63" s="277"/>
      <c r="EY63" s="277" t="e">
        <f t="shared" si="106"/>
        <v>#DIV/0!</v>
      </c>
      <c r="EZ63" s="276"/>
      <c r="FA63" s="277"/>
      <c r="FB63" s="277"/>
      <c r="FC63" s="277"/>
      <c r="FD63" s="277" t="e">
        <f t="shared" si="107"/>
        <v>#DIV/0!</v>
      </c>
      <c r="FE63" s="277">
        <f t="shared" si="108"/>
        <v>0</v>
      </c>
      <c r="FF63" s="277"/>
      <c r="FG63" s="277">
        <f t="shared" si="109"/>
        <v>0</v>
      </c>
      <c r="FH63" s="313">
        <f t="shared" si="110"/>
        <v>0</v>
      </c>
      <c r="FI63" s="314" t="e">
        <f t="shared" si="111"/>
        <v>#DIV/0!</v>
      </c>
      <c r="FJ63" s="277">
        <f t="shared" si="112"/>
        <v>0</v>
      </c>
      <c r="FK63" s="317"/>
      <c r="FL63" s="318"/>
      <c r="FM63" s="332"/>
    </row>
    <row r="64" s="214" customFormat="1" ht="27" customHeight="1" spans="1:169">
      <c r="A64" s="263"/>
      <c r="B64" s="278"/>
      <c r="C64" s="274"/>
      <c r="D64" s="233" t="s">
        <v>15</v>
      </c>
      <c r="E64" s="279">
        <v>0.373</v>
      </c>
      <c r="F64" s="276"/>
      <c r="G64" s="277"/>
      <c r="H64" s="277"/>
      <c r="I64" s="277"/>
      <c r="J64" s="277" t="e">
        <f t="shared" si="78"/>
        <v>#DIV/0!</v>
      </c>
      <c r="K64" s="276"/>
      <c r="L64" s="277"/>
      <c r="M64" s="277"/>
      <c r="N64" s="277"/>
      <c r="O64" s="277" t="e">
        <f t="shared" si="79"/>
        <v>#DIV/0!</v>
      </c>
      <c r="P64" s="276"/>
      <c r="Q64" s="277"/>
      <c r="R64" s="277"/>
      <c r="S64" s="277"/>
      <c r="T64" s="277" t="e">
        <f t="shared" si="80"/>
        <v>#DIV/0!</v>
      </c>
      <c r="U64" s="276"/>
      <c r="V64" s="277"/>
      <c r="W64" s="277"/>
      <c r="X64" s="277"/>
      <c r="Y64" s="277" t="e">
        <f t="shared" si="81"/>
        <v>#DIV/0!</v>
      </c>
      <c r="Z64" s="276"/>
      <c r="AA64" s="277"/>
      <c r="AB64" s="277"/>
      <c r="AC64" s="277"/>
      <c r="AD64" s="277" t="e">
        <f t="shared" si="82"/>
        <v>#DIV/0!</v>
      </c>
      <c r="AE64" s="276"/>
      <c r="AF64" s="277"/>
      <c r="AG64" s="277"/>
      <c r="AH64" s="277"/>
      <c r="AI64" s="277" t="e">
        <f t="shared" si="83"/>
        <v>#DIV/0!</v>
      </c>
      <c r="AJ64" s="276"/>
      <c r="AK64" s="277"/>
      <c r="AL64" s="277"/>
      <c r="AM64" s="277"/>
      <c r="AN64" s="277" t="e">
        <f t="shared" si="84"/>
        <v>#DIV/0!</v>
      </c>
      <c r="AO64" s="276"/>
      <c r="AP64" s="277"/>
      <c r="AQ64" s="277"/>
      <c r="AR64" s="277"/>
      <c r="AS64" s="277" t="e">
        <f t="shared" si="115"/>
        <v>#DIV/0!</v>
      </c>
      <c r="AT64" s="276"/>
      <c r="AU64" s="277"/>
      <c r="AV64" s="277"/>
      <c r="AW64" s="277"/>
      <c r="AX64" s="277" t="e">
        <f t="shared" si="85"/>
        <v>#DIV/0!</v>
      </c>
      <c r="AY64" s="276"/>
      <c r="AZ64" s="277"/>
      <c r="BA64" s="277"/>
      <c r="BB64" s="277"/>
      <c r="BC64" s="277" t="e">
        <f t="shared" si="86"/>
        <v>#DIV/0!</v>
      </c>
      <c r="BD64" s="276"/>
      <c r="BE64" s="277"/>
      <c r="BF64" s="277"/>
      <c r="BG64" s="277"/>
      <c r="BH64" s="277" t="e">
        <f t="shared" si="87"/>
        <v>#DIV/0!</v>
      </c>
      <c r="BI64" s="276"/>
      <c r="BJ64" s="277"/>
      <c r="BK64" s="277"/>
      <c r="BL64" s="277"/>
      <c r="BM64" s="277" t="e">
        <f t="shared" si="88"/>
        <v>#DIV/0!</v>
      </c>
      <c r="BN64" s="276"/>
      <c r="BO64" s="277"/>
      <c r="BP64" s="277"/>
      <c r="BQ64" s="277"/>
      <c r="BR64" s="277" t="e">
        <f t="shared" si="89"/>
        <v>#DIV/0!</v>
      </c>
      <c r="BS64" s="276"/>
      <c r="BT64" s="277"/>
      <c r="BU64" s="277"/>
      <c r="BV64" s="277"/>
      <c r="BW64" s="277" t="e">
        <f t="shared" si="90"/>
        <v>#DIV/0!</v>
      </c>
      <c r="BX64" s="276"/>
      <c r="BY64" s="277"/>
      <c r="BZ64" s="277"/>
      <c r="CA64" s="277"/>
      <c r="CB64" s="277" t="e">
        <f t="shared" si="91"/>
        <v>#DIV/0!</v>
      </c>
      <c r="CC64" s="276"/>
      <c r="CD64" s="277"/>
      <c r="CE64" s="277"/>
      <c r="CF64" s="277"/>
      <c r="CG64" s="277" t="e">
        <f t="shared" si="92"/>
        <v>#DIV/0!</v>
      </c>
      <c r="CH64" s="276"/>
      <c r="CI64" s="277"/>
      <c r="CJ64" s="277"/>
      <c r="CK64" s="277"/>
      <c r="CL64" s="277" t="e">
        <f t="shared" si="93"/>
        <v>#DIV/0!</v>
      </c>
      <c r="CM64" s="276"/>
      <c r="CN64" s="277"/>
      <c r="CO64" s="277"/>
      <c r="CP64" s="277"/>
      <c r="CQ64" s="277" t="e">
        <f t="shared" si="94"/>
        <v>#DIV/0!</v>
      </c>
      <c r="CR64" s="276"/>
      <c r="CS64" s="277"/>
      <c r="CT64" s="277"/>
      <c r="CU64" s="277"/>
      <c r="CV64" s="277" t="e">
        <f t="shared" si="95"/>
        <v>#DIV/0!</v>
      </c>
      <c r="CW64" s="276"/>
      <c r="CX64" s="277"/>
      <c r="CY64" s="277"/>
      <c r="CZ64" s="277"/>
      <c r="DA64" s="277" t="e">
        <f t="shared" si="96"/>
        <v>#DIV/0!</v>
      </c>
      <c r="DB64" s="276"/>
      <c r="DC64" s="277"/>
      <c r="DD64" s="277"/>
      <c r="DE64" s="277"/>
      <c r="DF64" s="277" t="e">
        <f t="shared" si="97"/>
        <v>#DIV/0!</v>
      </c>
      <c r="DG64" s="276"/>
      <c r="DH64" s="277"/>
      <c r="DI64" s="277"/>
      <c r="DJ64" s="277"/>
      <c r="DK64" s="277" t="e">
        <f t="shared" si="98"/>
        <v>#DIV/0!</v>
      </c>
      <c r="DL64" s="276"/>
      <c r="DM64" s="277"/>
      <c r="DN64" s="277"/>
      <c r="DO64" s="277"/>
      <c r="DP64" s="277" t="e">
        <f t="shared" si="99"/>
        <v>#DIV/0!</v>
      </c>
      <c r="DQ64" s="276"/>
      <c r="DR64" s="277"/>
      <c r="DS64" s="277"/>
      <c r="DT64" s="277"/>
      <c r="DU64" s="277" t="e">
        <f t="shared" si="100"/>
        <v>#DIV/0!</v>
      </c>
      <c r="DV64" s="276"/>
      <c r="DW64" s="277"/>
      <c r="DX64" s="277"/>
      <c r="DY64" s="277"/>
      <c r="DZ64" s="277" t="e">
        <f t="shared" si="101"/>
        <v>#DIV/0!</v>
      </c>
      <c r="EA64" s="276"/>
      <c r="EB64" s="277"/>
      <c r="EC64" s="277"/>
      <c r="ED64" s="277"/>
      <c r="EE64" s="277" t="e">
        <f t="shared" si="102"/>
        <v>#DIV/0!</v>
      </c>
      <c r="EF64" s="276"/>
      <c r="EG64" s="277"/>
      <c r="EH64" s="277"/>
      <c r="EI64" s="277"/>
      <c r="EJ64" s="277" t="e">
        <f t="shared" si="103"/>
        <v>#DIV/0!</v>
      </c>
      <c r="EK64" s="276"/>
      <c r="EL64" s="277"/>
      <c r="EM64" s="277"/>
      <c r="EN64" s="277"/>
      <c r="EO64" s="277" t="e">
        <f t="shared" si="104"/>
        <v>#DIV/0!</v>
      </c>
      <c r="EP64" s="276"/>
      <c r="EQ64" s="277"/>
      <c r="ER64" s="277"/>
      <c r="ES64" s="277"/>
      <c r="ET64" s="277" t="e">
        <f t="shared" si="105"/>
        <v>#DIV/0!</v>
      </c>
      <c r="EU64" s="276"/>
      <c r="EV64" s="277"/>
      <c r="EW64" s="277"/>
      <c r="EX64" s="277"/>
      <c r="EY64" s="277" t="e">
        <f t="shared" si="106"/>
        <v>#DIV/0!</v>
      </c>
      <c r="EZ64" s="276"/>
      <c r="FA64" s="277"/>
      <c r="FB64" s="277"/>
      <c r="FC64" s="277"/>
      <c r="FD64" s="277" t="e">
        <f t="shared" si="107"/>
        <v>#DIV/0!</v>
      </c>
      <c r="FE64" s="277">
        <f t="shared" si="108"/>
        <v>0</v>
      </c>
      <c r="FF64" s="277"/>
      <c r="FG64" s="277">
        <f t="shared" si="109"/>
        <v>0</v>
      </c>
      <c r="FH64" s="313">
        <f t="shared" si="110"/>
        <v>0</v>
      </c>
      <c r="FI64" s="314" t="e">
        <f t="shared" si="111"/>
        <v>#DIV/0!</v>
      </c>
      <c r="FJ64" s="277">
        <f t="shared" si="112"/>
        <v>0</v>
      </c>
      <c r="FK64" s="317"/>
      <c r="FL64" s="318"/>
      <c r="FM64" s="332"/>
    </row>
    <row r="65" s="214" customFormat="1" ht="27" customHeight="1" spans="1:169">
      <c r="A65" s="263"/>
      <c r="B65" s="278"/>
      <c r="C65" s="274"/>
      <c r="D65" s="233" t="s">
        <v>16</v>
      </c>
      <c r="E65" s="279">
        <v>0.373</v>
      </c>
      <c r="F65" s="276"/>
      <c r="G65" s="277"/>
      <c r="H65" s="277"/>
      <c r="I65" s="277"/>
      <c r="J65" s="277" t="e">
        <f t="shared" si="78"/>
        <v>#DIV/0!</v>
      </c>
      <c r="K65" s="276"/>
      <c r="L65" s="277"/>
      <c r="M65" s="277"/>
      <c r="N65" s="277"/>
      <c r="O65" s="277" t="e">
        <f t="shared" si="79"/>
        <v>#DIV/0!</v>
      </c>
      <c r="P65" s="276"/>
      <c r="Q65" s="277"/>
      <c r="R65" s="277"/>
      <c r="S65" s="277"/>
      <c r="T65" s="277" t="e">
        <f t="shared" si="80"/>
        <v>#DIV/0!</v>
      </c>
      <c r="U65" s="276"/>
      <c r="V65" s="277"/>
      <c r="W65" s="277"/>
      <c r="X65" s="277"/>
      <c r="Y65" s="277" t="e">
        <f t="shared" si="81"/>
        <v>#DIV/0!</v>
      </c>
      <c r="Z65" s="276"/>
      <c r="AA65" s="277"/>
      <c r="AB65" s="277"/>
      <c r="AC65" s="277"/>
      <c r="AD65" s="277" t="e">
        <f t="shared" si="82"/>
        <v>#DIV/0!</v>
      </c>
      <c r="AE65" s="276"/>
      <c r="AF65" s="277"/>
      <c r="AG65" s="277"/>
      <c r="AH65" s="277"/>
      <c r="AI65" s="277" t="e">
        <f t="shared" si="83"/>
        <v>#DIV/0!</v>
      </c>
      <c r="AJ65" s="276"/>
      <c r="AK65" s="277"/>
      <c r="AL65" s="277"/>
      <c r="AM65" s="277"/>
      <c r="AN65" s="277" t="e">
        <f t="shared" si="84"/>
        <v>#DIV/0!</v>
      </c>
      <c r="AO65" s="276"/>
      <c r="AP65" s="277"/>
      <c r="AQ65" s="277"/>
      <c r="AR65" s="277"/>
      <c r="AS65" s="277" t="e">
        <f t="shared" si="115"/>
        <v>#DIV/0!</v>
      </c>
      <c r="AT65" s="276"/>
      <c r="AU65" s="277"/>
      <c r="AV65" s="277"/>
      <c r="AW65" s="277"/>
      <c r="AX65" s="277" t="e">
        <f t="shared" si="85"/>
        <v>#DIV/0!</v>
      </c>
      <c r="AY65" s="276"/>
      <c r="AZ65" s="277"/>
      <c r="BA65" s="277"/>
      <c r="BB65" s="277"/>
      <c r="BC65" s="277" t="e">
        <f t="shared" si="86"/>
        <v>#DIV/0!</v>
      </c>
      <c r="BD65" s="276"/>
      <c r="BE65" s="277"/>
      <c r="BF65" s="277"/>
      <c r="BG65" s="277"/>
      <c r="BH65" s="277" t="e">
        <f t="shared" si="87"/>
        <v>#DIV/0!</v>
      </c>
      <c r="BI65" s="276"/>
      <c r="BJ65" s="277"/>
      <c r="BK65" s="277"/>
      <c r="BL65" s="277"/>
      <c r="BM65" s="277" t="e">
        <f t="shared" si="88"/>
        <v>#DIV/0!</v>
      </c>
      <c r="BN65" s="276"/>
      <c r="BO65" s="277"/>
      <c r="BP65" s="277"/>
      <c r="BQ65" s="277"/>
      <c r="BR65" s="277" t="e">
        <f t="shared" si="89"/>
        <v>#DIV/0!</v>
      </c>
      <c r="BS65" s="276"/>
      <c r="BT65" s="277"/>
      <c r="BU65" s="277"/>
      <c r="BV65" s="277"/>
      <c r="BW65" s="277" t="e">
        <f t="shared" si="90"/>
        <v>#DIV/0!</v>
      </c>
      <c r="BX65" s="276"/>
      <c r="BY65" s="277"/>
      <c r="BZ65" s="277"/>
      <c r="CA65" s="277"/>
      <c r="CB65" s="277" t="e">
        <f t="shared" si="91"/>
        <v>#DIV/0!</v>
      </c>
      <c r="CC65" s="276"/>
      <c r="CD65" s="277"/>
      <c r="CE65" s="277"/>
      <c r="CF65" s="277"/>
      <c r="CG65" s="277" t="e">
        <f t="shared" si="92"/>
        <v>#DIV/0!</v>
      </c>
      <c r="CH65" s="276"/>
      <c r="CI65" s="277"/>
      <c r="CJ65" s="277"/>
      <c r="CK65" s="277"/>
      <c r="CL65" s="277" t="e">
        <f t="shared" si="93"/>
        <v>#DIV/0!</v>
      </c>
      <c r="CM65" s="276"/>
      <c r="CN65" s="277"/>
      <c r="CO65" s="277"/>
      <c r="CP65" s="277"/>
      <c r="CQ65" s="277" t="e">
        <f t="shared" si="94"/>
        <v>#DIV/0!</v>
      </c>
      <c r="CR65" s="276"/>
      <c r="CS65" s="277"/>
      <c r="CT65" s="277"/>
      <c r="CU65" s="277"/>
      <c r="CV65" s="277" t="e">
        <f t="shared" si="95"/>
        <v>#DIV/0!</v>
      </c>
      <c r="CW65" s="276"/>
      <c r="CX65" s="277"/>
      <c r="CY65" s="277"/>
      <c r="CZ65" s="277"/>
      <c r="DA65" s="277" t="e">
        <f t="shared" si="96"/>
        <v>#DIV/0!</v>
      </c>
      <c r="DB65" s="276"/>
      <c r="DC65" s="277"/>
      <c r="DD65" s="277"/>
      <c r="DE65" s="277"/>
      <c r="DF65" s="277" t="e">
        <f t="shared" si="97"/>
        <v>#DIV/0!</v>
      </c>
      <c r="DG65" s="276"/>
      <c r="DH65" s="277"/>
      <c r="DI65" s="277"/>
      <c r="DJ65" s="277"/>
      <c r="DK65" s="277" t="e">
        <f t="shared" si="98"/>
        <v>#DIV/0!</v>
      </c>
      <c r="DL65" s="276"/>
      <c r="DM65" s="277"/>
      <c r="DN65" s="277"/>
      <c r="DO65" s="277"/>
      <c r="DP65" s="277" t="e">
        <f t="shared" si="99"/>
        <v>#DIV/0!</v>
      </c>
      <c r="DQ65" s="276"/>
      <c r="DR65" s="277"/>
      <c r="DS65" s="277"/>
      <c r="DT65" s="277"/>
      <c r="DU65" s="277" t="e">
        <f t="shared" si="100"/>
        <v>#DIV/0!</v>
      </c>
      <c r="DV65" s="276"/>
      <c r="DW65" s="277"/>
      <c r="DX65" s="277"/>
      <c r="DY65" s="277"/>
      <c r="DZ65" s="277" t="e">
        <f t="shared" si="101"/>
        <v>#DIV/0!</v>
      </c>
      <c r="EA65" s="276"/>
      <c r="EB65" s="277"/>
      <c r="EC65" s="277"/>
      <c r="ED65" s="277"/>
      <c r="EE65" s="277" t="e">
        <f t="shared" si="102"/>
        <v>#DIV/0!</v>
      </c>
      <c r="EF65" s="276"/>
      <c r="EG65" s="277"/>
      <c r="EH65" s="277"/>
      <c r="EI65" s="277"/>
      <c r="EJ65" s="277" t="e">
        <f t="shared" si="103"/>
        <v>#DIV/0!</v>
      </c>
      <c r="EK65" s="276"/>
      <c r="EL65" s="277"/>
      <c r="EM65" s="277"/>
      <c r="EN65" s="277"/>
      <c r="EO65" s="277" t="e">
        <f t="shared" si="104"/>
        <v>#DIV/0!</v>
      </c>
      <c r="EP65" s="276"/>
      <c r="EQ65" s="277"/>
      <c r="ER65" s="277"/>
      <c r="ES65" s="277"/>
      <c r="ET65" s="277" t="e">
        <f t="shared" si="105"/>
        <v>#DIV/0!</v>
      </c>
      <c r="EU65" s="276"/>
      <c r="EV65" s="277"/>
      <c r="EW65" s="277"/>
      <c r="EX65" s="277"/>
      <c r="EY65" s="277" t="e">
        <f t="shared" si="106"/>
        <v>#DIV/0!</v>
      </c>
      <c r="EZ65" s="276"/>
      <c r="FA65" s="277"/>
      <c r="FB65" s="277"/>
      <c r="FC65" s="277"/>
      <c r="FD65" s="277" t="e">
        <f t="shared" si="107"/>
        <v>#DIV/0!</v>
      </c>
      <c r="FE65" s="277">
        <f t="shared" si="108"/>
        <v>0</v>
      </c>
      <c r="FF65" s="277"/>
      <c r="FG65" s="277">
        <f t="shared" si="109"/>
        <v>0</v>
      </c>
      <c r="FH65" s="313">
        <f t="shared" si="110"/>
        <v>0</v>
      </c>
      <c r="FI65" s="314" t="e">
        <f t="shared" si="111"/>
        <v>#DIV/0!</v>
      </c>
      <c r="FJ65" s="277">
        <f t="shared" si="112"/>
        <v>0</v>
      </c>
      <c r="FK65" s="317"/>
      <c r="FL65" s="318"/>
      <c r="FM65" s="332"/>
    </row>
    <row r="66" s="214" customFormat="1" ht="27" customHeight="1" spans="1:169">
      <c r="A66" s="263"/>
      <c r="B66" s="280"/>
      <c r="C66" s="274"/>
      <c r="D66" s="233" t="s">
        <v>17</v>
      </c>
      <c r="E66" s="279">
        <v>0.373</v>
      </c>
      <c r="F66" s="276"/>
      <c r="G66" s="277"/>
      <c r="H66" s="277"/>
      <c r="I66" s="277"/>
      <c r="J66" s="277" t="e">
        <f t="shared" si="78"/>
        <v>#DIV/0!</v>
      </c>
      <c r="K66" s="276"/>
      <c r="L66" s="277"/>
      <c r="M66" s="277"/>
      <c r="N66" s="277"/>
      <c r="O66" s="277" t="e">
        <f t="shared" si="79"/>
        <v>#DIV/0!</v>
      </c>
      <c r="P66" s="276"/>
      <c r="Q66" s="277"/>
      <c r="R66" s="277"/>
      <c r="S66" s="277"/>
      <c r="T66" s="277" t="e">
        <f t="shared" si="80"/>
        <v>#DIV/0!</v>
      </c>
      <c r="U66" s="276"/>
      <c r="V66" s="277"/>
      <c r="W66" s="277"/>
      <c r="X66" s="277"/>
      <c r="Y66" s="277" t="e">
        <f t="shared" si="81"/>
        <v>#DIV/0!</v>
      </c>
      <c r="Z66" s="276"/>
      <c r="AA66" s="277"/>
      <c r="AB66" s="277"/>
      <c r="AC66" s="277"/>
      <c r="AD66" s="277" t="e">
        <f t="shared" si="82"/>
        <v>#DIV/0!</v>
      </c>
      <c r="AE66" s="276"/>
      <c r="AF66" s="277"/>
      <c r="AG66" s="277"/>
      <c r="AH66" s="277"/>
      <c r="AI66" s="277" t="e">
        <f t="shared" si="83"/>
        <v>#DIV/0!</v>
      </c>
      <c r="AJ66" s="276"/>
      <c r="AK66" s="277"/>
      <c r="AL66" s="277"/>
      <c r="AM66" s="277"/>
      <c r="AN66" s="277" t="e">
        <f t="shared" si="84"/>
        <v>#DIV/0!</v>
      </c>
      <c r="AO66" s="276"/>
      <c r="AP66" s="277"/>
      <c r="AQ66" s="277"/>
      <c r="AR66" s="277"/>
      <c r="AS66" s="277" t="e">
        <f t="shared" si="115"/>
        <v>#DIV/0!</v>
      </c>
      <c r="AT66" s="276"/>
      <c r="AU66" s="277"/>
      <c r="AV66" s="277"/>
      <c r="AW66" s="277"/>
      <c r="AX66" s="277" t="e">
        <f t="shared" si="85"/>
        <v>#DIV/0!</v>
      </c>
      <c r="AY66" s="276"/>
      <c r="AZ66" s="277"/>
      <c r="BA66" s="277"/>
      <c r="BB66" s="277"/>
      <c r="BC66" s="277" t="e">
        <f t="shared" si="86"/>
        <v>#DIV/0!</v>
      </c>
      <c r="BD66" s="276"/>
      <c r="BE66" s="277"/>
      <c r="BF66" s="277"/>
      <c r="BG66" s="277"/>
      <c r="BH66" s="277" t="e">
        <f t="shared" si="87"/>
        <v>#DIV/0!</v>
      </c>
      <c r="BI66" s="276"/>
      <c r="BJ66" s="277"/>
      <c r="BK66" s="277"/>
      <c r="BL66" s="277"/>
      <c r="BM66" s="277" t="e">
        <f t="shared" si="88"/>
        <v>#DIV/0!</v>
      </c>
      <c r="BN66" s="276"/>
      <c r="BO66" s="277"/>
      <c r="BP66" s="277"/>
      <c r="BQ66" s="277"/>
      <c r="BR66" s="277" t="e">
        <f t="shared" si="89"/>
        <v>#DIV/0!</v>
      </c>
      <c r="BS66" s="276"/>
      <c r="BT66" s="277"/>
      <c r="BU66" s="277"/>
      <c r="BV66" s="277"/>
      <c r="BW66" s="277" t="e">
        <f t="shared" si="90"/>
        <v>#DIV/0!</v>
      </c>
      <c r="BX66" s="276"/>
      <c r="BY66" s="277"/>
      <c r="BZ66" s="277"/>
      <c r="CA66" s="277"/>
      <c r="CB66" s="277" t="e">
        <f t="shared" si="91"/>
        <v>#DIV/0!</v>
      </c>
      <c r="CC66" s="276"/>
      <c r="CD66" s="277"/>
      <c r="CE66" s="277"/>
      <c r="CF66" s="277"/>
      <c r="CG66" s="277" t="e">
        <f t="shared" si="92"/>
        <v>#DIV/0!</v>
      </c>
      <c r="CH66" s="276"/>
      <c r="CI66" s="277"/>
      <c r="CJ66" s="277"/>
      <c r="CK66" s="277"/>
      <c r="CL66" s="277" t="e">
        <f t="shared" si="93"/>
        <v>#DIV/0!</v>
      </c>
      <c r="CM66" s="276"/>
      <c r="CN66" s="277"/>
      <c r="CO66" s="277"/>
      <c r="CP66" s="277"/>
      <c r="CQ66" s="277" t="e">
        <f t="shared" si="94"/>
        <v>#DIV/0!</v>
      </c>
      <c r="CR66" s="276"/>
      <c r="CS66" s="277"/>
      <c r="CT66" s="277"/>
      <c r="CU66" s="277"/>
      <c r="CV66" s="277" t="e">
        <f t="shared" si="95"/>
        <v>#DIV/0!</v>
      </c>
      <c r="CW66" s="276"/>
      <c r="CX66" s="277"/>
      <c r="CY66" s="277"/>
      <c r="CZ66" s="277"/>
      <c r="DA66" s="277" t="e">
        <f t="shared" si="96"/>
        <v>#DIV/0!</v>
      </c>
      <c r="DB66" s="276"/>
      <c r="DC66" s="277"/>
      <c r="DD66" s="277"/>
      <c r="DE66" s="277"/>
      <c r="DF66" s="277" t="e">
        <f t="shared" si="97"/>
        <v>#DIV/0!</v>
      </c>
      <c r="DG66" s="276"/>
      <c r="DH66" s="277"/>
      <c r="DI66" s="277"/>
      <c r="DJ66" s="277"/>
      <c r="DK66" s="277" t="e">
        <f t="shared" si="98"/>
        <v>#DIV/0!</v>
      </c>
      <c r="DL66" s="276"/>
      <c r="DM66" s="277"/>
      <c r="DN66" s="277"/>
      <c r="DO66" s="277"/>
      <c r="DP66" s="277" t="e">
        <f t="shared" si="99"/>
        <v>#DIV/0!</v>
      </c>
      <c r="DQ66" s="276"/>
      <c r="DR66" s="277"/>
      <c r="DS66" s="277"/>
      <c r="DT66" s="277"/>
      <c r="DU66" s="277" t="e">
        <f t="shared" si="100"/>
        <v>#DIV/0!</v>
      </c>
      <c r="DV66" s="276"/>
      <c r="DW66" s="277"/>
      <c r="DX66" s="277"/>
      <c r="DY66" s="277"/>
      <c r="DZ66" s="277" t="e">
        <f t="shared" si="101"/>
        <v>#DIV/0!</v>
      </c>
      <c r="EA66" s="276"/>
      <c r="EB66" s="277"/>
      <c r="EC66" s="277"/>
      <c r="ED66" s="277"/>
      <c r="EE66" s="277" t="e">
        <f t="shared" si="102"/>
        <v>#DIV/0!</v>
      </c>
      <c r="EF66" s="276"/>
      <c r="EG66" s="277"/>
      <c r="EH66" s="277"/>
      <c r="EI66" s="277"/>
      <c r="EJ66" s="277" t="e">
        <f t="shared" si="103"/>
        <v>#DIV/0!</v>
      </c>
      <c r="EK66" s="276"/>
      <c r="EL66" s="277"/>
      <c r="EM66" s="277"/>
      <c r="EN66" s="277"/>
      <c r="EO66" s="277" t="e">
        <f t="shared" si="104"/>
        <v>#DIV/0!</v>
      </c>
      <c r="EP66" s="276"/>
      <c r="EQ66" s="277"/>
      <c r="ER66" s="277"/>
      <c r="ES66" s="277"/>
      <c r="ET66" s="277" t="e">
        <f t="shared" si="105"/>
        <v>#DIV/0!</v>
      </c>
      <c r="EU66" s="276"/>
      <c r="EV66" s="277"/>
      <c r="EW66" s="277"/>
      <c r="EX66" s="277"/>
      <c r="EY66" s="277" t="e">
        <f t="shared" si="106"/>
        <v>#DIV/0!</v>
      </c>
      <c r="EZ66" s="276"/>
      <c r="FA66" s="277"/>
      <c r="FB66" s="277"/>
      <c r="FC66" s="277"/>
      <c r="FD66" s="277" t="e">
        <f t="shared" si="107"/>
        <v>#DIV/0!</v>
      </c>
      <c r="FE66" s="277">
        <f t="shared" si="108"/>
        <v>0</v>
      </c>
      <c r="FF66" s="277"/>
      <c r="FG66" s="277">
        <f t="shared" si="109"/>
        <v>0</v>
      </c>
      <c r="FH66" s="313">
        <f t="shared" si="110"/>
        <v>0</v>
      </c>
      <c r="FI66" s="314" t="e">
        <f t="shared" si="111"/>
        <v>#DIV/0!</v>
      </c>
      <c r="FJ66" s="277">
        <f t="shared" si="112"/>
        <v>0</v>
      </c>
      <c r="FK66" s="319"/>
      <c r="FL66" s="320"/>
      <c r="FM66" s="333"/>
    </row>
    <row r="67" s="214" customFormat="1" ht="27" customHeight="1" spans="1:169">
      <c r="A67" s="263">
        <v>11</v>
      </c>
      <c r="B67" s="334" t="s">
        <v>31</v>
      </c>
      <c r="C67" s="274"/>
      <c r="D67" s="233" t="s">
        <v>8</v>
      </c>
      <c r="E67" s="275">
        <v>0.4</v>
      </c>
      <c r="F67" s="276"/>
      <c r="G67" s="276"/>
      <c r="I67" s="277"/>
      <c r="J67" s="277" t="e">
        <f>G119/(G119+I67)*G119/(G119+I67)</f>
        <v>#DIV/0!</v>
      </c>
      <c r="K67" s="276"/>
      <c r="L67" s="276"/>
      <c r="M67" s="277">
        <v>235</v>
      </c>
      <c r="N67" s="277"/>
      <c r="O67" s="277">
        <f t="shared" si="79"/>
        <v>1</v>
      </c>
      <c r="P67" s="276"/>
      <c r="Q67" s="276"/>
      <c r="R67" s="277">
        <v>117</v>
      </c>
      <c r="S67" s="277"/>
      <c r="T67" s="277">
        <f t="shared" si="80"/>
        <v>1</v>
      </c>
      <c r="U67" s="276"/>
      <c r="V67" s="276"/>
      <c r="W67" s="277"/>
      <c r="X67" s="277"/>
      <c r="Y67" s="277" t="e">
        <f t="shared" si="81"/>
        <v>#DIV/0!</v>
      </c>
      <c r="Z67" s="276"/>
      <c r="AA67" s="276"/>
      <c r="AB67" s="277"/>
      <c r="AC67" s="277"/>
      <c r="AD67" s="277" t="e">
        <f t="shared" si="82"/>
        <v>#DIV/0!</v>
      </c>
      <c r="AE67" s="276"/>
      <c r="AF67" s="276"/>
      <c r="AG67" s="277"/>
      <c r="AH67" s="277"/>
      <c r="AI67" s="277" t="e">
        <f t="shared" si="83"/>
        <v>#DIV/0!</v>
      </c>
      <c r="AJ67" s="276"/>
      <c r="AK67" s="276"/>
      <c r="AL67" s="277"/>
      <c r="AM67" s="277"/>
      <c r="AN67" s="277" t="e">
        <f t="shared" si="84"/>
        <v>#DIV/0!</v>
      </c>
      <c r="AO67" s="276"/>
      <c r="AP67" s="276"/>
      <c r="AQ67" s="277"/>
      <c r="AR67" s="277"/>
      <c r="AS67" s="277" t="e">
        <f t="shared" si="115"/>
        <v>#DIV/0!</v>
      </c>
      <c r="AT67" s="276"/>
      <c r="AU67" s="276"/>
      <c r="AV67" s="277"/>
      <c r="AW67" s="277"/>
      <c r="AX67" s="277" t="e">
        <f t="shared" si="85"/>
        <v>#DIV/0!</v>
      </c>
      <c r="AY67" s="276"/>
      <c r="AZ67" s="276"/>
      <c r="BA67" s="277"/>
      <c r="BB67" s="277"/>
      <c r="BC67" s="277" t="e">
        <f t="shared" si="86"/>
        <v>#DIV/0!</v>
      </c>
      <c r="BD67" s="276"/>
      <c r="BE67" s="276"/>
      <c r="BF67" s="277"/>
      <c r="BG67" s="277"/>
      <c r="BH67" s="277" t="e">
        <f t="shared" si="87"/>
        <v>#DIV/0!</v>
      </c>
      <c r="BI67" s="276"/>
      <c r="BJ67" s="276"/>
      <c r="BK67" s="277"/>
      <c r="BL67" s="277"/>
      <c r="BM67" s="277" t="e">
        <f t="shared" si="88"/>
        <v>#DIV/0!</v>
      </c>
      <c r="BN67" s="276"/>
      <c r="BO67" s="276"/>
      <c r="BP67" s="277"/>
      <c r="BQ67" s="277"/>
      <c r="BR67" s="277" t="e">
        <f t="shared" si="89"/>
        <v>#DIV/0!</v>
      </c>
      <c r="BS67" s="276"/>
      <c r="BT67" s="276"/>
      <c r="BU67" s="277"/>
      <c r="BV67" s="277"/>
      <c r="BW67" s="277" t="e">
        <f t="shared" si="90"/>
        <v>#DIV/0!</v>
      </c>
      <c r="BX67" s="276"/>
      <c r="BY67" s="276"/>
      <c r="BZ67" s="277"/>
      <c r="CA67" s="277"/>
      <c r="CB67" s="277" t="e">
        <f t="shared" si="91"/>
        <v>#DIV/0!</v>
      </c>
      <c r="CC67" s="276"/>
      <c r="CD67" s="276"/>
      <c r="CE67" s="277"/>
      <c r="CF67" s="277"/>
      <c r="CG67" s="277" t="e">
        <f t="shared" si="92"/>
        <v>#DIV/0!</v>
      </c>
      <c r="CH67" s="276"/>
      <c r="CI67" s="276"/>
      <c r="CJ67" s="277"/>
      <c r="CK67" s="277"/>
      <c r="CL67" s="277" t="e">
        <f t="shared" si="93"/>
        <v>#DIV/0!</v>
      </c>
      <c r="CM67" s="276"/>
      <c r="CN67" s="276"/>
      <c r="CO67" s="277"/>
      <c r="CP67" s="277"/>
      <c r="CQ67" s="277" t="e">
        <f t="shared" si="94"/>
        <v>#DIV/0!</v>
      </c>
      <c r="CR67" s="276"/>
      <c r="CS67" s="276"/>
      <c r="CT67" s="277"/>
      <c r="CU67" s="277"/>
      <c r="CV67" s="277" t="e">
        <f t="shared" si="95"/>
        <v>#DIV/0!</v>
      </c>
      <c r="CW67" s="276"/>
      <c r="CX67" s="276"/>
      <c r="CY67" s="277">
        <v>30</v>
      </c>
      <c r="CZ67" s="277"/>
      <c r="DA67" s="277">
        <f t="shared" si="96"/>
        <v>1</v>
      </c>
      <c r="DB67" s="276"/>
      <c r="DC67" s="276"/>
      <c r="DD67" s="277"/>
      <c r="DE67" s="277"/>
      <c r="DF67" s="277" t="e">
        <f t="shared" si="97"/>
        <v>#DIV/0!</v>
      </c>
      <c r="DG67" s="276"/>
      <c r="DH67" s="276"/>
      <c r="DI67" s="277"/>
      <c r="DJ67" s="277"/>
      <c r="DK67" s="277" t="e">
        <f t="shared" si="98"/>
        <v>#DIV/0!</v>
      </c>
      <c r="DL67" s="276"/>
      <c r="DM67" s="276"/>
      <c r="DN67" s="277"/>
      <c r="DO67" s="277"/>
      <c r="DP67" s="277" t="e">
        <f t="shared" si="99"/>
        <v>#DIV/0!</v>
      </c>
      <c r="DQ67" s="276"/>
      <c r="DR67" s="276"/>
      <c r="DS67" s="277"/>
      <c r="DT67" s="277"/>
      <c r="DU67" s="277" t="e">
        <f t="shared" si="100"/>
        <v>#DIV/0!</v>
      </c>
      <c r="DV67" s="276"/>
      <c r="DW67" s="276"/>
      <c r="DX67" s="277"/>
      <c r="DY67" s="277"/>
      <c r="DZ67" s="277" t="e">
        <f t="shared" si="101"/>
        <v>#DIV/0!</v>
      </c>
      <c r="EA67" s="276"/>
      <c r="EB67" s="276"/>
      <c r="EC67" s="277"/>
      <c r="ED67" s="277"/>
      <c r="EE67" s="277" t="e">
        <f t="shared" si="102"/>
        <v>#DIV/0!</v>
      </c>
      <c r="EF67" s="276"/>
      <c r="EG67" s="276"/>
      <c r="EH67" s="277"/>
      <c r="EI67" s="277"/>
      <c r="EJ67" s="277" t="e">
        <f t="shared" si="103"/>
        <v>#DIV/0!</v>
      </c>
      <c r="EK67" s="276"/>
      <c r="EL67" s="276"/>
      <c r="EM67" s="277"/>
      <c r="EN67" s="277"/>
      <c r="EO67" s="277" t="e">
        <f t="shared" si="104"/>
        <v>#DIV/0!</v>
      </c>
      <c r="EP67" s="276"/>
      <c r="EQ67" s="276"/>
      <c r="ER67" s="277"/>
      <c r="ES67" s="277"/>
      <c r="ET67" s="277" t="e">
        <f t="shared" si="105"/>
        <v>#DIV/0!</v>
      </c>
      <c r="EU67" s="276"/>
      <c r="EV67" s="276"/>
      <c r="EW67" s="277">
        <v>210</v>
      </c>
      <c r="EX67" s="277"/>
      <c r="EY67" s="277">
        <f t="shared" si="106"/>
        <v>1</v>
      </c>
      <c r="EZ67" s="276"/>
      <c r="FA67" s="276"/>
      <c r="FB67" s="277"/>
      <c r="FC67" s="277"/>
      <c r="FD67" s="277" t="e">
        <f t="shared" si="107"/>
        <v>#DIV/0!</v>
      </c>
      <c r="FE67" s="277">
        <f t="shared" si="108"/>
        <v>0</v>
      </c>
      <c r="FF67" s="277"/>
      <c r="FG67" s="277">
        <f t="shared" si="109"/>
        <v>0</v>
      </c>
      <c r="FH67" s="313">
        <f>FB67+EW67+ER67+EM67+EH67+EC67+DX67+DS67+DN67+DI67+DD67+CY67+CT67+CO67+CJ67+CE67+BZ67+BU67+BP67+BK67+BF67+BA67+AV67+AQ67+AL67+AG67+AB67+W67+R67+M67+G119</f>
        <v>592</v>
      </c>
      <c r="FI67" s="314" t="e">
        <f t="shared" si="111"/>
        <v>#DIV/0!</v>
      </c>
      <c r="FJ67" s="277">
        <f t="shared" si="112"/>
        <v>236.8</v>
      </c>
      <c r="FK67" s="315">
        <f>FJ67+FJ68+FJ69+FJ70+FJ71+FJ72+FJ73+FJ74+FJ75+FJ76</f>
        <v>3691.468</v>
      </c>
      <c r="FL67" s="316">
        <f>(FH67+FH68+FH69+FH70+FH71+FH72+FH73+FH74+FH75+FH76)/(FE67+FE68+FE69+FE70+FE71+FE72+FE73+FE74+FE75+FE76)</f>
        <v>1.17989935700308</v>
      </c>
      <c r="FM67" s="329"/>
    </row>
    <row r="68" s="214" customFormat="1" ht="27" customHeight="1" spans="1:169">
      <c r="A68" s="263"/>
      <c r="B68" s="335"/>
      <c r="C68" s="274"/>
      <c r="D68" s="233" t="s">
        <v>9</v>
      </c>
      <c r="E68" s="279">
        <v>0.133</v>
      </c>
      <c r="F68" s="276"/>
      <c r="G68" s="276"/>
      <c r="H68" s="277"/>
      <c r="I68" s="277"/>
      <c r="J68" s="277" t="e">
        <f t="shared" si="78"/>
        <v>#DIV/0!</v>
      </c>
      <c r="K68" s="276"/>
      <c r="L68" s="276"/>
      <c r="M68" s="277"/>
      <c r="N68" s="277"/>
      <c r="O68" s="277" t="e">
        <f t="shared" si="79"/>
        <v>#DIV/0!</v>
      </c>
      <c r="P68" s="276"/>
      <c r="Q68" s="276"/>
      <c r="R68" s="277"/>
      <c r="S68" s="277"/>
      <c r="T68" s="277" t="e">
        <f t="shared" si="80"/>
        <v>#DIV/0!</v>
      </c>
      <c r="U68" s="276"/>
      <c r="V68" s="276"/>
      <c r="W68" s="277"/>
      <c r="X68" s="277"/>
      <c r="Y68" s="277" t="e">
        <f t="shared" si="81"/>
        <v>#DIV/0!</v>
      </c>
      <c r="Z68" s="276"/>
      <c r="AA68" s="276"/>
      <c r="AB68" s="277"/>
      <c r="AC68" s="277"/>
      <c r="AD68" s="277" t="e">
        <f t="shared" si="82"/>
        <v>#DIV/0!</v>
      </c>
      <c r="AE68" s="276"/>
      <c r="AF68" s="276"/>
      <c r="AG68" s="277"/>
      <c r="AH68" s="277"/>
      <c r="AI68" s="277" t="e">
        <f t="shared" si="83"/>
        <v>#DIV/0!</v>
      </c>
      <c r="AJ68" s="276"/>
      <c r="AK68" s="276"/>
      <c r="AL68" s="277"/>
      <c r="AM68" s="277"/>
      <c r="AN68" s="277" t="e">
        <f t="shared" si="84"/>
        <v>#DIV/0!</v>
      </c>
      <c r="AO68" s="276"/>
      <c r="AP68" s="276"/>
      <c r="AQ68" s="277"/>
      <c r="AR68" s="277"/>
      <c r="AS68" s="277" t="e">
        <f t="shared" si="115"/>
        <v>#DIV/0!</v>
      </c>
      <c r="AT68" s="276"/>
      <c r="AU68" s="276"/>
      <c r="AV68" s="277"/>
      <c r="AW68" s="277"/>
      <c r="AX68" s="277" t="e">
        <f t="shared" si="85"/>
        <v>#DIV/0!</v>
      </c>
      <c r="AY68" s="276"/>
      <c r="AZ68" s="276"/>
      <c r="BA68" s="277"/>
      <c r="BB68" s="277"/>
      <c r="BC68" s="277" t="e">
        <f t="shared" si="86"/>
        <v>#DIV/0!</v>
      </c>
      <c r="BD68" s="276"/>
      <c r="BE68" s="276"/>
      <c r="BF68" s="277"/>
      <c r="BG68" s="277"/>
      <c r="BH68" s="277" t="e">
        <f t="shared" si="87"/>
        <v>#DIV/0!</v>
      </c>
      <c r="BI68" s="276"/>
      <c r="BJ68" s="276"/>
      <c r="BK68" s="277"/>
      <c r="BL68" s="277"/>
      <c r="BM68" s="277" t="e">
        <f t="shared" si="88"/>
        <v>#DIV/0!</v>
      </c>
      <c r="BN68" s="276"/>
      <c r="BO68" s="276"/>
      <c r="BP68" s="277"/>
      <c r="BQ68" s="277"/>
      <c r="BR68" s="277" t="e">
        <f t="shared" si="89"/>
        <v>#DIV/0!</v>
      </c>
      <c r="BS68" s="276"/>
      <c r="BT68" s="276"/>
      <c r="BU68" s="277"/>
      <c r="BV68" s="277"/>
      <c r="BW68" s="277" t="e">
        <f t="shared" si="90"/>
        <v>#DIV/0!</v>
      </c>
      <c r="BX68" s="276"/>
      <c r="BY68" s="276"/>
      <c r="BZ68" s="277"/>
      <c r="CA68" s="277"/>
      <c r="CB68" s="277" t="e">
        <f t="shared" si="91"/>
        <v>#DIV/0!</v>
      </c>
      <c r="CC68" s="276"/>
      <c r="CD68" s="276"/>
      <c r="CE68" s="277"/>
      <c r="CF68" s="277"/>
      <c r="CG68" s="277" t="e">
        <f t="shared" si="92"/>
        <v>#DIV/0!</v>
      </c>
      <c r="CH68" s="276"/>
      <c r="CI68" s="276"/>
      <c r="CJ68" s="277"/>
      <c r="CK68" s="277"/>
      <c r="CL68" s="277" t="e">
        <f t="shared" si="93"/>
        <v>#DIV/0!</v>
      </c>
      <c r="CM68" s="276"/>
      <c r="CN68" s="276"/>
      <c r="CO68" s="277"/>
      <c r="CP68" s="277"/>
      <c r="CQ68" s="277" t="e">
        <f t="shared" si="94"/>
        <v>#DIV/0!</v>
      </c>
      <c r="CR68" s="276"/>
      <c r="CS68" s="276"/>
      <c r="CT68" s="277"/>
      <c r="CU68" s="277"/>
      <c r="CV68" s="277" t="e">
        <f t="shared" si="95"/>
        <v>#DIV/0!</v>
      </c>
      <c r="CW68" s="276"/>
      <c r="CX68" s="276"/>
      <c r="CY68" s="277"/>
      <c r="CZ68" s="277"/>
      <c r="DA68" s="277" t="e">
        <f t="shared" si="96"/>
        <v>#DIV/0!</v>
      </c>
      <c r="DB68" s="276"/>
      <c r="DC68" s="276"/>
      <c r="DD68" s="277"/>
      <c r="DE68" s="277"/>
      <c r="DF68" s="277" t="e">
        <f t="shared" si="97"/>
        <v>#DIV/0!</v>
      </c>
      <c r="DG68" s="276"/>
      <c r="DH68" s="276"/>
      <c r="DI68" s="277"/>
      <c r="DJ68" s="277"/>
      <c r="DK68" s="277" t="e">
        <f t="shared" si="98"/>
        <v>#DIV/0!</v>
      </c>
      <c r="DL68" s="276"/>
      <c r="DM68" s="276"/>
      <c r="DN68" s="277"/>
      <c r="DO68" s="277"/>
      <c r="DP68" s="277" t="e">
        <f t="shared" si="99"/>
        <v>#DIV/0!</v>
      </c>
      <c r="DQ68" s="276"/>
      <c r="DR68" s="276"/>
      <c r="DS68" s="277"/>
      <c r="DT68" s="277"/>
      <c r="DU68" s="277" t="e">
        <f t="shared" si="100"/>
        <v>#DIV/0!</v>
      </c>
      <c r="DV68" s="276"/>
      <c r="DW68" s="276"/>
      <c r="DX68" s="277"/>
      <c r="DY68" s="277"/>
      <c r="DZ68" s="277" t="e">
        <f t="shared" si="101"/>
        <v>#DIV/0!</v>
      </c>
      <c r="EA68" s="276"/>
      <c r="EB68" s="276"/>
      <c r="EC68" s="277"/>
      <c r="ED68" s="277"/>
      <c r="EE68" s="277" t="e">
        <f t="shared" si="102"/>
        <v>#DIV/0!</v>
      </c>
      <c r="EF68" s="276"/>
      <c r="EG68" s="276"/>
      <c r="EH68" s="277"/>
      <c r="EI68" s="277"/>
      <c r="EJ68" s="277" t="e">
        <f t="shared" si="103"/>
        <v>#DIV/0!</v>
      </c>
      <c r="EK68" s="276"/>
      <c r="EL68" s="276"/>
      <c r="EM68" s="277"/>
      <c r="EN68" s="277"/>
      <c r="EO68" s="277" t="e">
        <f t="shared" si="104"/>
        <v>#DIV/0!</v>
      </c>
      <c r="EP68" s="276"/>
      <c r="EQ68" s="276"/>
      <c r="ER68" s="277"/>
      <c r="ES68" s="277"/>
      <c r="ET68" s="277" t="e">
        <f t="shared" si="105"/>
        <v>#DIV/0!</v>
      </c>
      <c r="EU68" s="276"/>
      <c r="EV68" s="276"/>
      <c r="EW68" s="277"/>
      <c r="EX68" s="277"/>
      <c r="EY68" s="277" t="e">
        <f t="shared" si="106"/>
        <v>#DIV/0!</v>
      </c>
      <c r="EZ68" s="276"/>
      <c r="FA68" s="276"/>
      <c r="FB68" s="277"/>
      <c r="FC68" s="277"/>
      <c r="FD68" s="277" t="e">
        <f t="shared" si="107"/>
        <v>#DIV/0!</v>
      </c>
      <c r="FE68" s="277">
        <f t="shared" si="108"/>
        <v>0</v>
      </c>
      <c r="FF68" s="277"/>
      <c r="FG68" s="277">
        <f t="shared" si="109"/>
        <v>0</v>
      </c>
      <c r="FH68" s="313">
        <f t="shared" si="110"/>
        <v>0</v>
      </c>
      <c r="FI68" s="314" t="e">
        <f t="shared" si="111"/>
        <v>#DIV/0!</v>
      </c>
      <c r="FJ68" s="277">
        <f t="shared" si="112"/>
        <v>0</v>
      </c>
      <c r="FK68" s="317"/>
      <c r="FL68" s="318"/>
      <c r="FM68" s="332"/>
    </row>
    <row r="69" s="214" customFormat="1" ht="27" customHeight="1" spans="1:169">
      <c r="A69" s="263"/>
      <c r="B69" s="335"/>
      <c r="C69" s="274"/>
      <c r="D69" s="233" t="s">
        <v>10</v>
      </c>
      <c r="E69" s="279">
        <v>0.133</v>
      </c>
      <c r="F69" s="276"/>
      <c r="G69" s="277"/>
      <c r="H69" s="277"/>
      <c r="I69" s="277"/>
      <c r="J69" s="277" t="e">
        <f t="shared" si="78"/>
        <v>#DIV/0!</v>
      </c>
      <c r="K69" s="276"/>
      <c r="L69" s="277"/>
      <c r="M69" s="277"/>
      <c r="N69" s="277"/>
      <c r="O69" s="277" t="e">
        <f t="shared" si="79"/>
        <v>#DIV/0!</v>
      </c>
      <c r="P69" s="276"/>
      <c r="Q69" s="277"/>
      <c r="R69" s="277"/>
      <c r="S69" s="277"/>
      <c r="T69" s="277" t="e">
        <f t="shared" si="80"/>
        <v>#DIV/0!</v>
      </c>
      <c r="U69" s="276"/>
      <c r="V69" s="277"/>
      <c r="W69" s="277"/>
      <c r="X69" s="277"/>
      <c r="Y69" s="277" t="e">
        <f t="shared" si="81"/>
        <v>#DIV/0!</v>
      </c>
      <c r="Z69" s="276"/>
      <c r="AA69" s="277"/>
      <c r="AB69" s="277"/>
      <c r="AC69" s="277"/>
      <c r="AD69" s="277" t="e">
        <f t="shared" si="82"/>
        <v>#DIV/0!</v>
      </c>
      <c r="AE69" s="276"/>
      <c r="AF69" s="277"/>
      <c r="AG69" s="277"/>
      <c r="AH69" s="277"/>
      <c r="AI69" s="277" t="e">
        <f t="shared" si="83"/>
        <v>#DIV/0!</v>
      </c>
      <c r="AJ69" s="276"/>
      <c r="AK69" s="277"/>
      <c r="AL69" s="277"/>
      <c r="AM69" s="277"/>
      <c r="AN69" s="277" t="e">
        <f t="shared" si="84"/>
        <v>#DIV/0!</v>
      </c>
      <c r="AO69" s="276"/>
      <c r="AP69" s="277"/>
      <c r="AQ69" s="277"/>
      <c r="AR69" s="277"/>
      <c r="AS69" s="277" t="e">
        <f t="shared" ref="AS69:AS77" si="116">AQ69/(AQ69+AR69)*AQ69/(AQ69+AR69)</f>
        <v>#DIV/0!</v>
      </c>
      <c r="AT69" s="276"/>
      <c r="AU69" s="277"/>
      <c r="AV69" s="277"/>
      <c r="AW69" s="277"/>
      <c r="AX69" s="277" t="e">
        <f t="shared" si="85"/>
        <v>#DIV/0!</v>
      </c>
      <c r="AY69" s="276"/>
      <c r="AZ69" s="277"/>
      <c r="BA69" s="277"/>
      <c r="BB69" s="277"/>
      <c r="BC69" s="277" t="e">
        <f t="shared" si="86"/>
        <v>#DIV/0!</v>
      </c>
      <c r="BD69" s="276"/>
      <c r="BE69" s="277"/>
      <c r="BF69" s="277"/>
      <c r="BG69" s="277"/>
      <c r="BH69" s="277" t="e">
        <f t="shared" si="87"/>
        <v>#DIV/0!</v>
      </c>
      <c r="BI69" s="276"/>
      <c r="BJ69" s="277"/>
      <c r="BK69" s="277"/>
      <c r="BL69" s="277"/>
      <c r="BM69" s="277" t="e">
        <f t="shared" si="88"/>
        <v>#DIV/0!</v>
      </c>
      <c r="BN69" s="276"/>
      <c r="BO69" s="277"/>
      <c r="BP69" s="277"/>
      <c r="BQ69" s="277"/>
      <c r="BR69" s="277" t="e">
        <f t="shared" si="89"/>
        <v>#DIV/0!</v>
      </c>
      <c r="BS69" s="276"/>
      <c r="BT69" s="277"/>
      <c r="BU69" s="277"/>
      <c r="BV69" s="277"/>
      <c r="BW69" s="277" t="e">
        <f t="shared" si="90"/>
        <v>#DIV/0!</v>
      </c>
      <c r="BX69" s="276"/>
      <c r="BY69" s="277"/>
      <c r="BZ69" s="277"/>
      <c r="CA69" s="277"/>
      <c r="CB69" s="277" t="e">
        <f t="shared" si="91"/>
        <v>#DIV/0!</v>
      </c>
      <c r="CC69" s="276"/>
      <c r="CD69" s="277"/>
      <c r="CE69" s="277"/>
      <c r="CF69" s="277"/>
      <c r="CG69" s="277" t="e">
        <f t="shared" si="92"/>
        <v>#DIV/0!</v>
      </c>
      <c r="CH69" s="276"/>
      <c r="CI69" s="277"/>
      <c r="CJ69" s="277"/>
      <c r="CK69" s="277"/>
      <c r="CL69" s="277" t="e">
        <f t="shared" si="93"/>
        <v>#DIV/0!</v>
      </c>
      <c r="CM69" s="276"/>
      <c r="CN69" s="277"/>
      <c r="CO69" s="277"/>
      <c r="CP69" s="277"/>
      <c r="CQ69" s="277" t="e">
        <f t="shared" si="94"/>
        <v>#DIV/0!</v>
      </c>
      <c r="CR69" s="276"/>
      <c r="CS69" s="277"/>
      <c r="CT69" s="277"/>
      <c r="CU69" s="277"/>
      <c r="CV69" s="277" t="e">
        <f t="shared" si="95"/>
        <v>#DIV/0!</v>
      </c>
      <c r="CW69" s="276"/>
      <c r="CX69" s="277"/>
      <c r="CY69" s="277"/>
      <c r="CZ69" s="277"/>
      <c r="DA69" s="277" t="e">
        <f t="shared" si="96"/>
        <v>#DIV/0!</v>
      </c>
      <c r="DB69" s="276"/>
      <c r="DC69" s="277"/>
      <c r="DD69" s="277"/>
      <c r="DE69" s="277"/>
      <c r="DF69" s="277" t="e">
        <f t="shared" si="97"/>
        <v>#DIV/0!</v>
      </c>
      <c r="DG69" s="276"/>
      <c r="DH69" s="277"/>
      <c r="DI69" s="277"/>
      <c r="DJ69" s="277"/>
      <c r="DK69" s="277" t="e">
        <f t="shared" si="98"/>
        <v>#DIV/0!</v>
      </c>
      <c r="DL69" s="276"/>
      <c r="DM69" s="277"/>
      <c r="DN69" s="277"/>
      <c r="DO69" s="277"/>
      <c r="DP69" s="277" t="e">
        <f t="shared" si="99"/>
        <v>#DIV/0!</v>
      </c>
      <c r="DQ69" s="276"/>
      <c r="DR69" s="277"/>
      <c r="DS69" s="277"/>
      <c r="DT69" s="277"/>
      <c r="DU69" s="277" t="e">
        <f t="shared" si="100"/>
        <v>#DIV/0!</v>
      </c>
      <c r="DV69" s="276"/>
      <c r="DW69" s="277"/>
      <c r="DX69" s="277"/>
      <c r="DY69" s="277"/>
      <c r="DZ69" s="277" t="e">
        <f t="shared" si="101"/>
        <v>#DIV/0!</v>
      </c>
      <c r="EA69" s="276"/>
      <c r="EB69" s="277"/>
      <c r="EC69" s="277"/>
      <c r="ED69" s="277"/>
      <c r="EE69" s="277" t="e">
        <f t="shared" si="102"/>
        <v>#DIV/0!</v>
      </c>
      <c r="EF69" s="276"/>
      <c r="EG69" s="277"/>
      <c r="EH69" s="277"/>
      <c r="EI69" s="277"/>
      <c r="EJ69" s="277" t="e">
        <f t="shared" si="103"/>
        <v>#DIV/0!</v>
      </c>
      <c r="EK69" s="276"/>
      <c r="EL69" s="277"/>
      <c r="EM69" s="277"/>
      <c r="EN69" s="277"/>
      <c r="EO69" s="277" t="e">
        <f t="shared" si="104"/>
        <v>#DIV/0!</v>
      </c>
      <c r="EP69" s="276"/>
      <c r="EQ69" s="277"/>
      <c r="ER69" s="277"/>
      <c r="ES69" s="277"/>
      <c r="ET69" s="277" t="e">
        <f t="shared" si="105"/>
        <v>#DIV/0!</v>
      </c>
      <c r="EU69" s="276"/>
      <c r="EV69" s="277"/>
      <c r="EW69" s="277"/>
      <c r="EX69" s="277"/>
      <c r="EY69" s="277" t="e">
        <f t="shared" si="106"/>
        <v>#DIV/0!</v>
      </c>
      <c r="EZ69" s="276"/>
      <c r="FA69" s="277"/>
      <c r="FB69" s="277"/>
      <c r="FC69" s="277"/>
      <c r="FD69" s="277" t="e">
        <f t="shared" si="107"/>
        <v>#DIV/0!</v>
      </c>
      <c r="FE69" s="277">
        <v>0</v>
      </c>
      <c r="FF69" s="277"/>
      <c r="FG69" s="277">
        <f t="shared" si="109"/>
        <v>0</v>
      </c>
      <c r="FH69" s="313">
        <f t="shared" si="110"/>
        <v>0</v>
      </c>
      <c r="FI69" s="314" t="e">
        <f t="shared" si="111"/>
        <v>#DIV/0!</v>
      </c>
      <c r="FJ69" s="277">
        <f t="shared" si="112"/>
        <v>0</v>
      </c>
      <c r="FK69" s="317"/>
      <c r="FL69" s="318"/>
      <c r="FM69" s="332"/>
    </row>
    <row r="70" s="214" customFormat="1" ht="27" customHeight="1" spans="1:169">
      <c r="A70" s="263"/>
      <c r="B70" s="335"/>
      <c r="C70" s="274"/>
      <c r="D70" s="233" t="s">
        <v>11</v>
      </c>
      <c r="E70" s="279">
        <v>0.23</v>
      </c>
      <c r="F70" s="276"/>
      <c r="G70" s="277"/>
      <c r="H70" s="277"/>
      <c r="I70" s="277"/>
      <c r="J70" s="277" t="e">
        <f t="shared" si="78"/>
        <v>#DIV/0!</v>
      </c>
      <c r="K70" s="276"/>
      <c r="L70" s="277"/>
      <c r="M70" s="277"/>
      <c r="N70" s="277"/>
      <c r="O70" s="277" t="e">
        <f t="shared" si="79"/>
        <v>#DIV/0!</v>
      </c>
      <c r="P70" s="276"/>
      <c r="Q70" s="277"/>
      <c r="R70" s="277"/>
      <c r="S70" s="277"/>
      <c r="T70" s="277" t="e">
        <f t="shared" si="80"/>
        <v>#DIV/0!</v>
      </c>
      <c r="U70" s="276"/>
      <c r="V70" s="277"/>
      <c r="W70" s="277"/>
      <c r="X70" s="277"/>
      <c r="Y70" s="277" t="e">
        <f t="shared" si="81"/>
        <v>#DIV/0!</v>
      </c>
      <c r="Z70" s="276"/>
      <c r="AA70" s="277"/>
      <c r="AB70" s="277"/>
      <c r="AC70" s="277"/>
      <c r="AD70" s="277" t="e">
        <f t="shared" si="82"/>
        <v>#DIV/0!</v>
      </c>
      <c r="AE70" s="276"/>
      <c r="AF70" s="277"/>
      <c r="AG70" s="277"/>
      <c r="AH70" s="277"/>
      <c r="AI70" s="277" t="e">
        <f t="shared" si="83"/>
        <v>#DIV/0!</v>
      </c>
      <c r="AJ70" s="276"/>
      <c r="AK70" s="277"/>
      <c r="AL70" s="277"/>
      <c r="AM70" s="277"/>
      <c r="AN70" s="277" t="e">
        <f t="shared" si="84"/>
        <v>#DIV/0!</v>
      </c>
      <c r="AO70" s="276"/>
      <c r="AP70" s="277"/>
      <c r="AQ70" s="277"/>
      <c r="AR70" s="277"/>
      <c r="AS70" s="277" t="e">
        <f t="shared" si="116"/>
        <v>#DIV/0!</v>
      </c>
      <c r="AT70" s="276"/>
      <c r="AU70" s="277"/>
      <c r="AV70" s="277"/>
      <c r="AW70" s="277"/>
      <c r="AX70" s="277" t="e">
        <f t="shared" si="85"/>
        <v>#DIV/0!</v>
      </c>
      <c r="AY70" s="276"/>
      <c r="AZ70" s="277"/>
      <c r="BA70" s="277"/>
      <c r="BB70" s="277"/>
      <c r="BC70" s="277" t="e">
        <f t="shared" si="86"/>
        <v>#DIV/0!</v>
      </c>
      <c r="BD70" s="276"/>
      <c r="BE70" s="277"/>
      <c r="BF70" s="277"/>
      <c r="BG70" s="277"/>
      <c r="BH70" s="277" t="e">
        <f t="shared" si="87"/>
        <v>#DIV/0!</v>
      </c>
      <c r="BI70" s="276"/>
      <c r="BJ70" s="277"/>
      <c r="BK70" s="277"/>
      <c r="BL70" s="277"/>
      <c r="BM70" s="277" t="e">
        <f t="shared" si="88"/>
        <v>#DIV/0!</v>
      </c>
      <c r="BN70" s="276"/>
      <c r="BO70" s="277"/>
      <c r="BP70" s="277"/>
      <c r="BQ70" s="277"/>
      <c r="BR70" s="277" t="e">
        <f t="shared" si="89"/>
        <v>#DIV/0!</v>
      </c>
      <c r="BS70" s="276"/>
      <c r="BT70" s="277"/>
      <c r="BU70" s="277"/>
      <c r="BV70" s="277"/>
      <c r="BW70" s="277" t="e">
        <f t="shared" si="90"/>
        <v>#DIV/0!</v>
      </c>
      <c r="BX70" s="276"/>
      <c r="BY70" s="277"/>
      <c r="BZ70" s="277"/>
      <c r="CA70" s="277"/>
      <c r="CB70" s="277" t="e">
        <f t="shared" si="91"/>
        <v>#DIV/0!</v>
      </c>
      <c r="CC70" s="276"/>
      <c r="CD70" s="277"/>
      <c r="CE70" s="277"/>
      <c r="CF70" s="277"/>
      <c r="CG70" s="277" t="e">
        <f t="shared" si="92"/>
        <v>#DIV/0!</v>
      </c>
      <c r="CH70" s="276"/>
      <c r="CI70" s="277"/>
      <c r="CJ70" s="277"/>
      <c r="CK70" s="277"/>
      <c r="CL70" s="277" t="e">
        <f t="shared" si="93"/>
        <v>#DIV/0!</v>
      </c>
      <c r="CM70" s="276"/>
      <c r="CN70" s="277"/>
      <c r="CO70" s="277"/>
      <c r="CP70" s="277"/>
      <c r="CQ70" s="277" t="e">
        <f t="shared" si="94"/>
        <v>#DIV/0!</v>
      </c>
      <c r="CR70" s="276"/>
      <c r="CS70" s="277"/>
      <c r="CT70" s="277"/>
      <c r="CU70" s="277"/>
      <c r="CV70" s="277" t="e">
        <f t="shared" si="95"/>
        <v>#DIV/0!</v>
      </c>
      <c r="CW70" s="276"/>
      <c r="CX70" s="277"/>
      <c r="CY70" s="277"/>
      <c r="CZ70" s="277"/>
      <c r="DA70" s="277" t="e">
        <f t="shared" si="96"/>
        <v>#DIV/0!</v>
      </c>
      <c r="DB70" s="276"/>
      <c r="DC70" s="277"/>
      <c r="DD70" s="277"/>
      <c r="DE70" s="277"/>
      <c r="DF70" s="277" t="e">
        <f t="shared" si="97"/>
        <v>#DIV/0!</v>
      </c>
      <c r="DG70" s="276"/>
      <c r="DH70" s="277"/>
      <c r="DI70" s="277"/>
      <c r="DJ70" s="277"/>
      <c r="DK70" s="277" t="e">
        <f t="shared" si="98"/>
        <v>#DIV/0!</v>
      </c>
      <c r="DL70" s="276"/>
      <c r="DM70" s="277"/>
      <c r="DN70" s="277"/>
      <c r="DO70" s="277"/>
      <c r="DP70" s="277" t="e">
        <f t="shared" si="99"/>
        <v>#DIV/0!</v>
      </c>
      <c r="DQ70" s="276"/>
      <c r="DR70" s="277"/>
      <c r="DS70" s="277"/>
      <c r="DT70" s="277"/>
      <c r="DU70" s="277" t="e">
        <f t="shared" si="100"/>
        <v>#DIV/0!</v>
      </c>
      <c r="DV70" s="276"/>
      <c r="DW70" s="277"/>
      <c r="DX70" s="277"/>
      <c r="DY70" s="277"/>
      <c r="DZ70" s="277" t="e">
        <f t="shared" si="101"/>
        <v>#DIV/0!</v>
      </c>
      <c r="EA70" s="276"/>
      <c r="EB70" s="277"/>
      <c r="EC70" s="277"/>
      <c r="ED70" s="277"/>
      <c r="EE70" s="277" t="e">
        <f t="shared" si="102"/>
        <v>#DIV/0!</v>
      </c>
      <c r="EF70" s="276"/>
      <c r="EG70" s="277"/>
      <c r="EH70" s="277"/>
      <c r="EI70" s="277"/>
      <c r="EJ70" s="277" t="e">
        <f t="shared" si="103"/>
        <v>#DIV/0!</v>
      </c>
      <c r="EK70" s="276"/>
      <c r="EL70" s="277"/>
      <c r="EM70" s="277"/>
      <c r="EN70" s="277"/>
      <c r="EO70" s="277" t="e">
        <f t="shared" si="104"/>
        <v>#DIV/0!</v>
      </c>
      <c r="EP70" s="276"/>
      <c r="EQ70" s="277"/>
      <c r="ER70" s="277"/>
      <c r="ES70" s="277"/>
      <c r="ET70" s="277" t="e">
        <f t="shared" si="105"/>
        <v>#DIV/0!</v>
      </c>
      <c r="EU70" s="276"/>
      <c r="EV70" s="277"/>
      <c r="EW70" s="277"/>
      <c r="EX70" s="277"/>
      <c r="EY70" s="277" t="e">
        <f t="shared" si="106"/>
        <v>#DIV/0!</v>
      </c>
      <c r="EZ70" s="276"/>
      <c r="FA70" s="277"/>
      <c r="FB70" s="277"/>
      <c r="FC70" s="277"/>
      <c r="FD70" s="277" t="e">
        <f t="shared" si="107"/>
        <v>#DIV/0!</v>
      </c>
      <c r="FE70" s="277">
        <f t="shared" ref="FE70:FE97" si="117">F70+K70+P70+U70+Z70+AE70+AJ70+AO70+AT70+AY70+BD70+BI70+BN70+BS70+BX70+CC70+CH70+CM70+CR70+CW70+DB70+DG70+DL70+DQ70+DV70+EA70+EF70+EK70+EP70+EU70+EZ70</f>
        <v>0</v>
      </c>
      <c r="FF70" s="277"/>
      <c r="FG70" s="277">
        <f t="shared" si="109"/>
        <v>0</v>
      </c>
      <c r="FH70" s="313">
        <f t="shared" si="110"/>
        <v>0</v>
      </c>
      <c r="FI70" s="314" t="e">
        <f t="shared" si="111"/>
        <v>#DIV/0!</v>
      </c>
      <c r="FJ70" s="277">
        <f t="shared" si="112"/>
        <v>0</v>
      </c>
      <c r="FK70" s="317"/>
      <c r="FL70" s="318"/>
      <c r="FM70" s="332"/>
    </row>
    <row r="71" s="214" customFormat="1" ht="27" customHeight="1" spans="1:171">
      <c r="A71" s="263"/>
      <c r="B71" s="335"/>
      <c r="C71" s="274"/>
      <c r="D71" s="233" t="s">
        <v>12</v>
      </c>
      <c r="E71" s="279">
        <v>0.25</v>
      </c>
      <c r="F71" s="276"/>
      <c r="G71" s="277"/>
      <c r="H71" s="277"/>
      <c r="I71" s="277"/>
      <c r="J71" s="277" t="e">
        <f t="shared" si="78"/>
        <v>#DIV/0!</v>
      </c>
      <c r="K71" s="276"/>
      <c r="L71" s="277"/>
      <c r="M71" s="277"/>
      <c r="N71" s="277"/>
      <c r="O71" s="277" t="e">
        <f t="shared" si="79"/>
        <v>#DIV/0!</v>
      </c>
      <c r="P71" s="276"/>
      <c r="Q71" s="277"/>
      <c r="R71" s="277"/>
      <c r="S71" s="277"/>
      <c r="T71" s="277" t="e">
        <f t="shared" si="80"/>
        <v>#DIV/0!</v>
      </c>
      <c r="U71" s="276"/>
      <c r="V71" s="277"/>
      <c r="W71" s="277"/>
      <c r="X71" s="277"/>
      <c r="Y71" s="277" t="e">
        <f t="shared" si="81"/>
        <v>#DIV/0!</v>
      </c>
      <c r="Z71" s="276"/>
      <c r="AA71" s="277"/>
      <c r="AB71" s="277"/>
      <c r="AC71" s="277"/>
      <c r="AD71" s="277" t="e">
        <f t="shared" si="82"/>
        <v>#DIV/0!</v>
      </c>
      <c r="AE71" s="276"/>
      <c r="AF71" s="277"/>
      <c r="AG71" s="277"/>
      <c r="AH71" s="277"/>
      <c r="AI71" s="277" t="e">
        <f t="shared" si="83"/>
        <v>#DIV/0!</v>
      </c>
      <c r="AJ71" s="276"/>
      <c r="AK71" s="277"/>
      <c r="AL71" s="277"/>
      <c r="AM71" s="277"/>
      <c r="AN71" s="277" t="e">
        <f t="shared" si="84"/>
        <v>#DIV/0!</v>
      </c>
      <c r="AO71" s="276"/>
      <c r="AP71" s="277"/>
      <c r="AQ71" s="277"/>
      <c r="AR71" s="277"/>
      <c r="AS71" s="277" t="e">
        <f t="shared" si="116"/>
        <v>#DIV/0!</v>
      </c>
      <c r="AT71" s="276"/>
      <c r="AU71" s="277"/>
      <c r="AV71" s="277"/>
      <c r="AW71" s="277"/>
      <c r="AX71" s="277" t="e">
        <f t="shared" si="85"/>
        <v>#DIV/0!</v>
      </c>
      <c r="AY71" s="276"/>
      <c r="AZ71" s="277"/>
      <c r="BA71" s="277"/>
      <c r="BB71" s="277"/>
      <c r="BC71" s="277" t="e">
        <f t="shared" si="86"/>
        <v>#DIV/0!</v>
      </c>
      <c r="BD71" s="276"/>
      <c r="BE71" s="277"/>
      <c r="BF71" s="277"/>
      <c r="BG71" s="277"/>
      <c r="BH71" s="277" t="e">
        <f t="shared" si="87"/>
        <v>#DIV/0!</v>
      </c>
      <c r="BI71" s="276"/>
      <c r="BJ71" s="277"/>
      <c r="BK71" s="277"/>
      <c r="BL71" s="277"/>
      <c r="BM71" s="277" t="e">
        <f t="shared" si="88"/>
        <v>#DIV/0!</v>
      </c>
      <c r="BN71" s="276"/>
      <c r="BO71" s="277"/>
      <c r="BP71" s="277"/>
      <c r="BQ71" s="277"/>
      <c r="BR71" s="277" t="e">
        <f t="shared" si="89"/>
        <v>#DIV/0!</v>
      </c>
      <c r="BS71" s="276"/>
      <c r="BT71" s="277"/>
      <c r="BU71" s="277"/>
      <c r="BV71" s="277"/>
      <c r="BW71" s="277" t="e">
        <f t="shared" si="90"/>
        <v>#DIV/0!</v>
      </c>
      <c r="BX71" s="276"/>
      <c r="BY71" s="277"/>
      <c r="BZ71" s="277"/>
      <c r="CA71" s="277"/>
      <c r="CB71" s="277" t="e">
        <f t="shared" si="91"/>
        <v>#DIV/0!</v>
      </c>
      <c r="CC71" s="276"/>
      <c r="CD71" s="277"/>
      <c r="CE71" s="277"/>
      <c r="CF71" s="277"/>
      <c r="CG71" s="277" t="e">
        <f t="shared" si="92"/>
        <v>#DIV/0!</v>
      </c>
      <c r="CH71" s="276"/>
      <c r="CI71" s="277"/>
      <c r="CJ71" s="277"/>
      <c r="CK71" s="277"/>
      <c r="CL71" s="277" t="e">
        <f t="shared" si="93"/>
        <v>#DIV/0!</v>
      </c>
      <c r="CM71" s="276"/>
      <c r="CN71" s="277"/>
      <c r="CO71" s="277"/>
      <c r="CP71" s="277"/>
      <c r="CQ71" s="277" t="e">
        <f t="shared" si="94"/>
        <v>#DIV/0!</v>
      </c>
      <c r="CR71" s="276"/>
      <c r="CS71" s="277"/>
      <c r="CT71" s="277"/>
      <c r="CU71" s="277"/>
      <c r="CV71" s="277" t="e">
        <f t="shared" si="95"/>
        <v>#DIV/0!</v>
      </c>
      <c r="CW71" s="276"/>
      <c r="CX71" s="277"/>
      <c r="CY71" s="277">
        <v>15</v>
      </c>
      <c r="CZ71" s="277"/>
      <c r="DA71" s="277">
        <f t="shared" si="96"/>
        <v>1</v>
      </c>
      <c r="DB71" s="276"/>
      <c r="DC71" s="277"/>
      <c r="DD71" s="277"/>
      <c r="DE71" s="277"/>
      <c r="DF71" s="277" t="e">
        <f t="shared" si="97"/>
        <v>#DIV/0!</v>
      </c>
      <c r="DG71" s="276"/>
      <c r="DH71" s="277"/>
      <c r="DI71" s="277"/>
      <c r="DJ71" s="277"/>
      <c r="DK71" s="277" t="e">
        <f t="shared" si="98"/>
        <v>#DIV/0!</v>
      </c>
      <c r="DL71" s="276"/>
      <c r="DM71" s="277"/>
      <c r="DN71" s="277"/>
      <c r="DO71" s="277"/>
      <c r="DP71" s="277" t="e">
        <f t="shared" si="99"/>
        <v>#DIV/0!</v>
      </c>
      <c r="DQ71" s="276"/>
      <c r="DR71" s="277"/>
      <c r="DS71" s="277"/>
      <c r="DT71" s="277"/>
      <c r="DU71" s="277" t="e">
        <f t="shared" si="100"/>
        <v>#DIV/0!</v>
      </c>
      <c r="DV71" s="276"/>
      <c r="DW71" s="277"/>
      <c r="DX71" s="277"/>
      <c r="DY71" s="277"/>
      <c r="DZ71" s="277" t="e">
        <f t="shared" si="101"/>
        <v>#DIV/0!</v>
      </c>
      <c r="EA71" s="276"/>
      <c r="EB71" s="277"/>
      <c r="EC71" s="277"/>
      <c r="ED71" s="277"/>
      <c r="EE71" s="277" t="e">
        <f t="shared" si="102"/>
        <v>#DIV/0!</v>
      </c>
      <c r="EF71" s="276"/>
      <c r="EG71" s="277"/>
      <c r="EH71" s="277"/>
      <c r="EI71" s="277"/>
      <c r="EJ71" s="277" t="e">
        <f t="shared" si="103"/>
        <v>#DIV/0!</v>
      </c>
      <c r="EK71" s="276"/>
      <c r="EL71" s="277"/>
      <c r="EM71" s="277"/>
      <c r="EN71" s="277"/>
      <c r="EO71" s="277" t="e">
        <f t="shared" si="104"/>
        <v>#DIV/0!</v>
      </c>
      <c r="EP71" s="276"/>
      <c r="EQ71" s="277"/>
      <c r="ER71" s="277"/>
      <c r="ES71" s="277"/>
      <c r="ET71" s="277" t="e">
        <f t="shared" si="105"/>
        <v>#DIV/0!</v>
      </c>
      <c r="EU71" s="276"/>
      <c r="EV71" s="277"/>
      <c r="EW71" s="277"/>
      <c r="EX71" s="277"/>
      <c r="EY71" s="277" t="e">
        <f t="shared" si="106"/>
        <v>#DIV/0!</v>
      </c>
      <c r="EZ71" s="276"/>
      <c r="FA71" s="277"/>
      <c r="FB71" s="277"/>
      <c r="FC71" s="277"/>
      <c r="FD71" s="277" t="e">
        <f t="shared" si="107"/>
        <v>#DIV/0!</v>
      </c>
      <c r="FE71" s="277">
        <f t="shared" si="117"/>
        <v>0</v>
      </c>
      <c r="FF71" s="277"/>
      <c r="FG71" s="277">
        <f t="shared" si="109"/>
        <v>0</v>
      </c>
      <c r="FH71" s="313">
        <f t="shared" si="110"/>
        <v>15</v>
      </c>
      <c r="FI71" s="314" t="e">
        <f t="shared" si="111"/>
        <v>#DIV/0!</v>
      </c>
      <c r="FJ71" s="277">
        <f t="shared" si="112"/>
        <v>3.75</v>
      </c>
      <c r="FK71" s="317"/>
      <c r="FL71" s="318"/>
      <c r="FM71" s="332"/>
      <c r="FO71" s="327"/>
    </row>
    <row r="72" s="214" customFormat="1" ht="27" customHeight="1" spans="1:169">
      <c r="A72" s="263"/>
      <c r="B72" s="335"/>
      <c r="C72" s="274"/>
      <c r="D72" s="233" t="s">
        <v>52</v>
      </c>
      <c r="E72" s="279">
        <v>0.45</v>
      </c>
      <c r="F72" s="276"/>
      <c r="G72" s="277"/>
      <c r="H72" s="277">
        <v>143</v>
      </c>
      <c r="I72" s="277"/>
      <c r="J72" s="277">
        <f t="shared" si="78"/>
        <v>1</v>
      </c>
      <c r="K72" s="276"/>
      <c r="L72" s="277"/>
      <c r="M72" s="277">
        <v>108</v>
      </c>
      <c r="N72" s="277"/>
      <c r="O72" s="277">
        <f t="shared" si="79"/>
        <v>1</v>
      </c>
      <c r="P72" s="276"/>
      <c r="Q72" s="277"/>
      <c r="R72" s="277">
        <v>100</v>
      </c>
      <c r="S72" s="277"/>
      <c r="T72" s="277">
        <f t="shared" si="80"/>
        <v>1</v>
      </c>
      <c r="U72" s="276"/>
      <c r="V72" s="277"/>
      <c r="W72" s="277"/>
      <c r="X72" s="277"/>
      <c r="Y72" s="277" t="e">
        <f t="shared" si="81"/>
        <v>#DIV/0!</v>
      </c>
      <c r="Z72" s="276"/>
      <c r="AA72" s="277"/>
      <c r="AB72" s="277">
        <v>20</v>
      </c>
      <c r="AC72" s="277"/>
      <c r="AD72" s="277">
        <f t="shared" si="82"/>
        <v>1</v>
      </c>
      <c r="AE72" s="276"/>
      <c r="AF72" s="277"/>
      <c r="AG72" s="277"/>
      <c r="AH72" s="277"/>
      <c r="AI72" s="277" t="e">
        <f t="shared" si="83"/>
        <v>#DIV/0!</v>
      </c>
      <c r="AJ72" s="276"/>
      <c r="AK72" s="277"/>
      <c r="AL72" s="277"/>
      <c r="AM72" s="277"/>
      <c r="AN72" s="277" t="e">
        <f t="shared" si="84"/>
        <v>#DIV/0!</v>
      </c>
      <c r="AO72" s="276"/>
      <c r="AP72" s="277"/>
      <c r="AQ72" s="277">
        <v>100</v>
      </c>
      <c r="AR72" s="277"/>
      <c r="AS72" s="277">
        <f t="shared" si="116"/>
        <v>1</v>
      </c>
      <c r="AT72" s="276">
        <v>300</v>
      </c>
      <c r="AU72" s="277">
        <v>2</v>
      </c>
      <c r="AV72" s="277">
        <v>320</v>
      </c>
      <c r="AW72" s="277">
        <v>8</v>
      </c>
      <c r="AX72" s="277">
        <f t="shared" si="85"/>
        <v>0.951814396192742</v>
      </c>
      <c r="AY72" s="276">
        <v>320</v>
      </c>
      <c r="AZ72" s="277">
        <v>4</v>
      </c>
      <c r="BA72" s="277">
        <v>306</v>
      </c>
      <c r="BB72" s="277">
        <v>10</v>
      </c>
      <c r="BC72" s="277">
        <f t="shared" si="86"/>
        <v>0.937710302836084</v>
      </c>
      <c r="BD72" s="276">
        <v>350</v>
      </c>
      <c r="BE72" s="277">
        <v>1</v>
      </c>
      <c r="BF72" s="277">
        <v>341</v>
      </c>
      <c r="BG72" s="277">
        <v>8</v>
      </c>
      <c r="BH72" s="277">
        <f t="shared" si="87"/>
        <v>0.954680175039614</v>
      </c>
      <c r="BI72" s="276">
        <v>272</v>
      </c>
      <c r="BJ72" s="277"/>
      <c r="BK72" s="277">
        <v>279</v>
      </c>
      <c r="BL72" s="277"/>
      <c r="BM72" s="277">
        <f t="shared" si="88"/>
        <v>1</v>
      </c>
      <c r="BN72" s="276">
        <v>343</v>
      </c>
      <c r="BO72" s="277">
        <v>2</v>
      </c>
      <c r="BP72" s="277">
        <v>323</v>
      </c>
      <c r="BQ72" s="277">
        <v>18</v>
      </c>
      <c r="BR72" s="277">
        <f t="shared" si="89"/>
        <v>0.897214506239196</v>
      </c>
      <c r="BS72" s="276">
        <v>404</v>
      </c>
      <c r="BT72" s="277">
        <v>1</v>
      </c>
      <c r="BU72" s="277">
        <v>388</v>
      </c>
      <c r="BV72" s="277">
        <v>15</v>
      </c>
      <c r="BW72" s="277">
        <f t="shared" si="90"/>
        <v>0.926943703858776</v>
      </c>
      <c r="BX72" s="276">
        <v>181</v>
      </c>
      <c r="BY72" s="277">
        <v>1</v>
      </c>
      <c r="BZ72" s="277">
        <v>259</v>
      </c>
      <c r="CA72" s="277"/>
      <c r="CB72" s="277">
        <f t="shared" si="91"/>
        <v>1</v>
      </c>
      <c r="CC72" s="276">
        <v>271</v>
      </c>
      <c r="CD72" s="277">
        <v>2</v>
      </c>
      <c r="CE72" s="277">
        <v>288</v>
      </c>
      <c r="CF72" s="277"/>
      <c r="CG72" s="277">
        <f t="shared" si="92"/>
        <v>1</v>
      </c>
      <c r="CH72" s="276">
        <v>319</v>
      </c>
      <c r="CI72" s="277">
        <v>3</v>
      </c>
      <c r="CJ72" s="277">
        <v>306</v>
      </c>
      <c r="CK72" s="277">
        <v>10</v>
      </c>
      <c r="CL72" s="277">
        <f t="shared" si="93"/>
        <v>0.937710302836084</v>
      </c>
      <c r="CM72" s="276">
        <v>397</v>
      </c>
      <c r="CN72" s="277">
        <v>1</v>
      </c>
      <c r="CO72" s="277">
        <v>381</v>
      </c>
      <c r="CP72" s="277">
        <v>15</v>
      </c>
      <c r="CQ72" s="277">
        <f t="shared" si="94"/>
        <v>0.92567722681359</v>
      </c>
      <c r="CR72" s="276">
        <v>199</v>
      </c>
      <c r="CS72" s="277">
        <v>2</v>
      </c>
      <c r="CT72" s="277">
        <v>197</v>
      </c>
      <c r="CU72" s="277"/>
      <c r="CV72" s="277">
        <f t="shared" si="95"/>
        <v>1</v>
      </c>
      <c r="CW72" s="276"/>
      <c r="CX72" s="277"/>
      <c r="CY72" s="277">
        <v>4</v>
      </c>
      <c r="CZ72" s="277"/>
      <c r="DA72" s="277">
        <f t="shared" si="96"/>
        <v>1</v>
      </c>
      <c r="DB72" s="276">
        <v>348</v>
      </c>
      <c r="DC72" s="277">
        <v>5</v>
      </c>
      <c r="DD72" s="277">
        <v>333</v>
      </c>
      <c r="DE72" s="277">
        <v>10</v>
      </c>
      <c r="DF72" s="277">
        <f t="shared" si="97"/>
        <v>0.942540948074357</v>
      </c>
      <c r="DG72" s="276">
        <v>311</v>
      </c>
      <c r="DH72" s="277">
        <v>2</v>
      </c>
      <c r="DI72" s="277">
        <v>299</v>
      </c>
      <c r="DJ72" s="277">
        <v>10</v>
      </c>
      <c r="DK72" s="277">
        <f t="shared" si="98"/>
        <v>0.936322409694075</v>
      </c>
      <c r="DL72" s="276">
        <v>390</v>
      </c>
      <c r="DM72" s="277">
        <v>2</v>
      </c>
      <c r="DN72" s="277">
        <v>370</v>
      </c>
      <c r="DO72" s="277">
        <v>18</v>
      </c>
      <c r="DP72" s="277">
        <f t="shared" si="99"/>
        <v>0.909368689552556</v>
      </c>
      <c r="DQ72" s="276">
        <v>302</v>
      </c>
      <c r="DR72" s="277">
        <v>3</v>
      </c>
      <c r="DS72" s="277">
        <v>289</v>
      </c>
      <c r="DT72" s="277">
        <v>10</v>
      </c>
      <c r="DU72" s="277"/>
      <c r="DV72" s="276">
        <v>401</v>
      </c>
      <c r="DW72" s="277"/>
      <c r="DX72" s="277">
        <v>381</v>
      </c>
      <c r="DY72" s="277">
        <v>20</v>
      </c>
      <c r="DZ72" s="277">
        <f t="shared" si="101"/>
        <v>0.90273692327784</v>
      </c>
      <c r="EA72" s="276">
        <v>315</v>
      </c>
      <c r="EB72" s="277">
        <v>1</v>
      </c>
      <c r="EC72" s="277">
        <v>304</v>
      </c>
      <c r="ED72" s="277">
        <v>10</v>
      </c>
      <c r="EE72" s="277">
        <f t="shared" si="102"/>
        <v>0.937319972412674</v>
      </c>
      <c r="EF72" s="276">
        <v>341</v>
      </c>
      <c r="EG72" s="277"/>
      <c r="EH72" s="277">
        <v>326</v>
      </c>
      <c r="EI72" s="277">
        <v>15</v>
      </c>
      <c r="EJ72" s="277">
        <f t="shared" si="103"/>
        <v>0.91395842829009</v>
      </c>
      <c r="EK72" s="276">
        <v>334</v>
      </c>
      <c r="EL72" s="277">
        <v>3</v>
      </c>
      <c r="EM72" s="277">
        <v>316</v>
      </c>
      <c r="EN72" s="277">
        <v>15</v>
      </c>
      <c r="EO72" s="277">
        <f t="shared" si="104"/>
        <v>0.911419209390203</v>
      </c>
      <c r="EP72" s="276">
        <v>341</v>
      </c>
      <c r="EQ72" s="277"/>
      <c r="ER72" s="277">
        <v>326</v>
      </c>
      <c r="ES72" s="277">
        <v>15</v>
      </c>
      <c r="ET72" s="277">
        <f t="shared" si="105"/>
        <v>0.91395842829009</v>
      </c>
      <c r="EU72" s="276"/>
      <c r="EV72" s="277"/>
      <c r="EW72" s="277">
        <v>61</v>
      </c>
      <c r="EX72" s="277"/>
      <c r="EY72" s="277">
        <f t="shared" si="106"/>
        <v>1</v>
      </c>
      <c r="EZ72" s="276"/>
      <c r="FA72" s="277"/>
      <c r="FB72" s="277"/>
      <c r="FC72" s="277"/>
      <c r="FD72" s="277" t="e">
        <f t="shared" si="107"/>
        <v>#DIV/0!</v>
      </c>
      <c r="FE72" s="277">
        <f t="shared" si="117"/>
        <v>6439</v>
      </c>
      <c r="FF72" s="277"/>
      <c r="FG72" s="277">
        <f t="shared" si="109"/>
        <v>35</v>
      </c>
      <c r="FH72" s="313">
        <f t="shared" si="110"/>
        <v>6868</v>
      </c>
      <c r="FI72" s="314">
        <f t="shared" si="111"/>
        <v>1.13768942898991</v>
      </c>
      <c r="FJ72" s="277">
        <f t="shared" si="112"/>
        <v>3090.6</v>
      </c>
      <c r="FK72" s="317"/>
      <c r="FL72" s="318"/>
      <c r="FM72" s="332"/>
    </row>
    <row r="73" s="214" customFormat="1" ht="27" customHeight="1" spans="1:169">
      <c r="A73" s="263"/>
      <c r="B73" s="335"/>
      <c r="C73" s="274"/>
      <c r="D73" s="233" t="s">
        <v>14</v>
      </c>
      <c r="E73" s="279">
        <v>0.373</v>
      </c>
      <c r="F73" s="276"/>
      <c r="G73" s="277"/>
      <c r="H73" s="277"/>
      <c r="I73" s="277"/>
      <c r="J73" s="277" t="e">
        <f t="shared" si="78"/>
        <v>#DIV/0!</v>
      </c>
      <c r="K73" s="276"/>
      <c r="L73" s="277"/>
      <c r="M73" s="277"/>
      <c r="N73" s="277"/>
      <c r="O73" s="277" t="e">
        <f t="shared" si="79"/>
        <v>#DIV/0!</v>
      </c>
      <c r="P73" s="276"/>
      <c r="Q73" s="277"/>
      <c r="R73" s="277"/>
      <c r="S73" s="277"/>
      <c r="T73" s="277" t="e">
        <f t="shared" si="80"/>
        <v>#DIV/0!</v>
      </c>
      <c r="U73" s="276"/>
      <c r="V73" s="277"/>
      <c r="W73" s="277"/>
      <c r="X73" s="277"/>
      <c r="Y73" s="277" t="e">
        <f t="shared" si="81"/>
        <v>#DIV/0!</v>
      </c>
      <c r="Z73" s="276"/>
      <c r="AA73" s="277"/>
      <c r="AB73" s="277"/>
      <c r="AC73" s="277"/>
      <c r="AD73" s="277" t="e">
        <f t="shared" si="82"/>
        <v>#DIV/0!</v>
      </c>
      <c r="AE73" s="276"/>
      <c r="AF73" s="277"/>
      <c r="AG73" s="277"/>
      <c r="AH73" s="277"/>
      <c r="AI73" s="277" t="e">
        <f t="shared" si="83"/>
        <v>#DIV/0!</v>
      </c>
      <c r="AJ73" s="276"/>
      <c r="AK73" s="277"/>
      <c r="AL73" s="277"/>
      <c r="AM73" s="277"/>
      <c r="AN73" s="277" t="e">
        <f t="shared" si="84"/>
        <v>#DIV/0!</v>
      </c>
      <c r="AO73" s="276"/>
      <c r="AP73" s="277"/>
      <c r="AQ73" s="277"/>
      <c r="AR73" s="277"/>
      <c r="AS73" s="277" t="e">
        <f t="shared" si="116"/>
        <v>#DIV/0!</v>
      </c>
      <c r="AT73" s="276"/>
      <c r="AU73" s="277"/>
      <c r="AV73" s="277"/>
      <c r="AW73" s="277"/>
      <c r="AX73" s="277" t="e">
        <f t="shared" si="85"/>
        <v>#DIV/0!</v>
      </c>
      <c r="AY73" s="276"/>
      <c r="AZ73" s="277"/>
      <c r="BA73" s="277"/>
      <c r="BB73" s="277"/>
      <c r="BC73" s="277" t="e">
        <f t="shared" si="86"/>
        <v>#DIV/0!</v>
      </c>
      <c r="BD73" s="276"/>
      <c r="BE73" s="277"/>
      <c r="BF73" s="277"/>
      <c r="BG73" s="277"/>
      <c r="BH73" s="277" t="e">
        <f t="shared" si="87"/>
        <v>#DIV/0!</v>
      </c>
      <c r="BI73" s="276"/>
      <c r="BJ73" s="277"/>
      <c r="BK73" s="277"/>
      <c r="BL73" s="277"/>
      <c r="BM73" s="277" t="e">
        <f t="shared" si="88"/>
        <v>#DIV/0!</v>
      </c>
      <c r="BN73" s="276"/>
      <c r="BO73" s="277"/>
      <c r="BP73" s="277"/>
      <c r="BQ73" s="277"/>
      <c r="BR73" s="277" t="e">
        <f t="shared" si="89"/>
        <v>#DIV/0!</v>
      </c>
      <c r="BS73" s="276"/>
      <c r="BT73" s="277"/>
      <c r="BU73" s="277"/>
      <c r="BV73" s="277"/>
      <c r="BW73" s="277" t="e">
        <f t="shared" si="90"/>
        <v>#DIV/0!</v>
      </c>
      <c r="BX73" s="276"/>
      <c r="BY73" s="277"/>
      <c r="BZ73" s="277"/>
      <c r="CA73" s="277"/>
      <c r="CB73" s="277" t="e">
        <f t="shared" si="91"/>
        <v>#DIV/0!</v>
      </c>
      <c r="CC73" s="276"/>
      <c r="CD73" s="277"/>
      <c r="CE73" s="277"/>
      <c r="CF73" s="277"/>
      <c r="CG73" s="277" t="e">
        <f t="shared" si="92"/>
        <v>#DIV/0!</v>
      </c>
      <c r="CH73" s="276"/>
      <c r="CI73" s="277"/>
      <c r="CJ73" s="277"/>
      <c r="CK73" s="277"/>
      <c r="CL73" s="277" t="e">
        <f t="shared" si="93"/>
        <v>#DIV/0!</v>
      </c>
      <c r="CM73" s="276"/>
      <c r="CN73" s="277"/>
      <c r="CO73" s="277"/>
      <c r="CP73" s="277"/>
      <c r="CQ73" s="277" t="e">
        <f t="shared" si="94"/>
        <v>#DIV/0!</v>
      </c>
      <c r="CR73" s="276"/>
      <c r="CS73" s="277"/>
      <c r="CT73" s="277"/>
      <c r="CU73" s="277"/>
      <c r="CV73" s="277" t="e">
        <f t="shared" si="95"/>
        <v>#DIV/0!</v>
      </c>
      <c r="CW73" s="276"/>
      <c r="CX73" s="277"/>
      <c r="CY73" s="277"/>
      <c r="CZ73" s="277"/>
      <c r="DA73" s="277" t="e">
        <f t="shared" si="96"/>
        <v>#DIV/0!</v>
      </c>
      <c r="DB73" s="276"/>
      <c r="DC73" s="277"/>
      <c r="DD73" s="277"/>
      <c r="DE73" s="277"/>
      <c r="DF73" s="277" t="e">
        <f t="shared" si="97"/>
        <v>#DIV/0!</v>
      </c>
      <c r="DG73" s="276"/>
      <c r="DH73" s="277"/>
      <c r="DI73" s="277"/>
      <c r="DJ73" s="277"/>
      <c r="DK73" s="277" t="e">
        <f t="shared" si="98"/>
        <v>#DIV/0!</v>
      </c>
      <c r="DL73" s="276"/>
      <c r="DM73" s="277"/>
      <c r="DN73" s="277"/>
      <c r="DO73" s="277"/>
      <c r="DP73" s="277" t="e">
        <f t="shared" si="99"/>
        <v>#DIV/0!</v>
      </c>
      <c r="DQ73" s="276"/>
      <c r="DR73" s="277"/>
      <c r="DS73" s="277"/>
      <c r="DT73" s="277"/>
      <c r="DU73" s="277" t="e">
        <f t="shared" si="100"/>
        <v>#DIV/0!</v>
      </c>
      <c r="DV73" s="276"/>
      <c r="DW73" s="277"/>
      <c r="DX73" s="277"/>
      <c r="DY73" s="277"/>
      <c r="DZ73" s="277" t="e">
        <f t="shared" si="101"/>
        <v>#DIV/0!</v>
      </c>
      <c r="EA73" s="276"/>
      <c r="EB73" s="277"/>
      <c r="EC73" s="277"/>
      <c r="ED73" s="277"/>
      <c r="EE73" s="277" t="e">
        <f t="shared" si="102"/>
        <v>#DIV/0!</v>
      </c>
      <c r="EF73" s="276"/>
      <c r="EG73" s="277"/>
      <c r="EH73" s="277"/>
      <c r="EI73" s="277"/>
      <c r="EJ73" s="277" t="e">
        <f t="shared" si="103"/>
        <v>#DIV/0!</v>
      </c>
      <c r="EK73" s="276"/>
      <c r="EL73" s="277"/>
      <c r="EM73" s="277"/>
      <c r="EN73" s="277"/>
      <c r="EO73" s="277" t="e">
        <f t="shared" si="104"/>
        <v>#DIV/0!</v>
      </c>
      <c r="EP73" s="276"/>
      <c r="EQ73" s="277"/>
      <c r="ER73" s="277"/>
      <c r="ES73" s="277"/>
      <c r="ET73" s="277" t="e">
        <f t="shared" si="105"/>
        <v>#DIV/0!</v>
      </c>
      <c r="EU73" s="276"/>
      <c r="EV73" s="277"/>
      <c r="EW73" s="277"/>
      <c r="EX73" s="277"/>
      <c r="EY73" s="277" t="e">
        <f t="shared" si="106"/>
        <v>#DIV/0!</v>
      </c>
      <c r="EZ73" s="276"/>
      <c r="FA73" s="277"/>
      <c r="FB73" s="277"/>
      <c r="FC73" s="277"/>
      <c r="FD73" s="277" t="e">
        <f t="shared" si="107"/>
        <v>#DIV/0!</v>
      </c>
      <c r="FE73" s="277">
        <f t="shared" si="117"/>
        <v>0</v>
      </c>
      <c r="FF73" s="277"/>
      <c r="FG73" s="277">
        <f t="shared" si="109"/>
        <v>0</v>
      </c>
      <c r="FH73" s="313">
        <f t="shared" si="110"/>
        <v>0</v>
      </c>
      <c r="FI73" s="314" t="e">
        <f t="shared" si="111"/>
        <v>#DIV/0!</v>
      </c>
      <c r="FJ73" s="277">
        <f t="shared" si="112"/>
        <v>0</v>
      </c>
      <c r="FK73" s="317"/>
      <c r="FL73" s="318"/>
      <c r="FM73" s="332"/>
    </row>
    <row r="74" s="214" customFormat="1" ht="27" customHeight="1" spans="1:169">
      <c r="A74" s="263"/>
      <c r="B74" s="335"/>
      <c r="C74" s="274"/>
      <c r="D74" s="233" t="s">
        <v>15</v>
      </c>
      <c r="E74" s="279">
        <v>0.373</v>
      </c>
      <c r="F74" s="276"/>
      <c r="G74" s="277"/>
      <c r="H74" s="277"/>
      <c r="I74" s="277"/>
      <c r="J74" s="277" t="e">
        <f t="shared" si="78"/>
        <v>#DIV/0!</v>
      </c>
      <c r="K74" s="276"/>
      <c r="L74" s="277"/>
      <c r="M74" s="277"/>
      <c r="N74" s="277"/>
      <c r="O74" s="277" t="e">
        <f t="shared" si="79"/>
        <v>#DIV/0!</v>
      </c>
      <c r="P74" s="276"/>
      <c r="Q74" s="277"/>
      <c r="R74" s="277"/>
      <c r="S74" s="277"/>
      <c r="T74" s="277" t="e">
        <f t="shared" si="80"/>
        <v>#DIV/0!</v>
      </c>
      <c r="U74" s="276"/>
      <c r="V74" s="277"/>
      <c r="W74" s="277"/>
      <c r="X74" s="277"/>
      <c r="Y74" s="277" t="e">
        <f t="shared" si="81"/>
        <v>#DIV/0!</v>
      </c>
      <c r="Z74" s="276">
        <v>116</v>
      </c>
      <c r="AA74" s="277"/>
      <c r="AB74" s="277">
        <v>106</v>
      </c>
      <c r="AC74" s="277">
        <v>10</v>
      </c>
      <c r="AD74" s="277">
        <f t="shared" si="82"/>
        <v>0.835017835909632</v>
      </c>
      <c r="AE74" s="276">
        <v>88</v>
      </c>
      <c r="AF74" s="277">
        <v>5</v>
      </c>
      <c r="AG74" s="277">
        <v>83</v>
      </c>
      <c r="AH74" s="277"/>
      <c r="AI74" s="277">
        <f t="shared" si="83"/>
        <v>1</v>
      </c>
      <c r="AJ74" s="276">
        <v>133</v>
      </c>
      <c r="AK74" s="277">
        <v>1</v>
      </c>
      <c r="AL74" s="277">
        <v>132</v>
      </c>
      <c r="AM74" s="277"/>
      <c r="AN74" s="277">
        <f t="shared" si="84"/>
        <v>1</v>
      </c>
      <c r="AO74" s="276">
        <v>44</v>
      </c>
      <c r="AP74" s="277"/>
      <c r="AQ74" s="277">
        <v>44</v>
      </c>
      <c r="AR74" s="277"/>
      <c r="AS74" s="277">
        <f t="shared" si="116"/>
        <v>1</v>
      </c>
      <c r="AT74" s="276"/>
      <c r="AU74" s="277"/>
      <c r="AV74" s="277"/>
      <c r="AW74" s="277"/>
      <c r="AX74" s="277" t="e">
        <f t="shared" si="85"/>
        <v>#DIV/0!</v>
      </c>
      <c r="AY74" s="276"/>
      <c r="AZ74" s="277"/>
      <c r="BA74" s="277"/>
      <c r="BB74" s="277"/>
      <c r="BC74" s="277" t="e">
        <f t="shared" si="86"/>
        <v>#DIV/0!</v>
      </c>
      <c r="BD74" s="276"/>
      <c r="BE74" s="277"/>
      <c r="BF74" s="277"/>
      <c r="BG74" s="277"/>
      <c r="BH74" s="277" t="e">
        <f t="shared" si="87"/>
        <v>#DIV/0!</v>
      </c>
      <c r="BI74" s="276"/>
      <c r="BJ74" s="277"/>
      <c r="BK74" s="277"/>
      <c r="BL74" s="277"/>
      <c r="BM74" s="277" t="e">
        <f t="shared" si="88"/>
        <v>#DIV/0!</v>
      </c>
      <c r="BN74" s="276"/>
      <c r="BO74" s="277"/>
      <c r="BP74" s="277"/>
      <c r="BQ74" s="277"/>
      <c r="BR74" s="277" t="e">
        <f t="shared" si="89"/>
        <v>#DIV/0!</v>
      </c>
      <c r="BS74" s="276"/>
      <c r="BT74" s="277"/>
      <c r="BU74" s="277"/>
      <c r="BV74" s="277"/>
      <c r="BW74" s="277" t="e">
        <f t="shared" si="90"/>
        <v>#DIV/0!</v>
      </c>
      <c r="BX74" s="276"/>
      <c r="BY74" s="277"/>
      <c r="BZ74" s="277"/>
      <c r="CA74" s="277"/>
      <c r="CB74" s="277" t="e">
        <f t="shared" si="91"/>
        <v>#DIV/0!</v>
      </c>
      <c r="CC74" s="276"/>
      <c r="CD74" s="277"/>
      <c r="CE74" s="277"/>
      <c r="CF74" s="277"/>
      <c r="CG74" s="277" t="e">
        <f t="shared" si="92"/>
        <v>#DIV/0!</v>
      </c>
      <c r="CH74" s="276"/>
      <c r="CI74" s="277"/>
      <c r="CJ74" s="277"/>
      <c r="CK74" s="277"/>
      <c r="CL74" s="277" t="e">
        <f t="shared" si="93"/>
        <v>#DIV/0!</v>
      </c>
      <c r="CM74" s="276"/>
      <c r="CN74" s="277"/>
      <c r="CO74" s="277"/>
      <c r="CP74" s="277"/>
      <c r="CQ74" s="277" t="e">
        <f t="shared" si="94"/>
        <v>#DIV/0!</v>
      </c>
      <c r="CR74" s="276"/>
      <c r="CS74" s="277"/>
      <c r="CT74" s="277">
        <v>57</v>
      </c>
      <c r="CU74" s="277"/>
      <c r="CV74" s="277">
        <f t="shared" si="95"/>
        <v>1</v>
      </c>
      <c r="CW74" s="276"/>
      <c r="CX74" s="277"/>
      <c r="CY74" s="277"/>
      <c r="CZ74" s="277"/>
      <c r="DA74" s="277" t="e">
        <f t="shared" si="96"/>
        <v>#DIV/0!</v>
      </c>
      <c r="DB74" s="276"/>
      <c r="DC74" s="277"/>
      <c r="DD74" s="277">
        <v>10</v>
      </c>
      <c r="DE74" s="277"/>
      <c r="DF74" s="277">
        <f t="shared" si="97"/>
        <v>1</v>
      </c>
      <c r="DG74" s="276"/>
      <c r="DH74" s="277"/>
      <c r="DI74" s="277">
        <v>15</v>
      </c>
      <c r="DJ74" s="277"/>
      <c r="DK74" s="277">
        <f t="shared" si="98"/>
        <v>1</v>
      </c>
      <c r="DL74" s="276"/>
      <c r="DM74" s="277"/>
      <c r="DN74" s="277"/>
      <c r="DO74" s="277"/>
      <c r="DP74" s="277" t="e">
        <f t="shared" si="99"/>
        <v>#DIV/0!</v>
      </c>
      <c r="DQ74" s="276"/>
      <c r="DR74" s="277"/>
      <c r="DS74" s="277"/>
      <c r="DT74" s="277"/>
      <c r="DU74" s="277" t="e">
        <f t="shared" si="100"/>
        <v>#DIV/0!</v>
      </c>
      <c r="DV74" s="276"/>
      <c r="DW74" s="277"/>
      <c r="DX74" s="277"/>
      <c r="DY74" s="277"/>
      <c r="DZ74" s="277" t="e">
        <f t="shared" si="101"/>
        <v>#DIV/0!</v>
      </c>
      <c r="EA74" s="276"/>
      <c r="EB74" s="277"/>
      <c r="EC74" s="277"/>
      <c r="ED74" s="277"/>
      <c r="EE74" s="277" t="e">
        <f t="shared" si="102"/>
        <v>#DIV/0!</v>
      </c>
      <c r="EF74" s="276"/>
      <c r="EG74" s="277"/>
      <c r="EH74" s="277"/>
      <c r="EI74" s="277"/>
      <c r="EJ74" s="277" t="e">
        <f t="shared" si="103"/>
        <v>#DIV/0!</v>
      </c>
      <c r="EK74" s="276"/>
      <c r="EL74" s="277"/>
      <c r="EM74" s="277"/>
      <c r="EN74" s="277"/>
      <c r="EO74" s="277" t="e">
        <f t="shared" si="104"/>
        <v>#DIV/0!</v>
      </c>
      <c r="EP74" s="276"/>
      <c r="EQ74" s="277"/>
      <c r="ER74" s="277"/>
      <c r="ES74" s="277"/>
      <c r="ET74" s="277" t="e">
        <f t="shared" si="105"/>
        <v>#DIV/0!</v>
      </c>
      <c r="EU74" s="276"/>
      <c r="EV74" s="277"/>
      <c r="EW74" s="277"/>
      <c r="EX74" s="277"/>
      <c r="EY74" s="277" t="e">
        <f t="shared" si="106"/>
        <v>#DIV/0!</v>
      </c>
      <c r="EZ74" s="276"/>
      <c r="FA74" s="277"/>
      <c r="FB74" s="277"/>
      <c r="FC74" s="277"/>
      <c r="FD74" s="277" t="e">
        <f t="shared" si="107"/>
        <v>#DIV/0!</v>
      </c>
      <c r="FE74" s="277">
        <f t="shared" si="117"/>
        <v>381</v>
      </c>
      <c r="FF74" s="277"/>
      <c r="FG74" s="277">
        <f t="shared" si="109"/>
        <v>6</v>
      </c>
      <c r="FH74" s="313">
        <f t="shared" si="110"/>
        <v>447</v>
      </c>
      <c r="FI74" s="314">
        <f t="shared" si="111"/>
        <v>1.37646475292951</v>
      </c>
      <c r="FJ74" s="277">
        <f t="shared" si="112"/>
        <v>166.731</v>
      </c>
      <c r="FK74" s="317"/>
      <c r="FL74" s="318"/>
      <c r="FM74" s="332"/>
    </row>
    <row r="75" s="214" customFormat="1" ht="27" customHeight="1" spans="1:169">
      <c r="A75" s="263"/>
      <c r="B75" s="335"/>
      <c r="C75" s="274"/>
      <c r="D75" s="233" t="s">
        <v>16</v>
      </c>
      <c r="E75" s="279">
        <v>0.373</v>
      </c>
      <c r="F75" s="276"/>
      <c r="G75" s="277"/>
      <c r="H75" s="277"/>
      <c r="I75" s="277"/>
      <c r="J75" s="277" t="e">
        <f t="shared" si="78"/>
        <v>#DIV/0!</v>
      </c>
      <c r="K75" s="276"/>
      <c r="L75" s="277"/>
      <c r="M75" s="277"/>
      <c r="N75" s="277"/>
      <c r="O75" s="277" t="e">
        <f t="shared" si="79"/>
        <v>#DIV/0!</v>
      </c>
      <c r="P75" s="276"/>
      <c r="Q75" s="277"/>
      <c r="R75" s="277"/>
      <c r="S75" s="277"/>
      <c r="T75" s="277" t="e">
        <f t="shared" si="80"/>
        <v>#DIV/0!</v>
      </c>
      <c r="U75" s="276"/>
      <c r="V75" s="277"/>
      <c r="W75" s="277"/>
      <c r="X75" s="277"/>
      <c r="Y75" s="277" t="e">
        <f t="shared" si="81"/>
        <v>#DIV/0!</v>
      </c>
      <c r="Z75" s="276">
        <v>92</v>
      </c>
      <c r="AA75" s="277">
        <v>6</v>
      </c>
      <c r="AB75" s="277">
        <v>117</v>
      </c>
      <c r="AC75" s="277"/>
      <c r="AD75" s="277">
        <f t="shared" si="82"/>
        <v>1</v>
      </c>
      <c r="AE75" s="276">
        <v>124</v>
      </c>
      <c r="AF75" s="277">
        <v>1</v>
      </c>
      <c r="AG75" s="277">
        <v>123</v>
      </c>
      <c r="AH75" s="277"/>
      <c r="AI75" s="277">
        <f t="shared" si="83"/>
        <v>1</v>
      </c>
      <c r="AJ75" s="276">
        <v>68</v>
      </c>
      <c r="AK75" s="277">
        <v>1</v>
      </c>
      <c r="AL75" s="277">
        <v>67</v>
      </c>
      <c r="AM75" s="277"/>
      <c r="AN75" s="277">
        <f t="shared" si="84"/>
        <v>1</v>
      </c>
      <c r="AO75" s="276">
        <v>50</v>
      </c>
      <c r="AP75" s="277"/>
      <c r="AQ75" s="277">
        <v>50</v>
      </c>
      <c r="AR75" s="277"/>
      <c r="AS75" s="277">
        <f t="shared" si="116"/>
        <v>1</v>
      </c>
      <c r="AT75" s="276"/>
      <c r="AU75" s="277"/>
      <c r="AV75" s="277"/>
      <c r="AW75" s="277"/>
      <c r="AX75" s="277" t="e">
        <f t="shared" si="85"/>
        <v>#DIV/0!</v>
      </c>
      <c r="AY75" s="276"/>
      <c r="AZ75" s="277"/>
      <c r="BA75" s="277"/>
      <c r="BB75" s="277"/>
      <c r="BC75" s="277" t="e">
        <f t="shared" si="86"/>
        <v>#DIV/0!</v>
      </c>
      <c r="BD75" s="276"/>
      <c r="BE75" s="277"/>
      <c r="BF75" s="277"/>
      <c r="BG75" s="277"/>
      <c r="BH75" s="277" t="e">
        <f t="shared" si="87"/>
        <v>#DIV/0!</v>
      </c>
      <c r="BI75" s="276"/>
      <c r="BJ75" s="277"/>
      <c r="BK75" s="277"/>
      <c r="BL75" s="277"/>
      <c r="BM75" s="277" t="e">
        <f t="shared" si="88"/>
        <v>#DIV/0!</v>
      </c>
      <c r="BN75" s="276"/>
      <c r="BO75" s="277"/>
      <c r="BP75" s="277"/>
      <c r="BQ75" s="277"/>
      <c r="BR75" s="277" t="e">
        <f t="shared" si="89"/>
        <v>#DIV/0!</v>
      </c>
      <c r="BS75" s="276"/>
      <c r="BT75" s="277"/>
      <c r="BU75" s="277"/>
      <c r="BV75" s="277"/>
      <c r="BW75" s="277" t="e">
        <f t="shared" si="90"/>
        <v>#DIV/0!</v>
      </c>
      <c r="BX75" s="276"/>
      <c r="BY75" s="277"/>
      <c r="BZ75" s="277"/>
      <c r="CA75" s="277"/>
      <c r="CB75" s="277" t="e">
        <f t="shared" si="91"/>
        <v>#DIV/0!</v>
      </c>
      <c r="CC75" s="276"/>
      <c r="CD75" s="277"/>
      <c r="CE75" s="277"/>
      <c r="CF75" s="277"/>
      <c r="CG75" s="277" t="e">
        <f t="shared" si="92"/>
        <v>#DIV/0!</v>
      </c>
      <c r="CH75" s="276"/>
      <c r="CI75" s="277"/>
      <c r="CJ75" s="277">
        <v>20</v>
      </c>
      <c r="CK75" s="277"/>
      <c r="CL75" s="277">
        <f t="shared" si="93"/>
        <v>1</v>
      </c>
      <c r="CM75" s="276"/>
      <c r="CN75" s="277"/>
      <c r="CO75" s="277"/>
      <c r="CP75" s="277"/>
      <c r="CQ75" s="277" t="e">
        <f t="shared" si="94"/>
        <v>#DIV/0!</v>
      </c>
      <c r="CR75" s="276"/>
      <c r="CS75" s="277"/>
      <c r="CT75" s="277"/>
      <c r="CU75" s="277"/>
      <c r="CV75" s="277" t="e">
        <f t="shared" si="95"/>
        <v>#DIV/0!</v>
      </c>
      <c r="CW75" s="276"/>
      <c r="CX75" s="277"/>
      <c r="CY75" s="277">
        <v>112</v>
      </c>
      <c r="CZ75" s="277"/>
      <c r="DA75" s="277">
        <f t="shared" si="96"/>
        <v>1</v>
      </c>
      <c r="DB75" s="276"/>
      <c r="DC75" s="277"/>
      <c r="DD75" s="277"/>
      <c r="DE75" s="277"/>
      <c r="DF75" s="277" t="e">
        <f t="shared" si="97"/>
        <v>#DIV/0!</v>
      </c>
      <c r="DG75" s="276"/>
      <c r="DH75" s="277"/>
      <c r="DI75" s="277"/>
      <c r="DJ75" s="277"/>
      <c r="DK75" s="277" t="e">
        <f t="shared" si="98"/>
        <v>#DIV/0!</v>
      </c>
      <c r="DL75" s="276"/>
      <c r="DM75" s="277"/>
      <c r="DN75" s="277"/>
      <c r="DO75" s="277"/>
      <c r="DP75" s="277" t="e">
        <f t="shared" si="99"/>
        <v>#DIV/0!</v>
      </c>
      <c r="DQ75" s="276"/>
      <c r="DR75" s="277"/>
      <c r="DS75" s="277"/>
      <c r="DT75" s="277"/>
      <c r="DU75" s="277" t="e">
        <f t="shared" si="100"/>
        <v>#DIV/0!</v>
      </c>
      <c r="DV75" s="276"/>
      <c r="DW75" s="277"/>
      <c r="DX75" s="277">
        <v>30</v>
      </c>
      <c r="DY75" s="277"/>
      <c r="DZ75" s="277">
        <f t="shared" si="101"/>
        <v>1</v>
      </c>
      <c r="EA75" s="276"/>
      <c r="EB75" s="277"/>
      <c r="EC75" s="277"/>
      <c r="ED75" s="277"/>
      <c r="EE75" s="277" t="e">
        <f t="shared" si="102"/>
        <v>#DIV/0!</v>
      </c>
      <c r="EF75" s="276"/>
      <c r="EG75" s="277"/>
      <c r="EH75" s="277"/>
      <c r="EI75" s="277"/>
      <c r="EJ75" s="277" t="e">
        <f t="shared" si="103"/>
        <v>#DIV/0!</v>
      </c>
      <c r="EK75" s="276"/>
      <c r="EL75" s="277"/>
      <c r="EM75" s="277"/>
      <c r="EN75" s="277"/>
      <c r="EO75" s="277" t="e">
        <f t="shared" si="104"/>
        <v>#DIV/0!</v>
      </c>
      <c r="EP75" s="276"/>
      <c r="EQ75" s="277"/>
      <c r="ER75" s="277"/>
      <c r="ES75" s="277"/>
      <c r="ET75" s="277" t="e">
        <f t="shared" si="105"/>
        <v>#DIV/0!</v>
      </c>
      <c r="EU75" s="276"/>
      <c r="EV75" s="277"/>
      <c r="EW75" s="277"/>
      <c r="EX75" s="277"/>
      <c r="EY75" s="277" t="e">
        <f t="shared" si="106"/>
        <v>#DIV/0!</v>
      </c>
      <c r="EZ75" s="276"/>
      <c r="FA75" s="277"/>
      <c r="FB75" s="277"/>
      <c r="FC75" s="277"/>
      <c r="FD75" s="277" t="e">
        <f t="shared" si="107"/>
        <v>#DIV/0!</v>
      </c>
      <c r="FE75" s="277">
        <f t="shared" si="117"/>
        <v>334</v>
      </c>
      <c r="FF75" s="277"/>
      <c r="FG75" s="277">
        <f t="shared" si="109"/>
        <v>8</v>
      </c>
      <c r="FH75" s="313">
        <f t="shared" si="110"/>
        <v>519</v>
      </c>
      <c r="FI75" s="314">
        <f t="shared" si="111"/>
        <v>2.41458101760551</v>
      </c>
      <c r="FJ75" s="277">
        <f t="shared" si="112"/>
        <v>193.587</v>
      </c>
      <c r="FK75" s="317"/>
      <c r="FL75" s="318"/>
      <c r="FM75" s="332"/>
    </row>
    <row r="76" s="214" customFormat="1" ht="27" customHeight="1" spans="1:169">
      <c r="A76" s="263"/>
      <c r="B76" s="336"/>
      <c r="C76" s="274"/>
      <c r="D76" s="233" t="s">
        <v>17</v>
      </c>
      <c r="E76" s="279">
        <v>0.373</v>
      </c>
      <c r="F76" s="276"/>
      <c r="G76" s="277"/>
      <c r="H76" s="277"/>
      <c r="I76" s="277"/>
      <c r="J76" s="277" t="e">
        <f t="shared" si="78"/>
        <v>#DIV/0!</v>
      </c>
      <c r="K76" s="276"/>
      <c r="L76" s="277"/>
      <c r="M76" s="277"/>
      <c r="N76" s="277"/>
      <c r="O76" s="277" t="e">
        <f t="shared" si="79"/>
        <v>#DIV/0!</v>
      </c>
      <c r="P76" s="276"/>
      <c r="Q76" s="277"/>
      <c r="R76" s="277"/>
      <c r="S76" s="277"/>
      <c r="T76" s="277" t="e">
        <f t="shared" si="80"/>
        <v>#DIV/0!</v>
      </c>
      <c r="U76" s="276"/>
      <c r="V76" s="277"/>
      <c r="W76" s="277"/>
      <c r="X76" s="277"/>
      <c r="Y76" s="277" t="e">
        <f t="shared" si="81"/>
        <v>#DIV/0!</v>
      </c>
      <c r="Z76" s="276"/>
      <c r="AA76" s="277"/>
      <c r="AB76" s="277"/>
      <c r="AC76" s="277"/>
      <c r="AD76" s="277" t="e">
        <f t="shared" si="82"/>
        <v>#DIV/0!</v>
      </c>
      <c r="AE76" s="276"/>
      <c r="AF76" s="277"/>
      <c r="AG76" s="277"/>
      <c r="AH76" s="277"/>
      <c r="AI76" s="277" t="e">
        <f t="shared" si="83"/>
        <v>#DIV/0!</v>
      </c>
      <c r="AJ76" s="276"/>
      <c r="AK76" s="277"/>
      <c r="AL76" s="277"/>
      <c r="AM76" s="277"/>
      <c r="AN76" s="277" t="e">
        <f t="shared" si="84"/>
        <v>#DIV/0!</v>
      </c>
      <c r="AO76" s="276"/>
      <c r="AP76" s="277"/>
      <c r="AQ76" s="277"/>
      <c r="AR76" s="277"/>
      <c r="AS76" s="277" t="e">
        <f t="shared" si="116"/>
        <v>#DIV/0!</v>
      </c>
      <c r="AT76" s="276"/>
      <c r="AU76" s="277"/>
      <c r="AV76" s="277"/>
      <c r="AW76" s="277"/>
      <c r="AX76" s="277" t="e">
        <f t="shared" si="85"/>
        <v>#DIV/0!</v>
      </c>
      <c r="AY76" s="276"/>
      <c r="AZ76" s="277"/>
      <c r="BA76" s="277"/>
      <c r="BB76" s="277"/>
      <c r="BC76" s="277" t="e">
        <f t="shared" si="86"/>
        <v>#DIV/0!</v>
      </c>
      <c r="BD76" s="276"/>
      <c r="BE76" s="277"/>
      <c r="BF76" s="277"/>
      <c r="BG76" s="277"/>
      <c r="BH76" s="277" t="e">
        <f t="shared" si="87"/>
        <v>#DIV/0!</v>
      </c>
      <c r="BI76" s="276"/>
      <c r="BJ76" s="277"/>
      <c r="BK76" s="277"/>
      <c r="BL76" s="277"/>
      <c r="BM76" s="277" t="e">
        <f t="shared" si="88"/>
        <v>#DIV/0!</v>
      </c>
      <c r="BN76" s="276"/>
      <c r="BO76" s="277"/>
      <c r="BP76" s="277"/>
      <c r="BQ76" s="277"/>
      <c r="BR76" s="277" t="e">
        <f t="shared" si="89"/>
        <v>#DIV/0!</v>
      </c>
      <c r="BS76" s="276"/>
      <c r="BT76" s="277"/>
      <c r="BU76" s="277"/>
      <c r="BV76" s="277"/>
      <c r="BW76" s="277" t="e">
        <f t="shared" si="90"/>
        <v>#DIV/0!</v>
      </c>
      <c r="BX76" s="276"/>
      <c r="BY76" s="277"/>
      <c r="BZ76" s="277"/>
      <c r="CA76" s="277"/>
      <c r="CB76" s="277" t="e">
        <f t="shared" si="91"/>
        <v>#DIV/0!</v>
      </c>
      <c r="CC76" s="276"/>
      <c r="CD76" s="277"/>
      <c r="CE76" s="277"/>
      <c r="CF76" s="277"/>
      <c r="CG76" s="277" t="e">
        <f t="shared" si="92"/>
        <v>#DIV/0!</v>
      </c>
      <c r="CH76" s="276"/>
      <c r="CI76" s="277"/>
      <c r="CJ76" s="277"/>
      <c r="CK76" s="277"/>
      <c r="CL76" s="277" t="e">
        <f t="shared" si="93"/>
        <v>#DIV/0!</v>
      </c>
      <c r="CM76" s="276"/>
      <c r="CN76" s="277"/>
      <c r="CO76" s="277"/>
      <c r="CP76" s="277"/>
      <c r="CQ76" s="277" t="e">
        <f t="shared" si="94"/>
        <v>#DIV/0!</v>
      </c>
      <c r="CR76" s="276"/>
      <c r="CS76" s="277"/>
      <c r="CT76" s="277"/>
      <c r="CU76" s="277"/>
      <c r="CV76" s="277" t="e">
        <f t="shared" si="95"/>
        <v>#DIV/0!</v>
      </c>
      <c r="CW76" s="276"/>
      <c r="CX76" s="277"/>
      <c r="CY76" s="277"/>
      <c r="CZ76" s="277"/>
      <c r="DA76" s="277" t="e">
        <f t="shared" si="96"/>
        <v>#DIV/0!</v>
      </c>
      <c r="DB76" s="276"/>
      <c r="DC76" s="277"/>
      <c r="DD76" s="277"/>
      <c r="DE76" s="277"/>
      <c r="DF76" s="277" t="e">
        <f t="shared" si="97"/>
        <v>#DIV/0!</v>
      </c>
      <c r="DG76" s="276"/>
      <c r="DH76" s="277"/>
      <c r="DI76" s="277"/>
      <c r="DJ76" s="277"/>
      <c r="DK76" s="277" t="e">
        <f t="shared" si="98"/>
        <v>#DIV/0!</v>
      </c>
      <c r="DL76" s="276"/>
      <c r="DM76" s="277"/>
      <c r="DN76" s="277"/>
      <c r="DO76" s="277"/>
      <c r="DP76" s="277" t="e">
        <f t="shared" si="99"/>
        <v>#DIV/0!</v>
      </c>
      <c r="DQ76" s="276"/>
      <c r="DR76" s="277"/>
      <c r="DS76" s="277"/>
      <c r="DT76" s="277"/>
      <c r="DU76" s="277" t="e">
        <f t="shared" si="100"/>
        <v>#DIV/0!</v>
      </c>
      <c r="DV76" s="276"/>
      <c r="DW76" s="277"/>
      <c r="DX76" s="277"/>
      <c r="DY76" s="277"/>
      <c r="DZ76" s="277" t="e">
        <f t="shared" si="101"/>
        <v>#DIV/0!</v>
      </c>
      <c r="EA76" s="276"/>
      <c r="EB76" s="277"/>
      <c r="EC76" s="277"/>
      <c r="ED76" s="277"/>
      <c r="EE76" s="277" t="e">
        <f t="shared" si="102"/>
        <v>#DIV/0!</v>
      </c>
      <c r="EF76" s="276"/>
      <c r="EG76" s="277"/>
      <c r="EH76" s="277"/>
      <c r="EI76" s="277"/>
      <c r="EJ76" s="277" t="e">
        <f t="shared" si="103"/>
        <v>#DIV/0!</v>
      </c>
      <c r="EK76" s="276"/>
      <c r="EL76" s="277"/>
      <c r="EM76" s="277"/>
      <c r="EN76" s="277"/>
      <c r="EO76" s="277" t="e">
        <f t="shared" si="104"/>
        <v>#DIV/0!</v>
      </c>
      <c r="EP76" s="276"/>
      <c r="EQ76" s="277"/>
      <c r="ER76" s="277"/>
      <c r="ES76" s="277"/>
      <c r="ET76" s="277" t="e">
        <f t="shared" si="105"/>
        <v>#DIV/0!</v>
      </c>
      <c r="EU76" s="276"/>
      <c r="EV76" s="277"/>
      <c r="EW76" s="277"/>
      <c r="EX76" s="277"/>
      <c r="EY76" s="277" t="e">
        <f t="shared" si="106"/>
        <v>#DIV/0!</v>
      </c>
      <c r="EZ76" s="276"/>
      <c r="FA76" s="277"/>
      <c r="FB76" s="277"/>
      <c r="FC76" s="277"/>
      <c r="FD76" s="277" t="e">
        <f t="shared" si="107"/>
        <v>#DIV/0!</v>
      </c>
      <c r="FE76" s="277">
        <f t="shared" si="117"/>
        <v>0</v>
      </c>
      <c r="FF76" s="277"/>
      <c r="FG76" s="277">
        <f t="shared" si="109"/>
        <v>0</v>
      </c>
      <c r="FH76" s="313">
        <f t="shared" si="110"/>
        <v>0</v>
      </c>
      <c r="FI76" s="314" t="e">
        <f t="shared" si="111"/>
        <v>#DIV/0!</v>
      </c>
      <c r="FJ76" s="277">
        <f t="shared" si="112"/>
        <v>0</v>
      </c>
      <c r="FK76" s="319"/>
      <c r="FL76" s="320"/>
      <c r="FM76" s="333"/>
    </row>
    <row r="77" s="214" customFormat="1" ht="27" customHeight="1" spans="1:169">
      <c r="A77" s="263">
        <v>13</v>
      </c>
      <c r="B77" s="334" t="s">
        <v>32</v>
      </c>
      <c r="C77" s="274"/>
      <c r="D77" s="233" t="s">
        <v>8</v>
      </c>
      <c r="E77" s="275">
        <v>0.4</v>
      </c>
      <c r="F77" s="276"/>
      <c r="G77" s="276"/>
      <c r="H77" s="277"/>
      <c r="I77" s="277"/>
      <c r="J77" s="277" t="e">
        <f t="shared" si="78"/>
        <v>#DIV/0!</v>
      </c>
      <c r="K77" s="276"/>
      <c r="L77" s="276"/>
      <c r="M77" s="277">
        <v>150</v>
      </c>
      <c r="N77" s="277"/>
      <c r="O77" s="277">
        <f t="shared" si="79"/>
        <v>1</v>
      </c>
      <c r="P77" s="276"/>
      <c r="Q77" s="276"/>
      <c r="R77" s="277"/>
      <c r="S77" s="277"/>
      <c r="T77" s="277" t="e">
        <f t="shared" si="80"/>
        <v>#DIV/0!</v>
      </c>
      <c r="U77" s="276"/>
      <c r="V77" s="276"/>
      <c r="W77" s="277"/>
      <c r="X77" s="277"/>
      <c r="Y77" s="277" t="e">
        <f t="shared" si="81"/>
        <v>#DIV/0!</v>
      </c>
      <c r="Z77" s="276"/>
      <c r="AA77" s="276"/>
      <c r="AB77" s="277"/>
      <c r="AC77" s="277"/>
      <c r="AD77" s="277" t="e">
        <f t="shared" si="82"/>
        <v>#DIV/0!</v>
      </c>
      <c r="AE77" s="276"/>
      <c r="AF77" s="276"/>
      <c r="AG77" s="277"/>
      <c r="AH77" s="277"/>
      <c r="AI77" s="277" t="e">
        <f t="shared" si="83"/>
        <v>#DIV/0!</v>
      </c>
      <c r="AJ77" s="276"/>
      <c r="AK77" s="276"/>
      <c r="AL77" s="277"/>
      <c r="AM77" s="277"/>
      <c r="AN77" s="277" t="e">
        <f t="shared" si="84"/>
        <v>#DIV/0!</v>
      </c>
      <c r="AO77" s="276"/>
      <c r="AP77" s="276"/>
      <c r="AQ77" s="277"/>
      <c r="AR77" s="277"/>
      <c r="AS77" s="277" t="e">
        <f t="shared" si="116"/>
        <v>#DIV/0!</v>
      </c>
      <c r="AT77" s="276"/>
      <c r="AU77" s="276"/>
      <c r="AV77" s="277"/>
      <c r="AW77" s="277"/>
      <c r="AX77" s="277" t="e">
        <f t="shared" si="85"/>
        <v>#DIV/0!</v>
      </c>
      <c r="AY77" s="276"/>
      <c r="AZ77" s="276"/>
      <c r="BA77" s="277"/>
      <c r="BB77" s="277"/>
      <c r="BC77" s="277" t="e">
        <f t="shared" si="86"/>
        <v>#DIV/0!</v>
      </c>
      <c r="BD77" s="276"/>
      <c r="BE77" s="276"/>
      <c r="BF77" s="277"/>
      <c r="BG77" s="277"/>
      <c r="BH77" s="277" t="e">
        <f t="shared" si="87"/>
        <v>#DIV/0!</v>
      </c>
      <c r="BI77" s="276"/>
      <c r="BJ77" s="276"/>
      <c r="BK77" s="277"/>
      <c r="BL77" s="277"/>
      <c r="BM77" s="277" t="e">
        <f t="shared" si="88"/>
        <v>#DIV/0!</v>
      </c>
      <c r="BN77" s="276"/>
      <c r="BO77" s="276"/>
      <c r="BP77" s="277"/>
      <c r="BQ77" s="277"/>
      <c r="BR77" s="277" t="e">
        <f t="shared" si="89"/>
        <v>#DIV/0!</v>
      </c>
      <c r="BS77" s="276"/>
      <c r="BT77" s="276"/>
      <c r="BU77" s="277"/>
      <c r="BV77" s="277"/>
      <c r="BW77" s="277" t="e">
        <f t="shared" si="90"/>
        <v>#DIV/0!</v>
      </c>
      <c r="BX77" s="276"/>
      <c r="BY77" s="276"/>
      <c r="BZ77" s="277"/>
      <c r="CA77" s="277"/>
      <c r="CB77" s="277" t="e">
        <f t="shared" si="91"/>
        <v>#DIV/0!</v>
      </c>
      <c r="CC77" s="276"/>
      <c r="CD77" s="276"/>
      <c r="CE77" s="277"/>
      <c r="CF77" s="277"/>
      <c r="CG77" s="277" t="e">
        <f t="shared" si="92"/>
        <v>#DIV/0!</v>
      </c>
      <c r="CH77" s="276"/>
      <c r="CI77" s="276"/>
      <c r="CJ77" s="277"/>
      <c r="CK77" s="277"/>
      <c r="CL77" s="277" t="e">
        <f t="shared" si="93"/>
        <v>#DIV/0!</v>
      </c>
      <c r="CM77" s="276"/>
      <c r="CN77" s="276"/>
      <c r="CO77" s="277"/>
      <c r="CP77" s="277"/>
      <c r="CQ77" s="277" t="e">
        <f t="shared" si="94"/>
        <v>#DIV/0!</v>
      </c>
      <c r="CR77" s="276">
        <v>194</v>
      </c>
      <c r="CS77" s="276"/>
      <c r="CT77" s="277">
        <v>194</v>
      </c>
      <c r="CU77" s="277"/>
      <c r="CV77" s="277">
        <f t="shared" si="95"/>
        <v>1</v>
      </c>
      <c r="CW77" s="276"/>
      <c r="CX77" s="276"/>
      <c r="CY77" s="277"/>
      <c r="CZ77" s="277"/>
      <c r="DA77" s="277" t="e">
        <f t="shared" si="96"/>
        <v>#DIV/0!</v>
      </c>
      <c r="DB77" s="276"/>
      <c r="DC77" s="276"/>
      <c r="DD77" s="277"/>
      <c r="DE77" s="277"/>
      <c r="DF77" s="277" t="e">
        <f t="shared" si="97"/>
        <v>#DIV/0!</v>
      </c>
      <c r="DG77" s="276">
        <v>107</v>
      </c>
      <c r="DH77" s="276"/>
      <c r="DI77" s="277">
        <v>25</v>
      </c>
      <c r="DJ77" s="277">
        <v>82</v>
      </c>
      <c r="DK77" s="277">
        <f t="shared" si="98"/>
        <v>0.0545899205170757</v>
      </c>
      <c r="DL77" s="276">
        <v>268</v>
      </c>
      <c r="DM77" s="276">
        <v>4</v>
      </c>
      <c r="DN77" s="277">
        <v>252</v>
      </c>
      <c r="DO77" s="277">
        <v>12</v>
      </c>
      <c r="DP77" s="277">
        <f t="shared" si="99"/>
        <v>0.911157024793388</v>
      </c>
      <c r="DQ77" s="276">
        <v>276</v>
      </c>
      <c r="DR77" s="276">
        <v>2</v>
      </c>
      <c r="DS77" s="277">
        <v>246</v>
      </c>
      <c r="DT77" s="277">
        <v>28</v>
      </c>
      <c r="DU77" s="277">
        <f t="shared" si="100"/>
        <v>0.806063189301508</v>
      </c>
      <c r="DV77" s="276">
        <v>257</v>
      </c>
      <c r="DW77" s="276">
        <v>7</v>
      </c>
      <c r="DX77" s="277">
        <v>235</v>
      </c>
      <c r="DY77" s="277">
        <v>15</v>
      </c>
      <c r="DZ77" s="277">
        <f t="shared" si="101"/>
        <v>0.8836</v>
      </c>
      <c r="EA77" s="276">
        <v>313</v>
      </c>
      <c r="EB77" s="276">
        <v>4</v>
      </c>
      <c r="EC77" s="277">
        <v>248</v>
      </c>
      <c r="ED77" s="277">
        <v>61</v>
      </c>
      <c r="EE77" s="277">
        <f t="shared" si="102"/>
        <v>0.644149097726249</v>
      </c>
      <c r="EF77" s="276">
        <v>135</v>
      </c>
      <c r="EG77" s="276">
        <v>1</v>
      </c>
      <c r="EH77" s="277">
        <v>134</v>
      </c>
      <c r="EI77" s="277"/>
      <c r="EJ77" s="277">
        <f t="shared" si="103"/>
        <v>1</v>
      </c>
      <c r="EK77" s="276">
        <v>263</v>
      </c>
      <c r="EL77" s="276">
        <v>7</v>
      </c>
      <c r="EM77" s="277">
        <v>256</v>
      </c>
      <c r="EN77" s="277"/>
      <c r="EO77" s="277">
        <f t="shared" si="104"/>
        <v>1</v>
      </c>
      <c r="EP77" s="276"/>
      <c r="EQ77" s="276"/>
      <c r="ER77" s="277"/>
      <c r="ES77" s="277"/>
      <c r="ET77" s="277" t="e">
        <f t="shared" si="105"/>
        <v>#DIV/0!</v>
      </c>
      <c r="EU77" s="276"/>
      <c r="EV77" s="276"/>
      <c r="EW77" s="277">
        <v>186</v>
      </c>
      <c r="EX77" s="277"/>
      <c r="EY77" s="277">
        <f t="shared" si="106"/>
        <v>1</v>
      </c>
      <c r="EZ77" s="276"/>
      <c r="FA77" s="276"/>
      <c r="FB77" s="277"/>
      <c r="FC77" s="277"/>
      <c r="FD77" s="277" t="e">
        <f t="shared" si="107"/>
        <v>#DIV/0!</v>
      </c>
      <c r="FE77" s="277">
        <f t="shared" si="117"/>
        <v>1813</v>
      </c>
      <c r="FF77" s="277"/>
      <c r="FG77" s="277">
        <f t="shared" si="109"/>
        <v>25</v>
      </c>
      <c r="FH77" s="313">
        <f t="shared" si="110"/>
        <v>1926</v>
      </c>
      <c r="FI77" s="314">
        <f t="shared" si="111"/>
        <v>1.12854000144206</v>
      </c>
      <c r="FJ77" s="277">
        <f t="shared" si="112"/>
        <v>770.4</v>
      </c>
      <c r="FK77" s="315">
        <f>FJ77+FJ78+FJ79+FJ80+FJ81+FJ82+FJ83+FJ84+FJ85+FJ86</f>
        <v>2765.552</v>
      </c>
      <c r="FL77" s="316">
        <f>(FH77+FH78+FH79+FH80+FH81+FH82+FH83+FH84+FH85+FH86)/(FE77+FE78+FE79+FE80+FE81+FE82+FE83+FE84+FE85+FE86)</f>
        <v>0.992940561268956</v>
      </c>
      <c r="FM77" s="329"/>
    </row>
    <row r="78" s="214" customFormat="1" ht="27" customHeight="1" spans="1:169">
      <c r="A78" s="263"/>
      <c r="B78" s="335"/>
      <c r="C78" s="274"/>
      <c r="D78" s="233" t="s">
        <v>9</v>
      </c>
      <c r="E78" s="279">
        <v>0.133</v>
      </c>
      <c r="F78" s="276"/>
      <c r="G78" s="276"/>
      <c r="H78" s="277"/>
      <c r="I78" s="277"/>
      <c r="J78" s="277" t="e">
        <f t="shared" si="78"/>
        <v>#DIV/0!</v>
      </c>
      <c r="K78" s="276"/>
      <c r="L78" s="276"/>
      <c r="M78" s="277"/>
      <c r="N78" s="277"/>
      <c r="O78" s="277" t="e">
        <f t="shared" si="79"/>
        <v>#DIV/0!</v>
      </c>
      <c r="P78" s="276"/>
      <c r="Q78" s="276"/>
      <c r="R78" s="277"/>
      <c r="S78" s="277"/>
      <c r="T78" s="277" t="e">
        <f t="shared" si="80"/>
        <v>#DIV/0!</v>
      </c>
      <c r="U78" s="276">
        <v>254</v>
      </c>
      <c r="V78" s="276">
        <v>3</v>
      </c>
      <c r="W78" s="277">
        <v>251</v>
      </c>
      <c r="X78" s="277"/>
      <c r="Y78" s="277">
        <f t="shared" si="81"/>
        <v>1</v>
      </c>
      <c r="Z78" s="276">
        <v>369</v>
      </c>
      <c r="AA78" s="276">
        <v>4</v>
      </c>
      <c r="AB78" s="277">
        <v>365</v>
      </c>
      <c r="AC78" s="277"/>
      <c r="AD78" s="277">
        <f t="shared" si="82"/>
        <v>1</v>
      </c>
      <c r="AE78" s="276">
        <v>309</v>
      </c>
      <c r="AF78" s="276">
        <v>4</v>
      </c>
      <c r="AG78" s="277">
        <v>305</v>
      </c>
      <c r="AH78" s="277"/>
      <c r="AI78" s="277">
        <f t="shared" si="83"/>
        <v>1</v>
      </c>
      <c r="AJ78" s="276">
        <v>309</v>
      </c>
      <c r="AK78" s="276">
        <v>6</v>
      </c>
      <c r="AL78" s="277">
        <v>303</v>
      </c>
      <c r="AM78" s="277"/>
      <c r="AN78" s="277">
        <f t="shared" si="84"/>
        <v>1</v>
      </c>
      <c r="AO78" s="276">
        <v>77</v>
      </c>
      <c r="AP78" s="276">
        <v>19</v>
      </c>
      <c r="AQ78" s="277">
        <v>58</v>
      </c>
      <c r="AR78" s="277"/>
      <c r="AS78" s="277"/>
      <c r="AT78" s="276">
        <v>171</v>
      </c>
      <c r="AU78" s="276">
        <v>7</v>
      </c>
      <c r="AV78" s="277">
        <v>164</v>
      </c>
      <c r="AW78" s="277"/>
      <c r="AX78" s="277">
        <f t="shared" si="85"/>
        <v>1</v>
      </c>
      <c r="AY78" s="276">
        <v>191</v>
      </c>
      <c r="AZ78" s="276"/>
      <c r="BA78" s="277">
        <v>191</v>
      </c>
      <c r="BB78" s="277"/>
      <c r="BC78" s="277">
        <f t="shared" si="86"/>
        <v>1</v>
      </c>
      <c r="BD78" s="276">
        <v>177</v>
      </c>
      <c r="BE78" s="276">
        <v>1</v>
      </c>
      <c r="BF78" s="277">
        <v>176</v>
      </c>
      <c r="BG78" s="277"/>
      <c r="BH78" s="277">
        <f t="shared" si="87"/>
        <v>1</v>
      </c>
      <c r="BI78" s="276">
        <v>189</v>
      </c>
      <c r="BJ78" s="276">
        <v>1</v>
      </c>
      <c r="BK78" s="277">
        <v>188</v>
      </c>
      <c r="BL78" s="277"/>
      <c r="BM78" s="277">
        <f t="shared" si="88"/>
        <v>1</v>
      </c>
      <c r="BN78" s="276">
        <v>175</v>
      </c>
      <c r="BO78" s="276"/>
      <c r="BP78" s="277">
        <v>175</v>
      </c>
      <c r="BQ78" s="277"/>
      <c r="BR78" s="277">
        <f t="shared" si="89"/>
        <v>1</v>
      </c>
      <c r="BS78" s="276">
        <v>149</v>
      </c>
      <c r="BT78" s="276">
        <v>3</v>
      </c>
      <c r="BU78" s="277">
        <v>146</v>
      </c>
      <c r="BV78" s="277"/>
      <c r="BW78" s="277">
        <f t="shared" si="90"/>
        <v>1</v>
      </c>
      <c r="BX78" s="276"/>
      <c r="BY78" s="276"/>
      <c r="BZ78" s="277"/>
      <c r="CA78" s="277"/>
      <c r="CB78" s="277" t="e">
        <f t="shared" si="91"/>
        <v>#DIV/0!</v>
      </c>
      <c r="CC78" s="276">
        <v>158</v>
      </c>
      <c r="CD78" s="276">
        <v>3</v>
      </c>
      <c r="CE78" s="277">
        <v>155</v>
      </c>
      <c r="CF78" s="277"/>
      <c r="CG78" s="277">
        <f t="shared" si="92"/>
        <v>1</v>
      </c>
      <c r="CH78" s="276">
        <v>250</v>
      </c>
      <c r="CI78" s="276"/>
      <c r="CJ78" s="277">
        <v>250</v>
      </c>
      <c r="CK78" s="277"/>
      <c r="CL78" s="277">
        <f t="shared" si="93"/>
        <v>1</v>
      </c>
      <c r="CM78" s="276">
        <v>262</v>
      </c>
      <c r="CN78" s="276"/>
      <c r="CO78" s="277">
        <v>262</v>
      </c>
      <c r="CP78" s="277"/>
      <c r="CQ78" s="277">
        <f t="shared" si="94"/>
        <v>1</v>
      </c>
      <c r="CR78" s="276"/>
      <c r="CS78" s="276"/>
      <c r="CT78" s="277"/>
      <c r="CU78" s="277"/>
      <c r="CV78" s="277" t="e">
        <f t="shared" si="95"/>
        <v>#DIV/0!</v>
      </c>
      <c r="CW78" s="276"/>
      <c r="CX78" s="276"/>
      <c r="CY78" s="277"/>
      <c r="CZ78" s="277"/>
      <c r="DA78" s="277" t="e">
        <f t="shared" si="96"/>
        <v>#DIV/0!</v>
      </c>
      <c r="DB78" s="276">
        <v>250</v>
      </c>
      <c r="DC78" s="276">
        <v>16</v>
      </c>
      <c r="DD78" s="277">
        <v>234</v>
      </c>
      <c r="DE78" s="277"/>
      <c r="DF78" s="277">
        <f t="shared" si="97"/>
        <v>1</v>
      </c>
      <c r="DG78" s="276"/>
      <c r="DH78" s="276"/>
      <c r="DI78" s="277"/>
      <c r="DJ78" s="277"/>
      <c r="DK78" s="277" t="e">
        <f t="shared" si="98"/>
        <v>#DIV/0!</v>
      </c>
      <c r="DL78" s="276"/>
      <c r="DM78" s="276"/>
      <c r="DN78" s="277"/>
      <c r="DO78" s="277"/>
      <c r="DP78" s="277" t="e">
        <f t="shared" si="99"/>
        <v>#DIV/0!</v>
      </c>
      <c r="DQ78" s="276"/>
      <c r="DR78" s="276"/>
      <c r="DS78" s="277"/>
      <c r="DT78" s="277"/>
      <c r="DU78" s="277" t="e">
        <f t="shared" si="100"/>
        <v>#DIV/0!</v>
      </c>
      <c r="DV78" s="276"/>
      <c r="DW78" s="276"/>
      <c r="DX78" s="277"/>
      <c r="DY78" s="277"/>
      <c r="DZ78" s="277" t="e">
        <f t="shared" si="101"/>
        <v>#DIV/0!</v>
      </c>
      <c r="EA78" s="276"/>
      <c r="EB78" s="276"/>
      <c r="EC78" s="277"/>
      <c r="ED78" s="277"/>
      <c r="EE78" s="277" t="e">
        <f t="shared" si="102"/>
        <v>#DIV/0!</v>
      </c>
      <c r="EF78" s="276"/>
      <c r="EG78" s="276"/>
      <c r="EH78" s="277"/>
      <c r="EI78" s="277"/>
      <c r="EJ78" s="277" t="e">
        <f t="shared" si="103"/>
        <v>#DIV/0!</v>
      </c>
      <c r="EK78" s="276"/>
      <c r="EL78" s="276"/>
      <c r="EM78" s="277"/>
      <c r="EN78" s="277"/>
      <c r="EO78" s="277" t="e">
        <f t="shared" si="104"/>
        <v>#DIV/0!</v>
      </c>
      <c r="EP78" s="276"/>
      <c r="EQ78" s="276"/>
      <c r="ER78" s="277"/>
      <c r="ES78" s="277"/>
      <c r="ET78" s="277" t="e">
        <f t="shared" si="105"/>
        <v>#DIV/0!</v>
      </c>
      <c r="EU78" s="276"/>
      <c r="EV78" s="276"/>
      <c r="EW78" s="277"/>
      <c r="EX78" s="277"/>
      <c r="EY78" s="277" t="e">
        <f t="shared" si="106"/>
        <v>#DIV/0!</v>
      </c>
      <c r="EZ78" s="276"/>
      <c r="FA78" s="276"/>
      <c r="FB78" s="277"/>
      <c r="FC78" s="277"/>
      <c r="FD78" s="277" t="e">
        <f t="shared" si="107"/>
        <v>#DIV/0!</v>
      </c>
      <c r="FE78" s="277">
        <f t="shared" si="117"/>
        <v>3290</v>
      </c>
      <c r="FF78" s="277"/>
      <c r="FG78" s="277">
        <f t="shared" si="109"/>
        <v>67</v>
      </c>
      <c r="FH78" s="313">
        <f t="shared" si="110"/>
        <v>3223</v>
      </c>
      <c r="FI78" s="314">
        <f t="shared" si="111"/>
        <v>0.959685239419444</v>
      </c>
      <c r="FJ78" s="277">
        <f t="shared" si="112"/>
        <v>428.659</v>
      </c>
      <c r="FK78" s="317"/>
      <c r="FL78" s="318"/>
      <c r="FM78" s="332"/>
    </row>
    <row r="79" s="214" customFormat="1" ht="27" customHeight="1" spans="1:169">
      <c r="A79" s="263"/>
      <c r="B79" s="335"/>
      <c r="C79" s="274"/>
      <c r="D79" s="233" t="s">
        <v>10</v>
      </c>
      <c r="E79" s="279">
        <v>0.133</v>
      </c>
      <c r="F79" s="276"/>
      <c r="G79" s="277"/>
      <c r="H79" s="277"/>
      <c r="I79" s="277"/>
      <c r="J79" s="277" t="e">
        <f t="shared" si="78"/>
        <v>#DIV/0!</v>
      </c>
      <c r="K79" s="276"/>
      <c r="L79" s="277"/>
      <c r="M79" s="277"/>
      <c r="N79" s="277"/>
      <c r="O79" s="277" t="e">
        <f t="shared" si="79"/>
        <v>#DIV/0!</v>
      </c>
      <c r="P79" s="276"/>
      <c r="Q79" s="277"/>
      <c r="R79" s="277"/>
      <c r="S79" s="277"/>
      <c r="T79" s="277" t="e">
        <f t="shared" si="80"/>
        <v>#DIV/0!</v>
      </c>
      <c r="U79" s="276"/>
      <c r="V79" s="277"/>
      <c r="W79" s="277"/>
      <c r="X79" s="277"/>
      <c r="Y79" s="277" t="e">
        <f t="shared" si="81"/>
        <v>#DIV/0!</v>
      </c>
      <c r="Z79" s="276"/>
      <c r="AA79" s="277"/>
      <c r="AB79" s="277"/>
      <c r="AC79" s="277"/>
      <c r="AD79" s="277" t="e">
        <f t="shared" si="82"/>
        <v>#DIV/0!</v>
      </c>
      <c r="AE79" s="276"/>
      <c r="AF79" s="277"/>
      <c r="AG79" s="277"/>
      <c r="AH79" s="277"/>
      <c r="AI79" s="277" t="e">
        <f t="shared" si="83"/>
        <v>#DIV/0!</v>
      </c>
      <c r="AJ79" s="276"/>
      <c r="AK79" s="277"/>
      <c r="AL79" s="277"/>
      <c r="AM79" s="277"/>
      <c r="AN79" s="277" t="e">
        <f t="shared" si="84"/>
        <v>#DIV/0!</v>
      </c>
      <c r="AO79" s="276"/>
      <c r="AP79" s="277"/>
      <c r="AQ79" s="277"/>
      <c r="AR79" s="277"/>
      <c r="AS79" s="277" t="e">
        <f t="shared" ref="AS79:AS88" si="118">AQ79/(AQ79+AR79)*AQ79/(AQ79+AR79)</f>
        <v>#DIV/0!</v>
      </c>
      <c r="AT79" s="276"/>
      <c r="AU79" s="277"/>
      <c r="AV79" s="277"/>
      <c r="AW79" s="277"/>
      <c r="AX79" s="277" t="e">
        <f t="shared" si="85"/>
        <v>#DIV/0!</v>
      </c>
      <c r="AY79" s="276"/>
      <c r="AZ79" s="277"/>
      <c r="BA79" s="277"/>
      <c r="BB79" s="277"/>
      <c r="BC79" s="277" t="e">
        <f t="shared" si="86"/>
        <v>#DIV/0!</v>
      </c>
      <c r="BD79" s="276"/>
      <c r="BE79" s="277"/>
      <c r="BF79" s="277"/>
      <c r="BG79" s="277"/>
      <c r="BH79" s="277" t="e">
        <f t="shared" si="87"/>
        <v>#DIV/0!</v>
      </c>
      <c r="BI79" s="276"/>
      <c r="BJ79" s="277"/>
      <c r="BK79" s="277"/>
      <c r="BL79" s="277"/>
      <c r="BM79" s="277" t="e">
        <f t="shared" si="88"/>
        <v>#DIV/0!</v>
      </c>
      <c r="BN79" s="276"/>
      <c r="BO79" s="277"/>
      <c r="BP79" s="277"/>
      <c r="BQ79" s="277"/>
      <c r="BR79" s="277" t="e">
        <f t="shared" si="89"/>
        <v>#DIV/0!</v>
      </c>
      <c r="BS79" s="276"/>
      <c r="BT79" s="277"/>
      <c r="BU79" s="277"/>
      <c r="BV79" s="277"/>
      <c r="BW79" s="277" t="e">
        <f t="shared" si="90"/>
        <v>#DIV/0!</v>
      </c>
      <c r="BX79" s="276"/>
      <c r="BY79" s="277"/>
      <c r="BZ79" s="277"/>
      <c r="CA79" s="277"/>
      <c r="CB79" s="277" t="e">
        <f t="shared" si="91"/>
        <v>#DIV/0!</v>
      </c>
      <c r="CC79" s="276"/>
      <c r="CD79" s="277"/>
      <c r="CE79" s="277"/>
      <c r="CF79" s="277"/>
      <c r="CG79" s="277" t="e">
        <f t="shared" si="92"/>
        <v>#DIV/0!</v>
      </c>
      <c r="CH79" s="276"/>
      <c r="CI79" s="277"/>
      <c r="CJ79" s="277"/>
      <c r="CK79" s="277"/>
      <c r="CL79" s="277" t="e">
        <f t="shared" si="93"/>
        <v>#DIV/0!</v>
      </c>
      <c r="CM79" s="276"/>
      <c r="CN79" s="277"/>
      <c r="CO79" s="277"/>
      <c r="CP79" s="277"/>
      <c r="CQ79" s="277" t="e">
        <f t="shared" si="94"/>
        <v>#DIV/0!</v>
      </c>
      <c r="CR79" s="276"/>
      <c r="CS79" s="277"/>
      <c r="CT79" s="277"/>
      <c r="CU79" s="277"/>
      <c r="CV79" s="277" t="e">
        <f t="shared" si="95"/>
        <v>#DIV/0!</v>
      </c>
      <c r="CW79" s="276"/>
      <c r="CX79" s="277"/>
      <c r="CY79" s="277"/>
      <c r="CZ79" s="277"/>
      <c r="DA79" s="277" t="e">
        <f t="shared" si="96"/>
        <v>#DIV/0!</v>
      </c>
      <c r="DB79" s="276"/>
      <c r="DC79" s="277"/>
      <c r="DD79" s="277"/>
      <c r="DE79" s="277"/>
      <c r="DF79" s="277" t="e">
        <f t="shared" si="97"/>
        <v>#DIV/0!</v>
      </c>
      <c r="DG79" s="276"/>
      <c r="DH79" s="277"/>
      <c r="DI79" s="277"/>
      <c r="DJ79" s="277"/>
      <c r="DK79" s="277" t="e">
        <f t="shared" si="98"/>
        <v>#DIV/0!</v>
      </c>
      <c r="DL79" s="276"/>
      <c r="DM79" s="277"/>
      <c r="DN79" s="277"/>
      <c r="DO79" s="277"/>
      <c r="DP79" s="277" t="e">
        <f t="shared" si="99"/>
        <v>#DIV/0!</v>
      </c>
      <c r="DQ79" s="276"/>
      <c r="DR79" s="277"/>
      <c r="DS79" s="277"/>
      <c r="DT79" s="277"/>
      <c r="DU79" s="277" t="e">
        <f t="shared" si="100"/>
        <v>#DIV/0!</v>
      </c>
      <c r="DV79" s="276"/>
      <c r="DW79" s="277"/>
      <c r="DX79" s="277"/>
      <c r="DY79" s="277"/>
      <c r="DZ79" s="277" t="e">
        <f t="shared" si="101"/>
        <v>#DIV/0!</v>
      </c>
      <c r="EA79" s="276"/>
      <c r="EB79" s="277"/>
      <c r="EC79" s="277"/>
      <c r="ED79" s="277"/>
      <c r="EE79" s="277" t="e">
        <f t="shared" si="102"/>
        <v>#DIV/0!</v>
      </c>
      <c r="EF79" s="276"/>
      <c r="EG79" s="277"/>
      <c r="EH79" s="277"/>
      <c r="EI79" s="277"/>
      <c r="EJ79" s="277" t="e">
        <f t="shared" si="103"/>
        <v>#DIV/0!</v>
      </c>
      <c r="EK79" s="276"/>
      <c r="EL79" s="277"/>
      <c r="EM79" s="277"/>
      <c r="EN79" s="277"/>
      <c r="EO79" s="277" t="e">
        <f t="shared" si="104"/>
        <v>#DIV/0!</v>
      </c>
      <c r="EP79" s="276"/>
      <c r="EQ79" s="277"/>
      <c r="ER79" s="277"/>
      <c r="ES79" s="277"/>
      <c r="ET79" s="277" t="e">
        <f t="shared" si="105"/>
        <v>#DIV/0!</v>
      </c>
      <c r="EU79" s="276"/>
      <c r="EV79" s="277"/>
      <c r="EW79" s="277"/>
      <c r="EX79" s="277"/>
      <c r="EY79" s="277" t="e">
        <f t="shared" si="106"/>
        <v>#DIV/0!</v>
      </c>
      <c r="EZ79" s="276"/>
      <c r="FA79" s="277"/>
      <c r="FB79" s="277"/>
      <c r="FC79" s="277"/>
      <c r="FD79" s="277" t="e">
        <f t="shared" si="107"/>
        <v>#DIV/0!</v>
      </c>
      <c r="FE79" s="277">
        <f t="shared" si="117"/>
        <v>0</v>
      </c>
      <c r="FF79" s="277"/>
      <c r="FG79" s="277">
        <f t="shared" si="109"/>
        <v>0</v>
      </c>
      <c r="FH79" s="313">
        <f t="shared" si="110"/>
        <v>0</v>
      </c>
      <c r="FI79" s="314" t="e">
        <f t="shared" si="111"/>
        <v>#DIV/0!</v>
      </c>
      <c r="FJ79" s="277">
        <f t="shared" si="112"/>
        <v>0</v>
      </c>
      <c r="FK79" s="317"/>
      <c r="FL79" s="318"/>
      <c r="FM79" s="332"/>
    </row>
    <row r="80" s="214" customFormat="1" ht="27" customHeight="1" spans="1:169">
      <c r="A80" s="263"/>
      <c r="B80" s="335"/>
      <c r="C80" s="274"/>
      <c r="D80" s="233" t="s">
        <v>11</v>
      </c>
      <c r="E80" s="279">
        <v>0.23</v>
      </c>
      <c r="F80" s="276">
        <v>300</v>
      </c>
      <c r="G80" s="277">
        <v>7</v>
      </c>
      <c r="H80" s="277">
        <v>293</v>
      </c>
      <c r="I80" s="277"/>
      <c r="J80" s="277">
        <f t="shared" si="78"/>
        <v>1</v>
      </c>
      <c r="K80" s="276">
        <v>337</v>
      </c>
      <c r="L80" s="277">
        <v>4</v>
      </c>
      <c r="M80" s="277">
        <v>316</v>
      </c>
      <c r="N80" s="277">
        <v>17</v>
      </c>
      <c r="O80" s="277">
        <f t="shared" si="79"/>
        <v>0.900504107711315</v>
      </c>
      <c r="P80" s="276">
        <v>68</v>
      </c>
      <c r="Q80" s="277">
        <v>2</v>
      </c>
      <c r="R80" s="277">
        <v>66</v>
      </c>
      <c r="S80" s="277"/>
      <c r="T80" s="277">
        <f t="shared" si="80"/>
        <v>1</v>
      </c>
      <c r="U80" s="276">
        <v>171</v>
      </c>
      <c r="V80" s="277"/>
      <c r="W80" s="277">
        <v>171</v>
      </c>
      <c r="X80" s="277"/>
      <c r="Y80" s="277">
        <f t="shared" si="81"/>
        <v>1</v>
      </c>
      <c r="Z80" s="276">
        <v>125</v>
      </c>
      <c r="AA80" s="277">
        <v>2</v>
      </c>
      <c r="AB80" s="277">
        <v>123</v>
      </c>
      <c r="AC80" s="277"/>
      <c r="AD80" s="277">
        <f t="shared" si="82"/>
        <v>1</v>
      </c>
      <c r="AE80" s="276">
        <v>121</v>
      </c>
      <c r="AF80" s="277">
        <v>3</v>
      </c>
      <c r="AG80" s="277">
        <v>118</v>
      </c>
      <c r="AH80" s="277"/>
      <c r="AI80" s="277">
        <f t="shared" si="83"/>
        <v>1</v>
      </c>
      <c r="AJ80" s="276">
        <v>125</v>
      </c>
      <c r="AK80" s="277"/>
      <c r="AL80" s="277">
        <v>125</v>
      </c>
      <c r="AM80" s="277"/>
      <c r="AN80" s="277">
        <f t="shared" si="84"/>
        <v>1</v>
      </c>
      <c r="AO80" s="276">
        <v>63</v>
      </c>
      <c r="AP80" s="277">
        <v>5</v>
      </c>
      <c r="AQ80" s="277">
        <v>58</v>
      </c>
      <c r="AR80" s="277"/>
      <c r="AS80" s="277">
        <f t="shared" si="118"/>
        <v>1</v>
      </c>
      <c r="AT80" s="276">
        <v>123</v>
      </c>
      <c r="AU80" s="277"/>
      <c r="AV80" s="277">
        <v>123</v>
      </c>
      <c r="AW80" s="277"/>
      <c r="AX80" s="277">
        <f t="shared" si="85"/>
        <v>1</v>
      </c>
      <c r="AY80" s="276">
        <v>118</v>
      </c>
      <c r="AZ80" s="277"/>
      <c r="BA80" s="277">
        <v>118</v>
      </c>
      <c r="BB80" s="277"/>
      <c r="BC80" s="277">
        <f t="shared" si="86"/>
        <v>1</v>
      </c>
      <c r="BD80" s="276">
        <v>121</v>
      </c>
      <c r="BE80" s="277">
        <v>2</v>
      </c>
      <c r="BF80" s="277">
        <v>119</v>
      </c>
      <c r="BG80" s="277"/>
      <c r="BH80" s="277">
        <f t="shared" si="87"/>
        <v>1</v>
      </c>
      <c r="BI80" s="276">
        <v>128</v>
      </c>
      <c r="BJ80" s="277">
        <v>1</v>
      </c>
      <c r="BK80" s="277">
        <v>127</v>
      </c>
      <c r="BL80" s="277"/>
      <c r="BM80" s="277">
        <f t="shared" si="88"/>
        <v>1</v>
      </c>
      <c r="BN80" s="276">
        <v>118</v>
      </c>
      <c r="BO80" s="277">
        <v>4</v>
      </c>
      <c r="BP80" s="277">
        <v>114</v>
      </c>
      <c r="BQ80" s="277"/>
      <c r="BR80" s="277">
        <f t="shared" si="89"/>
        <v>1</v>
      </c>
      <c r="BS80" s="276">
        <v>106</v>
      </c>
      <c r="BT80" s="277">
        <v>7</v>
      </c>
      <c r="BU80" s="277">
        <v>99</v>
      </c>
      <c r="BV80" s="277"/>
      <c r="BW80" s="277">
        <f t="shared" si="90"/>
        <v>1</v>
      </c>
      <c r="BX80" s="276">
        <v>125</v>
      </c>
      <c r="BY80" s="277"/>
      <c r="BZ80" s="277">
        <v>125</v>
      </c>
      <c r="CA80" s="277"/>
      <c r="CB80" s="277">
        <f t="shared" si="91"/>
        <v>1</v>
      </c>
      <c r="CC80" s="276">
        <v>111</v>
      </c>
      <c r="CD80" s="277"/>
      <c r="CE80" s="277">
        <v>111</v>
      </c>
      <c r="CF80" s="277"/>
      <c r="CG80" s="277">
        <f t="shared" si="92"/>
        <v>1</v>
      </c>
      <c r="CH80" s="276">
        <v>123</v>
      </c>
      <c r="CI80" s="277">
        <v>1</v>
      </c>
      <c r="CJ80" s="277">
        <v>122</v>
      </c>
      <c r="CK80" s="277"/>
      <c r="CL80" s="277">
        <f t="shared" si="93"/>
        <v>1</v>
      </c>
      <c r="CM80" s="276">
        <v>132</v>
      </c>
      <c r="CN80" s="277">
        <v>1</v>
      </c>
      <c r="CO80" s="277">
        <v>131</v>
      </c>
      <c r="CP80" s="277"/>
      <c r="CQ80" s="277">
        <f t="shared" si="94"/>
        <v>1</v>
      </c>
      <c r="CR80" s="276">
        <v>73</v>
      </c>
      <c r="CS80" s="277"/>
      <c r="CT80" s="277">
        <v>73</v>
      </c>
      <c r="CU80" s="277"/>
      <c r="CV80" s="277">
        <f t="shared" si="95"/>
        <v>1</v>
      </c>
      <c r="CW80" s="276"/>
      <c r="CX80" s="277"/>
      <c r="CY80" s="277"/>
      <c r="CZ80" s="277"/>
      <c r="DA80" s="277" t="e">
        <f t="shared" si="96"/>
        <v>#DIV/0!</v>
      </c>
      <c r="DB80" s="276">
        <v>125</v>
      </c>
      <c r="DC80" s="277">
        <v>1</v>
      </c>
      <c r="DD80" s="277">
        <v>124</v>
      </c>
      <c r="DE80" s="277"/>
      <c r="DF80" s="277">
        <f t="shared" si="97"/>
        <v>1</v>
      </c>
      <c r="DG80" s="276">
        <v>155</v>
      </c>
      <c r="DH80" s="277">
        <v>3</v>
      </c>
      <c r="DI80" s="277">
        <v>152</v>
      </c>
      <c r="DJ80" s="277"/>
      <c r="DK80" s="277">
        <f t="shared" si="98"/>
        <v>1</v>
      </c>
      <c r="DL80" s="276"/>
      <c r="DM80" s="277"/>
      <c r="DN80" s="277"/>
      <c r="DO80" s="277"/>
      <c r="DP80" s="277" t="e">
        <f t="shared" si="99"/>
        <v>#DIV/0!</v>
      </c>
      <c r="DQ80" s="276">
        <v>70</v>
      </c>
      <c r="DR80" s="277">
        <v>1</v>
      </c>
      <c r="DS80" s="277">
        <v>60</v>
      </c>
      <c r="DT80" s="277">
        <v>9</v>
      </c>
      <c r="DU80" s="277">
        <f t="shared" si="100"/>
        <v>0.756143667296786</v>
      </c>
      <c r="DV80" s="276"/>
      <c r="DW80" s="277"/>
      <c r="DX80" s="277"/>
      <c r="DY80" s="277"/>
      <c r="DZ80" s="277" t="e">
        <f t="shared" si="101"/>
        <v>#DIV/0!</v>
      </c>
      <c r="EA80" s="276"/>
      <c r="EB80" s="277"/>
      <c r="EC80" s="277"/>
      <c r="ED80" s="277"/>
      <c r="EE80" s="277" t="e">
        <f t="shared" si="102"/>
        <v>#DIV/0!</v>
      </c>
      <c r="EF80" s="276"/>
      <c r="EG80" s="277"/>
      <c r="EH80" s="277"/>
      <c r="EI80" s="277"/>
      <c r="EJ80" s="277" t="e">
        <f t="shared" si="103"/>
        <v>#DIV/0!</v>
      </c>
      <c r="EK80" s="276"/>
      <c r="EL80" s="277"/>
      <c r="EM80" s="277"/>
      <c r="EN80" s="277"/>
      <c r="EO80" s="277" t="e">
        <f t="shared" si="104"/>
        <v>#DIV/0!</v>
      </c>
      <c r="EP80" s="276"/>
      <c r="EQ80" s="277"/>
      <c r="ER80" s="277"/>
      <c r="ES80" s="277"/>
      <c r="ET80" s="277" t="e">
        <f t="shared" si="105"/>
        <v>#DIV/0!</v>
      </c>
      <c r="EU80" s="276"/>
      <c r="EV80" s="277"/>
      <c r="EW80" s="277"/>
      <c r="EX80" s="277"/>
      <c r="EY80" s="277" t="e">
        <f t="shared" si="106"/>
        <v>#DIV/0!</v>
      </c>
      <c r="EZ80" s="276"/>
      <c r="FA80" s="277"/>
      <c r="FB80" s="277"/>
      <c r="FC80" s="277"/>
      <c r="FD80" s="277" t="e">
        <f t="shared" si="107"/>
        <v>#DIV/0!</v>
      </c>
      <c r="FE80" s="277">
        <f t="shared" si="117"/>
        <v>2938</v>
      </c>
      <c r="FF80" s="277"/>
      <c r="FG80" s="277">
        <f t="shared" si="109"/>
        <v>44</v>
      </c>
      <c r="FH80" s="313">
        <f t="shared" si="110"/>
        <v>2868</v>
      </c>
      <c r="FI80" s="314">
        <f t="shared" si="111"/>
        <v>0.952916201914678</v>
      </c>
      <c r="FJ80" s="277">
        <f t="shared" si="112"/>
        <v>659.64</v>
      </c>
      <c r="FK80" s="317"/>
      <c r="FL80" s="318"/>
      <c r="FM80" s="332"/>
    </row>
    <row r="81" s="214" customFormat="1" ht="27" customHeight="1" spans="1:171">
      <c r="A81" s="263"/>
      <c r="B81" s="335"/>
      <c r="C81" s="274"/>
      <c r="D81" s="233" t="s">
        <v>12</v>
      </c>
      <c r="E81" s="279">
        <v>0.25</v>
      </c>
      <c r="F81" s="276">
        <v>278</v>
      </c>
      <c r="G81" s="277">
        <v>2</v>
      </c>
      <c r="H81" s="277">
        <v>276</v>
      </c>
      <c r="I81" s="277"/>
      <c r="J81" s="277">
        <f t="shared" si="78"/>
        <v>1</v>
      </c>
      <c r="K81" s="276">
        <v>263</v>
      </c>
      <c r="L81" s="277">
        <v>6</v>
      </c>
      <c r="M81" s="277">
        <v>243</v>
      </c>
      <c r="N81" s="277">
        <v>14</v>
      </c>
      <c r="O81" s="277">
        <f t="shared" si="79"/>
        <v>0.894018077487926</v>
      </c>
      <c r="P81" s="276">
        <v>77</v>
      </c>
      <c r="Q81" s="277"/>
      <c r="R81" s="277">
        <v>77</v>
      </c>
      <c r="S81" s="277"/>
      <c r="T81" s="277">
        <f t="shared" si="80"/>
        <v>1</v>
      </c>
      <c r="U81" s="276">
        <v>136</v>
      </c>
      <c r="V81" s="277"/>
      <c r="W81" s="277">
        <v>136</v>
      </c>
      <c r="X81" s="277"/>
      <c r="Y81" s="277">
        <f t="shared" si="81"/>
        <v>1</v>
      </c>
      <c r="Z81" s="276">
        <v>125</v>
      </c>
      <c r="AA81" s="277">
        <v>2</v>
      </c>
      <c r="AB81" s="277">
        <v>123</v>
      </c>
      <c r="AC81" s="277"/>
      <c r="AD81" s="277">
        <f t="shared" si="82"/>
        <v>1</v>
      </c>
      <c r="AE81" s="276">
        <v>121</v>
      </c>
      <c r="AF81" s="277">
        <v>3</v>
      </c>
      <c r="AG81" s="277">
        <v>118</v>
      </c>
      <c r="AH81" s="277"/>
      <c r="AI81" s="277">
        <f t="shared" si="83"/>
        <v>1</v>
      </c>
      <c r="AJ81" s="276">
        <v>125</v>
      </c>
      <c r="AK81" s="277">
        <v>4</v>
      </c>
      <c r="AL81" s="277">
        <v>121</v>
      </c>
      <c r="AM81" s="277"/>
      <c r="AN81" s="277">
        <f t="shared" si="84"/>
        <v>1</v>
      </c>
      <c r="AO81" s="276">
        <v>94</v>
      </c>
      <c r="AP81" s="277"/>
      <c r="AQ81" s="277">
        <v>94</v>
      </c>
      <c r="AR81" s="277"/>
      <c r="AS81" s="277">
        <f t="shared" si="118"/>
        <v>1</v>
      </c>
      <c r="AT81" s="276">
        <v>121</v>
      </c>
      <c r="AU81" s="277"/>
      <c r="AV81" s="277">
        <v>121</v>
      </c>
      <c r="AW81" s="277"/>
      <c r="AX81" s="277">
        <f t="shared" si="85"/>
        <v>1</v>
      </c>
      <c r="AY81" s="276">
        <v>116</v>
      </c>
      <c r="AZ81" s="277"/>
      <c r="BA81" s="277">
        <v>116</v>
      </c>
      <c r="BB81" s="277"/>
      <c r="BC81" s="277">
        <f t="shared" si="86"/>
        <v>1</v>
      </c>
      <c r="BD81" s="276">
        <v>121</v>
      </c>
      <c r="BE81" s="277">
        <v>1</v>
      </c>
      <c r="BF81" s="277">
        <v>120</v>
      </c>
      <c r="BG81" s="277"/>
      <c r="BH81" s="277">
        <f t="shared" si="87"/>
        <v>1</v>
      </c>
      <c r="BI81" s="276">
        <v>125</v>
      </c>
      <c r="BJ81" s="277">
        <v>1</v>
      </c>
      <c r="BK81" s="277">
        <v>124</v>
      </c>
      <c r="BL81" s="277"/>
      <c r="BM81" s="277">
        <f t="shared" si="88"/>
        <v>1</v>
      </c>
      <c r="BN81" s="276">
        <v>118</v>
      </c>
      <c r="BO81" s="277">
        <v>4</v>
      </c>
      <c r="BP81" s="277">
        <v>114</v>
      </c>
      <c r="BQ81" s="277"/>
      <c r="BR81" s="277">
        <f t="shared" si="89"/>
        <v>1</v>
      </c>
      <c r="BS81" s="276">
        <v>105</v>
      </c>
      <c r="BT81" s="277">
        <v>5</v>
      </c>
      <c r="BU81" s="277">
        <v>100</v>
      </c>
      <c r="BV81" s="277"/>
      <c r="BW81" s="277">
        <f t="shared" si="90"/>
        <v>1</v>
      </c>
      <c r="BX81" s="276">
        <v>123</v>
      </c>
      <c r="BY81" s="277"/>
      <c r="BZ81" s="277">
        <v>123</v>
      </c>
      <c r="CA81" s="277"/>
      <c r="CB81" s="277">
        <f t="shared" si="91"/>
        <v>1</v>
      </c>
      <c r="CC81" s="276">
        <v>111</v>
      </c>
      <c r="CD81" s="277">
        <v>2</v>
      </c>
      <c r="CE81" s="277">
        <v>109</v>
      </c>
      <c r="CF81" s="277"/>
      <c r="CG81" s="277">
        <f t="shared" si="92"/>
        <v>1</v>
      </c>
      <c r="CH81" s="276">
        <v>232</v>
      </c>
      <c r="CI81" s="277">
        <v>4</v>
      </c>
      <c r="CJ81" s="277">
        <v>228</v>
      </c>
      <c r="CK81" s="277"/>
      <c r="CL81" s="277">
        <f t="shared" si="93"/>
        <v>1</v>
      </c>
      <c r="CM81" s="276">
        <v>118</v>
      </c>
      <c r="CN81" s="277">
        <v>4</v>
      </c>
      <c r="CO81" s="277">
        <v>114</v>
      </c>
      <c r="CP81" s="277"/>
      <c r="CQ81" s="277">
        <f t="shared" si="94"/>
        <v>1</v>
      </c>
      <c r="CR81" s="276">
        <v>73</v>
      </c>
      <c r="CS81" s="277">
        <v>1</v>
      </c>
      <c r="CT81" s="277">
        <v>72</v>
      </c>
      <c r="CU81" s="277"/>
      <c r="CV81" s="277">
        <f t="shared" si="95"/>
        <v>1</v>
      </c>
      <c r="CW81" s="276"/>
      <c r="CX81" s="277"/>
      <c r="CY81" s="277"/>
      <c r="CZ81" s="277"/>
      <c r="DA81" s="277" t="e">
        <f t="shared" si="96"/>
        <v>#DIV/0!</v>
      </c>
      <c r="DB81" s="276">
        <v>125</v>
      </c>
      <c r="DC81" s="277">
        <v>1</v>
      </c>
      <c r="DD81" s="277">
        <v>124</v>
      </c>
      <c r="DE81" s="277"/>
      <c r="DF81" s="277">
        <f t="shared" si="97"/>
        <v>1</v>
      </c>
      <c r="DG81" s="276">
        <v>155</v>
      </c>
      <c r="DH81" s="277">
        <v>5</v>
      </c>
      <c r="DI81" s="277">
        <v>150</v>
      </c>
      <c r="DJ81" s="277"/>
      <c r="DK81" s="277">
        <f t="shared" si="98"/>
        <v>1</v>
      </c>
      <c r="DL81" s="276"/>
      <c r="DM81" s="277"/>
      <c r="DN81" s="277"/>
      <c r="DO81" s="277"/>
      <c r="DP81" s="277" t="e">
        <f t="shared" si="99"/>
        <v>#DIV/0!</v>
      </c>
      <c r="DQ81" s="276">
        <v>70</v>
      </c>
      <c r="DR81" s="277">
        <v>1</v>
      </c>
      <c r="DS81" s="277">
        <v>62</v>
      </c>
      <c r="DT81" s="277">
        <v>7</v>
      </c>
      <c r="DU81" s="277">
        <f t="shared" si="100"/>
        <v>0.807393404746902</v>
      </c>
      <c r="DV81" s="276"/>
      <c r="DW81" s="277"/>
      <c r="DX81" s="277"/>
      <c r="DY81" s="277"/>
      <c r="DZ81" s="277" t="e">
        <f t="shared" si="101"/>
        <v>#DIV/0!</v>
      </c>
      <c r="EA81" s="276"/>
      <c r="EB81" s="277"/>
      <c r="EC81" s="277"/>
      <c r="ED81" s="277"/>
      <c r="EE81" s="277" t="e">
        <f t="shared" si="102"/>
        <v>#DIV/0!</v>
      </c>
      <c r="EF81" s="276"/>
      <c r="EG81" s="277"/>
      <c r="EH81" s="277"/>
      <c r="EI81" s="277"/>
      <c r="EJ81" s="277" t="e">
        <f t="shared" si="103"/>
        <v>#DIV/0!</v>
      </c>
      <c r="EK81" s="276"/>
      <c r="EL81" s="277"/>
      <c r="EM81" s="277"/>
      <c r="EN81" s="277"/>
      <c r="EO81" s="277" t="e">
        <f t="shared" si="104"/>
        <v>#DIV/0!</v>
      </c>
      <c r="EP81" s="276"/>
      <c r="EQ81" s="277"/>
      <c r="ER81" s="277"/>
      <c r="ES81" s="277"/>
      <c r="ET81" s="277" t="e">
        <f t="shared" si="105"/>
        <v>#DIV/0!</v>
      </c>
      <c r="EU81" s="276"/>
      <c r="EV81" s="277"/>
      <c r="EW81" s="277"/>
      <c r="EX81" s="277"/>
      <c r="EY81" s="277" t="e">
        <f t="shared" si="106"/>
        <v>#DIV/0!</v>
      </c>
      <c r="EZ81" s="276"/>
      <c r="FA81" s="277"/>
      <c r="FB81" s="277"/>
      <c r="FC81" s="277"/>
      <c r="FD81" s="277" t="e">
        <f t="shared" si="107"/>
        <v>#DIV/0!</v>
      </c>
      <c r="FE81" s="277">
        <f t="shared" si="117"/>
        <v>2932</v>
      </c>
      <c r="FF81" s="277"/>
      <c r="FG81" s="277">
        <f t="shared" si="109"/>
        <v>46</v>
      </c>
      <c r="FH81" s="313">
        <f t="shared" si="110"/>
        <v>2865</v>
      </c>
      <c r="FI81" s="314">
        <f t="shared" si="111"/>
        <v>0.954819589643562</v>
      </c>
      <c r="FJ81" s="277">
        <f t="shared" si="112"/>
        <v>716.25</v>
      </c>
      <c r="FK81" s="317"/>
      <c r="FL81" s="318"/>
      <c r="FM81" s="332"/>
      <c r="FO81" s="327"/>
    </row>
    <row r="82" s="214" customFormat="1" ht="27" customHeight="1" spans="1:169">
      <c r="A82" s="263"/>
      <c r="B82" s="335"/>
      <c r="C82" s="274"/>
      <c r="D82" s="233" t="s">
        <v>52</v>
      </c>
      <c r="E82" s="279">
        <v>0.373</v>
      </c>
      <c r="F82" s="276"/>
      <c r="G82" s="277"/>
      <c r="H82" s="277"/>
      <c r="I82" s="277"/>
      <c r="J82" s="277" t="e">
        <f t="shared" si="78"/>
        <v>#DIV/0!</v>
      </c>
      <c r="K82" s="276"/>
      <c r="L82" s="277"/>
      <c r="M82" s="277"/>
      <c r="N82" s="277"/>
      <c r="O82" s="277" t="e">
        <f t="shared" si="79"/>
        <v>#DIV/0!</v>
      </c>
      <c r="P82" s="276">
        <v>33</v>
      </c>
      <c r="Q82" s="277">
        <v>3</v>
      </c>
      <c r="R82" s="277">
        <v>30</v>
      </c>
      <c r="S82" s="277"/>
      <c r="T82" s="277">
        <f t="shared" si="80"/>
        <v>1</v>
      </c>
      <c r="U82" s="276"/>
      <c r="V82" s="277"/>
      <c r="W82" s="277"/>
      <c r="X82" s="277"/>
      <c r="Y82" s="277" t="e">
        <f t="shared" si="81"/>
        <v>#DIV/0!</v>
      </c>
      <c r="Z82" s="276"/>
      <c r="AA82" s="277"/>
      <c r="AB82" s="277"/>
      <c r="AC82" s="277"/>
      <c r="AD82" s="277" t="e">
        <f t="shared" si="82"/>
        <v>#DIV/0!</v>
      </c>
      <c r="AE82" s="276"/>
      <c r="AF82" s="277"/>
      <c r="AG82" s="277"/>
      <c r="AH82" s="277"/>
      <c r="AI82" s="277" t="e">
        <f t="shared" si="83"/>
        <v>#DIV/0!</v>
      </c>
      <c r="AJ82" s="276"/>
      <c r="AK82" s="277"/>
      <c r="AL82" s="277"/>
      <c r="AM82" s="277"/>
      <c r="AN82" s="277" t="e">
        <f t="shared" si="84"/>
        <v>#DIV/0!</v>
      </c>
      <c r="AO82" s="276"/>
      <c r="AP82" s="277"/>
      <c r="AQ82" s="277"/>
      <c r="AR82" s="277"/>
      <c r="AS82" s="277" t="e">
        <f t="shared" si="118"/>
        <v>#DIV/0!</v>
      </c>
      <c r="AT82" s="276"/>
      <c r="AU82" s="277"/>
      <c r="AV82" s="277"/>
      <c r="AW82" s="277"/>
      <c r="AX82" s="277" t="e">
        <f t="shared" si="85"/>
        <v>#DIV/0!</v>
      </c>
      <c r="AY82" s="276"/>
      <c r="AZ82" s="277"/>
      <c r="BA82" s="277"/>
      <c r="BB82" s="277"/>
      <c r="BC82" s="277" t="e">
        <f t="shared" si="86"/>
        <v>#DIV/0!</v>
      </c>
      <c r="BD82" s="276"/>
      <c r="BE82" s="277"/>
      <c r="BF82" s="277"/>
      <c r="BG82" s="277"/>
      <c r="BH82" s="277" t="e">
        <f t="shared" si="87"/>
        <v>#DIV/0!</v>
      </c>
      <c r="BI82" s="276"/>
      <c r="BJ82" s="277"/>
      <c r="BK82" s="277"/>
      <c r="BL82" s="277"/>
      <c r="BM82" s="277" t="e">
        <f t="shared" si="88"/>
        <v>#DIV/0!</v>
      </c>
      <c r="BN82" s="276"/>
      <c r="BO82" s="277"/>
      <c r="BP82" s="277"/>
      <c r="BQ82" s="277"/>
      <c r="BR82" s="277" t="e">
        <f t="shared" si="89"/>
        <v>#DIV/0!</v>
      </c>
      <c r="BS82" s="276"/>
      <c r="BT82" s="277"/>
      <c r="BU82" s="277"/>
      <c r="BV82" s="277"/>
      <c r="BW82" s="277" t="e">
        <f t="shared" si="90"/>
        <v>#DIV/0!</v>
      </c>
      <c r="BX82" s="276"/>
      <c r="BY82" s="277"/>
      <c r="BZ82" s="277"/>
      <c r="CA82" s="277"/>
      <c r="CB82" s="277" t="e">
        <f t="shared" si="91"/>
        <v>#DIV/0!</v>
      </c>
      <c r="CC82" s="276"/>
      <c r="CD82" s="277"/>
      <c r="CE82" s="277"/>
      <c r="CF82" s="277"/>
      <c r="CG82" s="277" t="e">
        <f t="shared" si="92"/>
        <v>#DIV/0!</v>
      </c>
      <c r="CH82" s="276"/>
      <c r="CI82" s="277"/>
      <c r="CJ82" s="277"/>
      <c r="CK82" s="277"/>
      <c r="CL82" s="277" t="e">
        <f t="shared" si="93"/>
        <v>#DIV/0!</v>
      </c>
      <c r="CM82" s="276"/>
      <c r="CN82" s="277"/>
      <c r="CO82" s="277"/>
      <c r="CP82" s="277"/>
      <c r="CQ82" s="277" t="e">
        <f t="shared" si="94"/>
        <v>#DIV/0!</v>
      </c>
      <c r="CR82" s="276"/>
      <c r="CS82" s="277"/>
      <c r="CT82" s="277"/>
      <c r="CU82" s="277"/>
      <c r="CV82" s="277" t="e">
        <f t="shared" si="95"/>
        <v>#DIV/0!</v>
      </c>
      <c r="CW82" s="276"/>
      <c r="CX82" s="277"/>
      <c r="CY82" s="277"/>
      <c r="CZ82" s="277"/>
      <c r="DA82" s="277" t="e">
        <f t="shared" si="96"/>
        <v>#DIV/0!</v>
      </c>
      <c r="DB82" s="276"/>
      <c r="DC82" s="277"/>
      <c r="DD82" s="277"/>
      <c r="DE82" s="277"/>
      <c r="DF82" s="277" t="e">
        <f t="shared" si="97"/>
        <v>#DIV/0!</v>
      </c>
      <c r="DG82" s="276"/>
      <c r="DH82" s="277"/>
      <c r="DI82" s="277"/>
      <c r="DJ82" s="277"/>
      <c r="DK82" s="277" t="e">
        <f t="shared" si="98"/>
        <v>#DIV/0!</v>
      </c>
      <c r="DL82" s="276"/>
      <c r="DM82" s="277"/>
      <c r="DN82" s="277"/>
      <c r="DO82" s="277"/>
      <c r="DP82" s="277" t="e">
        <f t="shared" si="99"/>
        <v>#DIV/0!</v>
      </c>
      <c r="DQ82" s="276"/>
      <c r="DR82" s="277"/>
      <c r="DS82" s="277"/>
      <c r="DT82" s="277"/>
      <c r="DU82" s="277" t="e">
        <f t="shared" si="100"/>
        <v>#DIV/0!</v>
      </c>
      <c r="DV82" s="276"/>
      <c r="DW82" s="277"/>
      <c r="DX82" s="277"/>
      <c r="DY82" s="277"/>
      <c r="DZ82" s="277" t="e">
        <f t="shared" si="101"/>
        <v>#DIV/0!</v>
      </c>
      <c r="EA82" s="276"/>
      <c r="EB82" s="277"/>
      <c r="EC82" s="277"/>
      <c r="ED82" s="277"/>
      <c r="EE82" s="277" t="e">
        <f t="shared" si="102"/>
        <v>#DIV/0!</v>
      </c>
      <c r="EF82" s="276">
        <v>66</v>
      </c>
      <c r="EG82" s="277">
        <v>1</v>
      </c>
      <c r="EH82" s="277">
        <v>65</v>
      </c>
      <c r="EI82" s="277"/>
      <c r="EJ82" s="277">
        <f t="shared" si="103"/>
        <v>1</v>
      </c>
      <c r="EK82" s="276">
        <v>67</v>
      </c>
      <c r="EL82" s="277">
        <v>1</v>
      </c>
      <c r="EM82" s="277">
        <v>66</v>
      </c>
      <c r="EN82" s="277"/>
      <c r="EO82" s="277">
        <f t="shared" si="104"/>
        <v>1</v>
      </c>
      <c r="EP82" s="276">
        <v>278</v>
      </c>
      <c r="EQ82" s="277"/>
      <c r="ER82" s="277">
        <v>274</v>
      </c>
      <c r="ES82" s="277">
        <v>4</v>
      </c>
      <c r="ET82" s="277">
        <f t="shared" si="105"/>
        <v>0.971430050204441</v>
      </c>
      <c r="EU82" s="276"/>
      <c r="EV82" s="277"/>
      <c r="EW82" s="277"/>
      <c r="EX82" s="277"/>
      <c r="EY82" s="277" t="e">
        <f t="shared" si="106"/>
        <v>#DIV/0!</v>
      </c>
      <c r="EZ82" s="276"/>
      <c r="FA82" s="277"/>
      <c r="FB82" s="277"/>
      <c r="FC82" s="277"/>
      <c r="FD82" s="277" t="e">
        <f t="shared" si="107"/>
        <v>#DIV/0!</v>
      </c>
      <c r="FE82" s="277">
        <f t="shared" si="117"/>
        <v>444</v>
      </c>
      <c r="FF82" s="277"/>
      <c r="FG82" s="277">
        <f t="shared" si="109"/>
        <v>5</v>
      </c>
      <c r="FH82" s="313">
        <f t="shared" si="110"/>
        <v>435</v>
      </c>
      <c r="FI82" s="314">
        <f t="shared" si="111"/>
        <v>0.959870343316289</v>
      </c>
      <c r="FJ82" s="277">
        <f t="shared" si="112"/>
        <v>162.255</v>
      </c>
      <c r="FK82" s="317"/>
      <c r="FL82" s="318"/>
      <c r="FM82" s="332"/>
    </row>
    <row r="83" s="214" customFormat="1" ht="27" customHeight="1" spans="1:169">
      <c r="A83" s="263"/>
      <c r="B83" s="335"/>
      <c r="C83" s="274"/>
      <c r="D83" s="233" t="s">
        <v>14</v>
      </c>
      <c r="E83" s="279">
        <v>0.373</v>
      </c>
      <c r="F83" s="276"/>
      <c r="G83" s="277"/>
      <c r="H83" s="277"/>
      <c r="I83" s="277"/>
      <c r="J83" s="277" t="e">
        <f t="shared" si="78"/>
        <v>#DIV/0!</v>
      </c>
      <c r="K83" s="276"/>
      <c r="L83" s="277"/>
      <c r="M83" s="277"/>
      <c r="N83" s="277"/>
      <c r="O83" s="277" t="e">
        <f t="shared" si="79"/>
        <v>#DIV/0!</v>
      </c>
      <c r="P83" s="276"/>
      <c r="Q83" s="277"/>
      <c r="R83" s="277"/>
      <c r="S83" s="277"/>
      <c r="T83" s="277" t="e">
        <f t="shared" si="80"/>
        <v>#DIV/0!</v>
      </c>
      <c r="U83" s="276"/>
      <c r="V83" s="277"/>
      <c r="W83" s="277"/>
      <c r="X83" s="277"/>
      <c r="Y83" s="277" t="e">
        <f t="shared" si="81"/>
        <v>#DIV/0!</v>
      </c>
      <c r="Z83" s="276"/>
      <c r="AA83" s="277"/>
      <c r="AB83" s="277"/>
      <c r="AC83" s="277"/>
      <c r="AD83" s="277" t="e">
        <f t="shared" si="82"/>
        <v>#DIV/0!</v>
      </c>
      <c r="AE83" s="276"/>
      <c r="AF83" s="277"/>
      <c r="AG83" s="277"/>
      <c r="AH83" s="277"/>
      <c r="AI83" s="277" t="e">
        <f t="shared" si="83"/>
        <v>#DIV/0!</v>
      </c>
      <c r="AJ83" s="276"/>
      <c r="AK83" s="277"/>
      <c r="AL83" s="277"/>
      <c r="AM83" s="277"/>
      <c r="AN83" s="277" t="e">
        <f t="shared" si="84"/>
        <v>#DIV/0!</v>
      </c>
      <c r="AO83" s="276"/>
      <c r="AP83" s="277"/>
      <c r="AQ83" s="277"/>
      <c r="AR83" s="277"/>
      <c r="AS83" s="277" t="e">
        <f t="shared" si="118"/>
        <v>#DIV/0!</v>
      </c>
      <c r="AT83" s="276"/>
      <c r="AU83" s="277"/>
      <c r="AV83" s="277"/>
      <c r="AW83" s="277"/>
      <c r="AX83" s="277" t="e">
        <f t="shared" si="85"/>
        <v>#DIV/0!</v>
      </c>
      <c r="AY83" s="276"/>
      <c r="AZ83" s="277"/>
      <c r="BA83" s="277"/>
      <c r="BB83" s="277"/>
      <c r="BC83" s="277" t="e">
        <f t="shared" si="86"/>
        <v>#DIV/0!</v>
      </c>
      <c r="BD83" s="276"/>
      <c r="BE83" s="277"/>
      <c r="BF83" s="277"/>
      <c r="BG83" s="277"/>
      <c r="BH83" s="277" t="e">
        <f t="shared" si="87"/>
        <v>#DIV/0!</v>
      </c>
      <c r="BI83" s="276"/>
      <c r="BJ83" s="277"/>
      <c r="BK83" s="277"/>
      <c r="BL83" s="277"/>
      <c r="BM83" s="277" t="e">
        <f t="shared" si="88"/>
        <v>#DIV/0!</v>
      </c>
      <c r="BN83" s="276"/>
      <c r="BO83" s="277"/>
      <c r="BP83" s="277"/>
      <c r="BQ83" s="277"/>
      <c r="BR83" s="277" t="e">
        <f t="shared" si="89"/>
        <v>#DIV/0!</v>
      </c>
      <c r="BS83" s="276"/>
      <c r="BT83" s="277"/>
      <c r="BU83" s="277"/>
      <c r="BV83" s="277"/>
      <c r="BW83" s="277" t="e">
        <f t="shared" si="90"/>
        <v>#DIV/0!</v>
      </c>
      <c r="BX83" s="276"/>
      <c r="BY83" s="277"/>
      <c r="BZ83" s="277"/>
      <c r="CA83" s="277"/>
      <c r="CB83" s="277" t="e">
        <f t="shared" si="91"/>
        <v>#DIV/0!</v>
      </c>
      <c r="CC83" s="276"/>
      <c r="CD83" s="277"/>
      <c r="CE83" s="277"/>
      <c r="CF83" s="277"/>
      <c r="CG83" s="277" t="e">
        <f t="shared" si="92"/>
        <v>#DIV/0!</v>
      </c>
      <c r="CH83" s="276"/>
      <c r="CI83" s="277"/>
      <c r="CJ83" s="277"/>
      <c r="CK83" s="277"/>
      <c r="CL83" s="277" t="e">
        <f t="shared" si="93"/>
        <v>#DIV/0!</v>
      </c>
      <c r="CM83" s="276"/>
      <c r="CN83" s="277"/>
      <c r="CO83" s="277"/>
      <c r="CP83" s="277"/>
      <c r="CQ83" s="277" t="e">
        <f t="shared" si="94"/>
        <v>#DIV/0!</v>
      </c>
      <c r="CR83" s="276"/>
      <c r="CS83" s="277"/>
      <c r="CT83" s="277"/>
      <c r="CU83" s="277"/>
      <c r="CV83" s="277" t="e">
        <f t="shared" si="95"/>
        <v>#DIV/0!</v>
      </c>
      <c r="CW83" s="276"/>
      <c r="CX83" s="277"/>
      <c r="CY83" s="277"/>
      <c r="CZ83" s="277"/>
      <c r="DA83" s="277" t="e">
        <f t="shared" si="96"/>
        <v>#DIV/0!</v>
      </c>
      <c r="DB83" s="276"/>
      <c r="DC83" s="277"/>
      <c r="DD83" s="277"/>
      <c r="DE83" s="277"/>
      <c r="DF83" s="277" t="e">
        <f t="shared" si="97"/>
        <v>#DIV/0!</v>
      </c>
      <c r="DG83" s="276"/>
      <c r="DH83" s="277"/>
      <c r="DI83" s="277"/>
      <c r="DJ83" s="277"/>
      <c r="DK83" s="277" t="e">
        <f t="shared" si="98"/>
        <v>#DIV/0!</v>
      </c>
      <c r="DL83" s="276"/>
      <c r="DM83" s="277"/>
      <c r="DN83" s="277"/>
      <c r="DO83" s="277"/>
      <c r="DP83" s="277" t="e">
        <f t="shared" si="99"/>
        <v>#DIV/0!</v>
      </c>
      <c r="DQ83" s="276"/>
      <c r="DR83" s="277"/>
      <c r="DS83" s="277"/>
      <c r="DT83" s="277"/>
      <c r="DU83" s="277" t="e">
        <f t="shared" si="100"/>
        <v>#DIV/0!</v>
      </c>
      <c r="DV83" s="276"/>
      <c r="DW83" s="277"/>
      <c r="DX83" s="277"/>
      <c r="DY83" s="277"/>
      <c r="DZ83" s="277" t="e">
        <f t="shared" si="101"/>
        <v>#DIV/0!</v>
      </c>
      <c r="EA83" s="276"/>
      <c r="EB83" s="277"/>
      <c r="EC83" s="277"/>
      <c r="ED83" s="277"/>
      <c r="EE83" s="277" t="e">
        <f t="shared" si="102"/>
        <v>#DIV/0!</v>
      </c>
      <c r="EF83" s="276"/>
      <c r="EG83" s="277"/>
      <c r="EH83" s="277"/>
      <c r="EI83" s="277"/>
      <c r="EJ83" s="277" t="e">
        <f t="shared" si="103"/>
        <v>#DIV/0!</v>
      </c>
      <c r="EK83" s="276"/>
      <c r="EL83" s="277"/>
      <c r="EM83" s="277"/>
      <c r="EN83" s="277"/>
      <c r="EO83" s="277" t="e">
        <f t="shared" si="104"/>
        <v>#DIV/0!</v>
      </c>
      <c r="EP83" s="276"/>
      <c r="EQ83" s="277"/>
      <c r="ER83" s="277"/>
      <c r="ES83" s="277"/>
      <c r="ET83" s="277" t="e">
        <f t="shared" si="105"/>
        <v>#DIV/0!</v>
      </c>
      <c r="EU83" s="276"/>
      <c r="EV83" s="277"/>
      <c r="EW83" s="277"/>
      <c r="EX83" s="277"/>
      <c r="EY83" s="277" t="e">
        <f t="shared" si="106"/>
        <v>#DIV/0!</v>
      </c>
      <c r="EZ83" s="276"/>
      <c r="FA83" s="277"/>
      <c r="FB83" s="277"/>
      <c r="FC83" s="277"/>
      <c r="FD83" s="277" t="e">
        <f t="shared" si="107"/>
        <v>#DIV/0!</v>
      </c>
      <c r="FE83" s="277">
        <f t="shared" si="117"/>
        <v>0</v>
      </c>
      <c r="FF83" s="277"/>
      <c r="FG83" s="277">
        <f t="shared" si="109"/>
        <v>0</v>
      </c>
      <c r="FH83" s="313">
        <f t="shared" si="110"/>
        <v>0</v>
      </c>
      <c r="FI83" s="314" t="e">
        <f t="shared" si="111"/>
        <v>#DIV/0!</v>
      </c>
      <c r="FJ83" s="277">
        <f t="shared" si="112"/>
        <v>0</v>
      </c>
      <c r="FK83" s="317"/>
      <c r="FL83" s="318"/>
      <c r="FM83" s="332"/>
    </row>
    <row r="84" s="214" customFormat="1" ht="27" customHeight="1" spans="1:169">
      <c r="A84" s="263"/>
      <c r="B84" s="335"/>
      <c r="C84" s="274"/>
      <c r="D84" s="233" t="s">
        <v>15</v>
      </c>
      <c r="E84" s="279">
        <v>0.373</v>
      </c>
      <c r="F84" s="276"/>
      <c r="G84" s="277"/>
      <c r="H84" s="277"/>
      <c r="I84" s="277"/>
      <c r="J84" s="277" t="e">
        <f t="shared" si="78"/>
        <v>#DIV/0!</v>
      </c>
      <c r="K84" s="276"/>
      <c r="L84" s="277"/>
      <c r="M84" s="277"/>
      <c r="N84" s="277"/>
      <c r="O84" s="277" t="e">
        <f t="shared" si="79"/>
        <v>#DIV/0!</v>
      </c>
      <c r="P84" s="276"/>
      <c r="Q84" s="277"/>
      <c r="R84" s="277"/>
      <c r="S84" s="277"/>
      <c r="T84" s="277" t="e">
        <f t="shared" si="80"/>
        <v>#DIV/0!</v>
      </c>
      <c r="U84" s="276"/>
      <c r="V84" s="277"/>
      <c r="W84" s="277"/>
      <c r="X84" s="277"/>
      <c r="Y84" s="277" t="e">
        <f t="shared" si="81"/>
        <v>#DIV/0!</v>
      </c>
      <c r="Z84" s="276"/>
      <c r="AA84" s="277"/>
      <c r="AB84" s="277"/>
      <c r="AC84" s="277"/>
      <c r="AD84" s="277" t="e">
        <f t="shared" si="82"/>
        <v>#DIV/0!</v>
      </c>
      <c r="AE84" s="276"/>
      <c r="AF84" s="277"/>
      <c r="AG84" s="277"/>
      <c r="AH84" s="277"/>
      <c r="AI84" s="277" t="e">
        <f t="shared" si="83"/>
        <v>#DIV/0!</v>
      </c>
      <c r="AJ84" s="276"/>
      <c r="AK84" s="277"/>
      <c r="AL84" s="277"/>
      <c r="AM84" s="277"/>
      <c r="AN84" s="277" t="e">
        <f t="shared" si="84"/>
        <v>#DIV/0!</v>
      </c>
      <c r="AO84" s="276"/>
      <c r="AP84" s="277"/>
      <c r="AQ84" s="277"/>
      <c r="AR84" s="277"/>
      <c r="AS84" s="277" t="e">
        <f t="shared" si="118"/>
        <v>#DIV/0!</v>
      </c>
      <c r="AT84" s="276"/>
      <c r="AU84" s="277"/>
      <c r="AV84" s="277"/>
      <c r="AW84" s="277"/>
      <c r="AX84" s="277" t="e">
        <f t="shared" si="85"/>
        <v>#DIV/0!</v>
      </c>
      <c r="AY84" s="276"/>
      <c r="AZ84" s="277"/>
      <c r="BA84" s="277"/>
      <c r="BB84" s="277"/>
      <c r="BC84" s="277" t="e">
        <f t="shared" si="86"/>
        <v>#DIV/0!</v>
      </c>
      <c r="BD84" s="276"/>
      <c r="BE84" s="277"/>
      <c r="BF84" s="277"/>
      <c r="BG84" s="277"/>
      <c r="BH84" s="277" t="e">
        <f t="shared" si="87"/>
        <v>#DIV/0!</v>
      </c>
      <c r="BI84" s="276"/>
      <c r="BJ84" s="277"/>
      <c r="BK84" s="277"/>
      <c r="BL84" s="277"/>
      <c r="BM84" s="277" t="e">
        <f t="shared" si="88"/>
        <v>#DIV/0!</v>
      </c>
      <c r="BN84" s="276"/>
      <c r="BO84" s="277"/>
      <c r="BP84" s="277"/>
      <c r="BQ84" s="277"/>
      <c r="BR84" s="277" t="e">
        <f t="shared" si="89"/>
        <v>#DIV/0!</v>
      </c>
      <c r="BS84" s="276">
        <v>57</v>
      </c>
      <c r="BT84" s="277">
        <v>1</v>
      </c>
      <c r="BU84" s="277">
        <v>56</v>
      </c>
      <c r="BV84" s="277"/>
      <c r="BW84" s="277">
        <f t="shared" si="90"/>
        <v>1</v>
      </c>
      <c r="BX84" s="276"/>
      <c r="BY84" s="277"/>
      <c r="BZ84" s="277">
        <v>20</v>
      </c>
      <c r="CA84" s="277"/>
      <c r="CB84" s="277">
        <f t="shared" si="91"/>
        <v>1</v>
      </c>
      <c r="CC84" s="276"/>
      <c r="CD84" s="277"/>
      <c r="CE84" s="277"/>
      <c r="CF84" s="277"/>
      <c r="CG84" s="277" t="e">
        <f t="shared" si="92"/>
        <v>#DIV/0!</v>
      </c>
      <c r="CH84" s="276"/>
      <c r="CI84" s="277"/>
      <c r="CJ84" s="277"/>
      <c r="CK84" s="277"/>
      <c r="CL84" s="277" t="e">
        <f t="shared" si="93"/>
        <v>#DIV/0!</v>
      </c>
      <c r="CM84" s="276"/>
      <c r="CN84" s="277"/>
      <c r="CO84" s="277"/>
      <c r="CP84" s="277"/>
      <c r="CQ84" s="277" t="e">
        <f t="shared" si="94"/>
        <v>#DIV/0!</v>
      </c>
      <c r="CR84" s="276"/>
      <c r="CS84" s="277"/>
      <c r="CT84" s="277"/>
      <c r="CU84" s="277"/>
      <c r="CV84" s="277" t="e">
        <f t="shared" si="95"/>
        <v>#DIV/0!</v>
      </c>
      <c r="CW84" s="276"/>
      <c r="CX84" s="277"/>
      <c r="CY84" s="277"/>
      <c r="CZ84" s="277"/>
      <c r="DA84" s="277" t="e">
        <f t="shared" si="96"/>
        <v>#DIV/0!</v>
      </c>
      <c r="DB84" s="276"/>
      <c r="DC84" s="277"/>
      <c r="DD84" s="277"/>
      <c r="DE84" s="277"/>
      <c r="DF84" s="277" t="e">
        <f t="shared" si="97"/>
        <v>#DIV/0!</v>
      </c>
      <c r="DG84" s="276"/>
      <c r="DH84" s="277"/>
      <c r="DI84" s="277"/>
      <c r="DJ84" s="277"/>
      <c r="DK84" s="277" t="e">
        <f t="shared" si="98"/>
        <v>#DIV/0!</v>
      </c>
      <c r="DL84" s="276"/>
      <c r="DM84" s="277"/>
      <c r="DN84" s="277"/>
      <c r="DO84" s="277"/>
      <c r="DP84" s="277" t="e">
        <f t="shared" si="99"/>
        <v>#DIV/0!</v>
      </c>
      <c r="DQ84" s="276"/>
      <c r="DR84" s="277"/>
      <c r="DS84" s="277"/>
      <c r="DT84" s="277"/>
      <c r="DU84" s="277" t="e">
        <f t="shared" si="100"/>
        <v>#DIV/0!</v>
      </c>
      <c r="DV84" s="276"/>
      <c r="DW84" s="277"/>
      <c r="DX84" s="277"/>
      <c r="DY84" s="277"/>
      <c r="DZ84" s="277" t="e">
        <f t="shared" si="101"/>
        <v>#DIV/0!</v>
      </c>
      <c r="EA84" s="276"/>
      <c r="EB84" s="277"/>
      <c r="EC84" s="277"/>
      <c r="ED84" s="277"/>
      <c r="EE84" s="277" t="e">
        <f t="shared" si="102"/>
        <v>#DIV/0!</v>
      </c>
      <c r="EF84" s="276"/>
      <c r="EG84" s="277"/>
      <c r="EH84" s="277"/>
      <c r="EI84" s="277"/>
      <c r="EJ84" s="277" t="e">
        <f t="shared" si="103"/>
        <v>#DIV/0!</v>
      </c>
      <c r="EK84" s="276"/>
      <c r="EL84" s="277"/>
      <c r="EM84" s="277"/>
      <c r="EN84" s="277"/>
      <c r="EO84" s="277" t="e">
        <f t="shared" si="104"/>
        <v>#DIV/0!</v>
      </c>
      <c r="EP84" s="276"/>
      <c r="EQ84" s="277"/>
      <c r="ER84" s="277"/>
      <c r="ES84" s="277"/>
      <c r="ET84" s="277" t="e">
        <f t="shared" si="105"/>
        <v>#DIV/0!</v>
      </c>
      <c r="EU84" s="276"/>
      <c r="EV84" s="277"/>
      <c r="EW84" s="277"/>
      <c r="EX84" s="277"/>
      <c r="EY84" s="277" t="e">
        <f t="shared" si="106"/>
        <v>#DIV/0!</v>
      </c>
      <c r="EZ84" s="276"/>
      <c r="FA84" s="277"/>
      <c r="FB84" s="277"/>
      <c r="FC84" s="277"/>
      <c r="FD84" s="277" t="e">
        <f t="shared" si="107"/>
        <v>#DIV/0!</v>
      </c>
      <c r="FE84" s="277">
        <f t="shared" si="117"/>
        <v>57</v>
      </c>
      <c r="FF84" s="277"/>
      <c r="FG84" s="277">
        <f t="shared" si="109"/>
        <v>1</v>
      </c>
      <c r="FH84" s="313">
        <f t="shared" si="110"/>
        <v>76</v>
      </c>
      <c r="FI84" s="314">
        <f t="shared" si="111"/>
        <v>1.77777777777778</v>
      </c>
      <c r="FJ84" s="277">
        <f t="shared" si="112"/>
        <v>28.348</v>
      </c>
      <c r="FK84" s="317"/>
      <c r="FL84" s="318"/>
      <c r="FM84" s="332"/>
    </row>
    <row r="85" s="214" customFormat="1" ht="27" customHeight="1" spans="1:169">
      <c r="A85" s="263"/>
      <c r="B85" s="335"/>
      <c r="C85" s="274"/>
      <c r="D85" s="233" t="s">
        <v>16</v>
      </c>
      <c r="E85" s="279">
        <v>0.373</v>
      </c>
      <c r="F85" s="276"/>
      <c r="G85" s="277"/>
      <c r="H85" s="277"/>
      <c r="I85" s="277"/>
      <c r="J85" s="277" t="e">
        <f t="shared" si="78"/>
        <v>#DIV/0!</v>
      </c>
      <c r="K85" s="276"/>
      <c r="L85" s="277"/>
      <c r="M85" s="277"/>
      <c r="N85" s="277"/>
      <c r="O85" s="277" t="e">
        <f t="shared" si="79"/>
        <v>#DIV/0!</v>
      </c>
      <c r="P85" s="276"/>
      <c r="Q85" s="277"/>
      <c r="R85" s="277"/>
      <c r="S85" s="277"/>
      <c r="T85" s="277" t="e">
        <f t="shared" si="80"/>
        <v>#DIV/0!</v>
      </c>
      <c r="U85" s="276"/>
      <c r="V85" s="277"/>
      <c r="W85" s="277"/>
      <c r="X85" s="277"/>
      <c r="Y85" s="277" t="e">
        <f t="shared" si="81"/>
        <v>#DIV/0!</v>
      </c>
      <c r="Z85" s="276"/>
      <c r="AA85" s="277"/>
      <c r="AB85" s="277"/>
      <c r="AC85" s="277"/>
      <c r="AD85" s="277" t="e">
        <f t="shared" si="82"/>
        <v>#DIV/0!</v>
      </c>
      <c r="AE85" s="276"/>
      <c r="AF85" s="277"/>
      <c r="AG85" s="277"/>
      <c r="AH85" s="277"/>
      <c r="AI85" s="277" t="e">
        <f t="shared" si="83"/>
        <v>#DIV/0!</v>
      </c>
      <c r="AJ85" s="276"/>
      <c r="AK85" s="277"/>
      <c r="AL85" s="277"/>
      <c r="AM85" s="277"/>
      <c r="AN85" s="277" t="e">
        <f t="shared" si="84"/>
        <v>#DIV/0!</v>
      </c>
      <c r="AO85" s="276"/>
      <c r="AP85" s="277"/>
      <c r="AQ85" s="277"/>
      <c r="AR85" s="277"/>
      <c r="AS85" s="277" t="e">
        <f t="shared" si="118"/>
        <v>#DIV/0!</v>
      </c>
      <c r="AT85" s="276"/>
      <c r="AU85" s="277"/>
      <c r="AV85" s="277"/>
      <c r="AW85" s="277"/>
      <c r="AX85" s="277" t="e">
        <f t="shared" si="85"/>
        <v>#DIV/0!</v>
      </c>
      <c r="AY85" s="276"/>
      <c r="AZ85" s="277"/>
      <c r="BA85" s="277"/>
      <c r="BB85" s="277"/>
      <c r="BC85" s="277" t="e">
        <f t="shared" si="86"/>
        <v>#DIV/0!</v>
      </c>
      <c r="BD85" s="276"/>
      <c r="BE85" s="277"/>
      <c r="BF85" s="277"/>
      <c r="BG85" s="277"/>
      <c r="BH85" s="277" t="e">
        <f t="shared" si="87"/>
        <v>#DIV/0!</v>
      </c>
      <c r="BI85" s="276"/>
      <c r="BJ85" s="277"/>
      <c r="BK85" s="277"/>
      <c r="BL85" s="277"/>
      <c r="BM85" s="277" t="e">
        <f t="shared" si="88"/>
        <v>#DIV/0!</v>
      </c>
      <c r="BN85" s="276"/>
      <c r="BO85" s="277"/>
      <c r="BP85" s="277"/>
      <c r="BQ85" s="277"/>
      <c r="BR85" s="277" t="e">
        <f t="shared" si="89"/>
        <v>#DIV/0!</v>
      </c>
      <c r="BS85" s="276"/>
      <c r="BT85" s="277"/>
      <c r="BU85" s="277"/>
      <c r="BV85" s="277"/>
      <c r="BW85" s="277" t="e">
        <f t="shared" si="90"/>
        <v>#DIV/0!</v>
      </c>
      <c r="BX85" s="276"/>
      <c r="BY85" s="277"/>
      <c r="BZ85" s="277"/>
      <c r="CA85" s="277"/>
      <c r="CB85" s="277" t="e">
        <f t="shared" si="91"/>
        <v>#DIV/0!</v>
      </c>
      <c r="CC85" s="276"/>
      <c r="CD85" s="277"/>
      <c r="CE85" s="277"/>
      <c r="CF85" s="277"/>
      <c r="CG85" s="277" t="e">
        <f t="shared" si="92"/>
        <v>#DIV/0!</v>
      </c>
      <c r="CH85" s="276"/>
      <c r="CI85" s="277"/>
      <c r="CJ85" s="277"/>
      <c r="CK85" s="277"/>
      <c r="CL85" s="277" t="e">
        <f t="shared" si="93"/>
        <v>#DIV/0!</v>
      </c>
      <c r="CM85" s="276"/>
      <c r="CN85" s="277"/>
      <c r="CO85" s="277"/>
      <c r="CP85" s="277"/>
      <c r="CQ85" s="277" t="e">
        <f t="shared" si="94"/>
        <v>#DIV/0!</v>
      </c>
      <c r="CR85" s="276"/>
      <c r="CS85" s="277"/>
      <c r="CT85" s="277"/>
      <c r="CU85" s="277"/>
      <c r="CV85" s="277" t="e">
        <f t="shared" si="95"/>
        <v>#DIV/0!</v>
      </c>
      <c r="CW85" s="276"/>
      <c r="CX85" s="277"/>
      <c r="CY85" s="277"/>
      <c r="CZ85" s="277"/>
      <c r="DA85" s="277" t="e">
        <f t="shared" si="96"/>
        <v>#DIV/0!</v>
      </c>
      <c r="DB85" s="276"/>
      <c r="DC85" s="277"/>
      <c r="DD85" s="277"/>
      <c r="DE85" s="277"/>
      <c r="DF85" s="277" t="e">
        <f t="shared" si="97"/>
        <v>#DIV/0!</v>
      </c>
      <c r="DG85" s="276"/>
      <c r="DH85" s="277"/>
      <c r="DI85" s="277"/>
      <c r="DJ85" s="277"/>
      <c r="DK85" s="277" t="e">
        <f t="shared" si="98"/>
        <v>#DIV/0!</v>
      </c>
      <c r="DL85" s="276"/>
      <c r="DM85" s="277"/>
      <c r="DN85" s="277"/>
      <c r="DO85" s="277"/>
      <c r="DP85" s="277" t="e">
        <f t="shared" si="99"/>
        <v>#DIV/0!</v>
      </c>
      <c r="DQ85" s="276"/>
      <c r="DR85" s="277"/>
      <c r="DS85" s="277"/>
      <c r="DT85" s="277"/>
      <c r="DU85" s="277" t="e">
        <f t="shared" si="100"/>
        <v>#DIV/0!</v>
      </c>
      <c r="DV85" s="276"/>
      <c r="DW85" s="277"/>
      <c r="DX85" s="277"/>
      <c r="DY85" s="277"/>
      <c r="DZ85" s="277" t="e">
        <f t="shared" si="101"/>
        <v>#DIV/0!</v>
      </c>
      <c r="EA85" s="276"/>
      <c r="EB85" s="277"/>
      <c r="EC85" s="277"/>
      <c r="ED85" s="277"/>
      <c r="EE85" s="277" t="e">
        <f t="shared" si="102"/>
        <v>#DIV/0!</v>
      </c>
      <c r="EF85" s="276"/>
      <c r="EG85" s="277"/>
      <c r="EH85" s="277"/>
      <c r="EI85" s="277"/>
      <c r="EJ85" s="277" t="e">
        <f t="shared" si="103"/>
        <v>#DIV/0!</v>
      </c>
      <c r="EK85" s="276"/>
      <c r="EL85" s="277"/>
      <c r="EM85" s="277"/>
      <c r="EN85" s="277"/>
      <c r="EO85" s="277" t="e">
        <f t="shared" si="104"/>
        <v>#DIV/0!</v>
      </c>
      <c r="EP85" s="276"/>
      <c r="EQ85" s="277"/>
      <c r="ER85" s="277"/>
      <c r="ES85" s="277"/>
      <c r="ET85" s="277" t="e">
        <f t="shared" si="105"/>
        <v>#DIV/0!</v>
      </c>
      <c r="EU85" s="276"/>
      <c r="EV85" s="277"/>
      <c r="EW85" s="277"/>
      <c r="EX85" s="277"/>
      <c r="EY85" s="277" t="e">
        <f t="shared" si="106"/>
        <v>#DIV/0!</v>
      </c>
      <c r="EZ85" s="276"/>
      <c r="FA85" s="277"/>
      <c r="FB85" s="277"/>
      <c r="FC85" s="277"/>
      <c r="FD85" s="277" t="e">
        <f t="shared" si="107"/>
        <v>#DIV/0!</v>
      </c>
      <c r="FE85" s="277">
        <f t="shared" si="117"/>
        <v>0</v>
      </c>
      <c r="FF85" s="277"/>
      <c r="FG85" s="277">
        <f t="shared" si="109"/>
        <v>0</v>
      </c>
      <c r="FH85" s="313">
        <f t="shared" si="110"/>
        <v>0</v>
      </c>
      <c r="FI85" s="314" t="e">
        <f t="shared" si="111"/>
        <v>#DIV/0!</v>
      </c>
      <c r="FJ85" s="277">
        <f t="shared" si="112"/>
        <v>0</v>
      </c>
      <c r="FK85" s="317"/>
      <c r="FL85" s="318"/>
      <c r="FM85" s="332"/>
    </row>
    <row r="86" s="214" customFormat="1" ht="27" customHeight="1" spans="1:169">
      <c r="A86" s="263"/>
      <c r="B86" s="336"/>
      <c r="C86" s="274"/>
      <c r="D86" s="233" t="s">
        <v>17</v>
      </c>
      <c r="E86" s="279">
        <v>0.373</v>
      </c>
      <c r="F86" s="276"/>
      <c r="G86" s="277"/>
      <c r="H86" s="277"/>
      <c r="I86" s="277"/>
      <c r="J86" s="277" t="e">
        <f t="shared" si="78"/>
        <v>#DIV/0!</v>
      </c>
      <c r="K86" s="276"/>
      <c r="L86" s="277"/>
      <c r="M86" s="277"/>
      <c r="N86" s="277"/>
      <c r="O86" s="277" t="e">
        <f t="shared" si="79"/>
        <v>#DIV/0!</v>
      </c>
      <c r="P86" s="276"/>
      <c r="Q86" s="277"/>
      <c r="R86" s="277"/>
      <c r="S86" s="277"/>
      <c r="T86" s="277" t="e">
        <f t="shared" si="80"/>
        <v>#DIV/0!</v>
      </c>
      <c r="U86" s="276"/>
      <c r="V86" s="277"/>
      <c r="W86" s="277"/>
      <c r="X86" s="277"/>
      <c r="Y86" s="277" t="e">
        <f t="shared" si="81"/>
        <v>#DIV/0!</v>
      </c>
      <c r="Z86" s="276"/>
      <c r="AA86" s="277"/>
      <c r="AB86" s="277"/>
      <c r="AC86" s="277"/>
      <c r="AD86" s="277" t="e">
        <f t="shared" si="82"/>
        <v>#DIV/0!</v>
      </c>
      <c r="AE86" s="276"/>
      <c r="AF86" s="277"/>
      <c r="AG86" s="277"/>
      <c r="AH86" s="277"/>
      <c r="AI86" s="277" t="e">
        <f t="shared" si="83"/>
        <v>#DIV/0!</v>
      </c>
      <c r="AJ86" s="276"/>
      <c r="AK86" s="277"/>
      <c r="AL86" s="277"/>
      <c r="AM86" s="277"/>
      <c r="AN86" s="277" t="e">
        <f t="shared" si="84"/>
        <v>#DIV/0!</v>
      </c>
      <c r="AO86" s="276"/>
      <c r="AP86" s="277"/>
      <c r="AQ86" s="277"/>
      <c r="AR86" s="277"/>
      <c r="AS86" s="277" t="e">
        <f t="shared" si="118"/>
        <v>#DIV/0!</v>
      </c>
      <c r="AT86" s="276"/>
      <c r="AU86" s="277"/>
      <c r="AV86" s="277"/>
      <c r="AW86" s="277"/>
      <c r="AX86" s="277" t="e">
        <f t="shared" si="85"/>
        <v>#DIV/0!</v>
      </c>
      <c r="AY86" s="276"/>
      <c r="AZ86" s="277"/>
      <c r="BA86" s="277"/>
      <c r="BB86" s="277"/>
      <c r="BC86" s="277" t="e">
        <f t="shared" si="86"/>
        <v>#DIV/0!</v>
      </c>
      <c r="BD86" s="276"/>
      <c r="BE86" s="277"/>
      <c r="BF86" s="277"/>
      <c r="BG86" s="277"/>
      <c r="BH86" s="277" t="e">
        <f t="shared" si="87"/>
        <v>#DIV/0!</v>
      </c>
      <c r="BI86" s="276"/>
      <c r="BJ86" s="277"/>
      <c r="BK86" s="277"/>
      <c r="BL86" s="277"/>
      <c r="BM86" s="277" t="e">
        <f t="shared" si="88"/>
        <v>#DIV/0!</v>
      </c>
      <c r="BN86" s="276"/>
      <c r="BO86" s="277"/>
      <c r="BP86" s="277"/>
      <c r="BQ86" s="277"/>
      <c r="BR86" s="277" t="e">
        <f t="shared" si="89"/>
        <v>#DIV/0!</v>
      </c>
      <c r="BS86" s="276"/>
      <c r="BT86" s="277"/>
      <c r="BU86" s="277"/>
      <c r="BV86" s="277"/>
      <c r="BW86" s="277" t="e">
        <f t="shared" si="90"/>
        <v>#DIV/0!</v>
      </c>
      <c r="BX86" s="276"/>
      <c r="BY86" s="277"/>
      <c r="BZ86" s="277"/>
      <c r="CA86" s="277"/>
      <c r="CB86" s="277" t="e">
        <f t="shared" si="91"/>
        <v>#DIV/0!</v>
      </c>
      <c r="CC86" s="276"/>
      <c r="CD86" s="277"/>
      <c r="CE86" s="277"/>
      <c r="CF86" s="277"/>
      <c r="CG86" s="277" t="e">
        <f t="shared" si="92"/>
        <v>#DIV/0!</v>
      </c>
      <c r="CH86" s="276"/>
      <c r="CI86" s="277"/>
      <c r="CJ86" s="277"/>
      <c r="CK86" s="277"/>
      <c r="CL86" s="277" t="e">
        <f t="shared" si="93"/>
        <v>#DIV/0!</v>
      </c>
      <c r="CM86" s="276"/>
      <c r="CN86" s="277"/>
      <c r="CO86" s="277"/>
      <c r="CP86" s="277"/>
      <c r="CQ86" s="277" t="e">
        <f t="shared" si="94"/>
        <v>#DIV/0!</v>
      </c>
      <c r="CR86" s="276"/>
      <c r="CS86" s="277"/>
      <c r="CT86" s="277"/>
      <c r="CU86" s="277"/>
      <c r="CV86" s="277" t="e">
        <f t="shared" si="95"/>
        <v>#DIV/0!</v>
      </c>
      <c r="CW86" s="276"/>
      <c r="CX86" s="277"/>
      <c r="CY86" s="277"/>
      <c r="CZ86" s="277"/>
      <c r="DA86" s="277" t="e">
        <f t="shared" si="96"/>
        <v>#DIV/0!</v>
      </c>
      <c r="DB86" s="276"/>
      <c r="DC86" s="277"/>
      <c r="DD86" s="277"/>
      <c r="DE86" s="277"/>
      <c r="DF86" s="277" t="e">
        <f t="shared" si="97"/>
        <v>#DIV/0!</v>
      </c>
      <c r="DG86" s="276"/>
      <c r="DH86" s="277"/>
      <c r="DI86" s="277"/>
      <c r="DJ86" s="277"/>
      <c r="DK86" s="277" t="e">
        <f t="shared" si="98"/>
        <v>#DIV/0!</v>
      </c>
      <c r="DL86" s="276"/>
      <c r="DM86" s="277"/>
      <c r="DN86" s="277"/>
      <c r="DO86" s="277"/>
      <c r="DP86" s="277" t="e">
        <f t="shared" si="99"/>
        <v>#DIV/0!</v>
      </c>
      <c r="DQ86" s="276"/>
      <c r="DR86" s="277"/>
      <c r="DS86" s="277"/>
      <c r="DT86" s="277"/>
      <c r="DU86" s="277" t="e">
        <f t="shared" si="100"/>
        <v>#DIV/0!</v>
      </c>
      <c r="DV86" s="276"/>
      <c r="DW86" s="277"/>
      <c r="DX86" s="277"/>
      <c r="DY86" s="277"/>
      <c r="DZ86" s="277" t="e">
        <f t="shared" si="101"/>
        <v>#DIV/0!</v>
      </c>
      <c r="EA86" s="276"/>
      <c r="EB86" s="277"/>
      <c r="EC86" s="277"/>
      <c r="ED86" s="277"/>
      <c r="EE86" s="277" t="e">
        <f t="shared" si="102"/>
        <v>#DIV/0!</v>
      </c>
      <c r="EF86" s="276"/>
      <c r="EG86" s="277"/>
      <c r="EH86" s="277"/>
      <c r="EI86" s="277"/>
      <c r="EJ86" s="277" t="e">
        <f t="shared" si="103"/>
        <v>#DIV/0!</v>
      </c>
      <c r="EK86" s="276"/>
      <c r="EL86" s="277"/>
      <c r="EM86" s="277"/>
      <c r="EN86" s="277"/>
      <c r="EO86" s="277" t="e">
        <f t="shared" si="104"/>
        <v>#DIV/0!</v>
      </c>
      <c r="EP86" s="276"/>
      <c r="EQ86" s="277"/>
      <c r="ER86" s="277"/>
      <c r="ES86" s="277"/>
      <c r="ET86" s="277" t="e">
        <f t="shared" si="105"/>
        <v>#DIV/0!</v>
      </c>
      <c r="EU86" s="276"/>
      <c r="EV86" s="277"/>
      <c r="EW86" s="277"/>
      <c r="EX86" s="277"/>
      <c r="EY86" s="277" t="e">
        <f t="shared" si="106"/>
        <v>#DIV/0!</v>
      </c>
      <c r="EZ86" s="276"/>
      <c r="FA86" s="277"/>
      <c r="FB86" s="277"/>
      <c r="FC86" s="277"/>
      <c r="FD86" s="277" t="e">
        <f t="shared" si="107"/>
        <v>#DIV/0!</v>
      </c>
      <c r="FE86" s="277">
        <f t="shared" si="117"/>
        <v>0</v>
      </c>
      <c r="FF86" s="277"/>
      <c r="FG86" s="277">
        <f t="shared" si="109"/>
        <v>0</v>
      </c>
      <c r="FH86" s="313">
        <f t="shared" si="110"/>
        <v>0</v>
      </c>
      <c r="FI86" s="314" t="e">
        <f t="shared" si="111"/>
        <v>#DIV/0!</v>
      </c>
      <c r="FJ86" s="277">
        <f t="shared" si="112"/>
        <v>0</v>
      </c>
      <c r="FK86" s="319"/>
      <c r="FL86" s="320"/>
      <c r="FM86" s="333"/>
    </row>
    <row r="87" s="214" customFormat="1" ht="27" customHeight="1" spans="1:169">
      <c r="A87" s="263">
        <v>16</v>
      </c>
      <c r="B87" s="334" t="s">
        <v>33</v>
      </c>
      <c r="C87" s="274"/>
      <c r="D87" s="233" t="s">
        <v>8</v>
      </c>
      <c r="E87" s="275">
        <v>0.4</v>
      </c>
      <c r="F87" s="276">
        <v>111</v>
      </c>
      <c r="G87" s="276">
        <v>1</v>
      </c>
      <c r="H87" s="277">
        <v>110</v>
      </c>
      <c r="I87" s="277"/>
      <c r="J87" s="277">
        <f t="shared" ref="J87:J106" si="119">H87/(H87+I87)*H87/(H87+I87)</f>
        <v>1</v>
      </c>
      <c r="K87" s="276">
        <v>119</v>
      </c>
      <c r="L87" s="276"/>
      <c r="M87" s="277">
        <v>117</v>
      </c>
      <c r="N87" s="277">
        <v>2</v>
      </c>
      <c r="O87" s="277">
        <f t="shared" ref="O87:O106" si="120">M87/(M87+N87)*M87/(M87+N87)</f>
        <v>0.966669020549396</v>
      </c>
      <c r="P87" s="276">
        <v>40</v>
      </c>
      <c r="Q87" s="276">
        <v>1</v>
      </c>
      <c r="R87" s="277">
        <v>229</v>
      </c>
      <c r="S87" s="277"/>
      <c r="T87" s="277">
        <f t="shared" ref="T87:T106" si="121">R87/(R87+S87)*R87/(R87+S87)</f>
        <v>1</v>
      </c>
      <c r="U87" s="276"/>
      <c r="V87" s="276"/>
      <c r="W87" s="277"/>
      <c r="X87" s="277"/>
      <c r="Y87" s="277" t="e">
        <f t="shared" ref="Y87:Y106" si="122">W87/(W87+X87)*W87/(W87+X87)</f>
        <v>#DIV/0!</v>
      </c>
      <c r="Z87" s="276">
        <v>112</v>
      </c>
      <c r="AA87" s="276">
        <v>1</v>
      </c>
      <c r="AB87" s="277">
        <v>101</v>
      </c>
      <c r="AC87" s="277">
        <v>10</v>
      </c>
      <c r="AD87" s="277">
        <f t="shared" ref="AD87:AD111" si="123">AB87/(AB87+AC87)*AB87/(AB87+AC87)</f>
        <v>0.82793604415226</v>
      </c>
      <c r="AE87" s="276">
        <v>126</v>
      </c>
      <c r="AF87" s="276"/>
      <c r="AG87" s="277">
        <v>116</v>
      </c>
      <c r="AH87" s="277">
        <v>10</v>
      </c>
      <c r="AI87" s="277">
        <f t="shared" ref="AI87:AI106" si="124">AG87/(AG87+AH87)*AG87/(AG87+AH87)</f>
        <v>0.847568657092467</v>
      </c>
      <c r="AJ87" s="276">
        <v>135</v>
      </c>
      <c r="AK87" s="276">
        <v>1</v>
      </c>
      <c r="AL87" s="277">
        <v>119</v>
      </c>
      <c r="AM87" s="277">
        <v>15</v>
      </c>
      <c r="AN87" s="277">
        <f t="shared" ref="AN87:AN106" si="125">AL87/(AL87+AM87)*AL87/(AL87+AM87)</f>
        <v>0.788650033415014</v>
      </c>
      <c r="AO87" s="276">
        <v>104</v>
      </c>
      <c r="AP87" s="276"/>
      <c r="AQ87" s="277">
        <v>92</v>
      </c>
      <c r="AR87" s="277">
        <v>12</v>
      </c>
      <c r="AS87" s="277">
        <f t="shared" si="118"/>
        <v>0.782544378698225</v>
      </c>
      <c r="AT87" s="276">
        <v>113</v>
      </c>
      <c r="AU87" s="276">
        <v>3</v>
      </c>
      <c r="AV87" s="277">
        <v>110</v>
      </c>
      <c r="AW87" s="277"/>
      <c r="AX87" s="277">
        <f t="shared" ref="AX87:AX106" si="126">AV87/(AV87+AW87)*AV87/(AV87+AW87)</f>
        <v>1</v>
      </c>
      <c r="AY87" s="276">
        <v>120</v>
      </c>
      <c r="AZ87" s="276"/>
      <c r="BA87" s="277">
        <v>105</v>
      </c>
      <c r="BB87" s="277">
        <v>15</v>
      </c>
      <c r="BC87" s="277">
        <f t="shared" ref="BC87:BC106" si="127">BA87/(BA87+BB87)*BA87/(BA87+BB87)</f>
        <v>0.765625</v>
      </c>
      <c r="BD87" s="276">
        <v>126</v>
      </c>
      <c r="BE87" s="276">
        <v>1</v>
      </c>
      <c r="BF87" s="277">
        <v>115</v>
      </c>
      <c r="BG87" s="277">
        <v>10</v>
      </c>
      <c r="BH87" s="277">
        <f t="shared" ref="BH87:BH106" si="128">BF87/(BF87+BG87)*BF87/(BF87+BG87)</f>
        <v>0.8464</v>
      </c>
      <c r="BI87" s="276">
        <v>105</v>
      </c>
      <c r="BJ87" s="276">
        <v>1</v>
      </c>
      <c r="BK87" s="277">
        <v>95</v>
      </c>
      <c r="BL87" s="277">
        <v>9</v>
      </c>
      <c r="BM87" s="277">
        <f t="shared" ref="BM87:BM106" si="129">BK87/(BK87+BL87)*BK87/(BK87+BL87)</f>
        <v>0.834411982248521</v>
      </c>
      <c r="BN87" s="276">
        <v>111</v>
      </c>
      <c r="BO87" s="276"/>
      <c r="BP87" s="277">
        <v>102</v>
      </c>
      <c r="BQ87" s="277">
        <v>9</v>
      </c>
      <c r="BR87" s="277">
        <f t="shared" ref="BR87:BR106" si="130">BP87/(BP87+BQ87)*BP87/(BP87+BQ87)</f>
        <v>0.844411979547115</v>
      </c>
      <c r="BS87" s="276">
        <v>136</v>
      </c>
      <c r="BT87" s="276"/>
      <c r="BU87" s="277">
        <v>121</v>
      </c>
      <c r="BV87" s="277">
        <v>15</v>
      </c>
      <c r="BW87" s="277">
        <f t="shared" ref="BW87:BW106" si="131">BU87/(BU87+BV87)*BU87/(BU87+BV87)</f>
        <v>0.791576557093426</v>
      </c>
      <c r="BX87" s="276">
        <v>99</v>
      </c>
      <c r="BY87" s="276">
        <v>2</v>
      </c>
      <c r="BZ87" s="277">
        <v>87</v>
      </c>
      <c r="CA87" s="277">
        <v>10</v>
      </c>
      <c r="CB87" s="277">
        <f t="shared" ref="CB87:CB106" si="132">BZ87/(BZ87+CA87)*BZ87/(BZ87+CA87)</f>
        <v>0.804442555000531</v>
      </c>
      <c r="CC87" s="276">
        <v>124</v>
      </c>
      <c r="CD87" s="276">
        <v>4</v>
      </c>
      <c r="CE87" s="277">
        <v>102</v>
      </c>
      <c r="CF87" s="277">
        <v>18</v>
      </c>
      <c r="CG87" s="277">
        <f t="shared" ref="CG87:CG106" si="133">CE87/(CE87+CF87)*CE87/(CE87+CF87)</f>
        <v>0.7225</v>
      </c>
      <c r="CH87" s="276">
        <v>106</v>
      </c>
      <c r="CI87" s="276">
        <v>4</v>
      </c>
      <c r="CJ87" s="277">
        <v>92</v>
      </c>
      <c r="CK87" s="277">
        <v>10</v>
      </c>
      <c r="CL87" s="277">
        <f t="shared" ref="CL87:CL106" si="134">CJ87/(CJ87+CK87)*CJ87/(CJ87+CK87)</f>
        <v>0.813533256439831</v>
      </c>
      <c r="CM87" s="276">
        <v>131</v>
      </c>
      <c r="CN87" s="276">
        <v>9</v>
      </c>
      <c r="CO87" s="277">
        <v>112</v>
      </c>
      <c r="CP87" s="277">
        <v>10</v>
      </c>
      <c r="CQ87" s="277">
        <f t="shared" ref="CQ87:CQ106" si="135">CO87/(CO87+CP87)*CO87/(CO87+CP87)</f>
        <v>0.842784197796291</v>
      </c>
      <c r="CR87" s="276">
        <v>52</v>
      </c>
      <c r="CS87" s="276">
        <v>3</v>
      </c>
      <c r="CT87" s="277">
        <v>49</v>
      </c>
      <c r="CU87" s="277"/>
      <c r="CV87" s="277">
        <f t="shared" ref="CV87:CV106" si="136">CT87/(CT87+CU87)*CT87/(CT87+CU87)</f>
        <v>1</v>
      </c>
      <c r="CW87" s="276"/>
      <c r="CX87" s="276"/>
      <c r="CY87" s="277">
        <v>30</v>
      </c>
      <c r="CZ87" s="277"/>
      <c r="DA87" s="277">
        <f t="shared" ref="DA87:DA106" si="137">CY87/(CY87+CZ87)*CY87/(CY87+CZ87)</f>
        <v>1</v>
      </c>
      <c r="DB87" s="276">
        <v>127</v>
      </c>
      <c r="DC87" s="276">
        <v>1</v>
      </c>
      <c r="DD87" s="277">
        <v>116</v>
      </c>
      <c r="DE87" s="277">
        <v>10</v>
      </c>
      <c r="DF87" s="277">
        <f t="shared" ref="DF87:DF106" si="138">DD87/(DD87+DE87)*DD87/(DD87+DE87)</f>
        <v>0.847568657092467</v>
      </c>
      <c r="DG87" s="276">
        <v>106</v>
      </c>
      <c r="DH87" s="276">
        <v>1</v>
      </c>
      <c r="DI87" s="277">
        <v>95</v>
      </c>
      <c r="DJ87" s="277">
        <v>10</v>
      </c>
      <c r="DK87" s="277">
        <f t="shared" ref="DK87:DK106" si="139">DI87/(DI87+DJ87)*DI87/(DI87+DJ87)</f>
        <v>0.81859410430839</v>
      </c>
      <c r="DL87" s="276">
        <v>132</v>
      </c>
      <c r="DM87" s="276">
        <v>1</v>
      </c>
      <c r="DN87" s="277">
        <v>116</v>
      </c>
      <c r="DO87" s="277">
        <v>15</v>
      </c>
      <c r="DP87" s="277">
        <f t="shared" ref="DP87:DP106" si="140">DN87/(DN87+DO87)*DN87/(DN87+DO87)</f>
        <v>0.784103490472583</v>
      </c>
      <c r="DQ87" s="276">
        <v>104</v>
      </c>
      <c r="DR87" s="276"/>
      <c r="DS87" s="277">
        <v>104</v>
      </c>
      <c r="DT87" s="277"/>
      <c r="DU87" s="277">
        <f t="shared" ref="DU87:DU106" si="141">DS87/(DS87+DT87)*DS87/(DS87+DT87)</f>
        <v>1</v>
      </c>
      <c r="DV87" s="276">
        <v>138</v>
      </c>
      <c r="DW87" s="276"/>
      <c r="DX87" s="277">
        <v>128</v>
      </c>
      <c r="DY87" s="277">
        <v>10</v>
      </c>
      <c r="DZ87" s="277">
        <f t="shared" ref="DZ87:DZ106" si="142">DX87/(DX87+DY87)*DX87/(DX87+DY87)</f>
        <v>0.860323461457677</v>
      </c>
      <c r="EA87" s="276">
        <v>130</v>
      </c>
      <c r="EB87" s="276">
        <v>5</v>
      </c>
      <c r="EC87" s="277">
        <v>115</v>
      </c>
      <c r="ED87" s="277">
        <v>10</v>
      </c>
      <c r="EE87" s="277">
        <f t="shared" ref="EE87:EE106" si="143">EC87/(EC87+ED87)*EC87/(EC87+ED87)</f>
        <v>0.8464</v>
      </c>
      <c r="EF87" s="276">
        <v>134</v>
      </c>
      <c r="EG87" s="276">
        <v>4</v>
      </c>
      <c r="EH87" s="277">
        <v>115</v>
      </c>
      <c r="EI87" s="277">
        <v>15</v>
      </c>
      <c r="EJ87" s="277">
        <f t="shared" ref="EJ87:EJ106" si="144">EH87/(EH87+EI87)*EH87/(EH87+EI87)</f>
        <v>0.782544378698225</v>
      </c>
      <c r="EK87" s="276">
        <v>136</v>
      </c>
      <c r="EL87" s="276">
        <v>1</v>
      </c>
      <c r="EM87" s="277">
        <v>125</v>
      </c>
      <c r="EN87" s="277">
        <v>10</v>
      </c>
      <c r="EO87" s="277">
        <f t="shared" ref="EO87:EO106" si="145">EM87/(EM87+EN87)*EM87/(EM87+EN87)</f>
        <v>0.857338820301783</v>
      </c>
      <c r="EP87" s="276">
        <v>136</v>
      </c>
      <c r="EQ87" s="276">
        <v>4</v>
      </c>
      <c r="ER87" s="277">
        <v>122</v>
      </c>
      <c r="ES87" s="277">
        <v>10</v>
      </c>
      <c r="ET87" s="277">
        <f t="shared" ref="ET87:ET106" si="146">ER87/(ER87+ES87)*ER87/(ER87+ES87)</f>
        <v>0.854224058769513</v>
      </c>
      <c r="EU87" s="276"/>
      <c r="EV87" s="276"/>
      <c r="EW87" s="277">
        <v>182</v>
      </c>
      <c r="EX87" s="277"/>
      <c r="EY87" s="277">
        <f t="shared" ref="EY87:EY106" si="147">EW87/(EW87+EX87)*EW87/(EW87+EX87)</f>
        <v>1</v>
      </c>
      <c r="EZ87" s="276"/>
      <c r="FA87" s="276"/>
      <c r="FB87" s="277"/>
      <c r="FC87" s="277"/>
      <c r="FD87" s="277" t="e">
        <f t="shared" ref="FD87:FD106" si="148">FB87/(FB87+FC87)*FB87/(FB87+FC87)</f>
        <v>#DIV/0!</v>
      </c>
      <c r="FE87" s="277">
        <f t="shared" si="117"/>
        <v>3113</v>
      </c>
      <c r="FF87" s="277"/>
      <c r="FG87" s="277">
        <f t="shared" ref="FG87:FG106" si="149">FA87+EQ87+EL87+EG87+EB87+DW87+DR87+DM87+DH87+DC87+CX87+CS87+CN87+CI87+CD87+BY87+BT87+BO87+BJ87+BE87+AZ87+AU87+AP87+AK87+AF87+AA87+V87+Q87+L87+G87</f>
        <v>48</v>
      </c>
      <c r="FH87" s="313">
        <f t="shared" si="110"/>
        <v>3222</v>
      </c>
      <c r="FI87" s="314">
        <f t="shared" ref="FI87:FI106" si="150">FH87/FE87*FH87/FE87</f>
        <v>1.07125492311291</v>
      </c>
      <c r="FJ87" s="277">
        <f t="shared" ref="FJ87:FJ107" si="151">FH87*E87</f>
        <v>1288.8</v>
      </c>
      <c r="FK87" s="315">
        <f>FJ87+FJ88+FJ89+FJ90+FJ91+FJ92+FJ93+FJ94+FJ95+FJ96</f>
        <v>3126.564</v>
      </c>
      <c r="FL87" s="316">
        <f>(FH87+FH88+FH89+FH90+FH91+FH92+FH93+FH94+FH95+FH96)/(FE87+FE88+FE89+FE90+FE91+FE92+FE93+FE94+FE95+FE96)</f>
        <v>1.02724388878522</v>
      </c>
      <c r="FM87" s="329"/>
    </row>
    <row r="88" s="214" customFormat="1" ht="27" customHeight="1" spans="1:169">
      <c r="A88" s="263"/>
      <c r="B88" s="335"/>
      <c r="C88" s="274"/>
      <c r="D88" s="233" t="s">
        <v>9</v>
      </c>
      <c r="E88" s="279">
        <v>0.133</v>
      </c>
      <c r="F88" s="276">
        <v>133</v>
      </c>
      <c r="G88" s="276">
        <v>1</v>
      </c>
      <c r="H88" s="277">
        <v>132</v>
      </c>
      <c r="I88" s="277"/>
      <c r="J88" s="277">
        <f t="shared" si="119"/>
        <v>1</v>
      </c>
      <c r="K88" s="276">
        <v>179</v>
      </c>
      <c r="L88" s="276">
        <v>2</v>
      </c>
      <c r="M88" s="277">
        <v>176</v>
      </c>
      <c r="N88" s="277">
        <v>1</v>
      </c>
      <c r="O88" s="277">
        <f t="shared" si="120"/>
        <v>0.988732484279741</v>
      </c>
      <c r="P88" s="276"/>
      <c r="Q88" s="276"/>
      <c r="R88" s="277"/>
      <c r="S88" s="277"/>
      <c r="T88" s="277" t="e">
        <f t="shared" si="121"/>
        <v>#DIV/0!</v>
      </c>
      <c r="U88" s="276"/>
      <c r="V88" s="276"/>
      <c r="W88" s="277"/>
      <c r="X88" s="277"/>
      <c r="Y88" s="277" t="e">
        <f t="shared" si="122"/>
        <v>#DIV/0!</v>
      </c>
      <c r="Z88" s="276"/>
      <c r="AA88" s="276"/>
      <c r="AB88" s="277"/>
      <c r="AC88" s="277"/>
      <c r="AD88" s="277" t="e">
        <f t="shared" si="123"/>
        <v>#DIV/0!</v>
      </c>
      <c r="AE88" s="276"/>
      <c r="AF88" s="276"/>
      <c r="AG88" s="277"/>
      <c r="AH88" s="277"/>
      <c r="AI88" s="277" t="e">
        <f t="shared" si="124"/>
        <v>#DIV/0!</v>
      </c>
      <c r="AJ88" s="276"/>
      <c r="AK88" s="276"/>
      <c r="AL88" s="277"/>
      <c r="AM88" s="277"/>
      <c r="AN88" s="277" t="e">
        <f t="shared" si="125"/>
        <v>#DIV/0!</v>
      </c>
      <c r="AO88" s="276"/>
      <c r="AP88" s="276"/>
      <c r="AQ88" s="277"/>
      <c r="AR88" s="277"/>
      <c r="AS88" s="277" t="e">
        <f t="shared" si="118"/>
        <v>#DIV/0!</v>
      </c>
      <c r="AT88" s="276"/>
      <c r="AU88" s="276"/>
      <c r="AV88" s="277"/>
      <c r="AW88" s="277"/>
      <c r="AX88" s="277" t="e">
        <f t="shared" si="126"/>
        <v>#DIV/0!</v>
      </c>
      <c r="AY88" s="276"/>
      <c r="AZ88" s="276"/>
      <c r="BA88" s="277"/>
      <c r="BB88" s="277"/>
      <c r="BC88" s="277" t="e">
        <f t="shared" si="127"/>
        <v>#DIV/0!</v>
      </c>
      <c r="BD88" s="276"/>
      <c r="BE88" s="276"/>
      <c r="BF88" s="277"/>
      <c r="BG88" s="277"/>
      <c r="BH88" s="277" t="e">
        <f t="shared" si="128"/>
        <v>#DIV/0!</v>
      </c>
      <c r="BI88" s="276"/>
      <c r="BJ88" s="276"/>
      <c r="BK88" s="277"/>
      <c r="BL88" s="277"/>
      <c r="BM88" s="277" t="e">
        <f t="shared" si="129"/>
        <v>#DIV/0!</v>
      </c>
      <c r="BN88" s="276"/>
      <c r="BO88" s="276"/>
      <c r="BP88" s="277"/>
      <c r="BQ88" s="277"/>
      <c r="BR88" s="277" t="e">
        <f t="shared" si="130"/>
        <v>#DIV/0!</v>
      </c>
      <c r="BS88" s="276"/>
      <c r="BT88" s="276"/>
      <c r="BU88" s="277"/>
      <c r="BV88" s="277"/>
      <c r="BW88" s="277" t="e">
        <f t="shared" si="131"/>
        <v>#DIV/0!</v>
      </c>
      <c r="BX88" s="276"/>
      <c r="BY88" s="276"/>
      <c r="BZ88" s="277"/>
      <c r="CA88" s="277"/>
      <c r="CB88" s="277" t="e">
        <f t="shared" si="132"/>
        <v>#DIV/0!</v>
      </c>
      <c r="CC88" s="276"/>
      <c r="CD88" s="276"/>
      <c r="CE88" s="277"/>
      <c r="CF88" s="277"/>
      <c r="CG88" s="277" t="e">
        <f t="shared" si="133"/>
        <v>#DIV/0!</v>
      </c>
      <c r="CH88" s="276"/>
      <c r="CI88" s="276"/>
      <c r="CJ88" s="277"/>
      <c r="CK88" s="277"/>
      <c r="CL88" s="277" t="e">
        <f t="shared" si="134"/>
        <v>#DIV/0!</v>
      </c>
      <c r="CM88" s="276"/>
      <c r="CN88" s="276"/>
      <c r="CO88" s="277"/>
      <c r="CP88" s="277"/>
      <c r="CQ88" s="277" t="e">
        <f t="shared" si="135"/>
        <v>#DIV/0!</v>
      </c>
      <c r="CR88" s="276"/>
      <c r="CS88" s="276"/>
      <c r="CT88" s="277"/>
      <c r="CU88" s="277"/>
      <c r="CV88" s="277" t="e">
        <f t="shared" si="136"/>
        <v>#DIV/0!</v>
      </c>
      <c r="CW88" s="276"/>
      <c r="CX88" s="276"/>
      <c r="CY88" s="277"/>
      <c r="CZ88" s="277"/>
      <c r="DA88" s="277" t="e">
        <f t="shared" si="137"/>
        <v>#DIV/0!</v>
      </c>
      <c r="DB88" s="276"/>
      <c r="DC88" s="276"/>
      <c r="DD88" s="277"/>
      <c r="DE88" s="277"/>
      <c r="DF88" s="277" t="e">
        <f t="shared" si="138"/>
        <v>#DIV/0!</v>
      </c>
      <c r="DG88" s="276"/>
      <c r="DH88" s="276"/>
      <c r="DI88" s="277"/>
      <c r="DJ88" s="277"/>
      <c r="DK88" s="277" t="e">
        <f t="shared" si="139"/>
        <v>#DIV/0!</v>
      </c>
      <c r="DL88" s="276"/>
      <c r="DM88" s="276"/>
      <c r="DN88" s="277"/>
      <c r="DO88" s="277"/>
      <c r="DP88" s="277" t="e">
        <f t="shared" si="140"/>
        <v>#DIV/0!</v>
      </c>
      <c r="DQ88" s="276"/>
      <c r="DR88" s="276"/>
      <c r="DS88" s="277"/>
      <c r="DT88" s="277"/>
      <c r="DU88" s="277" t="e">
        <f t="shared" si="141"/>
        <v>#DIV/0!</v>
      </c>
      <c r="DV88" s="276"/>
      <c r="DW88" s="276"/>
      <c r="DX88" s="277"/>
      <c r="DY88" s="277"/>
      <c r="DZ88" s="277" t="e">
        <f t="shared" si="142"/>
        <v>#DIV/0!</v>
      </c>
      <c r="EA88" s="276"/>
      <c r="EB88" s="276"/>
      <c r="EC88" s="277"/>
      <c r="ED88" s="277"/>
      <c r="EE88" s="277" t="e">
        <f t="shared" si="143"/>
        <v>#DIV/0!</v>
      </c>
      <c r="EF88" s="276"/>
      <c r="EG88" s="276"/>
      <c r="EH88" s="277"/>
      <c r="EI88" s="277"/>
      <c r="EJ88" s="277" t="e">
        <f t="shared" si="144"/>
        <v>#DIV/0!</v>
      </c>
      <c r="EK88" s="276"/>
      <c r="EL88" s="276"/>
      <c r="EM88" s="277"/>
      <c r="EN88" s="277"/>
      <c r="EO88" s="277" t="e">
        <f t="shared" si="145"/>
        <v>#DIV/0!</v>
      </c>
      <c r="EP88" s="276"/>
      <c r="EQ88" s="276"/>
      <c r="ER88" s="277"/>
      <c r="ES88" s="277"/>
      <c r="ET88" s="277" t="e">
        <f t="shared" si="146"/>
        <v>#DIV/0!</v>
      </c>
      <c r="EU88" s="276"/>
      <c r="EV88" s="276"/>
      <c r="EW88" s="277"/>
      <c r="EX88" s="277"/>
      <c r="EY88" s="277" t="e">
        <f t="shared" si="147"/>
        <v>#DIV/0!</v>
      </c>
      <c r="EZ88" s="276"/>
      <c r="FA88" s="276"/>
      <c r="FB88" s="277"/>
      <c r="FC88" s="277"/>
      <c r="FD88" s="277" t="e">
        <f t="shared" si="148"/>
        <v>#DIV/0!</v>
      </c>
      <c r="FE88" s="277">
        <f t="shared" si="117"/>
        <v>312</v>
      </c>
      <c r="FF88" s="277"/>
      <c r="FG88" s="277">
        <f t="shared" si="149"/>
        <v>3</v>
      </c>
      <c r="FH88" s="313">
        <f t="shared" si="110"/>
        <v>308</v>
      </c>
      <c r="FI88" s="314">
        <f t="shared" si="150"/>
        <v>0.974523339907955</v>
      </c>
      <c r="FJ88" s="277">
        <f t="shared" si="151"/>
        <v>40.964</v>
      </c>
      <c r="FK88" s="317"/>
      <c r="FL88" s="318"/>
      <c r="FM88" s="332"/>
    </row>
    <row r="89" s="214" customFormat="1" ht="27" customHeight="1" spans="1:169">
      <c r="A89" s="263"/>
      <c r="B89" s="335"/>
      <c r="C89" s="274"/>
      <c r="D89" s="233" t="s">
        <v>10</v>
      </c>
      <c r="E89" s="279">
        <v>0.133</v>
      </c>
      <c r="F89" s="276"/>
      <c r="G89" s="277"/>
      <c r="H89" s="277"/>
      <c r="I89" s="277"/>
      <c r="J89" s="277" t="e">
        <f t="shared" si="119"/>
        <v>#DIV/0!</v>
      </c>
      <c r="K89" s="276"/>
      <c r="L89" s="277"/>
      <c r="M89" s="277"/>
      <c r="N89" s="277"/>
      <c r="O89" s="277" t="e">
        <f t="shared" si="120"/>
        <v>#DIV/0!</v>
      </c>
      <c r="P89" s="276"/>
      <c r="Q89" s="277"/>
      <c r="R89" s="277"/>
      <c r="S89" s="277"/>
      <c r="T89" s="277" t="e">
        <f t="shared" si="121"/>
        <v>#DIV/0!</v>
      </c>
      <c r="U89" s="276"/>
      <c r="V89" s="277"/>
      <c r="W89" s="277"/>
      <c r="X89" s="277"/>
      <c r="Y89" s="277" t="e">
        <f t="shared" si="122"/>
        <v>#DIV/0!</v>
      </c>
      <c r="Z89" s="276"/>
      <c r="AA89" s="277"/>
      <c r="AB89" s="277"/>
      <c r="AC89" s="277"/>
      <c r="AD89" s="277" t="e">
        <f t="shared" si="123"/>
        <v>#DIV/0!</v>
      </c>
      <c r="AE89" s="276"/>
      <c r="AF89" s="277"/>
      <c r="AG89" s="277"/>
      <c r="AH89" s="277"/>
      <c r="AI89" s="277" t="e">
        <f t="shared" si="124"/>
        <v>#DIV/0!</v>
      </c>
      <c r="AJ89" s="276"/>
      <c r="AK89" s="277"/>
      <c r="AL89" s="277"/>
      <c r="AM89" s="277"/>
      <c r="AN89" s="277" t="e">
        <f t="shared" si="125"/>
        <v>#DIV/0!</v>
      </c>
      <c r="AO89" s="276"/>
      <c r="AP89" s="277"/>
      <c r="AQ89" s="277"/>
      <c r="AR89" s="277"/>
      <c r="AS89" s="277" t="e">
        <f t="shared" ref="AS89:AS98" si="152">AQ89/(AQ89+AR89)*AQ89/(AQ89+AR89)</f>
        <v>#DIV/0!</v>
      </c>
      <c r="AT89" s="276"/>
      <c r="AU89" s="277"/>
      <c r="AV89" s="277"/>
      <c r="AW89" s="277"/>
      <c r="AX89" s="277" t="e">
        <f t="shared" si="126"/>
        <v>#DIV/0!</v>
      </c>
      <c r="AY89" s="276"/>
      <c r="AZ89" s="277"/>
      <c r="BA89" s="277"/>
      <c r="BB89" s="277"/>
      <c r="BC89" s="277" t="e">
        <f t="shared" si="127"/>
        <v>#DIV/0!</v>
      </c>
      <c r="BD89" s="276"/>
      <c r="BE89" s="277"/>
      <c r="BF89" s="277"/>
      <c r="BG89" s="277"/>
      <c r="BH89" s="277" t="e">
        <f t="shared" si="128"/>
        <v>#DIV/0!</v>
      </c>
      <c r="BI89" s="276"/>
      <c r="BJ89" s="277"/>
      <c r="BK89" s="277"/>
      <c r="BL89" s="277"/>
      <c r="BM89" s="277" t="e">
        <f t="shared" si="129"/>
        <v>#DIV/0!</v>
      </c>
      <c r="BN89" s="276"/>
      <c r="BO89" s="277"/>
      <c r="BP89" s="277"/>
      <c r="BQ89" s="277"/>
      <c r="BR89" s="277" t="e">
        <f t="shared" si="130"/>
        <v>#DIV/0!</v>
      </c>
      <c r="BS89" s="276"/>
      <c r="BT89" s="277"/>
      <c r="BU89" s="277"/>
      <c r="BV89" s="277"/>
      <c r="BW89" s="277" t="e">
        <f t="shared" si="131"/>
        <v>#DIV/0!</v>
      </c>
      <c r="BX89" s="276"/>
      <c r="BY89" s="277"/>
      <c r="BZ89" s="277"/>
      <c r="CA89" s="277"/>
      <c r="CB89" s="277" t="e">
        <f t="shared" si="132"/>
        <v>#DIV/0!</v>
      </c>
      <c r="CC89" s="276"/>
      <c r="CD89" s="277"/>
      <c r="CE89" s="277"/>
      <c r="CF89" s="277"/>
      <c r="CG89" s="277" t="e">
        <f t="shared" si="133"/>
        <v>#DIV/0!</v>
      </c>
      <c r="CH89" s="276"/>
      <c r="CI89" s="277"/>
      <c r="CJ89" s="277"/>
      <c r="CK89" s="277"/>
      <c r="CL89" s="277" t="e">
        <f t="shared" si="134"/>
        <v>#DIV/0!</v>
      </c>
      <c r="CM89" s="276"/>
      <c r="CN89" s="277"/>
      <c r="CO89" s="277"/>
      <c r="CP89" s="277"/>
      <c r="CQ89" s="277" t="e">
        <f t="shared" si="135"/>
        <v>#DIV/0!</v>
      </c>
      <c r="CR89" s="276"/>
      <c r="CS89" s="277"/>
      <c r="CT89" s="277"/>
      <c r="CU89" s="277"/>
      <c r="CV89" s="277" t="e">
        <f t="shared" si="136"/>
        <v>#DIV/0!</v>
      </c>
      <c r="CW89" s="276"/>
      <c r="CX89" s="277"/>
      <c r="CY89" s="277"/>
      <c r="CZ89" s="277"/>
      <c r="DA89" s="277" t="e">
        <f t="shared" si="137"/>
        <v>#DIV/0!</v>
      </c>
      <c r="DB89" s="276"/>
      <c r="DC89" s="277"/>
      <c r="DD89" s="277"/>
      <c r="DE89" s="277"/>
      <c r="DF89" s="277" t="e">
        <f t="shared" si="138"/>
        <v>#DIV/0!</v>
      </c>
      <c r="DG89" s="276"/>
      <c r="DH89" s="277"/>
      <c r="DI89" s="277"/>
      <c r="DJ89" s="277"/>
      <c r="DK89" s="277" t="e">
        <f t="shared" si="139"/>
        <v>#DIV/0!</v>
      </c>
      <c r="DL89" s="276"/>
      <c r="DM89" s="277"/>
      <c r="DN89" s="277"/>
      <c r="DO89" s="277"/>
      <c r="DP89" s="277" t="e">
        <f t="shared" si="140"/>
        <v>#DIV/0!</v>
      </c>
      <c r="DQ89" s="276"/>
      <c r="DR89" s="277"/>
      <c r="DS89" s="277"/>
      <c r="DT89" s="277"/>
      <c r="DU89" s="277" t="e">
        <f t="shared" si="141"/>
        <v>#DIV/0!</v>
      </c>
      <c r="DV89" s="276"/>
      <c r="DW89" s="277"/>
      <c r="DX89" s="277"/>
      <c r="DY89" s="277"/>
      <c r="DZ89" s="277" t="e">
        <f t="shared" si="142"/>
        <v>#DIV/0!</v>
      </c>
      <c r="EA89" s="276"/>
      <c r="EB89" s="277"/>
      <c r="EC89" s="277"/>
      <c r="ED89" s="277"/>
      <c r="EE89" s="277" t="e">
        <f t="shared" si="143"/>
        <v>#DIV/0!</v>
      </c>
      <c r="EF89" s="276"/>
      <c r="EG89" s="277"/>
      <c r="EH89" s="277"/>
      <c r="EI89" s="277"/>
      <c r="EJ89" s="277" t="e">
        <f t="shared" si="144"/>
        <v>#DIV/0!</v>
      </c>
      <c r="EK89" s="276"/>
      <c r="EL89" s="277"/>
      <c r="EM89" s="277"/>
      <c r="EN89" s="277"/>
      <c r="EO89" s="277" t="e">
        <f t="shared" si="145"/>
        <v>#DIV/0!</v>
      </c>
      <c r="EP89" s="276"/>
      <c r="EQ89" s="277"/>
      <c r="ER89" s="277"/>
      <c r="ES89" s="277"/>
      <c r="ET89" s="277" t="e">
        <f t="shared" si="146"/>
        <v>#DIV/0!</v>
      </c>
      <c r="EU89" s="276"/>
      <c r="EV89" s="277"/>
      <c r="EW89" s="277"/>
      <c r="EX89" s="277"/>
      <c r="EY89" s="277" t="e">
        <f t="shared" si="147"/>
        <v>#DIV/0!</v>
      </c>
      <c r="EZ89" s="276"/>
      <c r="FA89" s="277"/>
      <c r="FB89" s="277"/>
      <c r="FC89" s="277"/>
      <c r="FD89" s="277" t="e">
        <f t="shared" si="148"/>
        <v>#DIV/0!</v>
      </c>
      <c r="FE89" s="277">
        <f t="shared" si="117"/>
        <v>0</v>
      </c>
      <c r="FF89" s="277"/>
      <c r="FG89" s="277">
        <f t="shared" si="149"/>
        <v>0</v>
      </c>
      <c r="FH89" s="313">
        <f t="shared" si="110"/>
        <v>0</v>
      </c>
      <c r="FI89" s="314" t="e">
        <f t="shared" si="150"/>
        <v>#DIV/0!</v>
      </c>
      <c r="FJ89" s="277">
        <f t="shared" si="151"/>
        <v>0</v>
      </c>
      <c r="FK89" s="317"/>
      <c r="FL89" s="318"/>
      <c r="FM89" s="332"/>
    </row>
    <row r="90" s="214" customFormat="1" ht="27" customHeight="1" spans="1:169">
      <c r="A90" s="263"/>
      <c r="B90" s="335"/>
      <c r="C90" s="274"/>
      <c r="D90" s="233" t="s">
        <v>11</v>
      </c>
      <c r="E90" s="279">
        <v>0.23</v>
      </c>
      <c r="F90" s="276">
        <v>166</v>
      </c>
      <c r="G90" s="277"/>
      <c r="H90" s="277">
        <v>166</v>
      </c>
      <c r="I90" s="277"/>
      <c r="J90" s="277">
        <f t="shared" si="119"/>
        <v>1</v>
      </c>
      <c r="K90" s="276">
        <v>177</v>
      </c>
      <c r="L90" s="277">
        <v>1</v>
      </c>
      <c r="M90" s="277">
        <v>174</v>
      </c>
      <c r="N90" s="277">
        <v>2</v>
      </c>
      <c r="O90" s="277">
        <f t="shared" si="120"/>
        <v>0.977401859504132</v>
      </c>
      <c r="P90" s="276">
        <v>39</v>
      </c>
      <c r="Q90" s="277"/>
      <c r="R90" s="277">
        <v>39</v>
      </c>
      <c r="S90" s="277"/>
      <c r="T90" s="277">
        <f t="shared" si="121"/>
        <v>1</v>
      </c>
      <c r="U90" s="276"/>
      <c r="V90" s="277"/>
      <c r="W90" s="277"/>
      <c r="X90" s="277"/>
      <c r="Y90" s="277" t="e">
        <f t="shared" si="122"/>
        <v>#DIV/0!</v>
      </c>
      <c r="Z90" s="276">
        <v>116</v>
      </c>
      <c r="AA90" s="277">
        <v>5</v>
      </c>
      <c r="AB90" s="277">
        <v>111</v>
      </c>
      <c r="AC90" s="277"/>
      <c r="AD90" s="277">
        <f t="shared" si="123"/>
        <v>1</v>
      </c>
      <c r="AE90" s="276">
        <v>123</v>
      </c>
      <c r="AF90" s="277"/>
      <c r="AG90" s="277">
        <v>123</v>
      </c>
      <c r="AH90" s="277"/>
      <c r="AI90" s="277">
        <f t="shared" si="124"/>
        <v>1</v>
      </c>
      <c r="AJ90" s="276">
        <v>135</v>
      </c>
      <c r="AK90" s="277">
        <v>3</v>
      </c>
      <c r="AL90" s="277">
        <v>132</v>
      </c>
      <c r="AM90" s="277"/>
      <c r="AN90" s="277">
        <f t="shared" si="125"/>
        <v>1</v>
      </c>
      <c r="AO90" s="276">
        <v>102</v>
      </c>
      <c r="AP90" s="277">
        <v>3</v>
      </c>
      <c r="AQ90" s="277">
        <v>99</v>
      </c>
      <c r="AR90" s="277"/>
      <c r="AS90" s="277">
        <f t="shared" si="152"/>
        <v>1</v>
      </c>
      <c r="AT90" s="276">
        <v>113</v>
      </c>
      <c r="AU90" s="277"/>
      <c r="AV90" s="277">
        <v>113</v>
      </c>
      <c r="AW90" s="277"/>
      <c r="AX90" s="277">
        <f t="shared" si="126"/>
        <v>1</v>
      </c>
      <c r="AY90" s="276">
        <v>174</v>
      </c>
      <c r="AZ90" s="277">
        <v>4</v>
      </c>
      <c r="BA90" s="277">
        <v>170</v>
      </c>
      <c r="BB90" s="277"/>
      <c r="BC90" s="277">
        <f t="shared" si="127"/>
        <v>1</v>
      </c>
      <c r="BD90" s="276">
        <v>160</v>
      </c>
      <c r="BE90" s="277">
        <v>4</v>
      </c>
      <c r="BF90" s="277">
        <v>156</v>
      </c>
      <c r="BG90" s="277"/>
      <c r="BH90" s="277">
        <f t="shared" si="128"/>
        <v>1</v>
      </c>
      <c r="BI90" s="276">
        <v>160</v>
      </c>
      <c r="BJ90" s="277"/>
      <c r="BK90" s="277">
        <v>160</v>
      </c>
      <c r="BL90" s="277"/>
      <c r="BM90" s="277">
        <f t="shared" si="129"/>
        <v>1</v>
      </c>
      <c r="BN90" s="276">
        <v>174</v>
      </c>
      <c r="BO90" s="277">
        <v>2</v>
      </c>
      <c r="BP90" s="277">
        <v>163</v>
      </c>
      <c r="BQ90" s="277">
        <v>9</v>
      </c>
      <c r="BR90" s="277">
        <f t="shared" si="130"/>
        <v>0.898086803677664</v>
      </c>
      <c r="BS90" s="276">
        <v>178</v>
      </c>
      <c r="BT90" s="277">
        <v>3</v>
      </c>
      <c r="BU90" s="277">
        <v>171</v>
      </c>
      <c r="BV90" s="277">
        <v>4</v>
      </c>
      <c r="BW90" s="277">
        <f t="shared" si="131"/>
        <v>0.954808163265306</v>
      </c>
      <c r="BX90" s="276">
        <v>133</v>
      </c>
      <c r="BY90" s="277">
        <v>4</v>
      </c>
      <c r="BZ90" s="277">
        <v>129</v>
      </c>
      <c r="CA90" s="277"/>
      <c r="CB90" s="277">
        <f t="shared" si="132"/>
        <v>1</v>
      </c>
      <c r="CC90" s="276">
        <v>180</v>
      </c>
      <c r="CD90" s="277">
        <v>2</v>
      </c>
      <c r="CE90" s="277">
        <v>178</v>
      </c>
      <c r="CF90" s="277"/>
      <c r="CG90" s="277">
        <f t="shared" si="133"/>
        <v>1</v>
      </c>
      <c r="CH90" s="276">
        <v>160</v>
      </c>
      <c r="CI90" s="277">
        <v>2</v>
      </c>
      <c r="CJ90" s="277">
        <v>158</v>
      </c>
      <c r="CK90" s="277"/>
      <c r="CL90" s="277">
        <f t="shared" si="134"/>
        <v>1</v>
      </c>
      <c r="CM90" s="276">
        <v>146</v>
      </c>
      <c r="CN90" s="277"/>
      <c r="CO90" s="277">
        <v>146</v>
      </c>
      <c r="CP90" s="277"/>
      <c r="CQ90" s="277">
        <f t="shared" si="135"/>
        <v>1</v>
      </c>
      <c r="CR90" s="276">
        <v>49</v>
      </c>
      <c r="CS90" s="277"/>
      <c r="CT90" s="277">
        <v>49</v>
      </c>
      <c r="CU90" s="277"/>
      <c r="CV90" s="277">
        <f t="shared" si="136"/>
        <v>1</v>
      </c>
      <c r="CW90" s="276"/>
      <c r="CX90" s="277"/>
      <c r="CY90" s="277">
        <v>15</v>
      </c>
      <c r="CZ90" s="277"/>
      <c r="DA90" s="277">
        <f t="shared" si="137"/>
        <v>1</v>
      </c>
      <c r="DB90" s="276">
        <v>130</v>
      </c>
      <c r="DC90" s="277">
        <v>1</v>
      </c>
      <c r="DD90" s="277">
        <v>129</v>
      </c>
      <c r="DE90" s="277"/>
      <c r="DF90" s="277">
        <f t="shared" si="138"/>
        <v>1</v>
      </c>
      <c r="DG90" s="276">
        <v>106</v>
      </c>
      <c r="DH90" s="277"/>
      <c r="DI90" s="277">
        <v>106</v>
      </c>
      <c r="DJ90" s="277"/>
      <c r="DK90" s="277">
        <f t="shared" si="139"/>
        <v>1</v>
      </c>
      <c r="DL90" s="276">
        <v>131</v>
      </c>
      <c r="DM90" s="277"/>
      <c r="DN90" s="277">
        <v>131</v>
      </c>
      <c r="DO90" s="277"/>
      <c r="DP90" s="277">
        <f t="shared" si="140"/>
        <v>1</v>
      </c>
      <c r="DQ90" s="276">
        <v>106</v>
      </c>
      <c r="DR90" s="277">
        <v>3</v>
      </c>
      <c r="DS90" s="277">
        <v>103</v>
      </c>
      <c r="DT90" s="277"/>
      <c r="DU90" s="277">
        <f t="shared" si="141"/>
        <v>1</v>
      </c>
      <c r="DV90" s="276">
        <v>134</v>
      </c>
      <c r="DW90" s="277">
        <v>2</v>
      </c>
      <c r="DX90" s="277">
        <v>132</v>
      </c>
      <c r="DY90" s="277"/>
      <c r="DZ90" s="277">
        <f t="shared" si="142"/>
        <v>1</v>
      </c>
      <c r="EA90" s="276">
        <v>126</v>
      </c>
      <c r="EB90" s="277"/>
      <c r="EC90" s="277">
        <v>126</v>
      </c>
      <c r="ED90" s="277"/>
      <c r="EE90" s="277">
        <f t="shared" si="143"/>
        <v>1</v>
      </c>
      <c r="EF90" s="276">
        <v>133</v>
      </c>
      <c r="EG90" s="277">
        <v>1</v>
      </c>
      <c r="EH90" s="277">
        <v>132</v>
      </c>
      <c r="EI90" s="277"/>
      <c r="EJ90" s="277">
        <f t="shared" si="144"/>
        <v>1</v>
      </c>
      <c r="EK90" s="276">
        <v>132</v>
      </c>
      <c r="EL90" s="277"/>
      <c r="EM90" s="277">
        <v>132</v>
      </c>
      <c r="EN90" s="277"/>
      <c r="EO90" s="277">
        <f t="shared" si="145"/>
        <v>1</v>
      </c>
      <c r="EP90" s="276">
        <v>133</v>
      </c>
      <c r="EQ90" s="277">
        <v>1</v>
      </c>
      <c r="ER90" s="277">
        <v>217</v>
      </c>
      <c r="ES90" s="277"/>
      <c r="ET90" s="277">
        <f t="shared" si="146"/>
        <v>1</v>
      </c>
      <c r="EU90" s="276"/>
      <c r="EV90" s="277"/>
      <c r="EW90" s="277"/>
      <c r="EX90" s="277"/>
      <c r="EY90" s="277" t="e">
        <f t="shared" si="147"/>
        <v>#DIV/0!</v>
      </c>
      <c r="EZ90" s="276"/>
      <c r="FA90" s="277"/>
      <c r="FB90" s="277"/>
      <c r="FC90" s="277"/>
      <c r="FD90" s="277" t="e">
        <f t="shared" si="148"/>
        <v>#DIV/0!</v>
      </c>
      <c r="FE90" s="277">
        <f t="shared" si="117"/>
        <v>3616</v>
      </c>
      <c r="FF90" s="277"/>
      <c r="FG90" s="277">
        <f t="shared" si="149"/>
        <v>41</v>
      </c>
      <c r="FH90" s="313">
        <f t="shared" ref="FH90:FH97" si="153">FB90+EW90+ER90+EM90+EH90+EC90+DX90+DS90+DN90+DI90+DD90+CY90+CT90+CO90+CJ90+CE90+BZ90+BU90+BP90+BK90+BF90+BA90+AV90+AQ90+AL90+AG90+AB90+W90+R90+M90+H90</f>
        <v>3660</v>
      </c>
      <c r="FI90" s="314">
        <f t="shared" si="150"/>
        <v>1.02448434685567</v>
      </c>
      <c r="FJ90" s="277">
        <f t="shared" si="151"/>
        <v>841.8</v>
      </c>
      <c r="FK90" s="317"/>
      <c r="FL90" s="318"/>
      <c r="FM90" s="332"/>
    </row>
    <row r="91" s="214" customFormat="1" ht="27" customHeight="1" spans="1:171">
      <c r="A91" s="263"/>
      <c r="B91" s="335"/>
      <c r="C91" s="274"/>
      <c r="D91" s="233" t="s">
        <v>12</v>
      </c>
      <c r="E91" s="279">
        <v>0.25</v>
      </c>
      <c r="F91" s="276">
        <v>165</v>
      </c>
      <c r="G91" s="277"/>
      <c r="H91" s="277">
        <v>165</v>
      </c>
      <c r="I91" s="277"/>
      <c r="J91" s="277">
        <f t="shared" si="119"/>
        <v>1</v>
      </c>
      <c r="K91" s="276">
        <v>177</v>
      </c>
      <c r="L91" s="277">
        <v>2</v>
      </c>
      <c r="M91" s="277">
        <v>172</v>
      </c>
      <c r="N91" s="277">
        <v>3</v>
      </c>
      <c r="O91" s="277">
        <f t="shared" si="120"/>
        <v>0.966008163265306</v>
      </c>
      <c r="P91" s="276">
        <v>39</v>
      </c>
      <c r="Q91" s="277"/>
      <c r="R91" s="277">
        <v>39</v>
      </c>
      <c r="S91" s="277"/>
      <c r="T91" s="277">
        <f t="shared" si="121"/>
        <v>1</v>
      </c>
      <c r="U91" s="276"/>
      <c r="V91" s="277"/>
      <c r="W91" s="277"/>
      <c r="X91" s="277"/>
      <c r="Y91" s="277" t="e">
        <f t="shared" si="122"/>
        <v>#DIV/0!</v>
      </c>
      <c r="Z91" s="276">
        <v>116</v>
      </c>
      <c r="AA91" s="277">
        <v>7</v>
      </c>
      <c r="AB91" s="277">
        <v>109</v>
      </c>
      <c r="AC91" s="277"/>
      <c r="AD91" s="277">
        <f t="shared" si="123"/>
        <v>1</v>
      </c>
      <c r="AE91" s="276">
        <v>123</v>
      </c>
      <c r="AF91" s="277">
        <v>3</v>
      </c>
      <c r="AG91" s="277">
        <v>120</v>
      </c>
      <c r="AH91" s="277"/>
      <c r="AI91" s="277">
        <f t="shared" si="124"/>
        <v>1</v>
      </c>
      <c r="AJ91" s="276">
        <v>135</v>
      </c>
      <c r="AK91" s="277">
        <v>3</v>
      </c>
      <c r="AL91" s="277">
        <v>132</v>
      </c>
      <c r="AM91" s="277"/>
      <c r="AN91" s="277">
        <f t="shared" si="125"/>
        <v>1</v>
      </c>
      <c r="AO91" s="276">
        <v>102</v>
      </c>
      <c r="AP91" s="277"/>
      <c r="AQ91" s="277">
        <v>102</v>
      </c>
      <c r="AR91" s="277"/>
      <c r="AS91" s="277">
        <f t="shared" si="152"/>
        <v>1</v>
      </c>
      <c r="AT91" s="276">
        <v>110</v>
      </c>
      <c r="AU91" s="277">
        <v>1</v>
      </c>
      <c r="AV91" s="277">
        <v>109</v>
      </c>
      <c r="AW91" s="277"/>
      <c r="AX91" s="277">
        <f t="shared" si="126"/>
        <v>1</v>
      </c>
      <c r="AY91" s="276">
        <v>180</v>
      </c>
      <c r="AZ91" s="277"/>
      <c r="BA91" s="277">
        <v>177</v>
      </c>
      <c r="BB91" s="277">
        <v>3</v>
      </c>
      <c r="BC91" s="277">
        <f t="shared" si="127"/>
        <v>0.966944444444444</v>
      </c>
      <c r="BD91" s="276">
        <v>188</v>
      </c>
      <c r="BE91" s="277"/>
      <c r="BF91" s="277">
        <v>188</v>
      </c>
      <c r="BG91" s="277"/>
      <c r="BH91" s="277">
        <f t="shared" si="128"/>
        <v>1</v>
      </c>
      <c r="BI91" s="276">
        <v>160</v>
      </c>
      <c r="BJ91" s="277">
        <v>2</v>
      </c>
      <c r="BK91" s="277">
        <v>158</v>
      </c>
      <c r="BL91" s="277"/>
      <c r="BM91" s="277">
        <f t="shared" si="129"/>
        <v>1</v>
      </c>
      <c r="BN91" s="276">
        <v>174</v>
      </c>
      <c r="BO91" s="277">
        <v>2</v>
      </c>
      <c r="BP91" s="277">
        <v>172</v>
      </c>
      <c r="BQ91" s="277"/>
      <c r="BR91" s="277">
        <f t="shared" si="130"/>
        <v>1</v>
      </c>
      <c r="BS91" s="276">
        <v>202</v>
      </c>
      <c r="BT91" s="277">
        <v>1</v>
      </c>
      <c r="BU91" s="277">
        <v>196</v>
      </c>
      <c r="BV91" s="277">
        <v>5</v>
      </c>
      <c r="BW91" s="277">
        <f t="shared" si="131"/>
        <v>0.950867552783347</v>
      </c>
      <c r="BX91" s="276">
        <v>143</v>
      </c>
      <c r="BY91" s="277">
        <v>2</v>
      </c>
      <c r="BZ91" s="277">
        <v>141</v>
      </c>
      <c r="CA91" s="277"/>
      <c r="CB91" s="277">
        <f t="shared" si="132"/>
        <v>1</v>
      </c>
      <c r="CC91" s="276">
        <v>180</v>
      </c>
      <c r="CD91" s="277">
        <v>3</v>
      </c>
      <c r="CE91" s="277">
        <v>177</v>
      </c>
      <c r="CF91" s="277"/>
      <c r="CG91" s="277">
        <f t="shared" si="133"/>
        <v>1</v>
      </c>
      <c r="CH91" s="276">
        <v>160</v>
      </c>
      <c r="CI91" s="277">
        <v>1</v>
      </c>
      <c r="CJ91" s="277">
        <v>159</v>
      </c>
      <c r="CK91" s="277"/>
      <c r="CL91" s="277">
        <f t="shared" si="134"/>
        <v>1</v>
      </c>
      <c r="CM91" s="276">
        <v>145</v>
      </c>
      <c r="CN91" s="277">
        <v>7</v>
      </c>
      <c r="CO91" s="277">
        <v>138</v>
      </c>
      <c r="CP91" s="277"/>
      <c r="CQ91" s="277">
        <f t="shared" si="135"/>
        <v>1</v>
      </c>
      <c r="CR91" s="276">
        <v>49</v>
      </c>
      <c r="CS91" s="277"/>
      <c r="CT91" s="277">
        <v>49</v>
      </c>
      <c r="CU91" s="277"/>
      <c r="CV91" s="277">
        <f t="shared" si="136"/>
        <v>1</v>
      </c>
      <c r="CW91" s="276"/>
      <c r="CX91" s="277"/>
      <c r="CY91" s="277">
        <v>125</v>
      </c>
      <c r="CZ91" s="277"/>
      <c r="DA91" s="277">
        <f t="shared" si="137"/>
        <v>1</v>
      </c>
      <c r="DB91" s="276">
        <v>130</v>
      </c>
      <c r="DC91" s="277"/>
      <c r="DD91" s="277">
        <v>130</v>
      </c>
      <c r="DE91" s="277"/>
      <c r="DF91" s="277">
        <f t="shared" si="138"/>
        <v>1</v>
      </c>
      <c r="DG91" s="276">
        <v>106</v>
      </c>
      <c r="DH91" s="277">
        <v>1</v>
      </c>
      <c r="DI91" s="277">
        <v>105</v>
      </c>
      <c r="DJ91" s="277"/>
      <c r="DK91" s="277">
        <f t="shared" si="139"/>
        <v>1</v>
      </c>
      <c r="DL91" s="276">
        <v>131</v>
      </c>
      <c r="DM91" s="277"/>
      <c r="DN91" s="277">
        <v>131</v>
      </c>
      <c r="DO91" s="277"/>
      <c r="DP91" s="277">
        <f t="shared" si="140"/>
        <v>1</v>
      </c>
      <c r="DQ91" s="276">
        <v>106</v>
      </c>
      <c r="DR91" s="277">
        <v>4</v>
      </c>
      <c r="DS91" s="277">
        <v>102</v>
      </c>
      <c r="DT91" s="277"/>
      <c r="DU91" s="277">
        <f t="shared" si="141"/>
        <v>1</v>
      </c>
      <c r="DV91" s="276">
        <v>134</v>
      </c>
      <c r="DW91" s="277">
        <v>3</v>
      </c>
      <c r="DX91" s="277">
        <v>131</v>
      </c>
      <c r="DY91" s="277"/>
      <c r="DZ91" s="277">
        <f t="shared" si="142"/>
        <v>1</v>
      </c>
      <c r="EA91" s="276">
        <v>124</v>
      </c>
      <c r="EB91" s="277">
        <v>1</v>
      </c>
      <c r="EC91" s="277">
        <v>123</v>
      </c>
      <c r="ED91" s="277"/>
      <c r="EE91" s="277">
        <f t="shared" si="143"/>
        <v>1</v>
      </c>
      <c r="EF91" s="276">
        <v>133</v>
      </c>
      <c r="EG91" s="277">
        <v>1</v>
      </c>
      <c r="EH91" s="277">
        <v>132</v>
      </c>
      <c r="EI91" s="277"/>
      <c r="EJ91" s="277">
        <f t="shared" si="144"/>
        <v>1</v>
      </c>
      <c r="EK91" s="276">
        <v>132</v>
      </c>
      <c r="EL91" s="277"/>
      <c r="EM91" s="277">
        <v>132</v>
      </c>
      <c r="EN91" s="277"/>
      <c r="EO91" s="277">
        <f t="shared" si="145"/>
        <v>1</v>
      </c>
      <c r="EP91" s="276">
        <v>133</v>
      </c>
      <c r="EQ91" s="277">
        <v>1</v>
      </c>
      <c r="ER91" s="277">
        <v>129</v>
      </c>
      <c r="ES91" s="277">
        <v>3</v>
      </c>
      <c r="ET91" s="277">
        <f t="shared" si="146"/>
        <v>0.955061983471074</v>
      </c>
      <c r="EU91" s="276"/>
      <c r="EV91" s="277"/>
      <c r="EW91" s="277">
        <v>77</v>
      </c>
      <c r="EX91" s="277"/>
      <c r="EY91" s="277">
        <f t="shared" si="147"/>
        <v>1</v>
      </c>
      <c r="EZ91" s="276"/>
      <c r="FA91" s="277"/>
      <c r="FB91" s="277"/>
      <c r="FC91" s="277"/>
      <c r="FD91" s="277" t="e">
        <f t="shared" si="148"/>
        <v>#DIV/0!</v>
      </c>
      <c r="FE91" s="277">
        <f t="shared" si="117"/>
        <v>3677</v>
      </c>
      <c r="FF91" s="277"/>
      <c r="FG91" s="277">
        <f t="shared" si="149"/>
        <v>45</v>
      </c>
      <c r="FH91" s="313">
        <f t="shared" si="153"/>
        <v>3820</v>
      </c>
      <c r="FI91" s="314">
        <f t="shared" si="150"/>
        <v>1.0792932627601</v>
      </c>
      <c r="FJ91" s="277">
        <f t="shared" si="151"/>
        <v>955</v>
      </c>
      <c r="FK91" s="317"/>
      <c r="FL91" s="318"/>
      <c r="FM91" s="332"/>
      <c r="FO91" s="327"/>
    </row>
    <row r="92" s="214" customFormat="1" ht="27" customHeight="1" spans="1:169">
      <c r="A92" s="263"/>
      <c r="B92" s="335"/>
      <c r="C92" s="274"/>
      <c r="D92" s="233" t="s">
        <v>52</v>
      </c>
      <c r="E92" s="279">
        <v>0.373</v>
      </c>
      <c r="F92" s="276"/>
      <c r="G92" s="277"/>
      <c r="H92" s="277"/>
      <c r="I92" s="277"/>
      <c r="J92" s="277" t="e">
        <f t="shared" si="119"/>
        <v>#DIV/0!</v>
      </c>
      <c r="K92" s="276"/>
      <c r="L92" s="277"/>
      <c r="M92" s="277"/>
      <c r="N92" s="277"/>
      <c r="O92" s="277" t="e">
        <f t="shared" si="120"/>
        <v>#DIV/0!</v>
      </c>
      <c r="P92" s="276"/>
      <c r="Q92" s="277"/>
      <c r="R92" s="277"/>
      <c r="S92" s="277"/>
      <c r="T92" s="277" t="e">
        <f t="shared" si="121"/>
        <v>#DIV/0!</v>
      </c>
      <c r="U92" s="276"/>
      <c r="V92" s="277"/>
      <c r="W92" s="277"/>
      <c r="X92" s="277"/>
      <c r="Y92" s="277" t="e">
        <f t="shared" si="122"/>
        <v>#DIV/0!</v>
      </c>
      <c r="Z92" s="276"/>
      <c r="AA92" s="277"/>
      <c r="AB92" s="277"/>
      <c r="AC92" s="277"/>
      <c r="AD92" s="277" t="e">
        <f t="shared" si="123"/>
        <v>#DIV/0!</v>
      </c>
      <c r="AE92" s="276"/>
      <c r="AF92" s="277"/>
      <c r="AG92" s="277"/>
      <c r="AH92" s="277"/>
      <c r="AI92" s="277" t="e">
        <f t="shared" si="124"/>
        <v>#DIV/0!</v>
      </c>
      <c r="AJ92" s="276"/>
      <c r="AK92" s="277"/>
      <c r="AL92" s="277"/>
      <c r="AM92" s="277"/>
      <c r="AN92" s="277" t="e">
        <f t="shared" si="125"/>
        <v>#DIV/0!</v>
      </c>
      <c r="AO92" s="276"/>
      <c r="AP92" s="277"/>
      <c r="AQ92" s="277"/>
      <c r="AR92" s="277"/>
      <c r="AS92" s="277" t="e">
        <f t="shared" si="152"/>
        <v>#DIV/0!</v>
      </c>
      <c r="AT92" s="276"/>
      <c r="AU92" s="277"/>
      <c r="AV92" s="277"/>
      <c r="AW92" s="277"/>
      <c r="AX92" s="277" t="e">
        <f t="shared" si="126"/>
        <v>#DIV/0!</v>
      </c>
      <c r="AY92" s="276"/>
      <c r="AZ92" s="277"/>
      <c r="BA92" s="277"/>
      <c r="BB92" s="277"/>
      <c r="BC92" s="277" t="e">
        <f t="shared" si="127"/>
        <v>#DIV/0!</v>
      </c>
      <c r="BD92" s="276"/>
      <c r="BE92" s="277"/>
      <c r="BF92" s="277"/>
      <c r="BG92" s="277"/>
      <c r="BH92" s="277" t="e">
        <f t="shared" si="128"/>
        <v>#DIV/0!</v>
      </c>
      <c r="BI92" s="276"/>
      <c r="BJ92" s="277"/>
      <c r="BK92" s="277"/>
      <c r="BL92" s="277"/>
      <c r="BM92" s="277" t="e">
        <f t="shared" si="129"/>
        <v>#DIV/0!</v>
      </c>
      <c r="BN92" s="276"/>
      <c r="BO92" s="277"/>
      <c r="BP92" s="277"/>
      <c r="BQ92" s="277"/>
      <c r="BR92" s="277" t="e">
        <f t="shared" si="130"/>
        <v>#DIV/0!</v>
      </c>
      <c r="BS92" s="276"/>
      <c r="BT92" s="277"/>
      <c r="BU92" s="277"/>
      <c r="BV92" s="277"/>
      <c r="BW92" s="277" t="e">
        <f t="shared" si="131"/>
        <v>#DIV/0!</v>
      </c>
      <c r="BX92" s="276"/>
      <c r="BY92" s="277"/>
      <c r="BZ92" s="277"/>
      <c r="CA92" s="277"/>
      <c r="CB92" s="277" t="e">
        <f t="shared" si="132"/>
        <v>#DIV/0!</v>
      </c>
      <c r="CC92" s="276"/>
      <c r="CD92" s="277"/>
      <c r="CE92" s="277"/>
      <c r="CF92" s="277"/>
      <c r="CG92" s="277" t="e">
        <f t="shared" si="133"/>
        <v>#DIV/0!</v>
      </c>
      <c r="CH92" s="276"/>
      <c r="CI92" s="277"/>
      <c r="CJ92" s="277"/>
      <c r="CK92" s="277"/>
      <c r="CL92" s="277" t="e">
        <f t="shared" si="134"/>
        <v>#DIV/0!</v>
      </c>
      <c r="CM92" s="276"/>
      <c r="CN92" s="277"/>
      <c r="CO92" s="277"/>
      <c r="CP92" s="277"/>
      <c r="CQ92" s="277" t="e">
        <f t="shared" si="135"/>
        <v>#DIV/0!</v>
      </c>
      <c r="CR92" s="276"/>
      <c r="CS92" s="277"/>
      <c r="CT92" s="277"/>
      <c r="CU92" s="277"/>
      <c r="CV92" s="277" t="e">
        <f t="shared" si="136"/>
        <v>#DIV/0!</v>
      </c>
      <c r="CW92" s="276"/>
      <c r="CX92" s="277"/>
      <c r="CY92" s="277"/>
      <c r="CZ92" s="277"/>
      <c r="DA92" s="277" t="e">
        <f t="shared" si="137"/>
        <v>#DIV/0!</v>
      </c>
      <c r="DB92" s="276"/>
      <c r="DC92" s="277"/>
      <c r="DD92" s="277"/>
      <c r="DE92" s="277"/>
      <c r="DF92" s="277" t="e">
        <f t="shared" si="138"/>
        <v>#DIV/0!</v>
      </c>
      <c r="DG92" s="276"/>
      <c r="DH92" s="277"/>
      <c r="DI92" s="277"/>
      <c r="DJ92" s="277"/>
      <c r="DK92" s="277" t="e">
        <f t="shared" si="139"/>
        <v>#DIV/0!</v>
      </c>
      <c r="DL92" s="276"/>
      <c r="DM92" s="277"/>
      <c r="DN92" s="277"/>
      <c r="DO92" s="277"/>
      <c r="DP92" s="277" t="e">
        <f t="shared" si="140"/>
        <v>#DIV/0!</v>
      </c>
      <c r="DQ92" s="276"/>
      <c r="DR92" s="277"/>
      <c r="DS92" s="277"/>
      <c r="DT92" s="277"/>
      <c r="DU92" s="277" t="e">
        <f t="shared" si="141"/>
        <v>#DIV/0!</v>
      </c>
      <c r="DV92" s="276"/>
      <c r="DW92" s="277"/>
      <c r="DX92" s="277"/>
      <c r="DY92" s="277"/>
      <c r="DZ92" s="277" t="e">
        <f t="shared" si="142"/>
        <v>#DIV/0!</v>
      </c>
      <c r="EA92" s="276"/>
      <c r="EB92" s="277"/>
      <c r="EC92" s="277"/>
      <c r="ED92" s="277"/>
      <c r="EE92" s="277" t="e">
        <f t="shared" si="143"/>
        <v>#DIV/0!</v>
      </c>
      <c r="EF92" s="276"/>
      <c r="EG92" s="277"/>
      <c r="EH92" s="277"/>
      <c r="EI92" s="277"/>
      <c r="EJ92" s="277" t="e">
        <f t="shared" si="144"/>
        <v>#DIV/0!</v>
      </c>
      <c r="EK92" s="276"/>
      <c r="EL92" s="277"/>
      <c r="EM92" s="277"/>
      <c r="EN92" s="277"/>
      <c r="EO92" s="277" t="e">
        <f t="shared" si="145"/>
        <v>#DIV/0!</v>
      </c>
      <c r="EP92" s="276"/>
      <c r="EQ92" s="277"/>
      <c r="ER92" s="277"/>
      <c r="ES92" s="277"/>
      <c r="ET92" s="277" t="e">
        <f t="shared" si="146"/>
        <v>#DIV/0!</v>
      </c>
      <c r="EU92" s="276"/>
      <c r="EV92" s="277"/>
      <c r="EW92" s="277"/>
      <c r="EX92" s="277"/>
      <c r="EY92" s="277" t="e">
        <f t="shared" si="147"/>
        <v>#DIV/0!</v>
      </c>
      <c r="EZ92" s="276"/>
      <c r="FA92" s="277"/>
      <c r="FB92" s="277"/>
      <c r="FC92" s="277"/>
      <c r="FD92" s="277" t="e">
        <f t="shared" si="148"/>
        <v>#DIV/0!</v>
      </c>
      <c r="FE92" s="277">
        <f t="shared" si="117"/>
        <v>0</v>
      </c>
      <c r="FF92" s="277"/>
      <c r="FG92" s="277">
        <f t="shared" si="149"/>
        <v>0</v>
      </c>
      <c r="FH92" s="313">
        <f t="shared" si="153"/>
        <v>0</v>
      </c>
      <c r="FI92" s="314" t="e">
        <f t="shared" si="150"/>
        <v>#DIV/0!</v>
      </c>
      <c r="FJ92" s="277">
        <f t="shared" si="151"/>
        <v>0</v>
      </c>
      <c r="FK92" s="317"/>
      <c r="FL92" s="318"/>
      <c r="FM92" s="332"/>
    </row>
    <row r="93" s="214" customFormat="1" ht="27" customHeight="1" spans="1:169">
      <c r="A93" s="263"/>
      <c r="B93" s="335"/>
      <c r="C93" s="274"/>
      <c r="D93" s="233" t="s">
        <v>14</v>
      </c>
      <c r="E93" s="279">
        <v>0.373</v>
      </c>
      <c r="F93" s="276"/>
      <c r="G93" s="277"/>
      <c r="H93" s="277"/>
      <c r="I93" s="277"/>
      <c r="J93" s="277" t="e">
        <f t="shared" si="119"/>
        <v>#DIV/0!</v>
      </c>
      <c r="K93" s="276"/>
      <c r="L93" s="277"/>
      <c r="M93" s="277"/>
      <c r="N93" s="277"/>
      <c r="O93" s="277" t="e">
        <f t="shared" si="120"/>
        <v>#DIV/0!</v>
      </c>
      <c r="P93" s="276"/>
      <c r="Q93" s="277"/>
      <c r="R93" s="277"/>
      <c r="S93" s="277"/>
      <c r="T93" s="277" t="e">
        <f t="shared" si="121"/>
        <v>#DIV/0!</v>
      </c>
      <c r="U93" s="276"/>
      <c r="V93" s="277"/>
      <c r="W93" s="277"/>
      <c r="X93" s="277"/>
      <c r="Y93" s="277" t="e">
        <f t="shared" si="122"/>
        <v>#DIV/0!</v>
      </c>
      <c r="Z93" s="276"/>
      <c r="AA93" s="277"/>
      <c r="AB93" s="277"/>
      <c r="AC93" s="277"/>
      <c r="AD93" s="277" t="e">
        <f t="shared" si="123"/>
        <v>#DIV/0!</v>
      </c>
      <c r="AE93" s="276"/>
      <c r="AF93" s="277"/>
      <c r="AG93" s="277"/>
      <c r="AH93" s="277"/>
      <c r="AI93" s="277" t="e">
        <f t="shared" si="124"/>
        <v>#DIV/0!</v>
      </c>
      <c r="AJ93" s="276"/>
      <c r="AK93" s="277"/>
      <c r="AL93" s="277"/>
      <c r="AM93" s="277"/>
      <c r="AN93" s="277" t="e">
        <f t="shared" si="125"/>
        <v>#DIV/0!</v>
      </c>
      <c r="AO93" s="276"/>
      <c r="AP93" s="277"/>
      <c r="AQ93" s="277"/>
      <c r="AR93" s="277"/>
      <c r="AS93" s="277" t="e">
        <f t="shared" si="152"/>
        <v>#DIV/0!</v>
      </c>
      <c r="AT93" s="276"/>
      <c r="AU93" s="277"/>
      <c r="AV93" s="277"/>
      <c r="AW93" s="277"/>
      <c r="AX93" s="277" t="e">
        <f t="shared" si="126"/>
        <v>#DIV/0!</v>
      </c>
      <c r="AY93" s="276"/>
      <c r="AZ93" s="277"/>
      <c r="BA93" s="277"/>
      <c r="BB93" s="277"/>
      <c r="BC93" s="277" t="e">
        <f t="shared" si="127"/>
        <v>#DIV/0!</v>
      </c>
      <c r="BD93" s="276"/>
      <c r="BE93" s="277"/>
      <c r="BF93" s="277"/>
      <c r="BG93" s="277"/>
      <c r="BH93" s="277" t="e">
        <f t="shared" si="128"/>
        <v>#DIV/0!</v>
      </c>
      <c r="BI93" s="276"/>
      <c r="BJ93" s="277"/>
      <c r="BK93" s="277"/>
      <c r="BL93" s="277"/>
      <c r="BM93" s="277" t="e">
        <f t="shared" si="129"/>
        <v>#DIV/0!</v>
      </c>
      <c r="BN93" s="276"/>
      <c r="BO93" s="277"/>
      <c r="BP93" s="277"/>
      <c r="BQ93" s="277"/>
      <c r="BR93" s="277" t="e">
        <f t="shared" si="130"/>
        <v>#DIV/0!</v>
      </c>
      <c r="BS93" s="276"/>
      <c r="BT93" s="277"/>
      <c r="BU93" s="277"/>
      <c r="BV93" s="277"/>
      <c r="BW93" s="277" t="e">
        <f t="shared" si="131"/>
        <v>#DIV/0!</v>
      </c>
      <c r="BX93" s="276"/>
      <c r="BY93" s="277"/>
      <c r="BZ93" s="277"/>
      <c r="CA93" s="277"/>
      <c r="CB93" s="277" t="e">
        <f t="shared" si="132"/>
        <v>#DIV/0!</v>
      </c>
      <c r="CC93" s="276"/>
      <c r="CD93" s="277"/>
      <c r="CE93" s="277"/>
      <c r="CF93" s="277"/>
      <c r="CG93" s="277" t="e">
        <f t="shared" si="133"/>
        <v>#DIV/0!</v>
      </c>
      <c r="CH93" s="276"/>
      <c r="CI93" s="277"/>
      <c r="CJ93" s="277"/>
      <c r="CK93" s="277"/>
      <c r="CL93" s="277" t="e">
        <f t="shared" si="134"/>
        <v>#DIV/0!</v>
      </c>
      <c r="CM93" s="276"/>
      <c r="CN93" s="277"/>
      <c r="CO93" s="277"/>
      <c r="CP93" s="277"/>
      <c r="CQ93" s="277" t="e">
        <f t="shared" si="135"/>
        <v>#DIV/0!</v>
      </c>
      <c r="CR93" s="276"/>
      <c r="CS93" s="277"/>
      <c r="CT93" s="277"/>
      <c r="CU93" s="277"/>
      <c r="CV93" s="277" t="e">
        <f t="shared" si="136"/>
        <v>#DIV/0!</v>
      </c>
      <c r="CW93" s="276"/>
      <c r="CX93" s="277"/>
      <c r="CY93" s="277"/>
      <c r="CZ93" s="277"/>
      <c r="DA93" s="277" t="e">
        <f t="shared" si="137"/>
        <v>#DIV/0!</v>
      </c>
      <c r="DB93" s="276"/>
      <c r="DC93" s="277"/>
      <c r="DD93" s="277"/>
      <c r="DE93" s="277"/>
      <c r="DF93" s="277" t="e">
        <f t="shared" si="138"/>
        <v>#DIV/0!</v>
      </c>
      <c r="DG93" s="276"/>
      <c r="DH93" s="277"/>
      <c r="DI93" s="277"/>
      <c r="DJ93" s="277"/>
      <c r="DK93" s="277" t="e">
        <f t="shared" si="139"/>
        <v>#DIV/0!</v>
      </c>
      <c r="DL93" s="276"/>
      <c r="DM93" s="277"/>
      <c r="DN93" s="277"/>
      <c r="DO93" s="277"/>
      <c r="DP93" s="277" t="e">
        <f t="shared" si="140"/>
        <v>#DIV/0!</v>
      </c>
      <c r="DQ93" s="276"/>
      <c r="DR93" s="277"/>
      <c r="DS93" s="277"/>
      <c r="DT93" s="277"/>
      <c r="DU93" s="277" t="e">
        <f t="shared" si="141"/>
        <v>#DIV/0!</v>
      </c>
      <c r="DV93" s="276"/>
      <c r="DW93" s="277"/>
      <c r="DX93" s="277"/>
      <c r="DY93" s="277"/>
      <c r="DZ93" s="277" t="e">
        <f t="shared" si="142"/>
        <v>#DIV/0!</v>
      </c>
      <c r="EA93" s="276"/>
      <c r="EB93" s="277"/>
      <c r="EC93" s="277"/>
      <c r="ED93" s="277"/>
      <c r="EE93" s="277" t="e">
        <f t="shared" si="143"/>
        <v>#DIV/0!</v>
      </c>
      <c r="EF93" s="276"/>
      <c r="EG93" s="277"/>
      <c r="EH93" s="277"/>
      <c r="EI93" s="277"/>
      <c r="EJ93" s="277" t="e">
        <f t="shared" si="144"/>
        <v>#DIV/0!</v>
      </c>
      <c r="EK93" s="276"/>
      <c r="EL93" s="277"/>
      <c r="EM93" s="277"/>
      <c r="EN93" s="277"/>
      <c r="EO93" s="277" t="e">
        <f t="shared" si="145"/>
        <v>#DIV/0!</v>
      </c>
      <c r="EP93" s="276"/>
      <c r="EQ93" s="277"/>
      <c r="ER93" s="277"/>
      <c r="ES93" s="277"/>
      <c r="ET93" s="277" t="e">
        <f t="shared" si="146"/>
        <v>#DIV/0!</v>
      </c>
      <c r="EU93" s="276"/>
      <c r="EV93" s="277"/>
      <c r="EW93" s="277"/>
      <c r="EX93" s="277"/>
      <c r="EY93" s="277" t="e">
        <f t="shared" si="147"/>
        <v>#DIV/0!</v>
      </c>
      <c r="EZ93" s="276"/>
      <c r="FA93" s="277"/>
      <c r="FB93" s="277"/>
      <c r="FC93" s="277"/>
      <c r="FD93" s="277" t="e">
        <f t="shared" si="148"/>
        <v>#DIV/0!</v>
      </c>
      <c r="FE93" s="277">
        <f t="shared" si="117"/>
        <v>0</v>
      </c>
      <c r="FF93" s="277"/>
      <c r="FG93" s="277">
        <f t="shared" si="149"/>
        <v>0</v>
      </c>
      <c r="FH93" s="313">
        <f t="shared" si="153"/>
        <v>0</v>
      </c>
      <c r="FI93" s="314" t="e">
        <f t="shared" si="150"/>
        <v>#DIV/0!</v>
      </c>
      <c r="FJ93" s="277">
        <f t="shared" si="151"/>
        <v>0</v>
      </c>
      <c r="FK93" s="317"/>
      <c r="FL93" s="318"/>
      <c r="FM93" s="332"/>
    </row>
    <row r="94" s="214" customFormat="1" ht="27" customHeight="1" spans="1:169">
      <c r="A94" s="263"/>
      <c r="B94" s="335"/>
      <c r="C94" s="274"/>
      <c r="D94" s="233" t="s">
        <v>15</v>
      </c>
      <c r="E94" s="279">
        <v>0.373</v>
      </c>
      <c r="F94" s="276"/>
      <c r="G94" s="277"/>
      <c r="H94" s="277"/>
      <c r="I94" s="277"/>
      <c r="J94" s="277" t="e">
        <f t="shared" si="119"/>
        <v>#DIV/0!</v>
      </c>
      <c r="K94" s="276"/>
      <c r="L94" s="277"/>
      <c r="M94" s="277"/>
      <c r="N94" s="277"/>
      <c r="O94" s="277" t="e">
        <f t="shared" si="120"/>
        <v>#DIV/0!</v>
      </c>
      <c r="P94" s="276"/>
      <c r="Q94" s="277"/>
      <c r="R94" s="277"/>
      <c r="S94" s="277"/>
      <c r="T94" s="277" t="e">
        <f t="shared" si="121"/>
        <v>#DIV/0!</v>
      </c>
      <c r="U94" s="276"/>
      <c r="V94" s="277"/>
      <c r="W94" s="277"/>
      <c r="X94" s="277"/>
      <c r="Y94" s="277" t="e">
        <f t="shared" si="122"/>
        <v>#DIV/0!</v>
      </c>
      <c r="Z94" s="276"/>
      <c r="AA94" s="277"/>
      <c r="AB94" s="277"/>
      <c r="AC94" s="277"/>
      <c r="AD94" s="277" t="e">
        <f t="shared" si="123"/>
        <v>#DIV/0!</v>
      </c>
      <c r="AE94" s="276"/>
      <c r="AF94" s="277"/>
      <c r="AG94" s="277"/>
      <c r="AH94" s="277"/>
      <c r="AI94" s="277" t="e">
        <f t="shared" si="124"/>
        <v>#DIV/0!</v>
      </c>
      <c r="AJ94" s="276"/>
      <c r="AK94" s="277"/>
      <c r="AL94" s="277"/>
      <c r="AM94" s="277"/>
      <c r="AN94" s="277" t="e">
        <f t="shared" si="125"/>
        <v>#DIV/0!</v>
      </c>
      <c r="AO94" s="276"/>
      <c r="AP94" s="277"/>
      <c r="AQ94" s="277"/>
      <c r="AR94" s="277"/>
      <c r="AS94" s="277" t="e">
        <f t="shared" si="152"/>
        <v>#DIV/0!</v>
      </c>
      <c r="AT94" s="276"/>
      <c r="AU94" s="277"/>
      <c r="AV94" s="277"/>
      <c r="AW94" s="277"/>
      <c r="AX94" s="277" t="e">
        <f t="shared" si="126"/>
        <v>#DIV/0!</v>
      </c>
      <c r="AY94" s="276"/>
      <c r="AZ94" s="277"/>
      <c r="BA94" s="277"/>
      <c r="BB94" s="277"/>
      <c r="BC94" s="277" t="e">
        <f t="shared" si="127"/>
        <v>#DIV/0!</v>
      </c>
      <c r="BD94" s="276"/>
      <c r="BE94" s="277"/>
      <c r="BF94" s="277"/>
      <c r="BG94" s="277"/>
      <c r="BH94" s="277" t="e">
        <f t="shared" si="128"/>
        <v>#DIV/0!</v>
      </c>
      <c r="BI94" s="276"/>
      <c r="BJ94" s="277"/>
      <c r="BK94" s="277"/>
      <c r="BL94" s="277"/>
      <c r="BM94" s="277" t="e">
        <f t="shared" si="129"/>
        <v>#DIV/0!</v>
      </c>
      <c r="BN94" s="276"/>
      <c r="BO94" s="277"/>
      <c r="BP94" s="277"/>
      <c r="BQ94" s="277"/>
      <c r="BR94" s="277" t="e">
        <f t="shared" si="130"/>
        <v>#DIV/0!</v>
      </c>
      <c r="BS94" s="276"/>
      <c r="BT94" s="277"/>
      <c r="BU94" s="277"/>
      <c r="BV94" s="277"/>
      <c r="BW94" s="277" t="e">
        <f t="shared" si="131"/>
        <v>#DIV/0!</v>
      </c>
      <c r="BX94" s="276"/>
      <c r="BY94" s="277"/>
      <c r="BZ94" s="277"/>
      <c r="CA94" s="277"/>
      <c r="CB94" s="277" t="e">
        <f t="shared" si="132"/>
        <v>#DIV/0!</v>
      </c>
      <c r="CC94" s="276"/>
      <c r="CD94" s="277"/>
      <c r="CE94" s="277"/>
      <c r="CF94" s="277"/>
      <c r="CG94" s="277" t="e">
        <f t="shared" si="133"/>
        <v>#DIV/0!</v>
      </c>
      <c r="CH94" s="276"/>
      <c r="CI94" s="277"/>
      <c r="CJ94" s="277"/>
      <c r="CK94" s="277"/>
      <c r="CL94" s="277" t="e">
        <f t="shared" si="134"/>
        <v>#DIV/0!</v>
      </c>
      <c r="CM94" s="276"/>
      <c r="CN94" s="277"/>
      <c r="CO94" s="277"/>
      <c r="CP94" s="277"/>
      <c r="CQ94" s="277" t="e">
        <f t="shared" si="135"/>
        <v>#DIV/0!</v>
      </c>
      <c r="CR94" s="276"/>
      <c r="CS94" s="277"/>
      <c r="CT94" s="277"/>
      <c r="CU94" s="277"/>
      <c r="CV94" s="277" t="e">
        <f t="shared" si="136"/>
        <v>#DIV/0!</v>
      </c>
      <c r="CW94" s="276"/>
      <c r="CX94" s="277"/>
      <c r="CY94" s="277"/>
      <c r="CZ94" s="277"/>
      <c r="DA94" s="277" t="e">
        <f t="shared" si="137"/>
        <v>#DIV/0!</v>
      </c>
      <c r="DB94" s="276"/>
      <c r="DC94" s="277"/>
      <c r="DD94" s="277"/>
      <c r="DE94" s="277"/>
      <c r="DF94" s="277" t="e">
        <f t="shared" si="138"/>
        <v>#DIV/0!</v>
      </c>
      <c r="DG94" s="276"/>
      <c r="DH94" s="277"/>
      <c r="DI94" s="277"/>
      <c r="DJ94" s="277"/>
      <c r="DK94" s="277" t="e">
        <f t="shared" si="139"/>
        <v>#DIV/0!</v>
      </c>
      <c r="DL94" s="276"/>
      <c r="DM94" s="277"/>
      <c r="DN94" s="277"/>
      <c r="DO94" s="277"/>
      <c r="DP94" s="277" t="e">
        <f t="shared" si="140"/>
        <v>#DIV/0!</v>
      </c>
      <c r="DQ94" s="276"/>
      <c r="DR94" s="277"/>
      <c r="DS94" s="277"/>
      <c r="DT94" s="277"/>
      <c r="DU94" s="277" t="e">
        <f t="shared" si="141"/>
        <v>#DIV/0!</v>
      </c>
      <c r="DV94" s="276"/>
      <c r="DW94" s="277"/>
      <c r="DX94" s="277"/>
      <c r="DY94" s="277"/>
      <c r="DZ94" s="277" t="e">
        <f t="shared" si="142"/>
        <v>#DIV/0!</v>
      </c>
      <c r="EA94" s="276"/>
      <c r="EB94" s="277"/>
      <c r="EC94" s="277"/>
      <c r="ED94" s="277"/>
      <c r="EE94" s="277" t="e">
        <f t="shared" si="143"/>
        <v>#DIV/0!</v>
      </c>
      <c r="EF94" s="276"/>
      <c r="EG94" s="277"/>
      <c r="EH94" s="277"/>
      <c r="EI94" s="277"/>
      <c r="EJ94" s="277" t="e">
        <f t="shared" si="144"/>
        <v>#DIV/0!</v>
      </c>
      <c r="EK94" s="276"/>
      <c r="EL94" s="277"/>
      <c r="EM94" s="277"/>
      <c r="EN94" s="277"/>
      <c r="EO94" s="277" t="e">
        <f t="shared" si="145"/>
        <v>#DIV/0!</v>
      </c>
      <c r="EP94" s="276"/>
      <c r="EQ94" s="277"/>
      <c r="ER94" s="277"/>
      <c r="ES94" s="277"/>
      <c r="ET94" s="277" t="e">
        <f t="shared" si="146"/>
        <v>#DIV/0!</v>
      </c>
      <c r="EU94" s="276"/>
      <c r="EV94" s="277"/>
      <c r="EW94" s="277"/>
      <c r="EX94" s="277"/>
      <c r="EY94" s="277" t="e">
        <f t="shared" si="147"/>
        <v>#DIV/0!</v>
      </c>
      <c r="EZ94" s="276"/>
      <c r="FA94" s="277"/>
      <c r="FB94" s="277"/>
      <c r="FC94" s="277"/>
      <c r="FD94" s="277" t="e">
        <f t="shared" si="148"/>
        <v>#DIV/0!</v>
      </c>
      <c r="FE94" s="277">
        <f t="shared" si="117"/>
        <v>0</v>
      </c>
      <c r="FF94" s="277"/>
      <c r="FG94" s="277">
        <f t="shared" si="149"/>
        <v>0</v>
      </c>
      <c r="FH94" s="313">
        <f t="shared" si="153"/>
        <v>0</v>
      </c>
      <c r="FI94" s="314" t="e">
        <f t="shared" si="150"/>
        <v>#DIV/0!</v>
      </c>
      <c r="FJ94" s="277">
        <f t="shared" si="151"/>
        <v>0</v>
      </c>
      <c r="FK94" s="317"/>
      <c r="FL94" s="318"/>
      <c r="FM94" s="332"/>
    </row>
    <row r="95" s="214" customFormat="1" ht="27" customHeight="1" spans="1:169">
      <c r="A95" s="263"/>
      <c r="B95" s="335"/>
      <c r="C95" s="274"/>
      <c r="D95" s="233" t="s">
        <v>16</v>
      </c>
      <c r="E95" s="279">
        <v>0.373</v>
      </c>
      <c r="F95" s="276"/>
      <c r="G95" s="277"/>
      <c r="H95" s="277"/>
      <c r="I95" s="277"/>
      <c r="J95" s="277" t="e">
        <f t="shared" si="119"/>
        <v>#DIV/0!</v>
      </c>
      <c r="K95" s="276"/>
      <c r="L95" s="277"/>
      <c r="M95" s="277"/>
      <c r="N95" s="277"/>
      <c r="O95" s="277" t="e">
        <f t="shared" si="120"/>
        <v>#DIV/0!</v>
      </c>
      <c r="P95" s="276"/>
      <c r="Q95" s="277"/>
      <c r="R95" s="277"/>
      <c r="S95" s="277"/>
      <c r="T95" s="277" t="e">
        <f t="shared" si="121"/>
        <v>#DIV/0!</v>
      </c>
      <c r="U95" s="276"/>
      <c r="V95" s="277"/>
      <c r="W95" s="277"/>
      <c r="X95" s="277"/>
      <c r="Y95" s="277" t="e">
        <f t="shared" si="122"/>
        <v>#DIV/0!</v>
      </c>
      <c r="Z95" s="276"/>
      <c r="AA95" s="277"/>
      <c r="AB95" s="277"/>
      <c r="AC95" s="277"/>
      <c r="AD95" s="277" t="e">
        <f t="shared" si="123"/>
        <v>#DIV/0!</v>
      </c>
      <c r="AE95" s="276"/>
      <c r="AF95" s="277"/>
      <c r="AG95" s="277"/>
      <c r="AH95" s="277"/>
      <c r="AI95" s="277" t="e">
        <f t="shared" si="124"/>
        <v>#DIV/0!</v>
      </c>
      <c r="AJ95" s="276"/>
      <c r="AK95" s="277"/>
      <c r="AL95" s="277"/>
      <c r="AM95" s="277"/>
      <c r="AN95" s="277" t="e">
        <f t="shared" si="125"/>
        <v>#DIV/0!</v>
      </c>
      <c r="AO95" s="276"/>
      <c r="AP95" s="277"/>
      <c r="AQ95" s="277"/>
      <c r="AR95" s="277"/>
      <c r="AS95" s="277" t="e">
        <f t="shared" si="152"/>
        <v>#DIV/0!</v>
      </c>
      <c r="AT95" s="276"/>
      <c r="AU95" s="277"/>
      <c r="AV95" s="277"/>
      <c r="AW95" s="277"/>
      <c r="AX95" s="277" t="e">
        <f t="shared" si="126"/>
        <v>#DIV/0!</v>
      </c>
      <c r="AY95" s="276"/>
      <c r="AZ95" s="277"/>
      <c r="BA95" s="277"/>
      <c r="BB95" s="277"/>
      <c r="BC95" s="277" t="e">
        <f t="shared" si="127"/>
        <v>#DIV/0!</v>
      </c>
      <c r="BD95" s="276"/>
      <c r="BE95" s="277"/>
      <c r="BF95" s="277"/>
      <c r="BG95" s="277"/>
      <c r="BH95" s="277" t="e">
        <f t="shared" si="128"/>
        <v>#DIV/0!</v>
      </c>
      <c r="BI95" s="276"/>
      <c r="BJ95" s="277"/>
      <c r="BK95" s="277"/>
      <c r="BL95" s="277"/>
      <c r="BM95" s="277" t="e">
        <f t="shared" si="129"/>
        <v>#DIV/0!</v>
      </c>
      <c r="BN95" s="276"/>
      <c r="BO95" s="277"/>
      <c r="BP95" s="277"/>
      <c r="BQ95" s="277"/>
      <c r="BR95" s="277" t="e">
        <f t="shared" si="130"/>
        <v>#DIV/0!</v>
      </c>
      <c r="BS95" s="276"/>
      <c r="BT95" s="277"/>
      <c r="BU95" s="277"/>
      <c r="BV95" s="277"/>
      <c r="BW95" s="277" t="e">
        <f t="shared" si="131"/>
        <v>#DIV/0!</v>
      </c>
      <c r="BX95" s="276"/>
      <c r="BY95" s="277"/>
      <c r="BZ95" s="277"/>
      <c r="CA95" s="277"/>
      <c r="CB95" s="277" t="e">
        <f t="shared" si="132"/>
        <v>#DIV/0!</v>
      </c>
      <c r="CC95" s="276"/>
      <c r="CD95" s="277"/>
      <c r="CE95" s="277"/>
      <c r="CF95" s="277"/>
      <c r="CG95" s="277" t="e">
        <f t="shared" si="133"/>
        <v>#DIV/0!</v>
      </c>
      <c r="CH95" s="276"/>
      <c r="CI95" s="277"/>
      <c r="CJ95" s="277"/>
      <c r="CK95" s="277"/>
      <c r="CL95" s="277" t="e">
        <f t="shared" si="134"/>
        <v>#DIV/0!</v>
      </c>
      <c r="CM95" s="276"/>
      <c r="CN95" s="277"/>
      <c r="CO95" s="277"/>
      <c r="CP95" s="277"/>
      <c r="CQ95" s="277" t="e">
        <f t="shared" si="135"/>
        <v>#DIV/0!</v>
      </c>
      <c r="CR95" s="276"/>
      <c r="CS95" s="277"/>
      <c r="CT95" s="277"/>
      <c r="CU95" s="277"/>
      <c r="CV95" s="277" t="e">
        <f t="shared" si="136"/>
        <v>#DIV/0!</v>
      </c>
      <c r="CW95" s="276"/>
      <c r="CX95" s="277"/>
      <c r="CY95" s="277"/>
      <c r="CZ95" s="277"/>
      <c r="DA95" s="277" t="e">
        <f t="shared" si="137"/>
        <v>#DIV/0!</v>
      </c>
      <c r="DB95" s="276"/>
      <c r="DC95" s="277"/>
      <c r="DD95" s="277"/>
      <c r="DE95" s="277"/>
      <c r="DF95" s="277" t="e">
        <f t="shared" si="138"/>
        <v>#DIV/0!</v>
      </c>
      <c r="DG95" s="276"/>
      <c r="DH95" s="277"/>
      <c r="DI95" s="277"/>
      <c r="DJ95" s="277"/>
      <c r="DK95" s="277" t="e">
        <f t="shared" si="139"/>
        <v>#DIV/0!</v>
      </c>
      <c r="DL95" s="276"/>
      <c r="DM95" s="277"/>
      <c r="DN95" s="277"/>
      <c r="DO95" s="277"/>
      <c r="DP95" s="277" t="e">
        <f t="shared" si="140"/>
        <v>#DIV/0!</v>
      </c>
      <c r="DQ95" s="276"/>
      <c r="DR95" s="277"/>
      <c r="DS95" s="277"/>
      <c r="DT95" s="277"/>
      <c r="DU95" s="277" t="e">
        <f t="shared" si="141"/>
        <v>#DIV/0!</v>
      </c>
      <c r="DV95" s="276"/>
      <c r="DW95" s="277"/>
      <c r="DX95" s="277"/>
      <c r="DY95" s="277"/>
      <c r="DZ95" s="277" t="e">
        <f t="shared" si="142"/>
        <v>#DIV/0!</v>
      </c>
      <c r="EA95" s="276"/>
      <c r="EB95" s="277"/>
      <c r="EC95" s="277"/>
      <c r="ED95" s="277"/>
      <c r="EE95" s="277" t="e">
        <f t="shared" si="143"/>
        <v>#DIV/0!</v>
      </c>
      <c r="EF95" s="276"/>
      <c r="EG95" s="277"/>
      <c r="EH95" s="277"/>
      <c r="EI95" s="277"/>
      <c r="EJ95" s="277" t="e">
        <f t="shared" si="144"/>
        <v>#DIV/0!</v>
      </c>
      <c r="EK95" s="276"/>
      <c r="EL95" s="277"/>
      <c r="EM95" s="277"/>
      <c r="EN95" s="277"/>
      <c r="EO95" s="277" t="e">
        <f t="shared" si="145"/>
        <v>#DIV/0!</v>
      </c>
      <c r="EP95" s="276"/>
      <c r="EQ95" s="277"/>
      <c r="ER95" s="277"/>
      <c r="ES95" s="277"/>
      <c r="ET95" s="277" t="e">
        <f t="shared" si="146"/>
        <v>#DIV/0!</v>
      </c>
      <c r="EU95" s="276"/>
      <c r="EV95" s="277"/>
      <c r="EW95" s="277"/>
      <c r="EX95" s="277"/>
      <c r="EY95" s="277" t="e">
        <f t="shared" si="147"/>
        <v>#DIV/0!</v>
      </c>
      <c r="EZ95" s="276"/>
      <c r="FA95" s="277"/>
      <c r="FB95" s="277"/>
      <c r="FC95" s="277"/>
      <c r="FD95" s="277" t="e">
        <f t="shared" si="148"/>
        <v>#DIV/0!</v>
      </c>
      <c r="FE95" s="277">
        <f t="shared" si="117"/>
        <v>0</v>
      </c>
      <c r="FF95" s="277"/>
      <c r="FG95" s="277">
        <f t="shared" si="149"/>
        <v>0</v>
      </c>
      <c r="FH95" s="313">
        <f t="shared" si="153"/>
        <v>0</v>
      </c>
      <c r="FI95" s="314" t="e">
        <f t="shared" si="150"/>
        <v>#DIV/0!</v>
      </c>
      <c r="FJ95" s="277">
        <f t="shared" si="151"/>
        <v>0</v>
      </c>
      <c r="FK95" s="317"/>
      <c r="FL95" s="318"/>
      <c r="FM95" s="332"/>
    </row>
    <row r="96" s="214" customFormat="1" ht="27" customHeight="1" spans="1:169">
      <c r="A96" s="263"/>
      <c r="B96" s="336"/>
      <c r="C96" s="274"/>
      <c r="D96" s="233" t="s">
        <v>17</v>
      </c>
      <c r="E96" s="279">
        <v>0.373</v>
      </c>
      <c r="F96" s="276"/>
      <c r="G96" s="277"/>
      <c r="H96" s="277"/>
      <c r="I96" s="277"/>
      <c r="J96" s="277" t="e">
        <f t="shared" si="119"/>
        <v>#DIV/0!</v>
      </c>
      <c r="K96" s="276"/>
      <c r="L96" s="277"/>
      <c r="M96" s="277"/>
      <c r="N96" s="277"/>
      <c r="O96" s="277" t="e">
        <f t="shared" si="120"/>
        <v>#DIV/0!</v>
      </c>
      <c r="P96" s="276"/>
      <c r="Q96" s="277"/>
      <c r="R96" s="277"/>
      <c r="S96" s="277"/>
      <c r="T96" s="277" t="e">
        <f t="shared" si="121"/>
        <v>#DIV/0!</v>
      </c>
      <c r="U96" s="276"/>
      <c r="V96" s="277"/>
      <c r="W96" s="277"/>
      <c r="X96" s="277"/>
      <c r="Y96" s="277" t="e">
        <f t="shared" si="122"/>
        <v>#DIV/0!</v>
      </c>
      <c r="Z96" s="276"/>
      <c r="AA96" s="277"/>
      <c r="AB96" s="277"/>
      <c r="AC96" s="277"/>
      <c r="AD96" s="277" t="e">
        <f t="shared" si="123"/>
        <v>#DIV/0!</v>
      </c>
      <c r="AE96" s="276"/>
      <c r="AF96" s="277"/>
      <c r="AG96" s="277"/>
      <c r="AH96" s="277"/>
      <c r="AI96" s="277" t="e">
        <f t="shared" si="124"/>
        <v>#DIV/0!</v>
      </c>
      <c r="AJ96" s="276"/>
      <c r="AK96" s="277"/>
      <c r="AL96" s="277"/>
      <c r="AM96" s="277"/>
      <c r="AN96" s="277" t="e">
        <f t="shared" si="125"/>
        <v>#DIV/0!</v>
      </c>
      <c r="AO96" s="276"/>
      <c r="AP96" s="277"/>
      <c r="AQ96" s="277"/>
      <c r="AR96" s="277"/>
      <c r="AS96" s="277" t="e">
        <f t="shared" si="152"/>
        <v>#DIV/0!</v>
      </c>
      <c r="AT96" s="276"/>
      <c r="AU96" s="277"/>
      <c r="AV96" s="277"/>
      <c r="AW96" s="277"/>
      <c r="AX96" s="277" t="e">
        <f t="shared" si="126"/>
        <v>#DIV/0!</v>
      </c>
      <c r="AY96" s="276"/>
      <c r="AZ96" s="277"/>
      <c r="BA96" s="277"/>
      <c r="BB96" s="277"/>
      <c r="BC96" s="277" t="e">
        <f t="shared" si="127"/>
        <v>#DIV/0!</v>
      </c>
      <c r="BD96" s="276"/>
      <c r="BE96" s="277"/>
      <c r="BF96" s="277"/>
      <c r="BG96" s="277"/>
      <c r="BH96" s="277" t="e">
        <f t="shared" si="128"/>
        <v>#DIV/0!</v>
      </c>
      <c r="BI96" s="276"/>
      <c r="BJ96" s="277"/>
      <c r="BK96" s="277"/>
      <c r="BL96" s="277"/>
      <c r="BM96" s="277" t="e">
        <f t="shared" si="129"/>
        <v>#DIV/0!</v>
      </c>
      <c r="BN96" s="276"/>
      <c r="BO96" s="277"/>
      <c r="BP96" s="277"/>
      <c r="BQ96" s="277"/>
      <c r="BR96" s="277" t="e">
        <f t="shared" si="130"/>
        <v>#DIV/0!</v>
      </c>
      <c r="BS96" s="276"/>
      <c r="BT96" s="277"/>
      <c r="BU96" s="277"/>
      <c r="BV96" s="277"/>
      <c r="BW96" s="277" t="e">
        <f t="shared" si="131"/>
        <v>#DIV/0!</v>
      </c>
      <c r="BX96" s="276"/>
      <c r="BY96" s="277"/>
      <c r="BZ96" s="277"/>
      <c r="CA96" s="277"/>
      <c r="CB96" s="277" t="e">
        <f t="shared" si="132"/>
        <v>#DIV/0!</v>
      </c>
      <c r="CC96" s="276"/>
      <c r="CD96" s="277"/>
      <c r="CE96" s="277"/>
      <c r="CF96" s="277"/>
      <c r="CG96" s="277" t="e">
        <f t="shared" si="133"/>
        <v>#DIV/0!</v>
      </c>
      <c r="CH96" s="276"/>
      <c r="CI96" s="277"/>
      <c r="CJ96" s="277"/>
      <c r="CK96" s="277"/>
      <c r="CL96" s="277" t="e">
        <f t="shared" si="134"/>
        <v>#DIV/0!</v>
      </c>
      <c r="CM96" s="276"/>
      <c r="CN96" s="277"/>
      <c r="CO96" s="277"/>
      <c r="CP96" s="277"/>
      <c r="CQ96" s="277" t="e">
        <f t="shared" si="135"/>
        <v>#DIV/0!</v>
      </c>
      <c r="CR96" s="276"/>
      <c r="CS96" s="277"/>
      <c r="CT96" s="277"/>
      <c r="CU96" s="277"/>
      <c r="CV96" s="277" t="e">
        <f t="shared" si="136"/>
        <v>#DIV/0!</v>
      </c>
      <c r="CW96" s="276"/>
      <c r="CX96" s="277"/>
      <c r="CY96" s="277"/>
      <c r="CZ96" s="277"/>
      <c r="DA96" s="277" t="e">
        <f t="shared" si="137"/>
        <v>#DIV/0!</v>
      </c>
      <c r="DB96" s="276"/>
      <c r="DC96" s="277"/>
      <c r="DD96" s="277"/>
      <c r="DE96" s="277"/>
      <c r="DF96" s="277" t="e">
        <f t="shared" si="138"/>
        <v>#DIV/0!</v>
      </c>
      <c r="DG96" s="276"/>
      <c r="DH96" s="277"/>
      <c r="DI96" s="277"/>
      <c r="DJ96" s="277"/>
      <c r="DK96" s="277" t="e">
        <f t="shared" si="139"/>
        <v>#DIV/0!</v>
      </c>
      <c r="DL96" s="276"/>
      <c r="DM96" s="277"/>
      <c r="DN96" s="277"/>
      <c r="DO96" s="277"/>
      <c r="DP96" s="277" t="e">
        <f t="shared" si="140"/>
        <v>#DIV/0!</v>
      </c>
      <c r="DQ96" s="276"/>
      <c r="DR96" s="277"/>
      <c r="DS96" s="277"/>
      <c r="DT96" s="277"/>
      <c r="DU96" s="277" t="e">
        <f t="shared" si="141"/>
        <v>#DIV/0!</v>
      </c>
      <c r="DV96" s="276"/>
      <c r="DW96" s="277"/>
      <c r="DX96" s="277"/>
      <c r="DY96" s="277"/>
      <c r="DZ96" s="277" t="e">
        <f t="shared" si="142"/>
        <v>#DIV/0!</v>
      </c>
      <c r="EA96" s="276"/>
      <c r="EB96" s="277"/>
      <c r="EC96" s="277"/>
      <c r="ED96" s="277"/>
      <c r="EE96" s="277" t="e">
        <f t="shared" si="143"/>
        <v>#DIV/0!</v>
      </c>
      <c r="EF96" s="276"/>
      <c r="EG96" s="277"/>
      <c r="EH96" s="277"/>
      <c r="EI96" s="277"/>
      <c r="EJ96" s="277" t="e">
        <f t="shared" si="144"/>
        <v>#DIV/0!</v>
      </c>
      <c r="EK96" s="276"/>
      <c r="EL96" s="277"/>
      <c r="EM96" s="277"/>
      <c r="EN96" s="277"/>
      <c r="EO96" s="277" t="e">
        <f t="shared" si="145"/>
        <v>#DIV/0!</v>
      </c>
      <c r="EP96" s="276"/>
      <c r="EQ96" s="277"/>
      <c r="ER96" s="277"/>
      <c r="ES96" s="277"/>
      <c r="ET96" s="277" t="e">
        <f t="shared" si="146"/>
        <v>#DIV/0!</v>
      </c>
      <c r="EU96" s="276"/>
      <c r="EV96" s="277"/>
      <c r="EW96" s="277"/>
      <c r="EX96" s="277"/>
      <c r="EY96" s="277" t="e">
        <f t="shared" si="147"/>
        <v>#DIV/0!</v>
      </c>
      <c r="EZ96" s="276"/>
      <c r="FA96" s="277"/>
      <c r="FB96" s="277"/>
      <c r="FC96" s="277"/>
      <c r="FD96" s="277" t="e">
        <f t="shared" si="148"/>
        <v>#DIV/0!</v>
      </c>
      <c r="FE96" s="277">
        <f t="shared" si="117"/>
        <v>0</v>
      </c>
      <c r="FF96" s="277"/>
      <c r="FG96" s="277">
        <f t="shared" si="149"/>
        <v>0</v>
      </c>
      <c r="FH96" s="313">
        <f t="shared" si="153"/>
        <v>0</v>
      </c>
      <c r="FI96" s="314" t="e">
        <f t="shared" si="150"/>
        <v>#DIV/0!</v>
      </c>
      <c r="FJ96" s="277">
        <f t="shared" si="151"/>
        <v>0</v>
      </c>
      <c r="FK96" s="319"/>
      <c r="FL96" s="320"/>
      <c r="FM96" s="333"/>
    </row>
    <row r="97" s="214" customFormat="1" ht="27" customHeight="1" spans="1:169">
      <c r="A97" s="263">
        <v>18</v>
      </c>
      <c r="B97" s="334" t="s">
        <v>55</v>
      </c>
      <c r="C97" s="274"/>
      <c r="D97" s="233" t="s">
        <v>8</v>
      </c>
      <c r="E97" s="275">
        <v>0.4</v>
      </c>
      <c r="F97" s="276"/>
      <c r="G97" s="276"/>
      <c r="H97" s="277"/>
      <c r="I97" s="277"/>
      <c r="J97" s="277" t="e">
        <f t="shared" si="119"/>
        <v>#DIV/0!</v>
      </c>
      <c r="K97" s="276"/>
      <c r="L97" s="276"/>
      <c r="M97" s="277"/>
      <c r="N97" s="277"/>
      <c r="O97" s="277" t="e">
        <f t="shared" si="120"/>
        <v>#DIV/0!</v>
      </c>
      <c r="P97" s="276"/>
      <c r="Q97" s="276"/>
      <c r="R97" s="277"/>
      <c r="S97" s="277"/>
      <c r="T97" s="277" t="e">
        <f t="shared" si="121"/>
        <v>#DIV/0!</v>
      </c>
      <c r="U97" s="276"/>
      <c r="V97" s="276"/>
      <c r="W97" s="277"/>
      <c r="X97" s="277"/>
      <c r="Y97" s="277" t="e">
        <f t="shared" si="122"/>
        <v>#DIV/0!</v>
      </c>
      <c r="Z97" s="276"/>
      <c r="AA97" s="276"/>
      <c r="AB97" s="277"/>
      <c r="AC97" s="277"/>
      <c r="AD97" s="277" t="e">
        <f t="shared" si="123"/>
        <v>#DIV/0!</v>
      </c>
      <c r="AE97" s="276"/>
      <c r="AF97" s="276"/>
      <c r="AG97" s="277"/>
      <c r="AH97" s="277"/>
      <c r="AI97" s="277" t="e">
        <f t="shared" si="124"/>
        <v>#DIV/0!</v>
      </c>
      <c r="AJ97" s="276"/>
      <c r="AK97" s="276"/>
      <c r="AL97" s="277"/>
      <c r="AM97" s="277"/>
      <c r="AN97" s="277" t="e">
        <f t="shared" si="125"/>
        <v>#DIV/0!</v>
      </c>
      <c r="AO97" s="276"/>
      <c r="AP97" s="276"/>
      <c r="AQ97" s="277"/>
      <c r="AR97" s="277"/>
      <c r="AS97" s="277" t="e">
        <f t="shared" si="152"/>
        <v>#DIV/0!</v>
      </c>
      <c r="AT97" s="276"/>
      <c r="AU97" s="276"/>
      <c r="AV97" s="277"/>
      <c r="AW97" s="277"/>
      <c r="AX97" s="277" t="e">
        <f t="shared" si="126"/>
        <v>#DIV/0!</v>
      </c>
      <c r="AY97" s="276"/>
      <c r="AZ97" s="276"/>
      <c r="BA97" s="277"/>
      <c r="BB97" s="277"/>
      <c r="BC97" s="277" t="e">
        <f t="shared" si="127"/>
        <v>#DIV/0!</v>
      </c>
      <c r="BD97" s="276"/>
      <c r="BE97" s="276"/>
      <c r="BF97" s="277"/>
      <c r="BG97" s="277"/>
      <c r="BH97" s="277" t="e">
        <f t="shared" si="128"/>
        <v>#DIV/0!</v>
      </c>
      <c r="BI97" s="276"/>
      <c r="BJ97" s="276"/>
      <c r="BK97" s="277"/>
      <c r="BL97" s="277"/>
      <c r="BM97" s="277" t="e">
        <f t="shared" si="129"/>
        <v>#DIV/0!</v>
      </c>
      <c r="BN97" s="276"/>
      <c r="BO97" s="276"/>
      <c r="BP97" s="277"/>
      <c r="BQ97" s="277"/>
      <c r="BR97" s="277" t="e">
        <f t="shared" si="130"/>
        <v>#DIV/0!</v>
      </c>
      <c r="BS97" s="276"/>
      <c r="BT97" s="276"/>
      <c r="BU97" s="277"/>
      <c r="BV97" s="277"/>
      <c r="BW97" s="277" t="e">
        <f t="shared" si="131"/>
        <v>#DIV/0!</v>
      </c>
      <c r="BX97" s="276"/>
      <c r="BY97" s="276"/>
      <c r="BZ97" s="277"/>
      <c r="CA97" s="277"/>
      <c r="CB97" s="277" t="e">
        <f t="shared" si="132"/>
        <v>#DIV/0!</v>
      </c>
      <c r="CC97" s="276"/>
      <c r="CD97" s="276"/>
      <c r="CE97" s="277"/>
      <c r="CF97" s="277"/>
      <c r="CG97" s="277" t="e">
        <f t="shared" si="133"/>
        <v>#DIV/0!</v>
      </c>
      <c r="CH97" s="276"/>
      <c r="CI97" s="276"/>
      <c r="CJ97" s="277"/>
      <c r="CK97" s="277"/>
      <c r="CL97" s="277" t="e">
        <f t="shared" si="134"/>
        <v>#DIV/0!</v>
      </c>
      <c r="CM97" s="276"/>
      <c r="CN97" s="276"/>
      <c r="CO97" s="277"/>
      <c r="CP97" s="277"/>
      <c r="CQ97" s="277" t="e">
        <f t="shared" si="135"/>
        <v>#DIV/0!</v>
      </c>
      <c r="CR97" s="276"/>
      <c r="CS97" s="276"/>
      <c r="CT97" s="277"/>
      <c r="CU97" s="277"/>
      <c r="CV97" s="277" t="e">
        <f t="shared" si="136"/>
        <v>#DIV/0!</v>
      </c>
      <c r="CW97" s="276"/>
      <c r="CX97" s="276"/>
      <c r="CY97" s="277"/>
      <c r="CZ97" s="277"/>
      <c r="DA97" s="277" t="e">
        <f t="shared" si="137"/>
        <v>#DIV/0!</v>
      </c>
      <c r="DB97" s="276"/>
      <c r="DC97" s="276"/>
      <c r="DD97" s="277"/>
      <c r="DE97" s="277"/>
      <c r="DF97" s="277" t="e">
        <f t="shared" si="138"/>
        <v>#DIV/0!</v>
      </c>
      <c r="DG97" s="276"/>
      <c r="DH97" s="276"/>
      <c r="DI97" s="277"/>
      <c r="DJ97" s="277"/>
      <c r="DK97" s="277" t="e">
        <f t="shared" si="139"/>
        <v>#DIV/0!</v>
      </c>
      <c r="DL97" s="276"/>
      <c r="DM97" s="276"/>
      <c r="DN97" s="277"/>
      <c r="DO97" s="277"/>
      <c r="DP97" s="277" t="e">
        <f t="shared" si="140"/>
        <v>#DIV/0!</v>
      </c>
      <c r="DQ97" s="276"/>
      <c r="DR97" s="276"/>
      <c r="DS97" s="277"/>
      <c r="DT97" s="277"/>
      <c r="DU97" s="277" t="e">
        <f t="shared" si="141"/>
        <v>#DIV/0!</v>
      </c>
      <c r="DV97" s="276"/>
      <c r="DW97" s="276"/>
      <c r="DX97" s="277"/>
      <c r="DY97" s="277"/>
      <c r="DZ97" s="277" t="e">
        <f t="shared" si="142"/>
        <v>#DIV/0!</v>
      </c>
      <c r="EA97" s="276"/>
      <c r="EB97" s="276"/>
      <c r="EC97" s="277"/>
      <c r="ED97" s="277"/>
      <c r="EE97" s="277" t="e">
        <f t="shared" si="143"/>
        <v>#DIV/0!</v>
      </c>
      <c r="EF97" s="276"/>
      <c r="EG97" s="276"/>
      <c r="EH97" s="277"/>
      <c r="EI97" s="277"/>
      <c r="EJ97" s="277" t="e">
        <f t="shared" si="144"/>
        <v>#DIV/0!</v>
      </c>
      <c r="EK97" s="276"/>
      <c r="EL97" s="276"/>
      <c r="EM97" s="277"/>
      <c r="EN97" s="277"/>
      <c r="EO97" s="277" t="e">
        <f t="shared" si="145"/>
        <v>#DIV/0!</v>
      </c>
      <c r="EP97" s="276"/>
      <c r="EQ97" s="276"/>
      <c r="ER97" s="277"/>
      <c r="ES97" s="277"/>
      <c r="ET97" s="277" t="e">
        <f t="shared" si="146"/>
        <v>#DIV/0!</v>
      </c>
      <c r="EU97" s="276"/>
      <c r="EV97" s="276"/>
      <c r="EW97" s="277"/>
      <c r="EX97" s="277"/>
      <c r="EY97" s="277" t="e">
        <f t="shared" si="147"/>
        <v>#DIV/0!</v>
      </c>
      <c r="EZ97" s="276"/>
      <c r="FA97" s="276"/>
      <c r="FB97" s="277"/>
      <c r="FC97" s="277"/>
      <c r="FD97" s="277" t="e">
        <f t="shared" si="148"/>
        <v>#DIV/0!</v>
      </c>
      <c r="FE97" s="277">
        <f t="shared" si="117"/>
        <v>0</v>
      </c>
      <c r="FF97" s="277"/>
      <c r="FG97" s="277">
        <f t="shared" si="149"/>
        <v>0</v>
      </c>
      <c r="FH97" s="313">
        <f t="shared" si="153"/>
        <v>0</v>
      </c>
      <c r="FI97" s="314" t="e">
        <f t="shared" si="150"/>
        <v>#DIV/0!</v>
      </c>
      <c r="FJ97" s="277">
        <f t="shared" si="151"/>
        <v>0</v>
      </c>
      <c r="FK97" s="315">
        <f>FJ97+FJ98+FJ99+FJ100+FJ101+FJ102+FJ103+FJ104+FJ105+FJ106</f>
        <v>0</v>
      </c>
      <c r="FL97" s="316" t="e">
        <f>(FH97+FH98+FH99+FH100+FH101+FH102+FH103+FH104+FH105+FH106)/(FE97+FE98+FE99+FE100+FE101+FE102+FE103+FE104+FE105+FE106)</f>
        <v>#DIV/0!</v>
      </c>
      <c r="FM97" s="329"/>
    </row>
    <row r="98" s="214" customFormat="1" ht="27" customHeight="1" spans="1:169">
      <c r="A98" s="263"/>
      <c r="B98" s="335"/>
      <c r="C98" s="274"/>
      <c r="D98" s="233" t="s">
        <v>9</v>
      </c>
      <c r="E98" s="279">
        <v>0.133</v>
      </c>
      <c r="F98" s="276"/>
      <c r="G98" s="276"/>
      <c r="H98" s="277"/>
      <c r="I98" s="277"/>
      <c r="J98" s="277" t="e">
        <f t="shared" si="119"/>
        <v>#DIV/0!</v>
      </c>
      <c r="K98" s="276"/>
      <c r="L98" s="276"/>
      <c r="M98" s="277"/>
      <c r="N98" s="277"/>
      <c r="O98" s="277" t="e">
        <f t="shared" si="120"/>
        <v>#DIV/0!</v>
      </c>
      <c r="P98" s="276"/>
      <c r="Q98" s="276"/>
      <c r="R98" s="277"/>
      <c r="S98" s="277"/>
      <c r="T98" s="277" t="e">
        <f t="shared" si="121"/>
        <v>#DIV/0!</v>
      </c>
      <c r="U98" s="276"/>
      <c r="V98" s="276"/>
      <c r="W98" s="277"/>
      <c r="X98" s="277"/>
      <c r="Y98" s="277" t="e">
        <f t="shared" si="122"/>
        <v>#DIV/0!</v>
      </c>
      <c r="Z98" s="276"/>
      <c r="AA98" s="276"/>
      <c r="AB98" s="277"/>
      <c r="AC98" s="277"/>
      <c r="AD98" s="277" t="e">
        <f t="shared" si="123"/>
        <v>#DIV/0!</v>
      </c>
      <c r="AE98" s="276"/>
      <c r="AF98" s="276"/>
      <c r="AG98" s="277"/>
      <c r="AH98" s="277"/>
      <c r="AI98" s="277" t="e">
        <f t="shared" si="124"/>
        <v>#DIV/0!</v>
      </c>
      <c r="AJ98" s="276"/>
      <c r="AK98" s="276"/>
      <c r="AL98" s="277"/>
      <c r="AM98" s="277"/>
      <c r="AN98" s="277" t="e">
        <f t="shared" si="125"/>
        <v>#DIV/0!</v>
      </c>
      <c r="AO98" s="276"/>
      <c r="AP98" s="276"/>
      <c r="AQ98" s="277"/>
      <c r="AR98" s="277"/>
      <c r="AS98" s="277" t="e">
        <f t="shared" si="152"/>
        <v>#DIV/0!</v>
      </c>
      <c r="AT98" s="276"/>
      <c r="AU98" s="276"/>
      <c r="AV98" s="277"/>
      <c r="AW98" s="277"/>
      <c r="AX98" s="277" t="e">
        <f t="shared" si="126"/>
        <v>#DIV/0!</v>
      </c>
      <c r="AY98" s="276"/>
      <c r="AZ98" s="276"/>
      <c r="BA98" s="277"/>
      <c r="BB98" s="277"/>
      <c r="BC98" s="277" t="e">
        <f t="shared" si="127"/>
        <v>#DIV/0!</v>
      </c>
      <c r="BD98" s="276"/>
      <c r="BE98" s="276"/>
      <c r="BF98" s="277"/>
      <c r="BG98" s="277"/>
      <c r="BH98" s="277" t="e">
        <f t="shared" si="128"/>
        <v>#DIV/0!</v>
      </c>
      <c r="BI98" s="276"/>
      <c r="BJ98" s="276"/>
      <c r="BK98" s="277"/>
      <c r="BL98" s="277"/>
      <c r="BM98" s="277" t="e">
        <f t="shared" si="129"/>
        <v>#DIV/0!</v>
      </c>
      <c r="BN98" s="276"/>
      <c r="BO98" s="276"/>
      <c r="BP98" s="277"/>
      <c r="BQ98" s="277"/>
      <c r="BR98" s="277" t="e">
        <f t="shared" si="130"/>
        <v>#DIV/0!</v>
      </c>
      <c r="BS98" s="276"/>
      <c r="BT98" s="276"/>
      <c r="BU98" s="277"/>
      <c r="BV98" s="277"/>
      <c r="BW98" s="277" t="e">
        <f t="shared" si="131"/>
        <v>#DIV/0!</v>
      </c>
      <c r="BX98" s="276"/>
      <c r="BY98" s="276"/>
      <c r="BZ98" s="277"/>
      <c r="CA98" s="277"/>
      <c r="CB98" s="277" t="e">
        <f t="shared" si="132"/>
        <v>#DIV/0!</v>
      </c>
      <c r="CC98" s="276"/>
      <c r="CD98" s="276"/>
      <c r="CE98" s="277"/>
      <c r="CF98" s="277"/>
      <c r="CG98" s="277" t="e">
        <f t="shared" si="133"/>
        <v>#DIV/0!</v>
      </c>
      <c r="CH98" s="276"/>
      <c r="CI98" s="276"/>
      <c r="CJ98" s="277"/>
      <c r="CK98" s="277"/>
      <c r="CL98" s="277" t="e">
        <f t="shared" si="134"/>
        <v>#DIV/0!</v>
      </c>
      <c r="CM98" s="276"/>
      <c r="CN98" s="276"/>
      <c r="CO98" s="277"/>
      <c r="CP98" s="277"/>
      <c r="CQ98" s="277" t="e">
        <f t="shared" si="135"/>
        <v>#DIV/0!</v>
      </c>
      <c r="CR98" s="276"/>
      <c r="CS98" s="276"/>
      <c r="CT98" s="277"/>
      <c r="CU98" s="277"/>
      <c r="CV98" s="277" t="e">
        <f t="shared" si="136"/>
        <v>#DIV/0!</v>
      </c>
      <c r="CW98" s="276"/>
      <c r="CX98" s="276"/>
      <c r="CY98" s="277"/>
      <c r="CZ98" s="277"/>
      <c r="DA98" s="277" t="e">
        <f t="shared" si="137"/>
        <v>#DIV/0!</v>
      </c>
      <c r="DB98" s="276"/>
      <c r="DC98" s="276"/>
      <c r="DD98" s="277"/>
      <c r="DE98" s="277"/>
      <c r="DF98" s="277" t="e">
        <f t="shared" si="138"/>
        <v>#DIV/0!</v>
      </c>
      <c r="DG98" s="276"/>
      <c r="DH98" s="276"/>
      <c r="DI98" s="277"/>
      <c r="DJ98" s="277"/>
      <c r="DK98" s="277" t="e">
        <f t="shared" si="139"/>
        <v>#DIV/0!</v>
      </c>
      <c r="DL98" s="276"/>
      <c r="DM98" s="276"/>
      <c r="DN98" s="277"/>
      <c r="DO98" s="277"/>
      <c r="DP98" s="277" t="e">
        <f t="shared" si="140"/>
        <v>#DIV/0!</v>
      </c>
      <c r="DQ98" s="276"/>
      <c r="DR98" s="276"/>
      <c r="DS98" s="277"/>
      <c r="DT98" s="277"/>
      <c r="DU98" s="277" t="e">
        <f t="shared" si="141"/>
        <v>#DIV/0!</v>
      </c>
      <c r="DV98" s="276"/>
      <c r="DW98" s="276"/>
      <c r="DX98" s="277"/>
      <c r="DY98" s="277"/>
      <c r="DZ98" s="277" t="e">
        <f t="shared" si="142"/>
        <v>#DIV/0!</v>
      </c>
      <c r="EA98" s="276"/>
      <c r="EB98" s="276"/>
      <c r="EC98" s="277"/>
      <c r="ED98" s="277"/>
      <c r="EE98" s="277" t="e">
        <f t="shared" si="143"/>
        <v>#DIV/0!</v>
      </c>
      <c r="EF98" s="276"/>
      <c r="EG98" s="276"/>
      <c r="EH98" s="277"/>
      <c r="EI98" s="277"/>
      <c r="EJ98" s="277" t="e">
        <f t="shared" si="144"/>
        <v>#DIV/0!</v>
      </c>
      <c r="EK98" s="276"/>
      <c r="EL98" s="276"/>
      <c r="EM98" s="277"/>
      <c r="EN98" s="277"/>
      <c r="EO98" s="277" t="e">
        <f t="shared" si="145"/>
        <v>#DIV/0!</v>
      </c>
      <c r="EP98" s="276"/>
      <c r="EQ98" s="276"/>
      <c r="ER98" s="277"/>
      <c r="ES98" s="277"/>
      <c r="ET98" s="277" t="e">
        <f t="shared" si="146"/>
        <v>#DIV/0!</v>
      </c>
      <c r="EU98" s="276"/>
      <c r="EV98" s="276"/>
      <c r="EW98" s="277"/>
      <c r="EX98" s="277"/>
      <c r="EY98" s="277" t="e">
        <f t="shared" si="147"/>
        <v>#DIV/0!</v>
      </c>
      <c r="EZ98" s="276"/>
      <c r="FA98" s="276"/>
      <c r="FB98" s="277"/>
      <c r="FC98" s="277"/>
      <c r="FD98" s="277" t="e">
        <f t="shared" si="148"/>
        <v>#DIV/0!</v>
      </c>
      <c r="FE98" s="277">
        <f t="shared" ref="FE98:FE106" si="154">F98+K98+P98+U98+Z98+AE98+AJ98+AO98+AT98+AY98+BD98+BI98+BN98+BS98+BX98+CC98+CH98+CM98+CR98+CW98+DB98+DG98+DL98+DQ98+DV98+EA98+EF98+EK98+EP98+EU98+EZ98</f>
        <v>0</v>
      </c>
      <c r="FF98" s="277"/>
      <c r="FG98" s="277">
        <f t="shared" si="149"/>
        <v>0</v>
      </c>
      <c r="FH98" s="313">
        <f t="shared" ref="FH98:FH107" si="155">FB98+EW98+ER98+EM98+EH98+EC98+DX98+DS98+DN98+DI98+DD98+CY98+CT98+CO98+CJ98+CE98+BZ98+BU98+BP98+BK98+BF98+BA98+AV98+AQ98+AL98+AG98+AB98+W98+R98+M98+H98</f>
        <v>0</v>
      </c>
      <c r="FI98" s="314" t="e">
        <f t="shared" si="150"/>
        <v>#DIV/0!</v>
      </c>
      <c r="FJ98" s="277">
        <f t="shared" si="151"/>
        <v>0</v>
      </c>
      <c r="FK98" s="317"/>
      <c r="FL98" s="318"/>
      <c r="FM98" s="332"/>
    </row>
    <row r="99" s="214" customFormat="1" ht="27" customHeight="1" spans="1:169">
      <c r="A99" s="263"/>
      <c r="B99" s="335"/>
      <c r="C99" s="274"/>
      <c r="D99" s="233" t="s">
        <v>10</v>
      </c>
      <c r="E99" s="279">
        <v>0.133</v>
      </c>
      <c r="F99" s="276"/>
      <c r="G99" s="277"/>
      <c r="H99" s="277"/>
      <c r="I99" s="277"/>
      <c r="J99" s="277" t="e">
        <f t="shared" si="119"/>
        <v>#DIV/0!</v>
      </c>
      <c r="K99" s="276"/>
      <c r="L99" s="277"/>
      <c r="M99" s="277"/>
      <c r="N99" s="277"/>
      <c r="O99" s="277" t="e">
        <f t="shared" si="120"/>
        <v>#DIV/0!</v>
      </c>
      <c r="P99" s="276"/>
      <c r="Q99" s="277"/>
      <c r="R99" s="277"/>
      <c r="S99" s="277"/>
      <c r="T99" s="277" t="e">
        <f t="shared" si="121"/>
        <v>#DIV/0!</v>
      </c>
      <c r="U99" s="276"/>
      <c r="V99" s="277"/>
      <c r="W99" s="277"/>
      <c r="X99" s="277"/>
      <c r="Y99" s="277" t="e">
        <f t="shared" si="122"/>
        <v>#DIV/0!</v>
      </c>
      <c r="Z99" s="276"/>
      <c r="AA99" s="277"/>
      <c r="AB99" s="277"/>
      <c r="AC99" s="277"/>
      <c r="AD99" s="277" t="e">
        <f t="shared" si="123"/>
        <v>#DIV/0!</v>
      </c>
      <c r="AE99" s="276"/>
      <c r="AF99" s="277"/>
      <c r="AG99" s="277"/>
      <c r="AH99" s="277"/>
      <c r="AI99" s="277" t="e">
        <f t="shared" si="124"/>
        <v>#DIV/0!</v>
      </c>
      <c r="AJ99" s="276"/>
      <c r="AK99" s="277"/>
      <c r="AL99" s="277"/>
      <c r="AM99" s="277"/>
      <c r="AN99" s="277" t="e">
        <f t="shared" si="125"/>
        <v>#DIV/0!</v>
      </c>
      <c r="AO99" s="276"/>
      <c r="AP99" s="277"/>
      <c r="AQ99" s="277"/>
      <c r="AR99" s="277"/>
      <c r="AS99" s="277" t="e">
        <f t="shared" ref="AS99:AS108" si="156">AQ99/(AQ99+AR99)*AQ99/(AQ99+AR99)</f>
        <v>#DIV/0!</v>
      </c>
      <c r="AT99" s="276"/>
      <c r="AU99" s="277"/>
      <c r="AV99" s="277"/>
      <c r="AW99" s="277"/>
      <c r="AX99" s="277" t="e">
        <f t="shared" si="126"/>
        <v>#DIV/0!</v>
      </c>
      <c r="AY99" s="276"/>
      <c r="AZ99" s="277"/>
      <c r="BA99" s="277"/>
      <c r="BB99" s="277"/>
      <c r="BC99" s="277" t="e">
        <f t="shared" si="127"/>
        <v>#DIV/0!</v>
      </c>
      <c r="BD99" s="276"/>
      <c r="BE99" s="277"/>
      <c r="BF99" s="277"/>
      <c r="BG99" s="277"/>
      <c r="BH99" s="277" t="e">
        <f t="shared" si="128"/>
        <v>#DIV/0!</v>
      </c>
      <c r="BI99" s="276"/>
      <c r="BJ99" s="277"/>
      <c r="BK99" s="277"/>
      <c r="BL99" s="277"/>
      <c r="BM99" s="277" t="e">
        <f t="shared" si="129"/>
        <v>#DIV/0!</v>
      </c>
      <c r="BN99" s="276"/>
      <c r="BO99" s="277"/>
      <c r="BP99" s="277"/>
      <c r="BQ99" s="277"/>
      <c r="BR99" s="277" t="e">
        <f t="shared" si="130"/>
        <v>#DIV/0!</v>
      </c>
      <c r="BS99" s="276"/>
      <c r="BT99" s="277"/>
      <c r="BU99" s="277"/>
      <c r="BV99" s="277"/>
      <c r="BW99" s="277" t="e">
        <f t="shared" si="131"/>
        <v>#DIV/0!</v>
      </c>
      <c r="BX99" s="276"/>
      <c r="BY99" s="277"/>
      <c r="BZ99" s="277"/>
      <c r="CA99" s="277"/>
      <c r="CB99" s="277" t="e">
        <f t="shared" si="132"/>
        <v>#DIV/0!</v>
      </c>
      <c r="CC99" s="276"/>
      <c r="CD99" s="277"/>
      <c r="CE99" s="277"/>
      <c r="CF99" s="277"/>
      <c r="CG99" s="277" t="e">
        <f t="shared" si="133"/>
        <v>#DIV/0!</v>
      </c>
      <c r="CH99" s="276"/>
      <c r="CI99" s="277"/>
      <c r="CJ99" s="277"/>
      <c r="CK99" s="277"/>
      <c r="CL99" s="277" t="e">
        <f t="shared" si="134"/>
        <v>#DIV/0!</v>
      </c>
      <c r="CM99" s="276"/>
      <c r="CN99" s="277"/>
      <c r="CO99" s="277"/>
      <c r="CP99" s="277"/>
      <c r="CQ99" s="277" t="e">
        <f t="shared" si="135"/>
        <v>#DIV/0!</v>
      </c>
      <c r="CR99" s="276"/>
      <c r="CS99" s="277"/>
      <c r="CT99" s="277"/>
      <c r="CU99" s="277"/>
      <c r="CV99" s="277" t="e">
        <f t="shared" si="136"/>
        <v>#DIV/0!</v>
      </c>
      <c r="CW99" s="276"/>
      <c r="CX99" s="277"/>
      <c r="CY99" s="277"/>
      <c r="CZ99" s="277"/>
      <c r="DA99" s="277" t="e">
        <f t="shared" si="137"/>
        <v>#DIV/0!</v>
      </c>
      <c r="DB99" s="276"/>
      <c r="DC99" s="277"/>
      <c r="DD99" s="277"/>
      <c r="DE99" s="277"/>
      <c r="DF99" s="277" t="e">
        <f t="shared" si="138"/>
        <v>#DIV/0!</v>
      </c>
      <c r="DG99" s="276"/>
      <c r="DH99" s="277"/>
      <c r="DI99" s="277"/>
      <c r="DJ99" s="277"/>
      <c r="DK99" s="277" t="e">
        <f t="shared" si="139"/>
        <v>#DIV/0!</v>
      </c>
      <c r="DL99" s="276"/>
      <c r="DM99" s="277"/>
      <c r="DN99" s="277"/>
      <c r="DO99" s="277"/>
      <c r="DP99" s="277" t="e">
        <f t="shared" si="140"/>
        <v>#DIV/0!</v>
      </c>
      <c r="DQ99" s="276"/>
      <c r="DR99" s="277"/>
      <c r="DS99" s="277"/>
      <c r="DT99" s="277"/>
      <c r="DU99" s="277" t="e">
        <f t="shared" si="141"/>
        <v>#DIV/0!</v>
      </c>
      <c r="DV99" s="276"/>
      <c r="DW99" s="277"/>
      <c r="DX99" s="277"/>
      <c r="DY99" s="277"/>
      <c r="DZ99" s="277" t="e">
        <f t="shared" si="142"/>
        <v>#DIV/0!</v>
      </c>
      <c r="EA99" s="276"/>
      <c r="EB99" s="277"/>
      <c r="EC99" s="277"/>
      <c r="ED99" s="277"/>
      <c r="EE99" s="277" t="e">
        <f t="shared" si="143"/>
        <v>#DIV/0!</v>
      </c>
      <c r="EF99" s="276"/>
      <c r="EG99" s="277"/>
      <c r="EH99" s="277"/>
      <c r="EI99" s="277"/>
      <c r="EJ99" s="277" t="e">
        <f t="shared" si="144"/>
        <v>#DIV/0!</v>
      </c>
      <c r="EK99" s="276"/>
      <c r="EL99" s="277"/>
      <c r="EM99" s="277"/>
      <c r="EN99" s="277"/>
      <c r="EO99" s="277" t="e">
        <f t="shared" si="145"/>
        <v>#DIV/0!</v>
      </c>
      <c r="EP99" s="276"/>
      <c r="EQ99" s="277"/>
      <c r="ER99" s="277"/>
      <c r="ES99" s="277"/>
      <c r="ET99" s="277" t="e">
        <f t="shared" si="146"/>
        <v>#DIV/0!</v>
      </c>
      <c r="EU99" s="276"/>
      <c r="EV99" s="277"/>
      <c r="EW99" s="277"/>
      <c r="EX99" s="277"/>
      <c r="EY99" s="277" t="e">
        <f t="shared" si="147"/>
        <v>#DIV/0!</v>
      </c>
      <c r="EZ99" s="276"/>
      <c r="FA99" s="277"/>
      <c r="FB99" s="277"/>
      <c r="FC99" s="277"/>
      <c r="FD99" s="277" t="e">
        <f t="shared" si="148"/>
        <v>#DIV/0!</v>
      </c>
      <c r="FE99" s="277">
        <f t="shared" si="154"/>
        <v>0</v>
      </c>
      <c r="FF99" s="277"/>
      <c r="FG99" s="277">
        <f t="shared" si="149"/>
        <v>0</v>
      </c>
      <c r="FH99" s="313">
        <f t="shared" si="155"/>
        <v>0</v>
      </c>
      <c r="FI99" s="314" t="e">
        <f t="shared" si="150"/>
        <v>#DIV/0!</v>
      </c>
      <c r="FJ99" s="277">
        <f t="shared" si="151"/>
        <v>0</v>
      </c>
      <c r="FK99" s="317"/>
      <c r="FL99" s="318"/>
      <c r="FM99" s="332"/>
    </row>
    <row r="100" s="214" customFormat="1" ht="27" customHeight="1" spans="1:169">
      <c r="A100" s="263"/>
      <c r="B100" s="335"/>
      <c r="C100" s="274"/>
      <c r="D100" s="233" t="s">
        <v>11</v>
      </c>
      <c r="E100" s="279">
        <v>0.23</v>
      </c>
      <c r="F100" s="276"/>
      <c r="G100" s="277"/>
      <c r="H100" s="277"/>
      <c r="I100" s="277"/>
      <c r="J100" s="277" t="e">
        <f t="shared" si="119"/>
        <v>#DIV/0!</v>
      </c>
      <c r="K100" s="276"/>
      <c r="L100" s="277"/>
      <c r="M100" s="277"/>
      <c r="N100" s="277"/>
      <c r="O100" s="277" t="e">
        <f t="shared" si="120"/>
        <v>#DIV/0!</v>
      </c>
      <c r="P100" s="276"/>
      <c r="Q100" s="277"/>
      <c r="R100" s="277"/>
      <c r="S100" s="277"/>
      <c r="T100" s="277" t="e">
        <f t="shared" si="121"/>
        <v>#DIV/0!</v>
      </c>
      <c r="U100" s="276"/>
      <c r="V100" s="277"/>
      <c r="W100" s="277"/>
      <c r="X100" s="277"/>
      <c r="Y100" s="277" t="e">
        <f t="shared" si="122"/>
        <v>#DIV/0!</v>
      </c>
      <c r="Z100" s="276"/>
      <c r="AA100" s="277"/>
      <c r="AB100" s="277"/>
      <c r="AC100" s="277"/>
      <c r="AD100" s="277" t="e">
        <f t="shared" si="123"/>
        <v>#DIV/0!</v>
      </c>
      <c r="AE100" s="276"/>
      <c r="AF100" s="277"/>
      <c r="AG100" s="277"/>
      <c r="AH100" s="277"/>
      <c r="AI100" s="277" t="e">
        <f t="shared" si="124"/>
        <v>#DIV/0!</v>
      </c>
      <c r="AJ100" s="276"/>
      <c r="AK100" s="277"/>
      <c r="AL100" s="277"/>
      <c r="AM100" s="277"/>
      <c r="AN100" s="277" t="e">
        <f t="shared" si="125"/>
        <v>#DIV/0!</v>
      </c>
      <c r="AO100" s="276"/>
      <c r="AP100" s="277"/>
      <c r="AQ100" s="277"/>
      <c r="AR100" s="277"/>
      <c r="AS100" s="277" t="e">
        <f t="shared" si="156"/>
        <v>#DIV/0!</v>
      </c>
      <c r="AT100" s="276"/>
      <c r="AU100" s="277"/>
      <c r="AV100" s="277"/>
      <c r="AW100" s="277"/>
      <c r="AX100" s="277" t="e">
        <f t="shared" si="126"/>
        <v>#DIV/0!</v>
      </c>
      <c r="AY100" s="276"/>
      <c r="AZ100" s="277"/>
      <c r="BA100" s="277"/>
      <c r="BB100" s="277"/>
      <c r="BC100" s="277" t="e">
        <f t="shared" si="127"/>
        <v>#DIV/0!</v>
      </c>
      <c r="BD100" s="276"/>
      <c r="BE100" s="277"/>
      <c r="BF100" s="277"/>
      <c r="BG100" s="277"/>
      <c r="BH100" s="277" t="e">
        <f t="shared" si="128"/>
        <v>#DIV/0!</v>
      </c>
      <c r="BI100" s="276"/>
      <c r="BJ100" s="277"/>
      <c r="BK100" s="277"/>
      <c r="BL100" s="277"/>
      <c r="BM100" s="277" t="e">
        <f t="shared" si="129"/>
        <v>#DIV/0!</v>
      </c>
      <c r="BN100" s="276"/>
      <c r="BO100" s="277"/>
      <c r="BP100" s="277"/>
      <c r="BQ100" s="277"/>
      <c r="BR100" s="277" t="e">
        <f t="shared" si="130"/>
        <v>#DIV/0!</v>
      </c>
      <c r="BS100" s="276"/>
      <c r="BT100" s="277"/>
      <c r="BU100" s="277"/>
      <c r="BV100" s="277"/>
      <c r="BW100" s="277" t="e">
        <f t="shared" si="131"/>
        <v>#DIV/0!</v>
      </c>
      <c r="BX100" s="276"/>
      <c r="BY100" s="277"/>
      <c r="BZ100" s="277"/>
      <c r="CA100" s="277"/>
      <c r="CB100" s="277" t="e">
        <f t="shared" si="132"/>
        <v>#DIV/0!</v>
      </c>
      <c r="CC100" s="276"/>
      <c r="CD100" s="277"/>
      <c r="CE100" s="277"/>
      <c r="CF100" s="277"/>
      <c r="CG100" s="277" t="e">
        <f t="shared" si="133"/>
        <v>#DIV/0!</v>
      </c>
      <c r="CH100" s="276"/>
      <c r="CI100" s="277"/>
      <c r="CJ100" s="277"/>
      <c r="CK100" s="277"/>
      <c r="CL100" s="277" t="e">
        <f t="shared" si="134"/>
        <v>#DIV/0!</v>
      </c>
      <c r="CM100" s="276"/>
      <c r="CN100" s="277"/>
      <c r="CO100" s="277"/>
      <c r="CP100" s="277"/>
      <c r="CQ100" s="277" t="e">
        <f t="shared" si="135"/>
        <v>#DIV/0!</v>
      </c>
      <c r="CR100" s="276"/>
      <c r="CS100" s="277"/>
      <c r="CT100" s="277"/>
      <c r="CU100" s="277"/>
      <c r="CV100" s="277" t="e">
        <f t="shared" si="136"/>
        <v>#DIV/0!</v>
      </c>
      <c r="CW100" s="276"/>
      <c r="CX100" s="277"/>
      <c r="CY100" s="277"/>
      <c r="CZ100" s="277"/>
      <c r="DA100" s="277" t="e">
        <f t="shared" si="137"/>
        <v>#DIV/0!</v>
      </c>
      <c r="DB100" s="276"/>
      <c r="DC100" s="277"/>
      <c r="DD100" s="277"/>
      <c r="DE100" s="277"/>
      <c r="DF100" s="277" t="e">
        <f t="shared" si="138"/>
        <v>#DIV/0!</v>
      </c>
      <c r="DG100" s="276"/>
      <c r="DH100" s="277"/>
      <c r="DI100" s="277"/>
      <c r="DJ100" s="277"/>
      <c r="DK100" s="277" t="e">
        <f t="shared" si="139"/>
        <v>#DIV/0!</v>
      </c>
      <c r="DL100" s="276"/>
      <c r="DM100" s="277"/>
      <c r="DN100" s="277"/>
      <c r="DO100" s="277"/>
      <c r="DP100" s="277" t="e">
        <f t="shared" si="140"/>
        <v>#DIV/0!</v>
      </c>
      <c r="DQ100" s="276"/>
      <c r="DR100" s="277"/>
      <c r="DS100" s="277"/>
      <c r="DT100" s="277"/>
      <c r="DU100" s="277" t="e">
        <f t="shared" si="141"/>
        <v>#DIV/0!</v>
      </c>
      <c r="DV100" s="276"/>
      <c r="DW100" s="277"/>
      <c r="DX100" s="277"/>
      <c r="DY100" s="277"/>
      <c r="DZ100" s="277" t="e">
        <f t="shared" si="142"/>
        <v>#DIV/0!</v>
      </c>
      <c r="EA100" s="276"/>
      <c r="EB100" s="277"/>
      <c r="EC100" s="277"/>
      <c r="ED100" s="277"/>
      <c r="EE100" s="277" t="e">
        <f t="shared" si="143"/>
        <v>#DIV/0!</v>
      </c>
      <c r="EF100" s="276"/>
      <c r="EG100" s="277"/>
      <c r="EH100" s="277"/>
      <c r="EI100" s="277"/>
      <c r="EJ100" s="277" t="e">
        <f t="shared" si="144"/>
        <v>#DIV/0!</v>
      </c>
      <c r="EK100" s="276"/>
      <c r="EL100" s="277"/>
      <c r="EM100" s="277"/>
      <c r="EN100" s="277"/>
      <c r="EO100" s="277" t="e">
        <f t="shared" si="145"/>
        <v>#DIV/0!</v>
      </c>
      <c r="EP100" s="276"/>
      <c r="EQ100" s="277"/>
      <c r="ER100" s="277"/>
      <c r="ES100" s="277"/>
      <c r="ET100" s="277" t="e">
        <f t="shared" si="146"/>
        <v>#DIV/0!</v>
      </c>
      <c r="EU100" s="276"/>
      <c r="EV100" s="277"/>
      <c r="EW100" s="277"/>
      <c r="EX100" s="277"/>
      <c r="EY100" s="277" t="e">
        <f t="shared" si="147"/>
        <v>#DIV/0!</v>
      </c>
      <c r="EZ100" s="276"/>
      <c r="FA100" s="277"/>
      <c r="FB100" s="277"/>
      <c r="FC100" s="277"/>
      <c r="FD100" s="277" t="e">
        <f t="shared" si="148"/>
        <v>#DIV/0!</v>
      </c>
      <c r="FE100" s="277">
        <f t="shared" si="154"/>
        <v>0</v>
      </c>
      <c r="FF100" s="277"/>
      <c r="FG100" s="277">
        <f t="shared" si="149"/>
        <v>0</v>
      </c>
      <c r="FH100" s="313">
        <f t="shared" si="155"/>
        <v>0</v>
      </c>
      <c r="FI100" s="314" t="e">
        <f t="shared" si="150"/>
        <v>#DIV/0!</v>
      </c>
      <c r="FJ100" s="277">
        <f t="shared" si="151"/>
        <v>0</v>
      </c>
      <c r="FK100" s="317"/>
      <c r="FL100" s="318"/>
      <c r="FM100" s="332"/>
    </row>
    <row r="101" s="214" customFormat="1" ht="27" customHeight="1" spans="1:171">
      <c r="A101" s="263"/>
      <c r="B101" s="335"/>
      <c r="C101" s="274"/>
      <c r="D101" s="233" t="s">
        <v>12</v>
      </c>
      <c r="E101" s="279">
        <v>0.25</v>
      </c>
      <c r="F101" s="276"/>
      <c r="G101" s="277"/>
      <c r="H101" s="277"/>
      <c r="I101" s="277"/>
      <c r="J101" s="277" t="e">
        <f t="shared" si="119"/>
        <v>#DIV/0!</v>
      </c>
      <c r="K101" s="276"/>
      <c r="L101" s="277"/>
      <c r="M101" s="277"/>
      <c r="N101" s="277"/>
      <c r="O101" s="277" t="e">
        <f t="shared" si="120"/>
        <v>#DIV/0!</v>
      </c>
      <c r="P101" s="276"/>
      <c r="Q101" s="277"/>
      <c r="R101" s="277"/>
      <c r="S101" s="277"/>
      <c r="T101" s="277" t="e">
        <f t="shared" si="121"/>
        <v>#DIV/0!</v>
      </c>
      <c r="U101" s="276"/>
      <c r="V101" s="277"/>
      <c r="W101" s="277"/>
      <c r="X101" s="277"/>
      <c r="Y101" s="277" t="e">
        <f t="shared" si="122"/>
        <v>#DIV/0!</v>
      </c>
      <c r="Z101" s="276"/>
      <c r="AA101" s="277"/>
      <c r="AB101" s="277"/>
      <c r="AC101" s="277"/>
      <c r="AD101" s="277" t="e">
        <f t="shared" si="123"/>
        <v>#DIV/0!</v>
      </c>
      <c r="AE101" s="276"/>
      <c r="AF101" s="277"/>
      <c r="AG101" s="277"/>
      <c r="AH101" s="277"/>
      <c r="AI101" s="277" t="e">
        <f t="shared" si="124"/>
        <v>#DIV/0!</v>
      </c>
      <c r="AJ101" s="276"/>
      <c r="AK101" s="277"/>
      <c r="AL101" s="277"/>
      <c r="AM101" s="277"/>
      <c r="AN101" s="277" t="e">
        <f t="shared" si="125"/>
        <v>#DIV/0!</v>
      </c>
      <c r="AO101" s="276"/>
      <c r="AP101" s="277"/>
      <c r="AQ101" s="277"/>
      <c r="AR101" s="277"/>
      <c r="AS101" s="277" t="e">
        <f t="shared" si="156"/>
        <v>#DIV/0!</v>
      </c>
      <c r="AT101" s="276"/>
      <c r="AU101" s="277"/>
      <c r="AV101" s="277"/>
      <c r="AW101" s="277"/>
      <c r="AX101" s="277" t="e">
        <f t="shared" si="126"/>
        <v>#DIV/0!</v>
      </c>
      <c r="AY101" s="276"/>
      <c r="AZ101" s="277"/>
      <c r="BA101" s="277"/>
      <c r="BB101" s="277"/>
      <c r="BC101" s="277" t="e">
        <f t="shared" si="127"/>
        <v>#DIV/0!</v>
      </c>
      <c r="BD101" s="276"/>
      <c r="BE101" s="277"/>
      <c r="BF101" s="277"/>
      <c r="BG101" s="277"/>
      <c r="BH101" s="277" t="e">
        <f t="shared" si="128"/>
        <v>#DIV/0!</v>
      </c>
      <c r="BI101" s="276"/>
      <c r="BJ101" s="277"/>
      <c r="BK101" s="277"/>
      <c r="BL101" s="277"/>
      <c r="BM101" s="277" t="e">
        <f t="shared" si="129"/>
        <v>#DIV/0!</v>
      </c>
      <c r="BN101" s="276"/>
      <c r="BO101" s="277"/>
      <c r="BP101" s="277"/>
      <c r="BQ101" s="277"/>
      <c r="BR101" s="277" t="e">
        <f t="shared" si="130"/>
        <v>#DIV/0!</v>
      </c>
      <c r="BS101" s="276"/>
      <c r="BT101" s="277"/>
      <c r="BU101" s="277"/>
      <c r="BV101" s="277"/>
      <c r="BW101" s="277" t="e">
        <f t="shared" si="131"/>
        <v>#DIV/0!</v>
      </c>
      <c r="BX101" s="276"/>
      <c r="BY101" s="277"/>
      <c r="BZ101" s="277"/>
      <c r="CA101" s="277"/>
      <c r="CB101" s="277" t="e">
        <f t="shared" si="132"/>
        <v>#DIV/0!</v>
      </c>
      <c r="CC101" s="276"/>
      <c r="CD101" s="277"/>
      <c r="CE101" s="277"/>
      <c r="CF101" s="277"/>
      <c r="CG101" s="277" t="e">
        <f t="shared" si="133"/>
        <v>#DIV/0!</v>
      </c>
      <c r="CH101" s="276"/>
      <c r="CI101" s="277"/>
      <c r="CJ101" s="277"/>
      <c r="CK101" s="277"/>
      <c r="CL101" s="277" t="e">
        <f t="shared" si="134"/>
        <v>#DIV/0!</v>
      </c>
      <c r="CM101" s="276"/>
      <c r="CN101" s="277"/>
      <c r="CO101" s="277"/>
      <c r="CP101" s="277"/>
      <c r="CQ101" s="277" t="e">
        <f t="shared" si="135"/>
        <v>#DIV/0!</v>
      </c>
      <c r="CR101" s="276"/>
      <c r="CS101" s="277"/>
      <c r="CT101" s="277"/>
      <c r="CU101" s="277"/>
      <c r="CV101" s="277" t="e">
        <f t="shared" si="136"/>
        <v>#DIV/0!</v>
      </c>
      <c r="CW101" s="276"/>
      <c r="CX101" s="277"/>
      <c r="CY101" s="277"/>
      <c r="CZ101" s="277"/>
      <c r="DA101" s="277" t="e">
        <f t="shared" si="137"/>
        <v>#DIV/0!</v>
      </c>
      <c r="DB101" s="276"/>
      <c r="DC101" s="277"/>
      <c r="DD101" s="277"/>
      <c r="DE101" s="277"/>
      <c r="DF101" s="277" t="e">
        <f t="shared" si="138"/>
        <v>#DIV/0!</v>
      </c>
      <c r="DG101" s="276"/>
      <c r="DH101" s="277"/>
      <c r="DI101" s="277"/>
      <c r="DJ101" s="277"/>
      <c r="DK101" s="277" t="e">
        <f t="shared" si="139"/>
        <v>#DIV/0!</v>
      </c>
      <c r="DL101" s="276"/>
      <c r="DM101" s="277"/>
      <c r="DN101" s="277"/>
      <c r="DO101" s="277"/>
      <c r="DP101" s="277" t="e">
        <f t="shared" si="140"/>
        <v>#DIV/0!</v>
      </c>
      <c r="DQ101" s="276"/>
      <c r="DR101" s="277"/>
      <c r="DS101" s="277"/>
      <c r="DT101" s="277"/>
      <c r="DU101" s="277" t="e">
        <f t="shared" si="141"/>
        <v>#DIV/0!</v>
      </c>
      <c r="DV101" s="276"/>
      <c r="DW101" s="277"/>
      <c r="DX101" s="277"/>
      <c r="DY101" s="277"/>
      <c r="DZ101" s="277" t="e">
        <f t="shared" si="142"/>
        <v>#DIV/0!</v>
      </c>
      <c r="EA101" s="276"/>
      <c r="EB101" s="277"/>
      <c r="EC101" s="277"/>
      <c r="ED101" s="277"/>
      <c r="EE101" s="277" t="e">
        <f t="shared" si="143"/>
        <v>#DIV/0!</v>
      </c>
      <c r="EF101" s="276"/>
      <c r="EG101" s="277"/>
      <c r="EH101" s="277"/>
      <c r="EI101" s="277"/>
      <c r="EJ101" s="277" t="e">
        <f t="shared" si="144"/>
        <v>#DIV/0!</v>
      </c>
      <c r="EK101" s="276"/>
      <c r="EL101" s="277"/>
      <c r="EM101" s="277"/>
      <c r="EN101" s="277"/>
      <c r="EO101" s="277" t="e">
        <f t="shared" si="145"/>
        <v>#DIV/0!</v>
      </c>
      <c r="EP101" s="276"/>
      <c r="EQ101" s="277"/>
      <c r="ER101" s="277"/>
      <c r="ES101" s="277"/>
      <c r="ET101" s="277" t="e">
        <f t="shared" si="146"/>
        <v>#DIV/0!</v>
      </c>
      <c r="EU101" s="276"/>
      <c r="EV101" s="277"/>
      <c r="EW101" s="277"/>
      <c r="EX101" s="277"/>
      <c r="EY101" s="277" t="e">
        <f t="shared" si="147"/>
        <v>#DIV/0!</v>
      </c>
      <c r="EZ101" s="276"/>
      <c r="FA101" s="277"/>
      <c r="FB101" s="277"/>
      <c r="FC101" s="277"/>
      <c r="FD101" s="277" t="e">
        <f t="shared" si="148"/>
        <v>#DIV/0!</v>
      </c>
      <c r="FE101" s="277">
        <f t="shared" si="154"/>
        <v>0</v>
      </c>
      <c r="FF101" s="277"/>
      <c r="FG101" s="277">
        <f t="shared" si="149"/>
        <v>0</v>
      </c>
      <c r="FH101" s="313">
        <f t="shared" si="155"/>
        <v>0</v>
      </c>
      <c r="FI101" s="314" t="e">
        <f t="shared" si="150"/>
        <v>#DIV/0!</v>
      </c>
      <c r="FJ101" s="277">
        <f t="shared" si="151"/>
        <v>0</v>
      </c>
      <c r="FK101" s="317"/>
      <c r="FL101" s="318"/>
      <c r="FM101" s="332"/>
      <c r="FO101" s="327"/>
    </row>
    <row r="102" s="214" customFormat="1" ht="27" customHeight="1" spans="1:169">
      <c r="A102" s="263"/>
      <c r="B102" s="335"/>
      <c r="C102" s="274"/>
      <c r="D102" s="233" t="s">
        <v>52</v>
      </c>
      <c r="E102" s="279">
        <v>0.373</v>
      </c>
      <c r="F102" s="276"/>
      <c r="G102" s="277"/>
      <c r="H102" s="277"/>
      <c r="I102" s="277"/>
      <c r="J102" s="277" t="e">
        <f t="shared" si="119"/>
        <v>#DIV/0!</v>
      </c>
      <c r="K102" s="276"/>
      <c r="L102" s="277"/>
      <c r="M102" s="277"/>
      <c r="N102" s="277"/>
      <c r="O102" s="277" t="e">
        <f t="shared" si="120"/>
        <v>#DIV/0!</v>
      </c>
      <c r="P102" s="276"/>
      <c r="Q102" s="277"/>
      <c r="R102" s="277"/>
      <c r="S102" s="277"/>
      <c r="T102" s="277" t="e">
        <f t="shared" si="121"/>
        <v>#DIV/0!</v>
      </c>
      <c r="U102" s="276"/>
      <c r="V102" s="277"/>
      <c r="W102" s="277"/>
      <c r="X102" s="277"/>
      <c r="Y102" s="277" t="e">
        <f t="shared" si="122"/>
        <v>#DIV/0!</v>
      </c>
      <c r="Z102" s="276"/>
      <c r="AA102" s="277"/>
      <c r="AB102" s="277"/>
      <c r="AC102" s="277"/>
      <c r="AD102" s="277" t="e">
        <f t="shared" si="123"/>
        <v>#DIV/0!</v>
      </c>
      <c r="AE102" s="276"/>
      <c r="AF102" s="277"/>
      <c r="AG102" s="277"/>
      <c r="AH102" s="277"/>
      <c r="AI102" s="277" t="e">
        <f t="shared" si="124"/>
        <v>#DIV/0!</v>
      </c>
      <c r="AJ102" s="276"/>
      <c r="AK102" s="277"/>
      <c r="AL102" s="277"/>
      <c r="AM102" s="277"/>
      <c r="AN102" s="277" t="e">
        <f t="shared" si="125"/>
        <v>#DIV/0!</v>
      </c>
      <c r="AO102" s="276"/>
      <c r="AP102" s="277"/>
      <c r="AQ102" s="277"/>
      <c r="AR102" s="277"/>
      <c r="AS102" s="277" t="e">
        <f t="shared" si="156"/>
        <v>#DIV/0!</v>
      </c>
      <c r="AT102" s="276"/>
      <c r="AU102" s="277"/>
      <c r="AV102" s="277"/>
      <c r="AW102" s="277"/>
      <c r="AX102" s="277" t="e">
        <f t="shared" si="126"/>
        <v>#DIV/0!</v>
      </c>
      <c r="AY102" s="276"/>
      <c r="AZ102" s="277"/>
      <c r="BA102" s="277"/>
      <c r="BB102" s="277"/>
      <c r="BC102" s="277" t="e">
        <f t="shared" si="127"/>
        <v>#DIV/0!</v>
      </c>
      <c r="BD102" s="276"/>
      <c r="BE102" s="277"/>
      <c r="BF102" s="277"/>
      <c r="BG102" s="277"/>
      <c r="BH102" s="277" t="e">
        <f t="shared" si="128"/>
        <v>#DIV/0!</v>
      </c>
      <c r="BI102" s="276"/>
      <c r="BJ102" s="277"/>
      <c r="BK102" s="277"/>
      <c r="BL102" s="277"/>
      <c r="BM102" s="277" t="e">
        <f t="shared" si="129"/>
        <v>#DIV/0!</v>
      </c>
      <c r="BN102" s="276"/>
      <c r="BO102" s="277"/>
      <c r="BP102" s="277"/>
      <c r="BQ102" s="277"/>
      <c r="BR102" s="277" t="e">
        <f t="shared" si="130"/>
        <v>#DIV/0!</v>
      </c>
      <c r="BS102" s="276"/>
      <c r="BT102" s="277"/>
      <c r="BU102" s="277"/>
      <c r="BV102" s="277"/>
      <c r="BW102" s="277" t="e">
        <f t="shared" si="131"/>
        <v>#DIV/0!</v>
      </c>
      <c r="BX102" s="276"/>
      <c r="BY102" s="277"/>
      <c r="BZ102" s="277"/>
      <c r="CA102" s="277"/>
      <c r="CB102" s="277" t="e">
        <f t="shared" si="132"/>
        <v>#DIV/0!</v>
      </c>
      <c r="CC102" s="276"/>
      <c r="CD102" s="277"/>
      <c r="CE102" s="277"/>
      <c r="CF102" s="277"/>
      <c r="CG102" s="277" t="e">
        <f t="shared" si="133"/>
        <v>#DIV/0!</v>
      </c>
      <c r="CH102" s="276"/>
      <c r="CI102" s="277"/>
      <c r="CJ102" s="277"/>
      <c r="CK102" s="277"/>
      <c r="CL102" s="277" t="e">
        <f t="shared" si="134"/>
        <v>#DIV/0!</v>
      </c>
      <c r="CM102" s="276"/>
      <c r="CN102" s="277"/>
      <c r="CO102" s="277"/>
      <c r="CP102" s="277"/>
      <c r="CQ102" s="277" t="e">
        <f t="shared" si="135"/>
        <v>#DIV/0!</v>
      </c>
      <c r="CR102" s="276"/>
      <c r="CS102" s="277"/>
      <c r="CT102" s="277"/>
      <c r="CU102" s="277"/>
      <c r="CV102" s="277" t="e">
        <f t="shared" si="136"/>
        <v>#DIV/0!</v>
      </c>
      <c r="CW102" s="276"/>
      <c r="CX102" s="277"/>
      <c r="CY102" s="277"/>
      <c r="CZ102" s="277"/>
      <c r="DA102" s="277" t="e">
        <f t="shared" si="137"/>
        <v>#DIV/0!</v>
      </c>
      <c r="DB102" s="276"/>
      <c r="DC102" s="277"/>
      <c r="DD102" s="277"/>
      <c r="DE102" s="277"/>
      <c r="DF102" s="277" t="e">
        <f t="shared" si="138"/>
        <v>#DIV/0!</v>
      </c>
      <c r="DG102" s="276"/>
      <c r="DH102" s="277"/>
      <c r="DI102" s="277"/>
      <c r="DJ102" s="277"/>
      <c r="DK102" s="277" t="e">
        <f t="shared" si="139"/>
        <v>#DIV/0!</v>
      </c>
      <c r="DL102" s="276"/>
      <c r="DM102" s="277"/>
      <c r="DN102" s="277"/>
      <c r="DO102" s="277"/>
      <c r="DP102" s="277" t="e">
        <f t="shared" si="140"/>
        <v>#DIV/0!</v>
      </c>
      <c r="DQ102" s="276"/>
      <c r="DR102" s="277"/>
      <c r="DS102" s="277"/>
      <c r="DT102" s="277"/>
      <c r="DU102" s="277" t="e">
        <f t="shared" si="141"/>
        <v>#DIV/0!</v>
      </c>
      <c r="DV102" s="276"/>
      <c r="DW102" s="277"/>
      <c r="DX102" s="277"/>
      <c r="DY102" s="277"/>
      <c r="DZ102" s="277" t="e">
        <f t="shared" si="142"/>
        <v>#DIV/0!</v>
      </c>
      <c r="EA102" s="276"/>
      <c r="EB102" s="277"/>
      <c r="EC102" s="277"/>
      <c r="ED102" s="277"/>
      <c r="EE102" s="277" t="e">
        <f t="shared" si="143"/>
        <v>#DIV/0!</v>
      </c>
      <c r="EF102" s="276"/>
      <c r="EG102" s="277"/>
      <c r="EH102" s="277"/>
      <c r="EI102" s="277"/>
      <c r="EJ102" s="277" t="e">
        <f t="shared" si="144"/>
        <v>#DIV/0!</v>
      </c>
      <c r="EK102" s="276"/>
      <c r="EL102" s="277"/>
      <c r="EM102" s="277"/>
      <c r="EN102" s="277"/>
      <c r="EO102" s="277" t="e">
        <f t="shared" si="145"/>
        <v>#DIV/0!</v>
      </c>
      <c r="EP102" s="276"/>
      <c r="EQ102" s="277"/>
      <c r="ER102" s="277"/>
      <c r="ES102" s="277"/>
      <c r="ET102" s="277" t="e">
        <f t="shared" si="146"/>
        <v>#DIV/0!</v>
      </c>
      <c r="EU102" s="276"/>
      <c r="EV102" s="277"/>
      <c r="EW102" s="277"/>
      <c r="EX102" s="277"/>
      <c r="EY102" s="277" t="e">
        <f t="shared" si="147"/>
        <v>#DIV/0!</v>
      </c>
      <c r="EZ102" s="276"/>
      <c r="FA102" s="277"/>
      <c r="FB102" s="277"/>
      <c r="FC102" s="277"/>
      <c r="FD102" s="277" t="e">
        <f t="shared" si="148"/>
        <v>#DIV/0!</v>
      </c>
      <c r="FE102" s="277">
        <f t="shared" si="154"/>
        <v>0</v>
      </c>
      <c r="FF102" s="277"/>
      <c r="FG102" s="277">
        <f t="shared" si="149"/>
        <v>0</v>
      </c>
      <c r="FH102" s="313">
        <f t="shared" si="155"/>
        <v>0</v>
      </c>
      <c r="FI102" s="314" t="e">
        <f t="shared" si="150"/>
        <v>#DIV/0!</v>
      </c>
      <c r="FJ102" s="277">
        <f t="shared" si="151"/>
        <v>0</v>
      </c>
      <c r="FK102" s="317"/>
      <c r="FL102" s="318"/>
      <c r="FM102" s="332"/>
    </row>
    <row r="103" s="214" customFormat="1" ht="27" customHeight="1" spans="1:169">
      <c r="A103" s="263"/>
      <c r="B103" s="335"/>
      <c r="C103" s="274"/>
      <c r="D103" s="233" t="s">
        <v>14</v>
      </c>
      <c r="E103" s="279">
        <v>0.373</v>
      </c>
      <c r="F103" s="276"/>
      <c r="G103" s="277"/>
      <c r="H103" s="277"/>
      <c r="I103" s="277"/>
      <c r="J103" s="277" t="e">
        <f t="shared" si="119"/>
        <v>#DIV/0!</v>
      </c>
      <c r="K103" s="276"/>
      <c r="L103" s="277"/>
      <c r="M103" s="277"/>
      <c r="N103" s="277"/>
      <c r="O103" s="277" t="e">
        <f t="shared" si="120"/>
        <v>#DIV/0!</v>
      </c>
      <c r="P103" s="276"/>
      <c r="Q103" s="277"/>
      <c r="R103" s="277"/>
      <c r="S103" s="277"/>
      <c r="T103" s="277" t="e">
        <f t="shared" si="121"/>
        <v>#DIV/0!</v>
      </c>
      <c r="U103" s="276"/>
      <c r="V103" s="277"/>
      <c r="W103" s="277"/>
      <c r="X103" s="277"/>
      <c r="Y103" s="277" t="e">
        <f t="shared" si="122"/>
        <v>#DIV/0!</v>
      </c>
      <c r="Z103" s="276"/>
      <c r="AA103" s="277"/>
      <c r="AB103" s="277"/>
      <c r="AC103" s="277"/>
      <c r="AD103" s="277" t="e">
        <f t="shared" si="123"/>
        <v>#DIV/0!</v>
      </c>
      <c r="AE103" s="276"/>
      <c r="AF103" s="277"/>
      <c r="AG103" s="277"/>
      <c r="AH103" s="277"/>
      <c r="AI103" s="277" t="e">
        <f t="shared" si="124"/>
        <v>#DIV/0!</v>
      </c>
      <c r="AJ103" s="276"/>
      <c r="AK103" s="277"/>
      <c r="AL103" s="277"/>
      <c r="AM103" s="277"/>
      <c r="AN103" s="277" t="e">
        <f t="shared" si="125"/>
        <v>#DIV/0!</v>
      </c>
      <c r="AO103" s="276"/>
      <c r="AP103" s="277"/>
      <c r="AQ103" s="277"/>
      <c r="AR103" s="277"/>
      <c r="AS103" s="277" t="e">
        <f t="shared" si="156"/>
        <v>#DIV/0!</v>
      </c>
      <c r="AT103" s="276"/>
      <c r="AU103" s="277"/>
      <c r="AV103" s="277"/>
      <c r="AW103" s="277"/>
      <c r="AX103" s="277" t="e">
        <f t="shared" si="126"/>
        <v>#DIV/0!</v>
      </c>
      <c r="AY103" s="276"/>
      <c r="AZ103" s="277"/>
      <c r="BA103" s="277"/>
      <c r="BB103" s="277"/>
      <c r="BC103" s="277" t="e">
        <f t="shared" si="127"/>
        <v>#DIV/0!</v>
      </c>
      <c r="BD103" s="276"/>
      <c r="BE103" s="277"/>
      <c r="BF103" s="277"/>
      <c r="BG103" s="277"/>
      <c r="BH103" s="277" t="e">
        <f t="shared" si="128"/>
        <v>#DIV/0!</v>
      </c>
      <c r="BI103" s="276"/>
      <c r="BJ103" s="277"/>
      <c r="BK103" s="277"/>
      <c r="BL103" s="277"/>
      <c r="BM103" s="277" t="e">
        <f t="shared" si="129"/>
        <v>#DIV/0!</v>
      </c>
      <c r="BN103" s="276"/>
      <c r="BO103" s="277"/>
      <c r="BP103" s="277"/>
      <c r="BQ103" s="277"/>
      <c r="BR103" s="277" t="e">
        <f t="shared" si="130"/>
        <v>#DIV/0!</v>
      </c>
      <c r="BS103" s="276"/>
      <c r="BT103" s="277"/>
      <c r="BU103" s="277"/>
      <c r="BV103" s="277"/>
      <c r="BW103" s="277" t="e">
        <f t="shared" si="131"/>
        <v>#DIV/0!</v>
      </c>
      <c r="BX103" s="276"/>
      <c r="BY103" s="277"/>
      <c r="BZ103" s="277"/>
      <c r="CA103" s="277"/>
      <c r="CB103" s="277" t="e">
        <f t="shared" si="132"/>
        <v>#DIV/0!</v>
      </c>
      <c r="CC103" s="276"/>
      <c r="CD103" s="277"/>
      <c r="CE103" s="277"/>
      <c r="CF103" s="277"/>
      <c r="CG103" s="277" t="e">
        <f t="shared" si="133"/>
        <v>#DIV/0!</v>
      </c>
      <c r="CH103" s="276"/>
      <c r="CI103" s="277"/>
      <c r="CJ103" s="277"/>
      <c r="CK103" s="277"/>
      <c r="CL103" s="277" t="e">
        <f t="shared" si="134"/>
        <v>#DIV/0!</v>
      </c>
      <c r="CM103" s="276"/>
      <c r="CN103" s="277"/>
      <c r="CO103" s="277"/>
      <c r="CP103" s="277"/>
      <c r="CQ103" s="277" t="e">
        <f t="shared" si="135"/>
        <v>#DIV/0!</v>
      </c>
      <c r="CR103" s="276"/>
      <c r="CS103" s="277"/>
      <c r="CT103" s="277"/>
      <c r="CU103" s="277"/>
      <c r="CV103" s="277" t="e">
        <f t="shared" si="136"/>
        <v>#DIV/0!</v>
      </c>
      <c r="CW103" s="276"/>
      <c r="CX103" s="277"/>
      <c r="CY103" s="277"/>
      <c r="CZ103" s="277"/>
      <c r="DA103" s="277" t="e">
        <f t="shared" si="137"/>
        <v>#DIV/0!</v>
      </c>
      <c r="DB103" s="276"/>
      <c r="DC103" s="277"/>
      <c r="DD103" s="277"/>
      <c r="DE103" s="277"/>
      <c r="DF103" s="277" t="e">
        <f t="shared" si="138"/>
        <v>#DIV/0!</v>
      </c>
      <c r="DG103" s="276"/>
      <c r="DH103" s="277"/>
      <c r="DI103" s="277"/>
      <c r="DJ103" s="277"/>
      <c r="DK103" s="277" t="e">
        <f t="shared" si="139"/>
        <v>#DIV/0!</v>
      </c>
      <c r="DL103" s="276"/>
      <c r="DM103" s="277"/>
      <c r="DN103" s="277"/>
      <c r="DO103" s="277"/>
      <c r="DP103" s="277" t="e">
        <f t="shared" si="140"/>
        <v>#DIV/0!</v>
      </c>
      <c r="DQ103" s="276"/>
      <c r="DR103" s="277"/>
      <c r="DS103" s="277"/>
      <c r="DT103" s="277"/>
      <c r="DU103" s="277" t="e">
        <f t="shared" si="141"/>
        <v>#DIV/0!</v>
      </c>
      <c r="DV103" s="276"/>
      <c r="DW103" s="277"/>
      <c r="DX103" s="277"/>
      <c r="DY103" s="277"/>
      <c r="DZ103" s="277" t="e">
        <f t="shared" si="142"/>
        <v>#DIV/0!</v>
      </c>
      <c r="EA103" s="276"/>
      <c r="EB103" s="277"/>
      <c r="EC103" s="277"/>
      <c r="ED103" s="277"/>
      <c r="EE103" s="277" t="e">
        <f t="shared" si="143"/>
        <v>#DIV/0!</v>
      </c>
      <c r="EF103" s="276"/>
      <c r="EG103" s="277"/>
      <c r="EH103" s="277"/>
      <c r="EI103" s="277"/>
      <c r="EJ103" s="277" t="e">
        <f t="shared" si="144"/>
        <v>#DIV/0!</v>
      </c>
      <c r="EK103" s="276"/>
      <c r="EL103" s="277"/>
      <c r="EM103" s="277"/>
      <c r="EN103" s="277"/>
      <c r="EO103" s="277" t="e">
        <f t="shared" si="145"/>
        <v>#DIV/0!</v>
      </c>
      <c r="EP103" s="276"/>
      <c r="EQ103" s="277"/>
      <c r="ER103" s="277"/>
      <c r="ES103" s="277"/>
      <c r="ET103" s="277" t="e">
        <f t="shared" si="146"/>
        <v>#DIV/0!</v>
      </c>
      <c r="EU103" s="276"/>
      <c r="EV103" s="277"/>
      <c r="EW103" s="277"/>
      <c r="EX103" s="277"/>
      <c r="EY103" s="277" t="e">
        <f t="shared" si="147"/>
        <v>#DIV/0!</v>
      </c>
      <c r="EZ103" s="276"/>
      <c r="FA103" s="277"/>
      <c r="FB103" s="277"/>
      <c r="FC103" s="277"/>
      <c r="FD103" s="277" t="e">
        <f t="shared" si="148"/>
        <v>#DIV/0!</v>
      </c>
      <c r="FE103" s="277">
        <f t="shared" si="154"/>
        <v>0</v>
      </c>
      <c r="FF103" s="277"/>
      <c r="FG103" s="277">
        <f t="shared" si="149"/>
        <v>0</v>
      </c>
      <c r="FH103" s="313">
        <f t="shared" si="155"/>
        <v>0</v>
      </c>
      <c r="FI103" s="314" t="e">
        <f t="shared" si="150"/>
        <v>#DIV/0!</v>
      </c>
      <c r="FJ103" s="277">
        <f t="shared" si="151"/>
        <v>0</v>
      </c>
      <c r="FK103" s="317"/>
      <c r="FL103" s="318"/>
      <c r="FM103" s="332"/>
    </row>
    <row r="104" s="214" customFormat="1" ht="27" customHeight="1" spans="1:169">
      <c r="A104" s="263"/>
      <c r="B104" s="335"/>
      <c r="C104" s="274"/>
      <c r="D104" s="233" t="s">
        <v>15</v>
      </c>
      <c r="E104" s="279">
        <v>0.67</v>
      </c>
      <c r="F104" s="276"/>
      <c r="G104" s="277"/>
      <c r="H104" s="277"/>
      <c r="I104" s="277"/>
      <c r="J104" s="277" t="e">
        <f t="shared" si="119"/>
        <v>#DIV/0!</v>
      </c>
      <c r="K104" s="276"/>
      <c r="L104" s="277"/>
      <c r="M104" s="277"/>
      <c r="N104" s="277"/>
      <c r="O104" s="277" t="e">
        <f t="shared" si="120"/>
        <v>#DIV/0!</v>
      </c>
      <c r="P104" s="276"/>
      <c r="Q104" s="277"/>
      <c r="R104" s="277"/>
      <c r="S104" s="277"/>
      <c r="T104" s="277" t="e">
        <f t="shared" si="121"/>
        <v>#DIV/0!</v>
      </c>
      <c r="U104" s="276"/>
      <c r="V104" s="277"/>
      <c r="W104" s="277"/>
      <c r="X104" s="277"/>
      <c r="Y104" s="277" t="e">
        <f t="shared" si="122"/>
        <v>#DIV/0!</v>
      </c>
      <c r="Z104" s="276"/>
      <c r="AA104" s="277"/>
      <c r="AB104" s="277"/>
      <c r="AC104" s="277"/>
      <c r="AD104" s="277" t="e">
        <f t="shared" si="123"/>
        <v>#DIV/0!</v>
      </c>
      <c r="AE104" s="276"/>
      <c r="AF104" s="277"/>
      <c r="AG104" s="277"/>
      <c r="AH104" s="277"/>
      <c r="AI104" s="277" t="e">
        <f t="shared" si="124"/>
        <v>#DIV/0!</v>
      </c>
      <c r="AJ104" s="276"/>
      <c r="AK104" s="277"/>
      <c r="AL104" s="277"/>
      <c r="AM104" s="277"/>
      <c r="AN104" s="277" t="e">
        <f t="shared" si="125"/>
        <v>#DIV/0!</v>
      </c>
      <c r="AO104" s="276"/>
      <c r="AP104" s="277"/>
      <c r="AQ104" s="277"/>
      <c r="AR104" s="277"/>
      <c r="AS104" s="277" t="e">
        <f t="shared" si="156"/>
        <v>#DIV/0!</v>
      </c>
      <c r="AT104" s="276"/>
      <c r="AU104" s="277"/>
      <c r="AV104" s="277"/>
      <c r="AW104" s="277"/>
      <c r="AX104" s="277" t="e">
        <f t="shared" si="126"/>
        <v>#DIV/0!</v>
      </c>
      <c r="AY104" s="276"/>
      <c r="AZ104" s="277"/>
      <c r="BA104" s="277"/>
      <c r="BB104" s="277"/>
      <c r="BC104" s="277" t="e">
        <f t="shared" si="127"/>
        <v>#DIV/0!</v>
      </c>
      <c r="BD104" s="276"/>
      <c r="BE104" s="277"/>
      <c r="BF104" s="277"/>
      <c r="BG104" s="277"/>
      <c r="BH104" s="277" t="e">
        <f t="shared" si="128"/>
        <v>#DIV/0!</v>
      </c>
      <c r="BI104" s="276"/>
      <c r="BJ104" s="277"/>
      <c r="BK104" s="277"/>
      <c r="BL104" s="277"/>
      <c r="BM104" s="277" t="e">
        <f t="shared" si="129"/>
        <v>#DIV/0!</v>
      </c>
      <c r="BN104" s="276"/>
      <c r="BO104" s="277"/>
      <c r="BP104" s="277"/>
      <c r="BQ104" s="277"/>
      <c r="BR104" s="277" t="e">
        <f t="shared" si="130"/>
        <v>#DIV/0!</v>
      </c>
      <c r="BS104" s="276"/>
      <c r="BT104" s="277"/>
      <c r="BU104" s="277"/>
      <c r="BV104" s="277"/>
      <c r="BW104" s="277" t="e">
        <f t="shared" si="131"/>
        <v>#DIV/0!</v>
      </c>
      <c r="BX104" s="276"/>
      <c r="BY104" s="277"/>
      <c r="BZ104" s="277"/>
      <c r="CA104" s="277"/>
      <c r="CB104" s="277" t="e">
        <f t="shared" si="132"/>
        <v>#DIV/0!</v>
      </c>
      <c r="CC104" s="276"/>
      <c r="CD104" s="277"/>
      <c r="CE104" s="277"/>
      <c r="CF104" s="277"/>
      <c r="CG104" s="277" t="e">
        <f t="shared" si="133"/>
        <v>#DIV/0!</v>
      </c>
      <c r="CH104" s="276"/>
      <c r="CI104" s="277"/>
      <c r="CJ104" s="277"/>
      <c r="CK104" s="277"/>
      <c r="CL104" s="277" t="e">
        <f t="shared" si="134"/>
        <v>#DIV/0!</v>
      </c>
      <c r="CM104" s="276"/>
      <c r="CN104" s="277"/>
      <c r="CO104" s="277"/>
      <c r="CP104" s="277"/>
      <c r="CQ104" s="277" t="e">
        <f t="shared" si="135"/>
        <v>#DIV/0!</v>
      </c>
      <c r="CR104" s="276"/>
      <c r="CS104" s="277"/>
      <c r="CT104" s="277"/>
      <c r="CU104" s="277"/>
      <c r="CV104" s="277" t="e">
        <f t="shared" si="136"/>
        <v>#DIV/0!</v>
      </c>
      <c r="CW104" s="276"/>
      <c r="CX104" s="277"/>
      <c r="CY104" s="277"/>
      <c r="CZ104" s="277"/>
      <c r="DA104" s="277" t="e">
        <f t="shared" si="137"/>
        <v>#DIV/0!</v>
      </c>
      <c r="DB104" s="276"/>
      <c r="DC104" s="277"/>
      <c r="DD104" s="277"/>
      <c r="DE104" s="277"/>
      <c r="DF104" s="277" t="e">
        <f t="shared" si="138"/>
        <v>#DIV/0!</v>
      </c>
      <c r="DG104" s="276"/>
      <c r="DH104" s="277"/>
      <c r="DI104" s="277"/>
      <c r="DJ104" s="277"/>
      <c r="DK104" s="277" t="e">
        <f t="shared" si="139"/>
        <v>#DIV/0!</v>
      </c>
      <c r="DL104" s="276"/>
      <c r="DM104" s="277"/>
      <c r="DN104" s="277"/>
      <c r="DO104" s="277"/>
      <c r="DP104" s="277" t="e">
        <f t="shared" si="140"/>
        <v>#DIV/0!</v>
      </c>
      <c r="DQ104" s="276"/>
      <c r="DR104" s="277"/>
      <c r="DS104" s="277"/>
      <c r="DT104" s="277"/>
      <c r="DU104" s="277" t="e">
        <f t="shared" si="141"/>
        <v>#DIV/0!</v>
      </c>
      <c r="DV104" s="276"/>
      <c r="DW104" s="277"/>
      <c r="DX104" s="277"/>
      <c r="DY104" s="277"/>
      <c r="DZ104" s="277" t="e">
        <f t="shared" si="142"/>
        <v>#DIV/0!</v>
      </c>
      <c r="EA104" s="276"/>
      <c r="EB104" s="277"/>
      <c r="EC104" s="277"/>
      <c r="ED104" s="277"/>
      <c r="EE104" s="277" t="e">
        <f t="shared" si="143"/>
        <v>#DIV/0!</v>
      </c>
      <c r="EF104" s="276"/>
      <c r="EG104" s="277"/>
      <c r="EH104" s="277"/>
      <c r="EI104" s="277"/>
      <c r="EJ104" s="277" t="e">
        <f t="shared" si="144"/>
        <v>#DIV/0!</v>
      </c>
      <c r="EK104" s="276"/>
      <c r="EL104" s="277"/>
      <c r="EM104" s="277"/>
      <c r="EN104" s="277"/>
      <c r="EO104" s="277" t="e">
        <f t="shared" si="145"/>
        <v>#DIV/0!</v>
      </c>
      <c r="EP104" s="276"/>
      <c r="EQ104" s="277"/>
      <c r="ER104" s="277"/>
      <c r="ES104" s="277"/>
      <c r="ET104" s="277" t="e">
        <f t="shared" si="146"/>
        <v>#DIV/0!</v>
      </c>
      <c r="EU104" s="276"/>
      <c r="EV104" s="277"/>
      <c r="EW104" s="277"/>
      <c r="EX104" s="277"/>
      <c r="EY104" s="277" t="e">
        <f t="shared" si="147"/>
        <v>#DIV/0!</v>
      </c>
      <c r="EZ104" s="276"/>
      <c r="FA104" s="277"/>
      <c r="FB104" s="277"/>
      <c r="FC104" s="277"/>
      <c r="FD104" s="277" t="e">
        <f t="shared" si="148"/>
        <v>#DIV/0!</v>
      </c>
      <c r="FE104" s="277">
        <f t="shared" si="154"/>
        <v>0</v>
      </c>
      <c r="FF104" s="277"/>
      <c r="FG104" s="277">
        <f t="shared" si="149"/>
        <v>0</v>
      </c>
      <c r="FH104" s="313">
        <f t="shared" si="155"/>
        <v>0</v>
      </c>
      <c r="FI104" s="314" t="e">
        <f t="shared" si="150"/>
        <v>#DIV/0!</v>
      </c>
      <c r="FJ104" s="277">
        <f t="shared" si="151"/>
        <v>0</v>
      </c>
      <c r="FK104" s="317"/>
      <c r="FL104" s="318"/>
      <c r="FM104" s="332"/>
    </row>
    <row r="105" s="214" customFormat="1" ht="27" customHeight="1" spans="1:169">
      <c r="A105" s="263"/>
      <c r="B105" s="335"/>
      <c r="C105" s="274"/>
      <c r="D105" s="233" t="s">
        <v>16</v>
      </c>
      <c r="E105" s="279">
        <v>0.67</v>
      </c>
      <c r="F105" s="276"/>
      <c r="G105" s="277"/>
      <c r="H105" s="277"/>
      <c r="I105" s="277"/>
      <c r="J105" s="277" t="e">
        <f t="shared" si="119"/>
        <v>#DIV/0!</v>
      </c>
      <c r="K105" s="276"/>
      <c r="L105" s="277"/>
      <c r="M105" s="277"/>
      <c r="N105" s="277"/>
      <c r="O105" s="277" t="e">
        <f t="shared" si="120"/>
        <v>#DIV/0!</v>
      </c>
      <c r="P105" s="276"/>
      <c r="Q105" s="277"/>
      <c r="R105" s="277"/>
      <c r="S105" s="277"/>
      <c r="T105" s="277" t="e">
        <f t="shared" si="121"/>
        <v>#DIV/0!</v>
      </c>
      <c r="U105" s="276"/>
      <c r="V105" s="277"/>
      <c r="W105" s="277"/>
      <c r="X105" s="277"/>
      <c r="Y105" s="277" t="e">
        <f t="shared" si="122"/>
        <v>#DIV/0!</v>
      </c>
      <c r="Z105" s="276"/>
      <c r="AA105" s="277"/>
      <c r="AB105" s="277"/>
      <c r="AC105" s="277"/>
      <c r="AD105" s="277" t="e">
        <f t="shared" si="123"/>
        <v>#DIV/0!</v>
      </c>
      <c r="AE105" s="276"/>
      <c r="AF105" s="277"/>
      <c r="AG105" s="277"/>
      <c r="AH105" s="277"/>
      <c r="AI105" s="277" t="e">
        <f t="shared" si="124"/>
        <v>#DIV/0!</v>
      </c>
      <c r="AJ105" s="276"/>
      <c r="AK105" s="277"/>
      <c r="AL105" s="277"/>
      <c r="AM105" s="277"/>
      <c r="AN105" s="277" t="e">
        <f t="shared" si="125"/>
        <v>#DIV/0!</v>
      </c>
      <c r="AO105" s="276"/>
      <c r="AP105" s="277"/>
      <c r="AQ105" s="277"/>
      <c r="AR105" s="277"/>
      <c r="AS105" s="277" t="e">
        <f t="shared" si="156"/>
        <v>#DIV/0!</v>
      </c>
      <c r="AT105" s="276"/>
      <c r="AU105" s="277"/>
      <c r="AV105" s="277"/>
      <c r="AW105" s="277"/>
      <c r="AX105" s="277" t="e">
        <f t="shared" si="126"/>
        <v>#DIV/0!</v>
      </c>
      <c r="AY105" s="276"/>
      <c r="AZ105" s="277"/>
      <c r="BA105" s="277"/>
      <c r="BB105" s="277"/>
      <c r="BC105" s="277" t="e">
        <f t="shared" si="127"/>
        <v>#DIV/0!</v>
      </c>
      <c r="BD105" s="276"/>
      <c r="BE105" s="277"/>
      <c r="BF105" s="277"/>
      <c r="BG105" s="277"/>
      <c r="BH105" s="277" t="e">
        <f t="shared" si="128"/>
        <v>#DIV/0!</v>
      </c>
      <c r="BI105" s="276"/>
      <c r="BJ105" s="277"/>
      <c r="BK105" s="277"/>
      <c r="BL105" s="277"/>
      <c r="BM105" s="277" t="e">
        <f t="shared" si="129"/>
        <v>#DIV/0!</v>
      </c>
      <c r="BN105" s="276"/>
      <c r="BO105" s="277"/>
      <c r="BP105" s="277"/>
      <c r="BQ105" s="277"/>
      <c r="BR105" s="277" t="e">
        <f t="shared" si="130"/>
        <v>#DIV/0!</v>
      </c>
      <c r="BS105" s="276"/>
      <c r="BT105" s="277"/>
      <c r="BU105" s="277"/>
      <c r="BV105" s="277"/>
      <c r="BW105" s="277" t="e">
        <f t="shared" si="131"/>
        <v>#DIV/0!</v>
      </c>
      <c r="BX105" s="276"/>
      <c r="BY105" s="277"/>
      <c r="BZ105" s="277"/>
      <c r="CA105" s="277"/>
      <c r="CB105" s="277" t="e">
        <f t="shared" si="132"/>
        <v>#DIV/0!</v>
      </c>
      <c r="CC105" s="276"/>
      <c r="CD105" s="277"/>
      <c r="CE105" s="277"/>
      <c r="CF105" s="277"/>
      <c r="CG105" s="277" t="e">
        <f t="shared" si="133"/>
        <v>#DIV/0!</v>
      </c>
      <c r="CH105" s="276"/>
      <c r="CI105" s="277"/>
      <c r="CJ105" s="277"/>
      <c r="CK105" s="277"/>
      <c r="CL105" s="277" t="e">
        <f t="shared" si="134"/>
        <v>#DIV/0!</v>
      </c>
      <c r="CM105" s="276"/>
      <c r="CN105" s="277"/>
      <c r="CO105" s="277"/>
      <c r="CP105" s="277"/>
      <c r="CQ105" s="277" t="e">
        <f t="shared" si="135"/>
        <v>#DIV/0!</v>
      </c>
      <c r="CR105" s="276"/>
      <c r="CS105" s="277"/>
      <c r="CT105" s="277"/>
      <c r="CU105" s="277"/>
      <c r="CV105" s="277" t="e">
        <f t="shared" si="136"/>
        <v>#DIV/0!</v>
      </c>
      <c r="CW105" s="276"/>
      <c r="CX105" s="277"/>
      <c r="CY105" s="277"/>
      <c r="CZ105" s="277"/>
      <c r="DA105" s="277" t="e">
        <f t="shared" si="137"/>
        <v>#DIV/0!</v>
      </c>
      <c r="DB105" s="276"/>
      <c r="DC105" s="277"/>
      <c r="DD105" s="277"/>
      <c r="DE105" s="277"/>
      <c r="DF105" s="277" t="e">
        <f t="shared" si="138"/>
        <v>#DIV/0!</v>
      </c>
      <c r="DG105" s="276"/>
      <c r="DH105" s="277"/>
      <c r="DI105" s="277"/>
      <c r="DJ105" s="277"/>
      <c r="DK105" s="277" t="e">
        <f t="shared" si="139"/>
        <v>#DIV/0!</v>
      </c>
      <c r="DL105" s="276"/>
      <c r="DM105" s="277"/>
      <c r="DN105" s="277"/>
      <c r="DO105" s="277"/>
      <c r="DP105" s="277" t="e">
        <f t="shared" si="140"/>
        <v>#DIV/0!</v>
      </c>
      <c r="DQ105" s="276"/>
      <c r="DR105" s="277"/>
      <c r="DS105" s="277"/>
      <c r="DT105" s="277"/>
      <c r="DU105" s="277" t="e">
        <f t="shared" si="141"/>
        <v>#DIV/0!</v>
      </c>
      <c r="DV105" s="276"/>
      <c r="DW105" s="277"/>
      <c r="DX105" s="277"/>
      <c r="DY105" s="277"/>
      <c r="DZ105" s="277" t="e">
        <f t="shared" si="142"/>
        <v>#DIV/0!</v>
      </c>
      <c r="EA105" s="276"/>
      <c r="EB105" s="277"/>
      <c r="EC105" s="277"/>
      <c r="ED105" s="277"/>
      <c r="EE105" s="277" t="e">
        <f t="shared" si="143"/>
        <v>#DIV/0!</v>
      </c>
      <c r="EF105" s="276"/>
      <c r="EG105" s="277"/>
      <c r="EH105" s="277"/>
      <c r="EI105" s="277"/>
      <c r="EJ105" s="277" t="e">
        <f t="shared" si="144"/>
        <v>#DIV/0!</v>
      </c>
      <c r="EK105" s="276"/>
      <c r="EL105" s="277"/>
      <c r="EM105" s="277"/>
      <c r="EN105" s="277"/>
      <c r="EO105" s="277" t="e">
        <f t="shared" si="145"/>
        <v>#DIV/0!</v>
      </c>
      <c r="EP105" s="276"/>
      <c r="EQ105" s="277"/>
      <c r="ER105" s="277"/>
      <c r="ES105" s="277"/>
      <c r="ET105" s="277" t="e">
        <f t="shared" si="146"/>
        <v>#DIV/0!</v>
      </c>
      <c r="EU105" s="276"/>
      <c r="EV105" s="277"/>
      <c r="EW105" s="277"/>
      <c r="EX105" s="277"/>
      <c r="EY105" s="277" t="e">
        <f t="shared" si="147"/>
        <v>#DIV/0!</v>
      </c>
      <c r="EZ105" s="276"/>
      <c r="FA105" s="277"/>
      <c r="FB105" s="277"/>
      <c r="FC105" s="277"/>
      <c r="FD105" s="277" t="e">
        <f t="shared" si="148"/>
        <v>#DIV/0!</v>
      </c>
      <c r="FE105" s="277">
        <f t="shared" si="154"/>
        <v>0</v>
      </c>
      <c r="FF105" s="277"/>
      <c r="FG105" s="277">
        <f t="shared" si="149"/>
        <v>0</v>
      </c>
      <c r="FH105" s="313">
        <f t="shared" si="155"/>
        <v>0</v>
      </c>
      <c r="FI105" s="314" t="e">
        <f t="shared" si="150"/>
        <v>#DIV/0!</v>
      </c>
      <c r="FJ105" s="277">
        <f t="shared" si="151"/>
        <v>0</v>
      </c>
      <c r="FK105" s="317"/>
      <c r="FL105" s="318"/>
      <c r="FM105" s="332"/>
    </row>
    <row r="106" s="214" customFormat="1" ht="27" customHeight="1" spans="1:169">
      <c r="A106" s="263"/>
      <c r="B106" s="336"/>
      <c r="C106" s="274"/>
      <c r="D106" s="233" t="s">
        <v>17</v>
      </c>
      <c r="E106" s="279">
        <v>0.373</v>
      </c>
      <c r="F106" s="276"/>
      <c r="G106" s="277"/>
      <c r="H106" s="277"/>
      <c r="I106" s="277"/>
      <c r="J106" s="277" t="e">
        <f t="shared" si="119"/>
        <v>#DIV/0!</v>
      </c>
      <c r="K106" s="276"/>
      <c r="L106" s="277"/>
      <c r="M106" s="277"/>
      <c r="N106" s="277"/>
      <c r="O106" s="277" t="e">
        <f t="shared" si="120"/>
        <v>#DIV/0!</v>
      </c>
      <c r="P106" s="276"/>
      <c r="Q106" s="277"/>
      <c r="R106" s="277"/>
      <c r="S106" s="277"/>
      <c r="T106" s="277" t="e">
        <f t="shared" si="121"/>
        <v>#DIV/0!</v>
      </c>
      <c r="U106" s="276"/>
      <c r="V106" s="277"/>
      <c r="W106" s="277"/>
      <c r="X106" s="277"/>
      <c r="Y106" s="277" t="e">
        <f t="shared" si="122"/>
        <v>#DIV/0!</v>
      </c>
      <c r="Z106" s="276"/>
      <c r="AA106" s="277"/>
      <c r="AB106" s="277"/>
      <c r="AC106" s="277"/>
      <c r="AD106" s="277" t="e">
        <f t="shared" si="123"/>
        <v>#DIV/0!</v>
      </c>
      <c r="AE106" s="276"/>
      <c r="AF106" s="277"/>
      <c r="AG106" s="277"/>
      <c r="AH106" s="277"/>
      <c r="AI106" s="277" t="e">
        <f t="shared" si="124"/>
        <v>#DIV/0!</v>
      </c>
      <c r="AJ106" s="276"/>
      <c r="AK106" s="277"/>
      <c r="AL106" s="277"/>
      <c r="AM106" s="277"/>
      <c r="AN106" s="277" t="e">
        <f t="shared" si="125"/>
        <v>#DIV/0!</v>
      </c>
      <c r="AO106" s="276"/>
      <c r="AP106" s="277"/>
      <c r="AQ106" s="277"/>
      <c r="AR106" s="277"/>
      <c r="AS106" s="277" t="e">
        <f t="shared" si="156"/>
        <v>#DIV/0!</v>
      </c>
      <c r="AT106" s="276"/>
      <c r="AU106" s="277"/>
      <c r="AV106" s="277"/>
      <c r="AW106" s="277"/>
      <c r="AX106" s="277" t="e">
        <f t="shared" si="126"/>
        <v>#DIV/0!</v>
      </c>
      <c r="AY106" s="276"/>
      <c r="AZ106" s="277"/>
      <c r="BA106" s="277"/>
      <c r="BB106" s="277"/>
      <c r="BC106" s="277" t="e">
        <f t="shared" si="127"/>
        <v>#DIV/0!</v>
      </c>
      <c r="BD106" s="276"/>
      <c r="BE106" s="277"/>
      <c r="BF106" s="277"/>
      <c r="BG106" s="277"/>
      <c r="BH106" s="277" t="e">
        <f t="shared" si="128"/>
        <v>#DIV/0!</v>
      </c>
      <c r="BI106" s="276"/>
      <c r="BJ106" s="277"/>
      <c r="BK106" s="277"/>
      <c r="BL106" s="277"/>
      <c r="BM106" s="277" t="e">
        <f t="shared" si="129"/>
        <v>#DIV/0!</v>
      </c>
      <c r="BN106" s="276"/>
      <c r="BO106" s="277"/>
      <c r="BP106" s="277"/>
      <c r="BQ106" s="277"/>
      <c r="BR106" s="277" t="e">
        <f t="shared" si="130"/>
        <v>#DIV/0!</v>
      </c>
      <c r="BS106" s="276"/>
      <c r="BT106" s="277"/>
      <c r="BU106" s="277"/>
      <c r="BV106" s="277"/>
      <c r="BW106" s="277" t="e">
        <f t="shared" si="131"/>
        <v>#DIV/0!</v>
      </c>
      <c r="BX106" s="276"/>
      <c r="BY106" s="277"/>
      <c r="BZ106" s="277"/>
      <c r="CA106" s="277"/>
      <c r="CB106" s="277" t="e">
        <f t="shared" si="132"/>
        <v>#DIV/0!</v>
      </c>
      <c r="CC106" s="276"/>
      <c r="CD106" s="277"/>
      <c r="CE106" s="277"/>
      <c r="CF106" s="277"/>
      <c r="CG106" s="277" t="e">
        <f t="shared" si="133"/>
        <v>#DIV/0!</v>
      </c>
      <c r="CH106" s="276"/>
      <c r="CI106" s="277"/>
      <c r="CJ106" s="277"/>
      <c r="CK106" s="277"/>
      <c r="CL106" s="277" t="e">
        <f t="shared" si="134"/>
        <v>#DIV/0!</v>
      </c>
      <c r="CM106" s="276"/>
      <c r="CN106" s="277"/>
      <c r="CO106" s="277"/>
      <c r="CP106" s="277"/>
      <c r="CQ106" s="277" t="e">
        <f t="shared" si="135"/>
        <v>#DIV/0!</v>
      </c>
      <c r="CR106" s="276"/>
      <c r="CS106" s="277"/>
      <c r="CT106" s="277"/>
      <c r="CU106" s="277"/>
      <c r="CV106" s="277" t="e">
        <f t="shared" si="136"/>
        <v>#DIV/0!</v>
      </c>
      <c r="CW106" s="276"/>
      <c r="CX106" s="277"/>
      <c r="CY106" s="277"/>
      <c r="CZ106" s="277"/>
      <c r="DA106" s="277" t="e">
        <f t="shared" si="137"/>
        <v>#DIV/0!</v>
      </c>
      <c r="DB106" s="276"/>
      <c r="DC106" s="277"/>
      <c r="DD106" s="277"/>
      <c r="DE106" s="277"/>
      <c r="DF106" s="277" t="e">
        <f t="shared" si="138"/>
        <v>#DIV/0!</v>
      </c>
      <c r="DG106" s="276"/>
      <c r="DH106" s="277"/>
      <c r="DI106" s="277"/>
      <c r="DJ106" s="277"/>
      <c r="DK106" s="277" t="e">
        <f t="shared" si="139"/>
        <v>#DIV/0!</v>
      </c>
      <c r="DL106" s="276"/>
      <c r="DM106" s="277"/>
      <c r="DN106" s="277"/>
      <c r="DO106" s="277"/>
      <c r="DP106" s="277" t="e">
        <f t="shared" si="140"/>
        <v>#DIV/0!</v>
      </c>
      <c r="DQ106" s="276"/>
      <c r="DR106" s="277"/>
      <c r="DS106" s="277"/>
      <c r="DT106" s="277"/>
      <c r="DU106" s="277" t="e">
        <f t="shared" si="141"/>
        <v>#DIV/0!</v>
      </c>
      <c r="DV106" s="276"/>
      <c r="DW106" s="277"/>
      <c r="DX106" s="277"/>
      <c r="DY106" s="277"/>
      <c r="DZ106" s="277" t="e">
        <f t="shared" si="142"/>
        <v>#DIV/0!</v>
      </c>
      <c r="EA106" s="276"/>
      <c r="EB106" s="277"/>
      <c r="EC106" s="277"/>
      <c r="ED106" s="277"/>
      <c r="EE106" s="277" t="e">
        <f t="shared" si="143"/>
        <v>#DIV/0!</v>
      </c>
      <c r="EF106" s="276"/>
      <c r="EG106" s="277"/>
      <c r="EH106" s="277"/>
      <c r="EI106" s="277"/>
      <c r="EJ106" s="277" t="e">
        <f t="shared" si="144"/>
        <v>#DIV/0!</v>
      </c>
      <c r="EK106" s="276"/>
      <c r="EL106" s="277"/>
      <c r="EM106" s="277"/>
      <c r="EN106" s="277"/>
      <c r="EO106" s="277" t="e">
        <f t="shared" si="145"/>
        <v>#DIV/0!</v>
      </c>
      <c r="EP106" s="276"/>
      <c r="EQ106" s="277"/>
      <c r="ER106" s="277"/>
      <c r="ES106" s="277"/>
      <c r="ET106" s="277" t="e">
        <f t="shared" si="146"/>
        <v>#DIV/0!</v>
      </c>
      <c r="EU106" s="276"/>
      <c r="EV106" s="277"/>
      <c r="EW106" s="277"/>
      <c r="EX106" s="277"/>
      <c r="EY106" s="277" t="e">
        <f t="shared" si="147"/>
        <v>#DIV/0!</v>
      </c>
      <c r="EZ106" s="276"/>
      <c r="FA106" s="277"/>
      <c r="FB106" s="277"/>
      <c r="FC106" s="277"/>
      <c r="FD106" s="277" t="e">
        <f t="shared" si="148"/>
        <v>#DIV/0!</v>
      </c>
      <c r="FE106" s="277">
        <f t="shared" si="154"/>
        <v>0</v>
      </c>
      <c r="FF106" s="277"/>
      <c r="FG106" s="277">
        <f t="shared" si="149"/>
        <v>0</v>
      </c>
      <c r="FH106" s="313">
        <f t="shared" si="155"/>
        <v>0</v>
      </c>
      <c r="FI106" s="314" t="e">
        <f t="shared" si="150"/>
        <v>#DIV/0!</v>
      </c>
      <c r="FJ106" s="277">
        <f t="shared" si="151"/>
        <v>0</v>
      </c>
      <c r="FK106" s="319"/>
      <c r="FL106" s="320"/>
      <c r="FM106" s="333"/>
    </row>
    <row r="107" s="215" customFormat="1" ht="27" customHeight="1" spans="1:169">
      <c r="A107" s="337">
        <v>18</v>
      </c>
      <c r="B107" s="334" t="s">
        <v>35</v>
      </c>
      <c r="C107" s="338"/>
      <c r="D107" s="337" t="s">
        <v>8</v>
      </c>
      <c r="E107" s="339">
        <v>0.4</v>
      </c>
      <c r="F107" s="340"/>
      <c r="G107" s="340"/>
      <c r="H107" s="341"/>
      <c r="I107" s="341"/>
      <c r="J107" s="341" t="e">
        <f t="shared" ref="J107:J156" si="157">H107/(H107+I107)*H107/(H107+I107)</f>
        <v>#DIV/0!</v>
      </c>
      <c r="K107" s="340"/>
      <c r="L107" s="340"/>
      <c r="M107" s="341"/>
      <c r="N107" s="341"/>
      <c r="O107" s="341" t="e">
        <f t="shared" ref="O107:O156" si="158">M107/(M107+N107)*M107/(M107+N107)</f>
        <v>#DIV/0!</v>
      </c>
      <c r="P107" s="340"/>
      <c r="Q107" s="340"/>
      <c r="R107" s="341"/>
      <c r="S107" s="341"/>
      <c r="T107" s="341" t="e">
        <f t="shared" ref="T107:T156" si="159">R107/(R107+S107)*R107/(R107+S107)</f>
        <v>#DIV/0!</v>
      </c>
      <c r="U107" s="340"/>
      <c r="V107" s="340"/>
      <c r="W107" s="341"/>
      <c r="X107" s="341"/>
      <c r="Y107" s="341" t="e">
        <f t="shared" ref="Y107:Y156" si="160">W107/(W107+X107)*W107/(W107+X107)</f>
        <v>#DIV/0!</v>
      </c>
      <c r="Z107" s="340">
        <v>353</v>
      </c>
      <c r="AA107" s="340">
        <v>9</v>
      </c>
      <c r="AB107" s="341">
        <v>309</v>
      </c>
      <c r="AC107" s="341">
        <v>35</v>
      </c>
      <c r="AD107" s="341">
        <f t="shared" si="123"/>
        <v>0.806863507301244</v>
      </c>
      <c r="AE107" s="340"/>
      <c r="AF107" s="340"/>
      <c r="AG107" s="341"/>
      <c r="AH107" s="341"/>
      <c r="AI107" s="341" t="e">
        <f t="shared" ref="AI107:AI156" si="161">AG107/(AG107+AH107)*AG107/(AG107+AH107)</f>
        <v>#DIV/0!</v>
      </c>
      <c r="AJ107" s="340"/>
      <c r="AK107" s="340"/>
      <c r="AL107" s="341"/>
      <c r="AM107" s="341"/>
      <c r="AN107" s="341" t="e">
        <f t="shared" ref="AN107:AN156" si="162">AL107/(AL107+AM107)*AL107/(AL107+AM107)</f>
        <v>#DIV/0!</v>
      </c>
      <c r="AO107" s="340"/>
      <c r="AP107" s="340"/>
      <c r="AQ107" s="341"/>
      <c r="AR107" s="341"/>
      <c r="AS107" s="341" t="e">
        <f t="shared" si="156"/>
        <v>#DIV/0!</v>
      </c>
      <c r="AT107" s="340"/>
      <c r="AU107" s="340"/>
      <c r="AV107" s="341"/>
      <c r="AW107" s="341"/>
      <c r="AX107" s="341" t="e">
        <f t="shared" ref="AX107:AX156" si="163">AV107/(AV107+AW107)*AV107/(AV107+AW107)</f>
        <v>#DIV/0!</v>
      </c>
      <c r="AY107" s="340"/>
      <c r="AZ107" s="340"/>
      <c r="BA107" s="341"/>
      <c r="BB107" s="341"/>
      <c r="BC107" s="341" t="e">
        <f t="shared" ref="BC107:BC156" si="164">BA107/(BA107+BB107)*BA107/(BA107+BB107)</f>
        <v>#DIV/0!</v>
      </c>
      <c r="BD107" s="340"/>
      <c r="BE107" s="340"/>
      <c r="BF107" s="341"/>
      <c r="BG107" s="341"/>
      <c r="BH107" s="341" t="e">
        <f t="shared" ref="BH107:BH156" si="165">BF107/(BF107+BG107)*BF107/(BF107+BG107)</f>
        <v>#DIV/0!</v>
      </c>
      <c r="BI107" s="340"/>
      <c r="BJ107" s="340"/>
      <c r="BK107" s="341"/>
      <c r="BL107" s="341"/>
      <c r="BM107" s="341" t="e">
        <f t="shared" ref="BM107:BM156" si="166">BK107/(BK107+BL107)*BK107/(BK107+BL107)</f>
        <v>#DIV/0!</v>
      </c>
      <c r="BN107" s="340"/>
      <c r="BO107" s="340"/>
      <c r="BP107" s="341"/>
      <c r="BQ107" s="341"/>
      <c r="BR107" s="341" t="e">
        <f t="shared" ref="BR107:BR156" si="167">BP107/(BP107+BQ107)*BP107/(BP107+BQ107)</f>
        <v>#DIV/0!</v>
      </c>
      <c r="BS107" s="340"/>
      <c r="BT107" s="340"/>
      <c r="BU107" s="341"/>
      <c r="BV107" s="341"/>
      <c r="BW107" s="341" t="e">
        <f t="shared" ref="BW107:BW156" si="168">BU107/(BU107+BV107)*BU107/(BU107+BV107)</f>
        <v>#DIV/0!</v>
      </c>
      <c r="BX107" s="340"/>
      <c r="BY107" s="340"/>
      <c r="BZ107" s="341"/>
      <c r="CA107" s="341"/>
      <c r="CB107" s="341" t="e">
        <f t="shared" ref="CB107:CB156" si="169">BZ107/(BZ107+CA107)*BZ107/(BZ107+CA107)</f>
        <v>#DIV/0!</v>
      </c>
      <c r="CC107" s="340"/>
      <c r="CD107" s="340"/>
      <c r="CE107" s="341"/>
      <c r="CF107" s="341"/>
      <c r="CG107" s="341" t="e">
        <f t="shared" ref="CG107:CG156" si="170">CE107/(CE107+CF107)*CE107/(CE107+CF107)</f>
        <v>#DIV/0!</v>
      </c>
      <c r="CH107" s="340"/>
      <c r="CI107" s="340"/>
      <c r="CJ107" s="341"/>
      <c r="CK107" s="341"/>
      <c r="CL107" s="341" t="e">
        <f t="shared" ref="CL107:CL156" si="171">CJ107/(CJ107+CK107)*CJ107/(CJ107+CK107)</f>
        <v>#DIV/0!</v>
      </c>
      <c r="CM107" s="340"/>
      <c r="CN107" s="340"/>
      <c r="CO107" s="341"/>
      <c r="CP107" s="341"/>
      <c r="CQ107" s="341" t="e">
        <f t="shared" ref="CQ107:CQ156" si="172">CO107/(CO107+CP107)*CO107/(CO107+CP107)</f>
        <v>#DIV/0!</v>
      </c>
      <c r="CR107" s="340"/>
      <c r="CS107" s="340"/>
      <c r="CT107" s="341"/>
      <c r="CU107" s="341"/>
      <c r="CV107" s="341" t="e">
        <f t="shared" ref="CV107:CV156" si="173">CT107/(CT107+CU107)*CT107/(CT107+CU107)</f>
        <v>#DIV/0!</v>
      </c>
      <c r="CW107" s="340"/>
      <c r="CX107" s="340"/>
      <c r="CY107" s="341">
        <v>60</v>
      </c>
      <c r="CZ107" s="341"/>
      <c r="DA107" s="341">
        <f t="shared" ref="DA107:DA156" si="174">CY107/(CY107+CZ107)*CY107/(CY107+CZ107)</f>
        <v>1</v>
      </c>
      <c r="DB107" s="340"/>
      <c r="DC107" s="340"/>
      <c r="DD107" s="341"/>
      <c r="DE107" s="341"/>
      <c r="DF107" s="341" t="e">
        <f t="shared" ref="DF107:DF156" si="175">DD107/(DD107+DE107)*DD107/(DD107+DE107)</f>
        <v>#DIV/0!</v>
      </c>
      <c r="DG107" s="340"/>
      <c r="DH107" s="340"/>
      <c r="DI107" s="341"/>
      <c r="DJ107" s="341"/>
      <c r="DK107" s="341" t="e">
        <f t="shared" ref="DK107:DK156" si="176">DI107/(DI107+DJ107)*DI107/(DI107+DJ107)</f>
        <v>#DIV/0!</v>
      </c>
      <c r="DL107" s="340"/>
      <c r="DM107" s="340"/>
      <c r="DN107" s="341"/>
      <c r="DO107" s="341"/>
      <c r="DP107" s="341" t="e">
        <f t="shared" ref="DP107:DP156" si="177">DN107/(DN107+DO107)*DN107/(DN107+DO107)</f>
        <v>#DIV/0!</v>
      </c>
      <c r="DQ107" s="340"/>
      <c r="DR107" s="340"/>
      <c r="DS107" s="341">
        <v>70</v>
      </c>
      <c r="DT107" s="341"/>
      <c r="DU107" s="341">
        <f t="shared" ref="DU107:DU156" si="178">DS107/(DS107+DT107)*DS107/(DS107+DT107)</f>
        <v>1</v>
      </c>
      <c r="DV107" s="340"/>
      <c r="DW107" s="340"/>
      <c r="DX107" s="341"/>
      <c r="DY107" s="341"/>
      <c r="DZ107" s="341" t="e">
        <f t="shared" ref="DZ107:DZ156" si="179">DX107/(DX107+DY107)*DX107/(DX107+DY107)</f>
        <v>#DIV/0!</v>
      </c>
      <c r="EA107" s="340"/>
      <c r="EB107" s="340"/>
      <c r="EC107" s="341"/>
      <c r="ED107" s="341"/>
      <c r="EE107" s="341" t="e">
        <f t="shared" ref="EE107:EE156" si="180">EC107/(EC107+ED107)*EC107/(EC107+ED107)</f>
        <v>#DIV/0!</v>
      </c>
      <c r="EF107" s="340"/>
      <c r="EG107" s="340"/>
      <c r="EH107" s="341"/>
      <c r="EI107" s="341"/>
      <c r="EJ107" s="341" t="e">
        <f t="shared" ref="EJ107:EJ156" si="181">EH107/(EH107+EI107)*EH107/(EH107+EI107)</f>
        <v>#DIV/0!</v>
      </c>
      <c r="EK107" s="340"/>
      <c r="EL107" s="340"/>
      <c r="EM107" s="341"/>
      <c r="EN107" s="341"/>
      <c r="EO107" s="341" t="e">
        <f t="shared" ref="EO107:EO156" si="182">EM107/(EM107+EN107)*EM107/(EM107+EN107)</f>
        <v>#DIV/0!</v>
      </c>
      <c r="EP107" s="340"/>
      <c r="EQ107" s="340"/>
      <c r="ER107" s="341"/>
      <c r="ES107" s="341"/>
      <c r="ET107" s="341" t="e">
        <f t="shared" ref="ET107:ET156" si="183">ER107/(ER107+ES107)*ER107/(ER107+ES107)</f>
        <v>#DIV/0!</v>
      </c>
      <c r="EU107" s="340"/>
      <c r="EV107" s="340"/>
      <c r="EW107" s="341">
        <v>175</v>
      </c>
      <c r="EX107" s="341"/>
      <c r="EY107" s="341">
        <f t="shared" ref="EY107:EY156" si="184">EW107/(EW107+EX107)*EW107/(EW107+EX107)</f>
        <v>1</v>
      </c>
      <c r="EZ107" s="340"/>
      <c r="FA107" s="340"/>
      <c r="FB107" s="341"/>
      <c r="FC107" s="341"/>
      <c r="FD107" s="341" t="e">
        <f t="shared" ref="FD107:FD156" si="185">FB107/(FB107+FC107)*FB107/(FB107+FC107)</f>
        <v>#DIV/0!</v>
      </c>
      <c r="FE107" s="341">
        <f t="shared" ref="FE107:FE156" si="186">F107+K107+P107+U107+Z107+AE107+AJ107+AO107+AT107+AY107+BD107+BI107+BN107+BS107+BX107+CC107+CH107+CM107+CR107+CW107+DB107+DG107+DL107+DQ107+DV107+EA107+EF107+EK107+EP107+EU107+EZ107</f>
        <v>353</v>
      </c>
      <c r="FF107" s="341"/>
      <c r="FG107" s="341">
        <f t="shared" ref="FG107:FG128" si="187">FA107+EQ107+EL107+EG107+EB107+DW107+DR107+DM107+DH107+DC107+CX107+CS107+CN107+CI107+CD107+BY107+BT107+BO107+BJ107+BE107+AZ107+AU107+AP107+AK107+AF107+AA107+V107+Q107+L107+G107</f>
        <v>9</v>
      </c>
      <c r="FH107" s="343">
        <f t="shared" si="155"/>
        <v>614</v>
      </c>
      <c r="FI107" s="344">
        <f t="shared" ref="FI107:FI156" si="188">FH107/FE107*FH107/FE107</f>
        <v>3.02543154988805</v>
      </c>
      <c r="FJ107" s="341">
        <f t="shared" si="151"/>
        <v>245.6</v>
      </c>
      <c r="FK107" s="345">
        <f>FJ107+FJ108+FJ109+FJ110+FJ111+FJ112+FJ113+FJ114+FJ115+FJ116</f>
        <v>2434.841</v>
      </c>
      <c r="FL107" s="346">
        <f>(FH107+FH108+FH109+FH110+FH111+FH112+FH113+FH114+FH115+FH116)/(FE107+FE108+FE109+FE110+FE111+FE112+FE113+FE114+FE115+FE116)</f>
        <v>0.94378665486334</v>
      </c>
      <c r="FM107" s="351"/>
    </row>
    <row r="108" s="215" customFormat="1" ht="27" customHeight="1" spans="1:169">
      <c r="A108" s="337"/>
      <c r="B108" s="335"/>
      <c r="C108" s="338"/>
      <c r="D108" s="337" t="s">
        <v>9</v>
      </c>
      <c r="E108" s="342">
        <v>0.133</v>
      </c>
      <c r="F108" s="340"/>
      <c r="G108" s="340"/>
      <c r="H108" s="341"/>
      <c r="I108" s="341"/>
      <c r="J108" s="341" t="e">
        <f t="shared" si="157"/>
        <v>#DIV/0!</v>
      </c>
      <c r="K108" s="340"/>
      <c r="L108" s="340"/>
      <c r="M108" s="341"/>
      <c r="N108" s="341"/>
      <c r="O108" s="341" t="e">
        <f t="shared" si="158"/>
        <v>#DIV/0!</v>
      </c>
      <c r="P108" s="340"/>
      <c r="Q108" s="340"/>
      <c r="R108" s="341"/>
      <c r="S108" s="341"/>
      <c r="T108" s="341" t="e">
        <f t="shared" si="159"/>
        <v>#DIV/0!</v>
      </c>
      <c r="U108" s="340"/>
      <c r="V108" s="340"/>
      <c r="W108" s="341"/>
      <c r="X108" s="341"/>
      <c r="Y108" s="341" t="e">
        <f t="shared" si="160"/>
        <v>#DIV/0!</v>
      </c>
      <c r="Z108" s="340"/>
      <c r="AA108" s="340"/>
      <c r="AB108" s="341"/>
      <c r="AC108" s="341"/>
      <c r="AD108" s="341" t="e">
        <f t="shared" si="123"/>
        <v>#DIV/0!</v>
      </c>
      <c r="AE108" s="340"/>
      <c r="AF108" s="340"/>
      <c r="AG108" s="341"/>
      <c r="AH108" s="341"/>
      <c r="AI108" s="341" t="e">
        <f t="shared" si="161"/>
        <v>#DIV/0!</v>
      </c>
      <c r="AJ108" s="340"/>
      <c r="AK108" s="340"/>
      <c r="AL108" s="341"/>
      <c r="AM108" s="341"/>
      <c r="AN108" s="341" t="e">
        <f t="shared" si="162"/>
        <v>#DIV/0!</v>
      </c>
      <c r="AO108" s="340"/>
      <c r="AP108" s="340"/>
      <c r="AQ108" s="341"/>
      <c r="AR108" s="341"/>
      <c r="AS108" s="341" t="e">
        <f t="shared" si="156"/>
        <v>#DIV/0!</v>
      </c>
      <c r="AT108" s="340"/>
      <c r="AU108" s="340"/>
      <c r="AV108" s="341"/>
      <c r="AW108" s="341"/>
      <c r="AX108" s="341" t="e">
        <f t="shared" si="163"/>
        <v>#DIV/0!</v>
      </c>
      <c r="AY108" s="340"/>
      <c r="AZ108" s="340"/>
      <c r="BA108" s="341"/>
      <c r="BB108" s="341"/>
      <c r="BC108" s="341" t="e">
        <f t="shared" si="164"/>
        <v>#DIV/0!</v>
      </c>
      <c r="BD108" s="340"/>
      <c r="BE108" s="340"/>
      <c r="BF108" s="341"/>
      <c r="BG108" s="341"/>
      <c r="BH108" s="341" t="e">
        <f t="shared" si="165"/>
        <v>#DIV/0!</v>
      </c>
      <c r="BI108" s="340"/>
      <c r="BJ108" s="340"/>
      <c r="BK108" s="341"/>
      <c r="BL108" s="341"/>
      <c r="BM108" s="341" t="e">
        <f t="shared" si="166"/>
        <v>#DIV/0!</v>
      </c>
      <c r="BN108" s="340"/>
      <c r="BO108" s="340"/>
      <c r="BP108" s="341"/>
      <c r="BQ108" s="341"/>
      <c r="BR108" s="341" t="e">
        <f t="shared" si="167"/>
        <v>#DIV/0!</v>
      </c>
      <c r="BS108" s="340"/>
      <c r="BT108" s="340"/>
      <c r="BU108" s="341"/>
      <c r="BV108" s="341"/>
      <c r="BW108" s="341" t="e">
        <f t="shared" si="168"/>
        <v>#DIV/0!</v>
      </c>
      <c r="BX108" s="340"/>
      <c r="BY108" s="340"/>
      <c r="BZ108" s="341"/>
      <c r="CA108" s="341"/>
      <c r="CB108" s="341" t="e">
        <f t="shared" si="169"/>
        <v>#DIV/0!</v>
      </c>
      <c r="CC108" s="340"/>
      <c r="CD108" s="340"/>
      <c r="CE108" s="341"/>
      <c r="CF108" s="341"/>
      <c r="CG108" s="341" t="e">
        <f t="shared" si="170"/>
        <v>#DIV/0!</v>
      </c>
      <c r="CH108" s="340"/>
      <c r="CI108" s="340"/>
      <c r="CJ108" s="341"/>
      <c r="CK108" s="341"/>
      <c r="CL108" s="341" t="e">
        <f t="shared" si="171"/>
        <v>#DIV/0!</v>
      </c>
      <c r="CM108" s="340"/>
      <c r="CN108" s="340"/>
      <c r="CO108" s="341"/>
      <c r="CP108" s="341"/>
      <c r="CQ108" s="341" t="e">
        <f t="shared" si="172"/>
        <v>#DIV/0!</v>
      </c>
      <c r="CR108" s="340"/>
      <c r="CS108" s="340"/>
      <c r="CT108" s="341"/>
      <c r="CU108" s="341"/>
      <c r="CV108" s="341" t="e">
        <f t="shared" si="173"/>
        <v>#DIV/0!</v>
      </c>
      <c r="CW108" s="340"/>
      <c r="CX108" s="340"/>
      <c r="CY108" s="341"/>
      <c r="CZ108" s="341"/>
      <c r="DA108" s="341" t="e">
        <f t="shared" si="174"/>
        <v>#DIV/0!</v>
      </c>
      <c r="DB108" s="340"/>
      <c r="DC108" s="340"/>
      <c r="DD108" s="341"/>
      <c r="DE108" s="341"/>
      <c r="DF108" s="341" t="e">
        <f t="shared" si="175"/>
        <v>#DIV/0!</v>
      </c>
      <c r="DG108" s="340"/>
      <c r="DH108" s="340"/>
      <c r="DI108" s="341"/>
      <c r="DJ108" s="341"/>
      <c r="DK108" s="341" t="e">
        <f t="shared" si="176"/>
        <v>#DIV/0!</v>
      </c>
      <c r="DL108" s="340"/>
      <c r="DM108" s="340"/>
      <c r="DN108" s="341"/>
      <c r="DO108" s="341"/>
      <c r="DP108" s="341" t="e">
        <f t="shared" si="177"/>
        <v>#DIV/0!</v>
      </c>
      <c r="DQ108" s="340"/>
      <c r="DR108" s="340"/>
      <c r="DS108" s="341"/>
      <c r="DT108" s="341"/>
      <c r="DU108" s="341" t="e">
        <f t="shared" si="178"/>
        <v>#DIV/0!</v>
      </c>
      <c r="DV108" s="340"/>
      <c r="DW108" s="340"/>
      <c r="DX108" s="341"/>
      <c r="DY108" s="341"/>
      <c r="DZ108" s="341" t="e">
        <f t="shared" si="179"/>
        <v>#DIV/0!</v>
      </c>
      <c r="EA108" s="340"/>
      <c r="EB108" s="340"/>
      <c r="EC108" s="341"/>
      <c r="ED108" s="341"/>
      <c r="EE108" s="341" t="e">
        <f t="shared" si="180"/>
        <v>#DIV/0!</v>
      </c>
      <c r="EF108" s="340"/>
      <c r="EG108" s="340"/>
      <c r="EH108" s="341"/>
      <c r="EI108" s="341"/>
      <c r="EJ108" s="341" t="e">
        <f t="shared" si="181"/>
        <v>#DIV/0!</v>
      </c>
      <c r="EK108" s="340"/>
      <c r="EL108" s="340"/>
      <c r="EM108" s="341"/>
      <c r="EN108" s="341"/>
      <c r="EO108" s="341" t="e">
        <f t="shared" si="182"/>
        <v>#DIV/0!</v>
      </c>
      <c r="EP108" s="340"/>
      <c r="EQ108" s="340"/>
      <c r="ER108" s="341"/>
      <c r="ES108" s="341"/>
      <c r="ET108" s="341" t="e">
        <f t="shared" si="183"/>
        <v>#DIV/0!</v>
      </c>
      <c r="EU108" s="340"/>
      <c r="EV108" s="340"/>
      <c r="EW108" s="341"/>
      <c r="EX108" s="341"/>
      <c r="EY108" s="341" t="e">
        <f t="shared" si="184"/>
        <v>#DIV/0!</v>
      </c>
      <c r="EZ108" s="340"/>
      <c r="FA108" s="340"/>
      <c r="FB108" s="341"/>
      <c r="FC108" s="341"/>
      <c r="FD108" s="341" t="e">
        <f t="shared" si="185"/>
        <v>#DIV/0!</v>
      </c>
      <c r="FE108" s="341">
        <f t="shared" si="186"/>
        <v>0</v>
      </c>
      <c r="FF108" s="341"/>
      <c r="FG108" s="341">
        <f t="shared" si="187"/>
        <v>0</v>
      </c>
      <c r="FH108" s="343">
        <f t="shared" ref="FH108:FH117" si="189">FB108+EW108+ER108+EM108+EH108+EC108+DX108+DS108+DN108+DI108+DD108+CY108+CT108+CO108+CJ108+CE108+BZ108+BU108+BP108+BK108+BF108+BA108+AV108+AQ108+AL108+AG108+AB108+W108+R108+M108+H108</f>
        <v>0</v>
      </c>
      <c r="FI108" s="344" t="e">
        <f t="shared" si="188"/>
        <v>#DIV/0!</v>
      </c>
      <c r="FJ108" s="341">
        <f t="shared" ref="FJ108:FJ156" si="190">FH108*E108</f>
        <v>0</v>
      </c>
      <c r="FK108" s="347"/>
      <c r="FL108" s="348"/>
      <c r="FM108" s="352"/>
    </row>
    <row r="109" s="215" customFormat="1" ht="27" customHeight="1" spans="1:169">
      <c r="A109" s="337"/>
      <c r="B109" s="335"/>
      <c r="C109" s="338"/>
      <c r="D109" s="337" t="s">
        <v>10</v>
      </c>
      <c r="E109" s="342">
        <v>0.133</v>
      </c>
      <c r="F109" s="340"/>
      <c r="G109" s="341"/>
      <c r="H109" s="341"/>
      <c r="I109" s="341"/>
      <c r="J109" s="341" t="e">
        <f t="shared" si="157"/>
        <v>#DIV/0!</v>
      </c>
      <c r="K109" s="340"/>
      <c r="L109" s="341"/>
      <c r="M109" s="341"/>
      <c r="N109" s="341"/>
      <c r="O109" s="341" t="e">
        <f t="shared" si="158"/>
        <v>#DIV/0!</v>
      </c>
      <c r="P109" s="340"/>
      <c r="Q109" s="341"/>
      <c r="R109" s="341"/>
      <c r="S109" s="341"/>
      <c r="T109" s="341" t="e">
        <f t="shared" si="159"/>
        <v>#DIV/0!</v>
      </c>
      <c r="U109" s="340"/>
      <c r="V109" s="341"/>
      <c r="W109" s="341"/>
      <c r="X109" s="341"/>
      <c r="Y109" s="341" t="e">
        <f t="shared" si="160"/>
        <v>#DIV/0!</v>
      </c>
      <c r="Z109" s="340"/>
      <c r="AA109" s="341"/>
      <c r="AB109" s="341"/>
      <c r="AC109" s="341"/>
      <c r="AD109" s="341" t="e">
        <f t="shared" si="123"/>
        <v>#DIV/0!</v>
      </c>
      <c r="AE109" s="340"/>
      <c r="AF109" s="341"/>
      <c r="AG109" s="341"/>
      <c r="AH109" s="341"/>
      <c r="AI109" s="341" t="e">
        <f t="shared" si="161"/>
        <v>#DIV/0!</v>
      </c>
      <c r="AJ109" s="340"/>
      <c r="AK109" s="341"/>
      <c r="AL109" s="341"/>
      <c r="AM109" s="341"/>
      <c r="AN109" s="341" t="e">
        <f t="shared" si="162"/>
        <v>#DIV/0!</v>
      </c>
      <c r="AO109" s="340"/>
      <c r="AP109" s="341"/>
      <c r="AQ109" s="341"/>
      <c r="AR109" s="341"/>
      <c r="AS109" s="341" t="e">
        <f t="shared" ref="AS109:AS118" si="191">AQ109/(AQ109+AR109)*AQ109/(AQ109+AR109)</f>
        <v>#DIV/0!</v>
      </c>
      <c r="AT109" s="340"/>
      <c r="AU109" s="341"/>
      <c r="AV109" s="341"/>
      <c r="AW109" s="341"/>
      <c r="AX109" s="341" t="e">
        <f t="shared" si="163"/>
        <v>#DIV/0!</v>
      </c>
      <c r="AY109" s="340"/>
      <c r="AZ109" s="341"/>
      <c r="BA109" s="341"/>
      <c r="BB109" s="341"/>
      <c r="BC109" s="341" t="e">
        <f t="shared" si="164"/>
        <v>#DIV/0!</v>
      </c>
      <c r="BD109" s="340"/>
      <c r="BE109" s="341"/>
      <c r="BF109" s="341"/>
      <c r="BG109" s="341"/>
      <c r="BH109" s="341" t="e">
        <f t="shared" si="165"/>
        <v>#DIV/0!</v>
      </c>
      <c r="BI109" s="340"/>
      <c r="BJ109" s="341"/>
      <c r="BK109" s="341"/>
      <c r="BL109" s="341"/>
      <c r="BM109" s="341" t="e">
        <f t="shared" si="166"/>
        <v>#DIV/0!</v>
      </c>
      <c r="BN109" s="340"/>
      <c r="BO109" s="341"/>
      <c r="BP109" s="341"/>
      <c r="BQ109" s="341"/>
      <c r="BR109" s="341" t="e">
        <f t="shared" si="167"/>
        <v>#DIV/0!</v>
      </c>
      <c r="BS109" s="340"/>
      <c r="BT109" s="341"/>
      <c r="BU109" s="341"/>
      <c r="BV109" s="341"/>
      <c r="BW109" s="341" t="e">
        <f t="shared" si="168"/>
        <v>#DIV/0!</v>
      </c>
      <c r="BX109" s="340"/>
      <c r="BY109" s="341"/>
      <c r="BZ109" s="341"/>
      <c r="CA109" s="341"/>
      <c r="CB109" s="341" t="e">
        <f t="shared" si="169"/>
        <v>#DIV/0!</v>
      </c>
      <c r="CC109" s="340"/>
      <c r="CD109" s="341"/>
      <c r="CE109" s="341"/>
      <c r="CF109" s="341"/>
      <c r="CG109" s="341" t="e">
        <f t="shared" si="170"/>
        <v>#DIV/0!</v>
      </c>
      <c r="CH109" s="340"/>
      <c r="CI109" s="341"/>
      <c r="CJ109" s="341"/>
      <c r="CK109" s="341"/>
      <c r="CL109" s="341" t="e">
        <f t="shared" si="171"/>
        <v>#DIV/0!</v>
      </c>
      <c r="CM109" s="340"/>
      <c r="CN109" s="341"/>
      <c r="CO109" s="341"/>
      <c r="CP109" s="341"/>
      <c r="CQ109" s="341" t="e">
        <f t="shared" si="172"/>
        <v>#DIV/0!</v>
      </c>
      <c r="CR109" s="340"/>
      <c r="CS109" s="341"/>
      <c r="CT109" s="341"/>
      <c r="CU109" s="341"/>
      <c r="CV109" s="341" t="e">
        <f t="shared" si="173"/>
        <v>#DIV/0!</v>
      </c>
      <c r="CW109" s="340"/>
      <c r="CX109" s="341"/>
      <c r="CY109" s="341"/>
      <c r="CZ109" s="341"/>
      <c r="DA109" s="341" t="e">
        <f t="shared" si="174"/>
        <v>#DIV/0!</v>
      </c>
      <c r="DB109" s="340"/>
      <c r="DC109" s="341"/>
      <c r="DD109" s="341"/>
      <c r="DE109" s="341"/>
      <c r="DF109" s="341" t="e">
        <f t="shared" si="175"/>
        <v>#DIV/0!</v>
      </c>
      <c r="DG109" s="340"/>
      <c r="DH109" s="341"/>
      <c r="DI109" s="341"/>
      <c r="DJ109" s="341"/>
      <c r="DK109" s="341" t="e">
        <f t="shared" si="176"/>
        <v>#DIV/0!</v>
      </c>
      <c r="DL109" s="340"/>
      <c r="DM109" s="341"/>
      <c r="DN109" s="341"/>
      <c r="DO109" s="341"/>
      <c r="DP109" s="341" t="e">
        <f t="shared" si="177"/>
        <v>#DIV/0!</v>
      </c>
      <c r="DQ109" s="340"/>
      <c r="DR109" s="341"/>
      <c r="DS109" s="341"/>
      <c r="DT109" s="341"/>
      <c r="DU109" s="341" t="e">
        <f t="shared" si="178"/>
        <v>#DIV/0!</v>
      </c>
      <c r="DV109" s="340"/>
      <c r="DW109" s="341"/>
      <c r="DX109" s="341"/>
      <c r="DY109" s="341"/>
      <c r="DZ109" s="341" t="e">
        <f t="shared" si="179"/>
        <v>#DIV/0!</v>
      </c>
      <c r="EA109" s="340"/>
      <c r="EB109" s="341"/>
      <c r="EC109" s="341"/>
      <c r="ED109" s="341"/>
      <c r="EE109" s="341" t="e">
        <f t="shared" si="180"/>
        <v>#DIV/0!</v>
      </c>
      <c r="EF109" s="340"/>
      <c r="EG109" s="341"/>
      <c r="EH109" s="341"/>
      <c r="EI109" s="341"/>
      <c r="EJ109" s="341" t="e">
        <f t="shared" si="181"/>
        <v>#DIV/0!</v>
      </c>
      <c r="EK109" s="340"/>
      <c r="EL109" s="341"/>
      <c r="EM109" s="341"/>
      <c r="EN109" s="341"/>
      <c r="EO109" s="341" t="e">
        <f t="shared" si="182"/>
        <v>#DIV/0!</v>
      </c>
      <c r="EP109" s="340"/>
      <c r="EQ109" s="341"/>
      <c r="ER109" s="341"/>
      <c r="ES109" s="341"/>
      <c r="ET109" s="341" t="e">
        <f t="shared" si="183"/>
        <v>#DIV/0!</v>
      </c>
      <c r="EU109" s="340"/>
      <c r="EV109" s="341"/>
      <c r="EW109" s="341"/>
      <c r="EX109" s="341"/>
      <c r="EY109" s="341" t="e">
        <f t="shared" si="184"/>
        <v>#DIV/0!</v>
      </c>
      <c r="EZ109" s="340"/>
      <c r="FA109" s="341"/>
      <c r="FB109" s="341"/>
      <c r="FC109" s="341"/>
      <c r="FD109" s="341" t="e">
        <f t="shared" si="185"/>
        <v>#DIV/0!</v>
      </c>
      <c r="FE109" s="341">
        <f t="shared" si="186"/>
        <v>0</v>
      </c>
      <c r="FF109" s="341"/>
      <c r="FG109" s="341">
        <f t="shared" si="187"/>
        <v>0</v>
      </c>
      <c r="FH109" s="343">
        <f t="shared" si="189"/>
        <v>0</v>
      </c>
      <c r="FI109" s="344" t="e">
        <f t="shared" si="188"/>
        <v>#DIV/0!</v>
      </c>
      <c r="FJ109" s="341">
        <f t="shared" si="190"/>
        <v>0</v>
      </c>
      <c r="FK109" s="347"/>
      <c r="FL109" s="348"/>
      <c r="FM109" s="352"/>
    </row>
    <row r="110" s="215" customFormat="1" ht="27" customHeight="1" spans="1:169">
      <c r="A110" s="337"/>
      <c r="B110" s="335"/>
      <c r="C110" s="338"/>
      <c r="D110" s="337" t="s">
        <v>11</v>
      </c>
      <c r="E110" s="342">
        <v>0.23</v>
      </c>
      <c r="F110" s="340"/>
      <c r="G110" s="341"/>
      <c r="H110" s="341"/>
      <c r="I110" s="341"/>
      <c r="J110" s="341" t="e">
        <f t="shared" si="157"/>
        <v>#DIV/0!</v>
      </c>
      <c r="K110" s="340"/>
      <c r="L110" s="341"/>
      <c r="M110" s="341"/>
      <c r="N110" s="341"/>
      <c r="O110" s="341" t="e">
        <f t="shared" si="158"/>
        <v>#DIV/0!</v>
      </c>
      <c r="P110" s="340"/>
      <c r="Q110" s="341"/>
      <c r="R110" s="341"/>
      <c r="S110" s="341"/>
      <c r="T110" s="341" t="e">
        <f t="shared" si="159"/>
        <v>#DIV/0!</v>
      </c>
      <c r="U110" s="340"/>
      <c r="V110" s="341"/>
      <c r="W110" s="341"/>
      <c r="X110" s="341"/>
      <c r="Y110" s="341" t="e">
        <f t="shared" si="160"/>
        <v>#DIV/0!</v>
      </c>
      <c r="Z110" s="340"/>
      <c r="AA110" s="341"/>
      <c r="AB110" s="341"/>
      <c r="AC110" s="341"/>
      <c r="AD110" s="341" t="e">
        <f t="shared" si="123"/>
        <v>#DIV/0!</v>
      </c>
      <c r="AE110" s="340"/>
      <c r="AF110" s="341"/>
      <c r="AG110" s="341"/>
      <c r="AH110" s="341"/>
      <c r="AI110" s="341" t="e">
        <f t="shared" si="161"/>
        <v>#DIV/0!</v>
      </c>
      <c r="AJ110" s="340"/>
      <c r="AK110" s="341"/>
      <c r="AL110" s="341"/>
      <c r="AM110" s="341"/>
      <c r="AN110" s="341" t="e">
        <f t="shared" si="162"/>
        <v>#DIV/0!</v>
      </c>
      <c r="AO110" s="340"/>
      <c r="AP110" s="341"/>
      <c r="AQ110" s="341"/>
      <c r="AR110" s="341"/>
      <c r="AS110" s="341" t="e">
        <f t="shared" si="191"/>
        <v>#DIV/0!</v>
      </c>
      <c r="AT110" s="340"/>
      <c r="AU110" s="341"/>
      <c r="AV110" s="341"/>
      <c r="AW110" s="341"/>
      <c r="AX110" s="341" t="e">
        <f t="shared" si="163"/>
        <v>#DIV/0!</v>
      </c>
      <c r="AY110" s="340"/>
      <c r="AZ110" s="341"/>
      <c r="BA110" s="341"/>
      <c r="BB110" s="341"/>
      <c r="BC110" s="341" t="e">
        <f t="shared" si="164"/>
        <v>#DIV/0!</v>
      </c>
      <c r="BD110" s="340">
        <v>432</v>
      </c>
      <c r="BE110" s="341"/>
      <c r="BF110" s="341">
        <v>407</v>
      </c>
      <c r="BG110" s="341">
        <v>25</v>
      </c>
      <c r="BH110" s="341">
        <f t="shared" si="165"/>
        <v>0.887608239026063</v>
      </c>
      <c r="BI110" s="340">
        <v>323</v>
      </c>
      <c r="BJ110" s="341">
        <v>3</v>
      </c>
      <c r="BK110" s="341">
        <v>300</v>
      </c>
      <c r="BL110" s="341">
        <v>20</v>
      </c>
      <c r="BM110" s="341">
        <f t="shared" si="166"/>
        <v>0.87890625</v>
      </c>
      <c r="BN110" s="340">
        <v>405</v>
      </c>
      <c r="BO110" s="341">
        <v>1</v>
      </c>
      <c r="BP110" s="341">
        <v>378</v>
      </c>
      <c r="BQ110" s="341">
        <v>26</v>
      </c>
      <c r="BR110" s="341">
        <f t="shared" si="167"/>
        <v>0.875428879521616</v>
      </c>
      <c r="BS110" s="340">
        <v>473</v>
      </c>
      <c r="BT110" s="341"/>
      <c r="BU110" s="341">
        <v>442</v>
      </c>
      <c r="BV110" s="341">
        <v>31</v>
      </c>
      <c r="BW110" s="341">
        <f t="shared" si="168"/>
        <v>0.87321715110692</v>
      </c>
      <c r="BX110" s="340">
        <v>348</v>
      </c>
      <c r="BY110" s="341">
        <v>5</v>
      </c>
      <c r="BZ110" s="341">
        <v>328</v>
      </c>
      <c r="CA110" s="341">
        <v>15</v>
      </c>
      <c r="CB110" s="341">
        <f t="shared" si="169"/>
        <v>0.914448911592959</v>
      </c>
      <c r="CC110" s="340">
        <v>359</v>
      </c>
      <c r="CD110" s="341"/>
      <c r="CE110" s="341">
        <v>339</v>
      </c>
      <c r="CF110" s="341">
        <v>20</v>
      </c>
      <c r="CG110" s="341">
        <f t="shared" si="170"/>
        <v>0.891683025426556</v>
      </c>
      <c r="CH110" s="340">
        <v>372</v>
      </c>
      <c r="CI110" s="341">
        <v>12</v>
      </c>
      <c r="CJ110" s="341">
        <v>320</v>
      </c>
      <c r="CK110" s="341">
        <v>40</v>
      </c>
      <c r="CL110" s="341">
        <f t="shared" si="171"/>
        <v>0.790123456790124</v>
      </c>
      <c r="CM110" s="340">
        <v>416</v>
      </c>
      <c r="CN110" s="341">
        <v>5</v>
      </c>
      <c r="CO110" s="341">
        <v>371</v>
      </c>
      <c r="CP110" s="341">
        <v>40</v>
      </c>
      <c r="CQ110" s="341">
        <f t="shared" si="172"/>
        <v>0.814824681359926</v>
      </c>
      <c r="CR110" s="340">
        <v>228</v>
      </c>
      <c r="CS110" s="341">
        <v>3</v>
      </c>
      <c r="CT110" s="341">
        <v>225</v>
      </c>
      <c r="CU110" s="341"/>
      <c r="CV110" s="341">
        <f t="shared" si="173"/>
        <v>1</v>
      </c>
      <c r="CW110" s="340"/>
      <c r="CX110" s="341"/>
      <c r="CY110" s="341"/>
      <c r="CZ110" s="341"/>
      <c r="DA110" s="341" t="e">
        <f t="shared" si="174"/>
        <v>#DIV/0!</v>
      </c>
      <c r="DB110" s="340"/>
      <c r="DC110" s="341"/>
      <c r="DD110" s="341"/>
      <c r="DE110" s="341"/>
      <c r="DF110" s="341" t="e">
        <f t="shared" si="175"/>
        <v>#DIV/0!</v>
      </c>
      <c r="DG110" s="340"/>
      <c r="DH110" s="341"/>
      <c r="DI110" s="341"/>
      <c r="DJ110" s="341"/>
      <c r="DK110" s="341" t="e">
        <f t="shared" si="176"/>
        <v>#DIV/0!</v>
      </c>
      <c r="DL110" s="340"/>
      <c r="DM110" s="341"/>
      <c r="DN110" s="341"/>
      <c r="DO110" s="341"/>
      <c r="DP110" s="341" t="e">
        <f t="shared" si="177"/>
        <v>#DIV/0!</v>
      </c>
      <c r="DQ110" s="340"/>
      <c r="DR110" s="341"/>
      <c r="DS110" s="341"/>
      <c r="DT110" s="341"/>
      <c r="DU110" s="341" t="e">
        <f t="shared" si="178"/>
        <v>#DIV/0!</v>
      </c>
      <c r="DV110" s="340"/>
      <c r="DW110" s="341"/>
      <c r="DX110" s="341"/>
      <c r="DY110" s="341"/>
      <c r="DZ110" s="341" t="e">
        <f t="shared" si="179"/>
        <v>#DIV/0!</v>
      </c>
      <c r="EA110" s="340"/>
      <c r="EB110" s="341"/>
      <c r="EC110" s="341"/>
      <c r="ED110" s="341"/>
      <c r="EE110" s="341" t="e">
        <f t="shared" si="180"/>
        <v>#DIV/0!</v>
      </c>
      <c r="EF110" s="340"/>
      <c r="EG110" s="341"/>
      <c r="EH110" s="341"/>
      <c r="EI110" s="341"/>
      <c r="EJ110" s="341" t="e">
        <f t="shared" si="181"/>
        <v>#DIV/0!</v>
      </c>
      <c r="EK110" s="340"/>
      <c r="EL110" s="341"/>
      <c r="EM110" s="341"/>
      <c r="EN110" s="341"/>
      <c r="EO110" s="341" t="e">
        <f t="shared" si="182"/>
        <v>#DIV/0!</v>
      </c>
      <c r="EP110" s="340"/>
      <c r="EQ110" s="341"/>
      <c r="ER110" s="341"/>
      <c r="ES110" s="341"/>
      <c r="ET110" s="341" t="e">
        <f t="shared" si="183"/>
        <v>#DIV/0!</v>
      </c>
      <c r="EU110" s="340"/>
      <c r="EV110" s="341"/>
      <c r="EW110" s="341"/>
      <c r="EX110" s="341"/>
      <c r="EY110" s="341" t="e">
        <f t="shared" si="184"/>
        <v>#DIV/0!</v>
      </c>
      <c r="EZ110" s="340"/>
      <c r="FA110" s="341"/>
      <c r="FB110" s="341"/>
      <c r="FC110" s="341"/>
      <c r="FD110" s="341" t="e">
        <f t="shared" si="185"/>
        <v>#DIV/0!</v>
      </c>
      <c r="FE110" s="341">
        <f t="shared" si="186"/>
        <v>3356</v>
      </c>
      <c r="FF110" s="341"/>
      <c r="FG110" s="341">
        <f t="shared" si="187"/>
        <v>29</v>
      </c>
      <c r="FH110" s="343">
        <f t="shared" si="189"/>
        <v>3110</v>
      </c>
      <c r="FI110" s="344">
        <f t="shared" si="188"/>
        <v>0.858770018226477</v>
      </c>
      <c r="FJ110" s="341">
        <f t="shared" si="190"/>
        <v>715.3</v>
      </c>
      <c r="FK110" s="347"/>
      <c r="FL110" s="348"/>
      <c r="FM110" s="352"/>
    </row>
    <row r="111" s="215" customFormat="1" ht="27" customHeight="1" spans="1:171">
      <c r="A111" s="337"/>
      <c r="B111" s="335"/>
      <c r="C111" s="338"/>
      <c r="D111" s="337" t="s">
        <v>12</v>
      </c>
      <c r="E111" s="342">
        <v>0.25</v>
      </c>
      <c r="F111" s="340"/>
      <c r="G111" s="341"/>
      <c r="H111" s="341"/>
      <c r="I111" s="341"/>
      <c r="J111" s="341" t="e">
        <f t="shared" si="157"/>
        <v>#DIV/0!</v>
      </c>
      <c r="K111" s="340"/>
      <c r="L111" s="341"/>
      <c r="M111" s="341"/>
      <c r="N111" s="341"/>
      <c r="O111" s="341" t="e">
        <f t="shared" si="158"/>
        <v>#DIV/0!</v>
      </c>
      <c r="P111" s="340"/>
      <c r="Q111" s="341"/>
      <c r="R111" s="341"/>
      <c r="S111" s="341"/>
      <c r="T111" s="341" t="e">
        <f t="shared" si="159"/>
        <v>#DIV/0!</v>
      </c>
      <c r="U111" s="340"/>
      <c r="V111" s="341"/>
      <c r="W111" s="341"/>
      <c r="X111" s="341"/>
      <c r="Y111" s="341" t="e">
        <f t="shared" si="160"/>
        <v>#DIV/0!</v>
      </c>
      <c r="Z111" s="340"/>
      <c r="AA111" s="341"/>
      <c r="AB111" s="341"/>
      <c r="AC111" s="341"/>
      <c r="AD111" s="341" t="e">
        <f t="shared" si="123"/>
        <v>#DIV/0!</v>
      </c>
      <c r="AE111" s="340"/>
      <c r="AF111" s="341"/>
      <c r="AG111" s="341"/>
      <c r="AH111" s="341"/>
      <c r="AI111" s="341" t="e">
        <f t="shared" si="161"/>
        <v>#DIV/0!</v>
      </c>
      <c r="AJ111" s="340"/>
      <c r="AK111" s="341"/>
      <c r="AL111" s="341"/>
      <c r="AM111" s="341"/>
      <c r="AN111" s="341" t="e">
        <f t="shared" si="162"/>
        <v>#DIV/0!</v>
      </c>
      <c r="AO111" s="340"/>
      <c r="AP111" s="341"/>
      <c r="AQ111" s="341"/>
      <c r="AR111" s="341"/>
      <c r="AS111" s="341" t="e">
        <f t="shared" si="191"/>
        <v>#DIV/0!</v>
      </c>
      <c r="AT111" s="340"/>
      <c r="AU111" s="341"/>
      <c r="AV111" s="341"/>
      <c r="AW111" s="341"/>
      <c r="AX111" s="341" t="e">
        <f t="shared" si="163"/>
        <v>#DIV/0!</v>
      </c>
      <c r="AY111" s="340"/>
      <c r="AZ111" s="341"/>
      <c r="BA111" s="341"/>
      <c r="BB111" s="341"/>
      <c r="BC111" s="341" t="e">
        <f t="shared" si="164"/>
        <v>#DIV/0!</v>
      </c>
      <c r="BD111" s="340">
        <v>350</v>
      </c>
      <c r="BE111" s="341">
        <v>2</v>
      </c>
      <c r="BF111" s="341">
        <v>323</v>
      </c>
      <c r="BG111" s="341">
        <v>25</v>
      </c>
      <c r="BH111" s="341">
        <f t="shared" si="165"/>
        <v>0.861482692561765</v>
      </c>
      <c r="BI111" s="340">
        <v>322</v>
      </c>
      <c r="BJ111" s="341">
        <v>1</v>
      </c>
      <c r="BK111" s="341">
        <v>302</v>
      </c>
      <c r="BL111" s="341">
        <v>19</v>
      </c>
      <c r="BM111" s="341">
        <f t="shared" si="166"/>
        <v>0.885123397482555</v>
      </c>
      <c r="BN111" s="340">
        <v>330</v>
      </c>
      <c r="BO111" s="341">
        <v>4</v>
      </c>
      <c r="BP111" s="341">
        <v>305</v>
      </c>
      <c r="BQ111" s="341">
        <v>21</v>
      </c>
      <c r="BR111" s="341">
        <f t="shared" si="167"/>
        <v>0.875315216982197</v>
      </c>
      <c r="BS111" s="340">
        <v>406</v>
      </c>
      <c r="BT111" s="341">
        <v>6</v>
      </c>
      <c r="BU111" s="341">
        <v>385</v>
      </c>
      <c r="BV111" s="341">
        <v>27</v>
      </c>
      <c r="BW111" s="341">
        <f t="shared" si="168"/>
        <v>0.873226741445942</v>
      </c>
      <c r="BX111" s="340">
        <v>301</v>
      </c>
      <c r="BY111" s="341">
        <v>4</v>
      </c>
      <c r="BZ111" s="341"/>
      <c r="CA111" s="341"/>
      <c r="CB111" s="341" t="e">
        <f t="shared" si="169"/>
        <v>#DIV/0!</v>
      </c>
      <c r="CC111" s="340">
        <v>420</v>
      </c>
      <c r="CD111" s="341"/>
      <c r="CE111" s="341">
        <v>389</v>
      </c>
      <c r="CF111" s="341">
        <v>31</v>
      </c>
      <c r="CG111" s="341">
        <f t="shared" si="170"/>
        <v>0.857828798185941</v>
      </c>
      <c r="CH111" s="340">
        <v>320</v>
      </c>
      <c r="CI111" s="341"/>
      <c r="CJ111" s="341">
        <v>290</v>
      </c>
      <c r="CK111" s="341">
        <v>30</v>
      </c>
      <c r="CL111" s="341">
        <f t="shared" si="171"/>
        <v>0.8212890625</v>
      </c>
      <c r="CM111" s="340">
        <v>387</v>
      </c>
      <c r="CN111" s="341">
        <v>4</v>
      </c>
      <c r="CO111" s="341">
        <v>362</v>
      </c>
      <c r="CP111" s="341">
        <v>21</v>
      </c>
      <c r="CQ111" s="341">
        <f t="shared" si="172"/>
        <v>0.893345785982589</v>
      </c>
      <c r="CR111" s="340">
        <v>234</v>
      </c>
      <c r="CS111" s="341">
        <v>2</v>
      </c>
      <c r="CT111" s="341">
        <v>232</v>
      </c>
      <c r="CU111" s="341"/>
      <c r="CV111" s="341">
        <f t="shared" si="173"/>
        <v>1</v>
      </c>
      <c r="CW111" s="340"/>
      <c r="CX111" s="341"/>
      <c r="CY111" s="341"/>
      <c r="CZ111" s="341"/>
      <c r="DA111" s="341" t="e">
        <f t="shared" si="174"/>
        <v>#DIV/0!</v>
      </c>
      <c r="DB111" s="340"/>
      <c r="DC111" s="341"/>
      <c r="DD111" s="341"/>
      <c r="DE111" s="341"/>
      <c r="DF111" s="341" t="e">
        <f t="shared" si="175"/>
        <v>#DIV/0!</v>
      </c>
      <c r="DG111" s="340"/>
      <c r="DH111" s="341"/>
      <c r="DI111" s="341"/>
      <c r="DJ111" s="341"/>
      <c r="DK111" s="341" t="e">
        <f t="shared" si="176"/>
        <v>#DIV/0!</v>
      </c>
      <c r="DL111" s="340"/>
      <c r="DM111" s="341"/>
      <c r="DN111" s="341"/>
      <c r="DO111" s="341"/>
      <c r="DP111" s="341" t="e">
        <f t="shared" si="177"/>
        <v>#DIV/0!</v>
      </c>
      <c r="DQ111" s="340"/>
      <c r="DR111" s="341"/>
      <c r="DS111" s="341"/>
      <c r="DT111" s="341"/>
      <c r="DU111" s="341" t="e">
        <f t="shared" si="178"/>
        <v>#DIV/0!</v>
      </c>
      <c r="DV111" s="340"/>
      <c r="DW111" s="341"/>
      <c r="DX111" s="341"/>
      <c r="DY111" s="341"/>
      <c r="DZ111" s="341" t="e">
        <f t="shared" si="179"/>
        <v>#DIV/0!</v>
      </c>
      <c r="EA111" s="340"/>
      <c r="EB111" s="341"/>
      <c r="EC111" s="341"/>
      <c r="ED111" s="341"/>
      <c r="EE111" s="341" t="e">
        <f t="shared" si="180"/>
        <v>#DIV/0!</v>
      </c>
      <c r="EF111" s="340"/>
      <c r="EG111" s="341"/>
      <c r="EH111" s="341"/>
      <c r="EI111" s="341"/>
      <c r="EJ111" s="341" t="e">
        <f t="shared" si="181"/>
        <v>#DIV/0!</v>
      </c>
      <c r="EK111" s="340"/>
      <c r="EL111" s="341"/>
      <c r="EM111" s="341"/>
      <c r="EN111" s="341"/>
      <c r="EO111" s="341" t="e">
        <f t="shared" si="182"/>
        <v>#DIV/0!</v>
      </c>
      <c r="EP111" s="340"/>
      <c r="EQ111" s="341"/>
      <c r="ER111" s="341"/>
      <c r="ES111" s="341"/>
      <c r="ET111" s="341" t="e">
        <f t="shared" si="183"/>
        <v>#DIV/0!</v>
      </c>
      <c r="EU111" s="340"/>
      <c r="EV111" s="341"/>
      <c r="EW111" s="341"/>
      <c r="EX111" s="341"/>
      <c r="EY111" s="341" t="e">
        <f t="shared" si="184"/>
        <v>#DIV/0!</v>
      </c>
      <c r="EZ111" s="340"/>
      <c r="FA111" s="341"/>
      <c r="FB111" s="341"/>
      <c r="FC111" s="341"/>
      <c r="FD111" s="341" t="e">
        <f t="shared" si="185"/>
        <v>#DIV/0!</v>
      </c>
      <c r="FE111" s="341">
        <f t="shared" si="186"/>
        <v>3070</v>
      </c>
      <c r="FF111" s="341"/>
      <c r="FG111" s="341">
        <f t="shared" si="187"/>
        <v>23</v>
      </c>
      <c r="FH111" s="343">
        <f t="shared" si="189"/>
        <v>2588</v>
      </c>
      <c r="FI111" s="344">
        <f t="shared" si="188"/>
        <v>0.710643508153933</v>
      </c>
      <c r="FJ111" s="341">
        <f t="shared" si="190"/>
        <v>647</v>
      </c>
      <c r="FK111" s="347"/>
      <c r="FL111" s="348"/>
      <c r="FM111" s="352"/>
      <c r="FO111" s="353"/>
    </row>
    <row r="112" s="215" customFormat="1" ht="27" customHeight="1" spans="1:169">
      <c r="A112" s="337"/>
      <c r="B112" s="335"/>
      <c r="C112" s="338"/>
      <c r="D112" s="337" t="s">
        <v>52</v>
      </c>
      <c r="E112" s="342">
        <v>0.373</v>
      </c>
      <c r="F112" s="340"/>
      <c r="G112" s="341"/>
      <c r="H112" s="341"/>
      <c r="I112" s="341"/>
      <c r="J112" s="341" t="e">
        <f t="shared" si="157"/>
        <v>#DIV/0!</v>
      </c>
      <c r="K112" s="340"/>
      <c r="L112" s="341"/>
      <c r="M112" s="341"/>
      <c r="N112" s="341"/>
      <c r="O112" s="341" t="e">
        <f t="shared" si="158"/>
        <v>#DIV/0!</v>
      </c>
      <c r="P112" s="340"/>
      <c r="Q112" s="341"/>
      <c r="R112" s="341"/>
      <c r="S112" s="341"/>
      <c r="T112" s="341" t="e">
        <f t="shared" si="159"/>
        <v>#DIV/0!</v>
      </c>
      <c r="U112" s="340"/>
      <c r="V112" s="341"/>
      <c r="W112" s="341"/>
      <c r="X112" s="341"/>
      <c r="Y112" s="341" t="e">
        <f t="shared" si="160"/>
        <v>#DIV/0!</v>
      </c>
      <c r="Z112" s="340"/>
      <c r="AA112" s="341"/>
      <c r="AB112" s="341"/>
      <c r="AC112" s="341"/>
      <c r="AD112" s="341" t="e">
        <f t="shared" ref="AD112:AD156" si="192">AB112/(AB112+AC112)*AB112/(AB112+AC112)</f>
        <v>#DIV/0!</v>
      </c>
      <c r="AE112" s="340"/>
      <c r="AF112" s="341"/>
      <c r="AG112" s="341"/>
      <c r="AH112" s="341"/>
      <c r="AI112" s="341" t="e">
        <f t="shared" si="161"/>
        <v>#DIV/0!</v>
      </c>
      <c r="AJ112" s="340"/>
      <c r="AK112" s="341"/>
      <c r="AL112" s="341"/>
      <c r="AM112" s="341"/>
      <c r="AN112" s="341" t="e">
        <f t="shared" si="162"/>
        <v>#DIV/0!</v>
      </c>
      <c r="AO112" s="340"/>
      <c r="AP112" s="341"/>
      <c r="AQ112" s="341"/>
      <c r="AR112" s="341"/>
      <c r="AS112" s="341" t="e">
        <f t="shared" si="191"/>
        <v>#DIV/0!</v>
      </c>
      <c r="AT112" s="340"/>
      <c r="AU112" s="341"/>
      <c r="AV112" s="341"/>
      <c r="AW112" s="341"/>
      <c r="AX112" s="341" t="e">
        <f t="shared" si="163"/>
        <v>#DIV/0!</v>
      </c>
      <c r="AY112" s="340"/>
      <c r="AZ112" s="341"/>
      <c r="BA112" s="341"/>
      <c r="BB112" s="341"/>
      <c r="BC112" s="341" t="e">
        <f t="shared" si="164"/>
        <v>#DIV/0!</v>
      </c>
      <c r="BD112" s="340"/>
      <c r="BE112" s="341"/>
      <c r="BF112" s="341"/>
      <c r="BG112" s="341"/>
      <c r="BH112" s="341" t="e">
        <f t="shared" si="165"/>
        <v>#DIV/0!</v>
      </c>
      <c r="BI112" s="340"/>
      <c r="BJ112" s="341"/>
      <c r="BK112" s="341"/>
      <c r="BL112" s="341"/>
      <c r="BM112" s="341" t="e">
        <f t="shared" si="166"/>
        <v>#DIV/0!</v>
      </c>
      <c r="BN112" s="340"/>
      <c r="BO112" s="341"/>
      <c r="BP112" s="341"/>
      <c r="BQ112" s="341"/>
      <c r="BR112" s="341" t="e">
        <f t="shared" si="167"/>
        <v>#DIV/0!</v>
      </c>
      <c r="BS112" s="340"/>
      <c r="BT112" s="341"/>
      <c r="BU112" s="341"/>
      <c r="BV112" s="341"/>
      <c r="BW112" s="341" t="e">
        <f t="shared" si="168"/>
        <v>#DIV/0!</v>
      </c>
      <c r="BX112" s="340"/>
      <c r="BY112" s="341"/>
      <c r="BZ112" s="341"/>
      <c r="CA112" s="341"/>
      <c r="CB112" s="341" t="e">
        <f t="shared" si="169"/>
        <v>#DIV/0!</v>
      </c>
      <c r="CC112" s="340"/>
      <c r="CD112" s="341"/>
      <c r="CE112" s="341"/>
      <c r="CF112" s="341"/>
      <c r="CG112" s="341" t="e">
        <f t="shared" si="170"/>
        <v>#DIV/0!</v>
      </c>
      <c r="CH112" s="340"/>
      <c r="CI112" s="341"/>
      <c r="CJ112" s="341"/>
      <c r="CK112" s="341"/>
      <c r="CL112" s="341" t="e">
        <f t="shared" si="171"/>
        <v>#DIV/0!</v>
      </c>
      <c r="CM112" s="340"/>
      <c r="CN112" s="341"/>
      <c r="CO112" s="341"/>
      <c r="CP112" s="341"/>
      <c r="CQ112" s="341" t="e">
        <f t="shared" si="172"/>
        <v>#DIV/0!</v>
      </c>
      <c r="CR112" s="340"/>
      <c r="CS112" s="341"/>
      <c r="CT112" s="341"/>
      <c r="CU112" s="341"/>
      <c r="CV112" s="341" t="e">
        <f t="shared" si="173"/>
        <v>#DIV/0!</v>
      </c>
      <c r="CW112" s="340"/>
      <c r="CX112" s="341"/>
      <c r="CY112" s="341">
        <v>73</v>
      </c>
      <c r="CZ112" s="341"/>
      <c r="DA112" s="341">
        <f t="shared" si="174"/>
        <v>1</v>
      </c>
      <c r="DB112" s="340"/>
      <c r="DC112" s="341"/>
      <c r="DD112" s="341"/>
      <c r="DE112" s="341"/>
      <c r="DF112" s="341" t="e">
        <f t="shared" si="175"/>
        <v>#DIV/0!</v>
      </c>
      <c r="DG112" s="340"/>
      <c r="DH112" s="341"/>
      <c r="DI112" s="341"/>
      <c r="DJ112" s="341"/>
      <c r="DK112" s="341" t="e">
        <f t="shared" si="176"/>
        <v>#DIV/0!</v>
      </c>
      <c r="DL112" s="340"/>
      <c r="DM112" s="341"/>
      <c r="DN112" s="341"/>
      <c r="DO112" s="341"/>
      <c r="DP112" s="341" t="e">
        <f t="shared" si="177"/>
        <v>#DIV/0!</v>
      </c>
      <c r="DQ112" s="340"/>
      <c r="DR112" s="341"/>
      <c r="DS112" s="341"/>
      <c r="DT112" s="341"/>
      <c r="DU112" s="341" t="e">
        <f t="shared" si="178"/>
        <v>#DIV/0!</v>
      </c>
      <c r="DV112" s="340"/>
      <c r="DW112" s="341"/>
      <c r="DX112" s="341"/>
      <c r="DY112" s="341"/>
      <c r="DZ112" s="341" t="e">
        <f t="shared" si="179"/>
        <v>#DIV/0!</v>
      </c>
      <c r="EA112" s="340"/>
      <c r="EB112" s="341"/>
      <c r="EC112" s="341"/>
      <c r="ED112" s="341"/>
      <c r="EE112" s="341" t="e">
        <f t="shared" si="180"/>
        <v>#DIV/0!</v>
      </c>
      <c r="EF112" s="340"/>
      <c r="EG112" s="341"/>
      <c r="EH112" s="341"/>
      <c r="EI112" s="341"/>
      <c r="EJ112" s="341" t="e">
        <f t="shared" si="181"/>
        <v>#DIV/0!</v>
      </c>
      <c r="EK112" s="340"/>
      <c r="EL112" s="341"/>
      <c r="EM112" s="341"/>
      <c r="EN112" s="341"/>
      <c r="EO112" s="341" t="e">
        <f t="shared" si="182"/>
        <v>#DIV/0!</v>
      </c>
      <c r="EP112" s="340"/>
      <c r="EQ112" s="341"/>
      <c r="ER112" s="341"/>
      <c r="ES112" s="341"/>
      <c r="ET112" s="341" t="e">
        <f t="shared" si="183"/>
        <v>#DIV/0!</v>
      </c>
      <c r="EU112" s="340"/>
      <c r="EV112" s="341"/>
      <c r="EW112" s="341">
        <v>50</v>
      </c>
      <c r="EX112" s="341"/>
      <c r="EY112" s="341">
        <f t="shared" si="184"/>
        <v>1</v>
      </c>
      <c r="EZ112" s="340"/>
      <c r="FA112" s="341"/>
      <c r="FB112" s="341"/>
      <c r="FC112" s="341"/>
      <c r="FD112" s="341" t="e">
        <f t="shared" si="185"/>
        <v>#DIV/0!</v>
      </c>
      <c r="FE112" s="341">
        <f t="shared" si="186"/>
        <v>0</v>
      </c>
      <c r="FF112" s="341"/>
      <c r="FG112" s="341">
        <f t="shared" si="187"/>
        <v>0</v>
      </c>
      <c r="FH112" s="343">
        <f t="shared" si="189"/>
        <v>123</v>
      </c>
      <c r="FI112" s="344" t="e">
        <f t="shared" si="188"/>
        <v>#DIV/0!</v>
      </c>
      <c r="FJ112" s="341">
        <f t="shared" si="190"/>
        <v>45.879</v>
      </c>
      <c r="FK112" s="347"/>
      <c r="FL112" s="348"/>
      <c r="FM112" s="352"/>
    </row>
    <row r="113" s="215" customFormat="1" ht="27" customHeight="1" spans="1:169">
      <c r="A113" s="337"/>
      <c r="B113" s="335"/>
      <c r="C113" s="338"/>
      <c r="D113" s="337" t="s">
        <v>14</v>
      </c>
      <c r="E113" s="342">
        <v>0.373</v>
      </c>
      <c r="F113" s="340"/>
      <c r="G113" s="341"/>
      <c r="H113" s="341"/>
      <c r="I113" s="341"/>
      <c r="J113" s="341" t="e">
        <f t="shared" si="157"/>
        <v>#DIV/0!</v>
      </c>
      <c r="K113" s="340"/>
      <c r="L113" s="341"/>
      <c r="M113" s="341"/>
      <c r="N113" s="341"/>
      <c r="O113" s="341" t="e">
        <f t="shared" si="158"/>
        <v>#DIV/0!</v>
      </c>
      <c r="P113" s="340"/>
      <c r="Q113" s="341"/>
      <c r="R113" s="341"/>
      <c r="S113" s="341"/>
      <c r="T113" s="341" t="e">
        <f t="shared" si="159"/>
        <v>#DIV/0!</v>
      </c>
      <c r="U113" s="340"/>
      <c r="V113" s="341"/>
      <c r="W113" s="341"/>
      <c r="X113" s="341"/>
      <c r="Y113" s="341" t="e">
        <f t="shared" si="160"/>
        <v>#DIV/0!</v>
      </c>
      <c r="Z113" s="340"/>
      <c r="AA113" s="341"/>
      <c r="AB113" s="341"/>
      <c r="AC113" s="341"/>
      <c r="AD113" s="341" t="e">
        <f t="shared" si="192"/>
        <v>#DIV/0!</v>
      </c>
      <c r="AE113" s="340"/>
      <c r="AF113" s="341"/>
      <c r="AG113" s="341"/>
      <c r="AH113" s="341"/>
      <c r="AI113" s="341" t="e">
        <f t="shared" si="161"/>
        <v>#DIV/0!</v>
      </c>
      <c r="AJ113" s="340"/>
      <c r="AK113" s="341"/>
      <c r="AL113" s="341"/>
      <c r="AM113" s="341"/>
      <c r="AN113" s="341" t="e">
        <f t="shared" si="162"/>
        <v>#DIV/0!</v>
      </c>
      <c r="AO113" s="340"/>
      <c r="AP113" s="341"/>
      <c r="AQ113" s="341"/>
      <c r="AR113" s="341"/>
      <c r="AS113" s="341" t="e">
        <f t="shared" si="191"/>
        <v>#DIV/0!</v>
      </c>
      <c r="AT113" s="340"/>
      <c r="AU113" s="341"/>
      <c r="AV113" s="341"/>
      <c r="AW113" s="341"/>
      <c r="AX113" s="341" t="e">
        <f t="shared" si="163"/>
        <v>#DIV/0!</v>
      </c>
      <c r="AY113" s="340"/>
      <c r="AZ113" s="341"/>
      <c r="BA113" s="341"/>
      <c r="BB113" s="341"/>
      <c r="BC113" s="341" t="e">
        <f t="shared" si="164"/>
        <v>#DIV/0!</v>
      </c>
      <c r="BD113" s="340"/>
      <c r="BE113" s="341"/>
      <c r="BF113" s="341"/>
      <c r="BG113" s="341"/>
      <c r="BH113" s="341" t="e">
        <f t="shared" si="165"/>
        <v>#DIV/0!</v>
      </c>
      <c r="BI113" s="340"/>
      <c r="BJ113" s="341"/>
      <c r="BK113" s="341"/>
      <c r="BL113" s="341"/>
      <c r="BM113" s="341" t="e">
        <f t="shared" si="166"/>
        <v>#DIV/0!</v>
      </c>
      <c r="BN113" s="340"/>
      <c r="BO113" s="341"/>
      <c r="BP113" s="341"/>
      <c r="BQ113" s="341"/>
      <c r="BR113" s="341" t="e">
        <f t="shared" si="167"/>
        <v>#DIV/0!</v>
      </c>
      <c r="BS113" s="340"/>
      <c r="BT113" s="341"/>
      <c r="BU113" s="341"/>
      <c r="BV113" s="341"/>
      <c r="BW113" s="341" t="e">
        <f t="shared" si="168"/>
        <v>#DIV/0!</v>
      </c>
      <c r="BX113" s="340"/>
      <c r="BY113" s="341"/>
      <c r="BZ113" s="341"/>
      <c r="CA113" s="341"/>
      <c r="CB113" s="341" t="e">
        <f t="shared" si="169"/>
        <v>#DIV/0!</v>
      </c>
      <c r="CC113" s="340"/>
      <c r="CD113" s="341"/>
      <c r="CE113" s="341"/>
      <c r="CF113" s="341"/>
      <c r="CG113" s="341" t="e">
        <f t="shared" si="170"/>
        <v>#DIV/0!</v>
      </c>
      <c r="CH113" s="340"/>
      <c r="CI113" s="341"/>
      <c r="CJ113" s="341"/>
      <c r="CK113" s="341"/>
      <c r="CL113" s="341" t="e">
        <f t="shared" si="171"/>
        <v>#DIV/0!</v>
      </c>
      <c r="CM113" s="340"/>
      <c r="CN113" s="341"/>
      <c r="CO113" s="341"/>
      <c r="CP113" s="341"/>
      <c r="CQ113" s="341" t="e">
        <f t="shared" si="172"/>
        <v>#DIV/0!</v>
      </c>
      <c r="CR113" s="340"/>
      <c r="CS113" s="341"/>
      <c r="CT113" s="341"/>
      <c r="CU113" s="341"/>
      <c r="CV113" s="341" t="e">
        <f t="shared" si="173"/>
        <v>#DIV/0!</v>
      </c>
      <c r="CW113" s="340"/>
      <c r="CX113" s="341"/>
      <c r="CY113" s="341"/>
      <c r="CZ113" s="341"/>
      <c r="DA113" s="341" t="e">
        <f t="shared" si="174"/>
        <v>#DIV/0!</v>
      </c>
      <c r="DB113" s="340"/>
      <c r="DC113" s="341"/>
      <c r="DD113" s="341"/>
      <c r="DE113" s="341"/>
      <c r="DF113" s="341" t="e">
        <f t="shared" si="175"/>
        <v>#DIV/0!</v>
      </c>
      <c r="DG113" s="340"/>
      <c r="DH113" s="341"/>
      <c r="DI113" s="341"/>
      <c r="DJ113" s="341"/>
      <c r="DK113" s="341" t="e">
        <f t="shared" si="176"/>
        <v>#DIV/0!</v>
      </c>
      <c r="DL113" s="340"/>
      <c r="DM113" s="341"/>
      <c r="DN113" s="341"/>
      <c r="DO113" s="341"/>
      <c r="DP113" s="341" t="e">
        <f t="shared" si="177"/>
        <v>#DIV/0!</v>
      </c>
      <c r="DQ113" s="340"/>
      <c r="DR113" s="341"/>
      <c r="DS113" s="341"/>
      <c r="DT113" s="341"/>
      <c r="DU113" s="341" t="e">
        <f t="shared" si="178"/>
        <v>#DIV/0!</v>
      </c>
      <c r="DV113" s="340"/>
      <c r="DW113" s="341"/>
      <c r="DX113" s="341"/>
      <c r="DY113" s="341"/>
      <c r="DZ113" s="341" t="e">
        <f t="shared" si="179"/>
        <v>#DIV/0!</v>
      </c>
      <c r="EA113" s="340"/>
      <c r="EB113" s="341"/>
      <c r="EC113" s="341"/>
      <c r="ED113" s="341"/>
      <c r="EE113" s="341" t="e">
        <f t="shared" si="180"/>
        <v>#DIV/0!</v>
      </c>
      <c r="EF113" s="340"/>
      <c r="EG113" s="341"/>
      <c r="EH113" s="341"/>
      <c r="EI113" s="341"/>
      <c r="EJ113" s="341" t="e">
        <f t="shared" si="181"/>
        <v>#DIV/0!</v>
      </c>
      <c r="EK113" s="340"/>
      <c r="EL113" s="341"/>
      <c r="EM113" s="341"/>
      <c r="EN113" s="341"/>
      <c r="EO113" s="341" t="e">
        <f t="shared" si="182"/>
        <v>#DIV/0!</v>
      </c>
      <c r="EP113" s="340"/>
      <c r="EQ113" s="341"/>
      <c r="ER113" s="341"/>
      <c r="ES113" s="341"/>
      <c r="ET113" s="341" t="e">
        <f t="shared" si="183"/>
        <v>#DIV/0!</v>
      </c>
      <c r="EU113" s="340"/>
      <c r="EV113" s="341"/>
      <c r="EW113" s="341"/>
      <c r="EX113" s="341"/>
      <c r="EY113" s="341" t="e">
        <f t="shared" si="184"/>
        <v>#DIV/0!</v>
      </c>
      <c r="EZ113" s="340"/>
      <c r="FA113" s="341"/>
      <c r="FB113" s="341"/>
      <c r="FC113" s="341"/>
      <c r="FD113" s="341" t="e">
        <f t="shared" si="185"/>
        <v>#DIV/0!</v>
      </c>
      <c r="FE113" s="341">
        <f t="shared" si="186"/>
        <v>0</v>
      </c>
      <c r="FF113" s="341"/>
      <c r="FG113" s="341">
        <f t="shared" si="187"/>
        <v>0</v>
      </c>
      <c r="FH113" s="343">
        <f t="shared" si="189"/>
        <v>0</v>
      </c>
      <c r="FI113" s="344" t="e">
        <f t="shared" si="188"/>
        <v>#DIV/0!</v>
      </c>
      <c r="FJ113" s="341">
        <f t="shared" si="190"/>
        <v>0</v>
      </c>
      <c r="FK113" s="347"/>
      <c r="FL113" s="348"/>
      <c r="FM113" s="352"/>
    </row>
    <row r="114" s="215" customFormat="1" ht="27" customHeight="1" spans="1:169">
      <c r="A114" s="337"/>
      <c r="B114" s="335"/>
      <c r="C114" s="338"/>
      <c r="D114" s="337" t="s">
        <v>15</v>
      </c>
      <c r="E114" s="342">
        <v>0.373</v>
      </c>
      <c r="F114" s="340"/>
      <c r="G114" s="341"/>
      <c r="H114" s="341"/>
      <c r="I114" s="341"/>
      <c r="J114" s="341" t="e">
        <f t="shared" si="157"/>
        <v>#DIV/0!</v>
      </c>
      <c r="K114" s="340"/>
      <c r="L114" s="341"/>
      <c r="M114" s="341"/>
      <c r="N114" s="341"/>
      <c r="O114" s="341" t="e">
        <f t="shared" si="158"/>
        <v>#DIV/0!</v>
      </c>
      <c r="P114" s="340"/>
      <c r="Q114" s="341"/>
      <c r="R114" s="341"/>
      <c r="S114" s="341"/>
      <c r="T114" s="341" t="e">
        <f t="shared" si="159"/>
        <v>#DIV/0!</v>
      </c>
      <c r="U114" s="340"/>
      <c r="V114" s="341"/>
      <c r="W114" s="341"/>
      <c r="X114" s="341"/>
      <c r="Y114" s="341" t="e">
        <f t="shared" si="160"/>
        <v>#DIV/0!</v>
      </c>
      <c r="Z114" s="340"/>
      <c r="AA114" s="341"/>
      <c r="AB114" s="341"/>
      <c r="AC114" s="341"/>
      <c r="AD114" s="341" t="e">
        <f t="shared" si="192"/>
        <v>#DIV/0!</v>
      </c>
      <c r="AE114" s="340"/>
      <c r="AF114" s="341"/>
      <c r="AG114" s="341"/>
      <c r="AH114" s="341"/>
      <c r="AI114" s="341" t="e">
        <f t="shared" si="161"/>
        <v>#DIV/0!</v>
      </c>
      <c r="AJ114" s="340"/>
      <c r="AK114" s="341"/>
      <c r="AL114" s="341"/>
      <c r="AM114" s="341"/>
      <c r="AN114" s="341" t="e">
        <f t="shared" si="162"/>
        <v>#DIV/0!</v>
      </c>
      <c r="AO114" s="340"/>
      <c r="AP114" s="341"/>
      <c r="AQ114" s="341"/>
      <c r="AR114" s="341"/>
      <c r="AS114" s="341" t="e">
        <f t="shared" si="191"/>
        <v>#DIV/0!</v>
      </c>
      <c r="AT114" s="340"/>
      <c r="AU114" s="341"/>
      <c r="AV114" s="341"/>
      <c r="AW114" s="341"/>
      <c r="AX114" s="341" t="e">
        <f t="shared" si="163"/>
        <v>#DIV/0!</v>
      </c>
      <c r="AY114" s="340"/>
      <c r="AZ114" s="341"/>
      <c r="BA114" s="341"/>
      <c r="BB114" s="341"/>
      <c r="BC114" s="341" t="e">
        <f t="shared" si="164"/>
        <v>#DIV/0!</v>
      </c>
      <c r="BD114" s="340"/>
      <c r="BE114" s="341"/>
      <c r="BF114" s="341"/>
      <c r="BG114" s="341"/>
      <c r="BH114" s="341" t="e">
        <f t="shared" si="165"/>
        <v>#DIV/0!</v>
      </c>
      <c r="BI114" s="340"/>
      <c r="BJ114" s="341"/>
      <c r="BK114" s="341"/>
      <c r="BL114" s="341"/>
      <c r="BM114" s="341" t="e">
        <f t="shared" si="166"/>
        <v>#DIV/0!</v>
      </c>
      <c r="BN114" s="340"/>
      <c r="BO114" s="341"/>
      <c r="BP114" s="341"/>
      <c r="BQ114" s="341"/>
      <c r="BR114" s="341" t="e">
        <f t="shared" si="167"/>
        <v>#DIV/0!</v>
      </c>
      <c r="BS114" s="340"/>
      <c r="BT114" s="341"/>
      <c r="BU114" s="341"/>
      <c r="BV114" s="341"/>
      <c r="BW114" s="341" t="e">
        <f t="shared" si="168"/>
        <v>#DIV/0!</v>
      </c>
      <c r="BX114" s="340"/>
      <c r="BY114" s="341"/>
      <c r="BZ114" s="341"/>
      <c r="CA114" s="341"/>
      <c r="CB114" s="341" t="e">
        <f t="shared" si="169"/>
        <v>#DIV/0!</v>
      </c>
      <c r="CC114" s="340"/>
      <c r="CD114" s="341"/>
      <c r="CE114" s="341"/>
      <c r="CF114" s="341"/>
      <c r="CG114" s="341" t="e">
        <f t="shared" si="170"/>
        <v>#DIV/0!</v>
      </c>
      <c r="CH114" s="340"/>
      <c r="CI114" s="341"/>
      <c r="CJ114" s="341"/>
      <c r="CK114" s="341"/>
      <c r="CL114" s="341" t="e">
        <f t="shared" si="171"/>
        <v>#DIV/0!</v>
      </c>
      <c r="CM114" s="340"/>
      <c r="CN114" s="341"/>
      <c r="CO114" s="341"/>
      <c r="CP114" s="341"/>
      <c r="CQ114" s="341" t="e">
        <f t="shared" si="172"/>
        <v>#DIV/0!</v>
      </c>
      <c r="CR114" s="340"/>
      <c r="CS114" s="341"/>
      <c r="CT114" s="341"/>
      <c r="CU114" s="341"/>
      <c r="CV114" s="341" t="e">
        <f t="shared" si="173"/>
        <v>#DIV/0!</v>
      </c>
      <c r="CW114" s="340"/>
      <c r="CX114" s="341"/>
      <c r="CY114" s="341"/>
      <c r="CZ114" s="341"/>
      <c r="DA114" s="341" t="e">
        <f t="shared" si="174"/>
        <v>#DIV/0!</v>
      </c>
      <c r="DB114" s="340">
        <v>126</v>
      </c>
      <c r="DC114" s="341">
        <v>1</v>
      </c>
      <c r="DD114" s="341">
        <v>115</v>
      </c>
      <c r="DE114" s="341">
        <v>10</v>
      </c>
      <c r="DF114" s="341">
        <f t="shared" si="175"/>
        <v>0.8464</v>
      </c>
      <c r="DG114" s="340">
        <v>104</v>
      </c>
      <c r="DH114" s="341">
        <v>2</v>
      </c>
      <c r="DI114" s="341">
        <v>92</v>
      </c>
      <c r="DJ114" s="341">
        <v>10</v>
      </c>
      <c r="DK114" s="341">
        <f t="shared" si="176"/>
        <v>0.813533256439831</v>
      </c>
      <c r="DL114" s="340">
        <v>133</v>
      </c>
      <c r="DM114" s="341"/>
      <c r="DN114" s="341">
        <v>133</v>
      </c>
      <c r="DO114" s="341"/>
      <c r="DP114" s="341">
        <f t="shared" si="177"/>
        <v>1</v>
      </c>
      <c r="DQ114" s="340">
        <v>84</v>
      </c>
      <c r="DR114" s="341">
        <v>3</v>
      </c>
      <c r="DS114" s="341">
        <v>81</v>
      </c>
      <c r="DT114" s="341"/>
      <c r="DU114" s="341">
        <f t="shared" si="178"/>
        <v>1</v>
      </c>
      <c r="DV114" s="340">
        <v>134</v>
      </c>
      <c r="DW114" s="341"/>
      <c r="DX114" s="341">
        <v>124</v>
      </c>
      <c r="DY114" s="341">
        <v>10</v>
      </c>
      <c r="DZ114" s="341">
        <f t="shared" si="179"/>
        <v>0.85631543773669</v>
      </c>
      <c r="EA114" s="340">
        <v>126</v>
      </c>
      <c r="EB114" s="341">
        <v>2</v>
      </c>
      <c r="EC114" s="341">
        <v>120</v>
      </c>
      <c r="ED114" s="341">
        <v>4</v>
      </c>
      <c r="EE114" s="341">
        <f t="shared" si="180"/>
        <v>0.936524453694069</v>
      </c>
      <c r="EF114" s="340">
        <v>137</v>
      </c>
      <c r="EG114" s="341"/>
      <c r="EH114" s="341">
        <v>137</v>
      </c>
      <c r="EI114" s="341"/>
      <c r="EJ114" s="341">
        <f t="shared" si="181"/>
        <v>1</v>
      </c>
      <c r="EK114" s="340">
        <v>135</v>
      </c>
      <c r="EL114" s="341">
        <v>1</v>
      </c>
      <c r="EM114" s="341">
        <v>124</v>
      </c>
      <c r="EN114" s="341">
        <v>10</v>
      </c>
      <c r="EO114" s="341">
        <f t="shared" si="182"/>
        <v>0.85631543773669</v>
      </c>
      <c r="EP114" s="340">
        <v>137</v>
      </c>
      <c r="EQ114" s="341"/>
      <c r="ER114" s="341">
        <v>127</v>
      </c>
      <c r="ES114" s="341">
        <v>10</v>
      </c>
      <c r="ET114" s="341">
        <f t="shared" si="183"/>
        <v>0.859342532899995</v>
      </c>
      <c r="EU114" s="340"/>
      <c r="EV114" s="341"/>
      <c r="EW114" s="341"/>
      <c r="EX114" s="341"/>
      <c r="EY114" s="341" t="e">
        <f t="shared" si="184"/>
        <v>#DIV/0!</v>
      </c>
      <c r="EZ114" s="340"/>
      <c r="FA114" s="341"/>
      <c r="FB114" s="341"/>
      <c r="FC114" s="341"/>
      <c r="FD114" s="341" t="e">
        <f t="shared" si="185"/>
        <v>#DIV/0!</v>
      </c>
      <c r="FE114" s="341">
        <f t="shared" si="186"/>
        <v>1116</v>
      </c>
      <c r="FF114" s="341"/>
      <c r="FG114" s="341">
        <f t="shared" si="187"/>
        <v>9</v>
      </c>
      <c r="FH114" s="343">
        <f t="shared" si="189"/>
        <v>1053</v>
      </c>
      <c r="FI114" s="344">
        <f t="shared" si="188"/>
        <v>0.890283558792924</v>
      </c>
      <c r="FJ114" s="341">
        <f t="shared" si="190"/>
        <v>392.769</v>
      </c>
      <c r="FK114" s="347"/>
      <c r="FL114" s="348"/>
      <c r="FM114" s="352"/>
    </row>
    <row r="115" s="215" customFormat="1" ht="27" customHeight="1" spans="1:169">
      <c r="A115" s="337"/>
      <c r="B115" s="335"/>
      <c r="C115" s="338"/>
      <c r="D115" s="337" t="s">
        <v>16</v>
      </c>
      <c r="E115" s="342">
        <v>0.373</v>
      </c>
      <c r="F115" s="340"/>
      <c r="G115" s="341"/>
      <c r="H115" s="341"/>
      <c r="I115" s="341"/>
      <c r="J115" s="341" t="e">
        <f t="shared" si="157"/>
        <v>#DIV/0!</v>
      </c>
      <c r="K115" s="340"/>
      <c r="L115" s="341"/>
      <c r="M115" s="341"/>
      <c r="N115" s="341"/>
      <c r="O115" s="341" t="e">
        <f t="shared" si="158"/>
        <v>#DIV/0!</v>
      </c>
      <c r="P115" s="340"/>
      <c r="Q115" s="341"/>
      <c r="R115" s="341"/>
      <c r="S115" s="341"/>
      <c r="T115" s="341" t="e">
        <f t="shared" si="159"/>
        <v>#DIV/0!</v>
      </c>
      <c r="U115" s="340"/>
      <c r="V115" s="341"/>
      <c r="W115" s="341"/>
      <c r="X115" s="341"/>
      <c r="Y115" s="341" t="e">
        <f t="shared" si="160"/>
        <v>#DIV/0!</v>
      </c>
      <c r="Z115" s="340"/>
      <c r="AA115" s="341"/>
      <c r="AB115" s="341"/>
      <c r="AC115" s="341"/>
      <c r="AD115" s="341" t="e">
        <f t="shared" si="192"/>
        <v>#DIV/0!</v>
      </c>
      <c r="AE115" s="340"/>
      <c r="AF115" s="341"/>
      <c r="AG115" s="341"/>
      <c r="AH115" s="341"/>
      <c r="AI115" s="341" t="e">
        <f t="shared" si="161"/>
        <v>#DIV/0!</v>
      </c>
      <c r="AJ115" s="340"/>
      <c r="AK115" s="341"/>
      <c r="AL115" s="341"/>
      <c r="AM115" s="341"/>
      <c r="AN115" s="341" t="e">
        <f t="shared" si="162"/>
        <v>#DIV/0!</v>
      </c>
      <c r="AO115" s="340"/>
      <c r="AP115" s="341"/>
      <c r="AQ115" s="341"/>
      <c r="AR115" s="341"/>
      <c r="AS115" s="341" t="e">
        <f t="shared" si="191"/>
        <v>#DIV/0!</v>
      </c>
      <c r="AT115" s="340"/>
      <c r="AU115" s="341"/>
      <c r="AV115" s="341"/>
      <c r="AW115" s="341"/>
      <c r="AX115" s="341" t="e">
        <f t="shared" si="163"/>
        <v>#DIV/0!</v>
      </c>
      <c r="AY115" s="340"/>
      <c r="AZ115" s="341"/>
      <c r="BA115" s="341"/>
      <c r="BB115" s="341"/>
      <c r="BC115" s="341" t="e">
        <f t="shared" si="164"/>
        <v>#DIV/0!</v>
      </c>
      <c r="BD115" s="340"/>
      <c r="BE115" s="341"/>
      <c r="BF115" s="341"/>
      <c r="BG115" s="341"/>
      <c r="BH115" s="341" t="e">
        <f t="shared" si="165"/>
        <v>#DIV/0!</v>
      </c>
      <c r="BI115" s="340"/>
      <c r="BJ115" s="341"/>
      <c r="BK115" s="341"/>
      <c r="BL115" s="341"/>
      <c r="BM115" s="341" t="e">
        <f t="shared" si="166"/>
        <v>#DIV/0!</v>
      </c>
      <c r="BN115" s="340"/>
      <c r="BO115" s="341"/>
      <c r="BP115" s="341"/>
      <c r="BQ115" s="341"/>
      <c r="BR115" s="341" t="e">
        <f t="shared" si="167"/>
        <v>#DIV/0!</v>
      </c>
      <c r="BS115" s="340"/>
      <c r="BT115" s="341"/>
      <c r="BU115" s="341"/>
      <c r="BV115" s="341"/>
      <c r="BW115" s="341" t="e">
        <f t="shared" si="168"/>
        <v>#DIV/0!</v>
      </c>
      <c r="BX115" s="340"/>
      <c r="BY115" s="341"/>
      <c r="BZ115" s="341"/>
      <c r="CA115" s="341"/>
      <c r="CB115" s="341" t="e">
        <f t="shared" si="169"/>
        <v>#DIV/0!</v>
      </c>
      <c r="CC115" s="340"/>
      <c r="CD115" s="341"/>
      <c r="CE115" s="341"/>
      <c r="CF115" s="341"/>
      <c r="CG115" s="341" t="e">
        <f t="shared" si="170"/>
        <v>#DIV/0!</v>
      </c>
      <c r="CH115" s="340"/>
      <c r="CI115" s="341"/>
      <c r="CJ115" s="341"/>
      <c r="CK115" s="341"/>
      <c r="CL115" s="341" t="e">
        <f t="shared" si="171"/>
        <v>#DIV/0!</v>
      </c>
      <c r="CM115" s="340"/>
      <c r="CN115" s="341"/>
      <c r="CO115" s="341"/>
      <c r="CP115" s="341"/>
      <c r="CQ115" s="341" t="e">
        <f t="shared" si="172"/>
        <v>#DIV/0!</v>
      </c>
      <c r="CR115" s="340"/>
      <c r="CS115" s="341"/>
      <c r="CT115" s="341"/>
      <c r="CU115" s="341"/>
      <c r="CV115" s="341" t="e">
        <f t="shared" si="173"/>
        <v>#DIV/0!</v>
      </c>
      <c r="CW115" s="340"/>
      <c r="CX115" s="341"/>
      <c r="CY115" s="341"/>
      <c r="CZ115" s="341"/>
      <c r="DA115" s="341" t="e">
        <f t="shared" si="174"/>
        <v>#DIV/0!</v>
      </c>
      <c r="DB115" s="340">
        <v>129</v>
      </c>
      <c r="DC115" s="341">
        <v>4</v>
      </c>
      <c r="DD115" s="341">
        <v>120</v>
      </c>
      <c r="DE115" s="341">
        <v>5</v>
      </c>
      <c r="DF115" s="341">
        <f t="shared" si="175"/>
        <v>0.9216</v>
      </c>
      <c r="DG115" s="340">
        <v>103</v>
      </c>
      <c r="DH115" s="341"/>
      <c r="DI115" s="341">
        <v>93</v>
      </c>
      <c r="DJ115" s="341">
        <v>10</v>
      </c>
      <c r="DK115" s="341">
        <f t="shared" si="176"/>
        <v>0.815251201809784</v>
      </c>
      <c r="DL115" s="340">
        <v>132</v>
      </c>
      <c r="DM115" s="341">
        <v>4</v>
      </c>
      <c r="DN115" s="341">
        <v>128</v>
      </c>
      <c r="DO115" s="341"/>
      <c r="DP115" s="341">
        <f t="shared" si="177"/>
        <v>1</v>
      </c>
      <c r="DQ115" s="340">
        <v>103</v>
      </c>
      <c r="DR115" s="341">
        <v>2</v>
      </c>
      <c r="DS115" s="341">
        <v>101</v>
      </c>
      <c r="DT115" s="341"/>
      <c r="DU115" s="341">
        <f t="shared" si="178"/>
        <v>1</v>
      </c>
      <c r="DV115" s="340">
        <v>134</v>
      </c>
      <c r="DW115" s="341">
        <v>2</v>
      </c>
      <c r="DX115" s="341">
        <v>122</v>
      </c>
      <c r="DY115" s="341">
        <v>10</v>
      </c>
      <c r="DZ115" s="341">
        <f t="shared" si="179"/>
        <v>0.854224058769513</v>
      </c>
      <c r="EA115" s="340">
        <v>127</v>
      </c>
      <c r="EB115" s="341">
        <v>3</v>
      </c>
      <c r="EC115" s="341">
        <v>114</v>
      </c>
      <c r="ED115" s="341">
        <v>10</v>
      </c>
      <c r="EE115" s="341">
        <f t="shared" si="180"/>
        <v>0.845213319458897</v>
      </c>
      <c r="EF115" s="340">
        <v>138</v>
      </c>
      <c r="EG115" s="341">
        <v>6</v>
      </c>
      <c r="EH115" s="341">
        <v>117</v>
      </c>
      <c r="EI115" s="341">
        <v>15</v>
      </c>
      <c r="EJ115" s="341">
        <f t="shared" si="181"/>
        <v>0.785640495867769</v>
      </c>
      <c r="EK115" s="340">
        <v>138</v>
      </c>
      <c r="EL115" s="341">
        <v>3</v>
      </c>
      <c r="EM115" s="341">
        <v>126</v>
      </c>
      <c r="EN115" s="341">
        <v>9</v>
      </c>
      <c r="EO115" s="341">
        <f t="shared" si="182"/>
        <v>0.871111111111111</v>
      </c>
      <c r="EP115" s="340">
        <v>138</v>
      </c>
      <c r="EQ115" s="341">
        <v>6</v>
      </c>
      <c r="ER115" s="341">
        <v>120</v>
      </c>
      <c r="ES115" s="341">
        <v>12</v>
      </c>
      <c r="ET115" s="341">
        <f t="shared" si="183"/>
        <v>0.826446280991736</v>
      </c>
      <c r="EU115" s="340"/>
      <c r="EV115" s="341"/>
      <c r="EW115" s="341"/>
      <c r="EX115" s="341"/>
      <c r="EY115" s="341" t="e">
        <f t="shared" si="184"/>
        <v>#DIV/0!</v>
      </c>
      <c r="EZ115" s="340"/>
      <c r="FA115" s="341"/>
      <c r="FB115" s="341"/>
      <c r="FC115" s="341"/>
      <c r="FD115" s="341" t="e">
        <f t="shared" si="185"/>
        <v>#DIV/0!</v>
      </c>
      <c r="FE115" s="341">
        <f t="shared" si="186"/>
        <v>1142</v>
      </c>
      <c r="FF115" s="341"/>
      <c r="FG115" s="341">
        <f t="shared" si="187"/>
        <v>30</v>
      </c>
      <c r="FH115" s="343">
        <f t="shared" si="189"/>
        <v>1041</v>
      </c>
      <c r="FI115" s="344">
        <f t="shared" si="188"/>
        <v>0.830939207032244</v>
      </c>
      <c r="FJ115" s="341">
        <f t="shared" si="190"/>
        <v>388.293</v>
      </c>
      <c r="FK115" s="347"/>
      <c r="FL115" s="348"/>
      <c r="FM115" s="352"/>
    </row>
    <row r="116" s="215" customFormat="1" ht="27" customHeight="1" spans="1:169">
      <c r="A116" s="337"/>
      <c r="B116" s="336"/>
      <c r="C116" s="338"/>
      <c r="D116" s="337" t="s">
        <v>17</v>
      </c>
      <c r="E116" s="342">
        <v>0.373</v>
      </c>
      <c r="F116" s="340"/>
      <c r="G116" s="341"/>
      <c r="H116" s="341"/>
      <c r="I116" s="341"/>
      <c r="J116" s="341" t="e">
        <f t="shared" si="157"/>
        <v>#DIV/0!</v>
      </c>
      <c r="K116" s="340"/>
      <c r="L116" s="341"/>
      <c r="M116" s="341"/>
      <c r="N116" s="341"/>
      <c r="O116" s="341" t="e">
        <f t="shared" si="158"/>
        <v>#DIV/0!</v>
      </c>
      <c r="P116" s="340"/>
      <c r="Q116" s="341"/>
      <c r="R116" s="341"/>
      <c r="S116" s="341"/>
      <c r="T116" s="341" t="e">
        <f t="shared" si="159"/>
        <v>#DIV/0!</v>
      </c>
      <c r="U116" s="340"/>
      <c r="V116" s="341"/>
      <c r="W116" s="341"/>
      <c r="X116" s="341"/>
      <c r="Y116" s="341" t="e">
        <f t="shared" si="160"/>
        <v>#DIV/0!</v>
      </c>
      <c r="Z116" s="340"/>
      <c r="AA116" s="341"/>
      <c r="AB116" s="341"/>
      <c r="AC116" s="341"/>
      <c r="AD116" s="341" t="e">
        <f t="shared" si="192"/>
        <v>#DIV/0!</v>
      </c>
      <c r="AE116" s="340"/>
      <c r="AF116" s="341"/>
      <c r="AG116" s="341"/>
      <c r="AH116" s="341"/>
      <c r="AI116" s="341" t="e">
        <f t="shared" si="161"/>
        <v>#DIV/0!</v>
      </c>
      <c r="AJ116" s="340"/>
      <c r="AK116" s="341"/>
      <c r="AL116" s="341"/>
      <c r="AM116" s="341"/>
      <c r="AN116" s="341" t="e">
        <f t="shared" si="162"/>
        <v>#DIV/0!</v>
      </c>
      <c r="AO116" s="340"/>
      <c r="AP116" s="341"/>
      <c r="AQ116" s="341"/>
      <c r="AR116" s="341"/>
      <c r="AS116" s="341" t="e">
        <f t="shared" si="191"/>
        <v>#DIV/0!</v>
      </c>
      <c r="AT116" s="340"/>
      <c r="AU116" s="341"/>
      <c r="AV116" s="341"/>
      <c r="AW116" s="341"/>
      <c r="AX116" s="341" t="e">
        <f t="shared" si="163"/>
        <v>#DIV/0!</v>
      </c>
      <c r="AY116" s="340"/>
      <c r="AZ116" s="341"/>
      <c r="BA116" s="341"/>
      <c r="BB116" s="341"/>
      <c r="BC116" s="341" t="e">
        <f t="shared" si="164"/>
        <v>#DIV/0!</v>
      </c>
      <c r="BD116" s="340"/>
      <c r="BE116" s="341"/>
      <c r="BF116" s="341"/>
      <c r="BG116" s="341"/>
      <c r="BH116" s="341" t="e">
        <f t="shared" si="165"/>
        <v>#DIV/0!</v>
      </c>
      <c r="BI116" s="340"/>
      <c r="BJ116" s="341"/>
      <c r="BK116" s="341"/>
      <c r="BL116" s="341"/>
      <c r="BM116" s="341" t="e">
        <f t="shared" si="166"/>
        <v>#DIV/0!</v>
      </c>
      <c r="BN116" s="340"/>
      <c r="BO116" s="341"/>
      <c r="BP116" s="341"/>
      <c r="BQ116" s="341"/>
      <c r="BR116" s="341" t="e">
        <f t="shared" si="167"/>
        <v>#DIV/0!</v>
      </c>
      <c r="BS116" s="340"/>
      <c r="BT116" s="341"/>
      <c r="BU116" s="341"/>
      <c r="BV116" s="341"/>
      <c r="BW116" s="341" t="e">
        <f t="shared" si="168"/>
        <v>#DIV/0!</v>
      </c>
      <c r="BX116" s="340"/>
      <c r="BY116" s="341"/>
      <c r="BZ116" s="341"/>
      <c r="CA116" s="341"/>
      <c r="CB116" s="341" t="e">
        <f t="shared" si="169"/>
        <v>#DIV/0!</v>
      </c>
      <c r="CC116" s="340"/>
      <c r="CD116" s="341"/>
      <c r="CE116" s="341"/>
      <c r="CF116" s="341"/>
      <c r="CG116" s="341" t="e">
        <f t="shared" si="170"/>
        <v>#DIV/0!</v>
      </c>
      <c r="CH116" s="340"/>
      <c r="CI116" s="341"/>
      <c r="CJ116" s="341"/>
      <c r="CK116" s="341"/>
      <c r="CL116" s="341" t="e">
        <f t="shared" si="171"/>
        <v>#DIV/0!</v>
      </c>
      <c r="CM116" s="340"/>
      <c r="CN116" s="341"/>
      <c r="CO116" s="341"/>
      <c r="CP116" s="341"/>
      <c r="CQ116" s="341" t="e">
        <f t="shared" si="172"/>
        <v>#DIV/0!</v>
      </c>
      <c r="CR116" s="340"/>
      <c r="CS116" s="341"/>
      <c r="CT116" s="341"/>
      <c r="CU116" s="341"/>
      <c r="CV116" s="341" t="e">
        <f t="shared" si="173"/>
        <v>#DIV/0!</v>
      </c>
      <c r="CW116" s="340"/>
      <c r="CX116" s="341"/>
      <c r="CY116" s="341"/>
      <c r="CZ116" s="341"/>
      <c r="DA116" s="341" t="e">
        <f t="shared" si="174"/>
        <v>#DIV/0!</v>
      </c>
      <c r="DB116" s="340"/>
      <c r="DC116" s="341"/>
      <c r="DD116" s="341"/>
      <c r="DE116" s="341"/>
      <c r="DF116" s="341" t="e">
        <f t="shared" si="175"/>
        <v>#DIV/0!</v>
      </c>
      <c r="DG116" s="340"/>
      <c r="DH116" s="341"/>
      <c r="DI116" s="341"/>
      <c r="DJ116" s="341"/>
      <c r="DK116" s="341" t="e">
        <f t="shared" si="176"/>
        <v>#DIV/0!</v>
      </c>
      <c r="DL116" s="340"/>
      <c r="DM116" s="341"/>
      <c r="DN116" s="341"/>
      <c r="DO116" s="341"/>
      <c r="DP116" s="341" t="e">
        <f t="shared" si="177"/>
        <v>#DIV/0!</v>
      </c>
      <c r="DQ116" s="340"/>
      <c r="DR116" s="341"/>
      <c r="DS116" s="341"/>
      <c r="DT116" s="341"/>
      <c r="DU116" s="341" t="e">
        <f t="shared" si="178"/>
        <v>#DIV/0!</v>
      </c>
      <c r="DV116" s="340"/>
      <c r="DW116" s="341"/>
      <c r="DX116" s="341"/>
      <c r="DY116" s="341"/>
      <c r="DZ116" s="341" t="e">
        <f t="shared" si="179"/>
        <v>#DIV/0!</v>
      </c>
      <c r="EA116" s="340"/>
      <c r="EB116" s="341"/>
      <c r="EC116" s="341"/>
      <c r="ED116" s="341"/>
      <c r="EE116" s="341" t="e">
        <f t="shared" si="180"/>
        <v>#DIV/0!</v>
      </c>
      <c r="EF116" s="340"/>
      <c r="EG116" s="341"/>
      <c r="EH116" s="341"/>
      <c r="EI116" s="341"/>
      <c r="EJ116" s="341" t="e">
        <f t="shared" si="181"/>
        <v>#DIV/0!</v>
      </c>
      <c r="EK116" s="340"/>
      <c r="EL116" s="341"/>
      <c r="EM116" s="341"/>
      <c r="EN116" s="341"/>
      <c r="EO116" s="341" t="e">
        <f t="shared" si="182"/>
        <v>#DIV/0!</v>
      </c>
      <c r="EP116" s="340"/>
      <c r="EQ116" s="341"/>
      <c r="ER116" s="341"/>
      <c r="ES116" s="341"/>
      <c r="ET116" s="341" t="e">
        <f t="shared" si="183"/>
        <v>#DIV/0!</v>
      </c>
      <c r="EU116" s="340"/>
      <c r="EV116" s="341"/>
      <c r="EW116" s="341"/>
      <c r="EX116" s="341"/>
      <c r="EY116" s="341" t="e">
        <f t="shared" si="184"/>
        <v>#DIV/0!</v>
      </c>
      <c r="EZ116" s="340"/>
      <c r="FA116" s="341"/>
      <c r="FB116" s="341"/>
      <c r="FC116" s="341"/>
      <c r="FD116" s="341" t="e">
        <f t="shared" si="185"/>
        <v>#DIV/0!</v>
      </c>
      <c r="FE116" s="341">
        <f t="shared" si="186"/>
        <v>0</v>
      </c>
      <c r="FF116" s="341"/>
      <c r="FG116" s="341">
        <f t="shared" si="187"/>
        <v>0</v>
      </c>
      <c r="FH116" s="343">
        <f t="shared" si="189"/>
        <v>0</v>
      </c>
      <c r="FI116" s="344" t="e">
        <f t="shared" si="188"/>
        <v>#DIV/0!</v>
      </c>
      <c r="FJ116" s="341">
        <f t="shared" si="190"/>
        <v>0</v>
      </c>
      <c r="FK116" s="349"/>
      <c r="FL116" s="350"/>
      <c r="FM116" s="354"/>
    </row>
    <row r="117" s="215" customFormat="1" ht="27" customHeight="1" spans="1:169">
      <c r="A117" s="337">
        <v>18</v>
      </c>
      <c r="B117" s="334" t="s">
        <v>36</v>
      </c>
      <c r="C117" s="338"/>
      <c r="D117" s="337" t="s">
        <v>8</v>
      </c>
      <c r="E117" s="339">
        <v>0.4</v>
      </c>
      <c r="F117" s="340"/>
      <c r="G117" s="340"/>
      <c r="H117" s="341"/>
      <c r="I117" s="341"/>
      <c r="J117" s="341" t="e">
        <f t="shared" si="157"/>
        <v>#DIV/0!</v>
      </c>
      <c r="K117" s="340"/>
      <c r="L117" s="340"/>
      <c r="M117" s="341"/>
      <c r="N117" s="341"/>
      <c r="O117" s="341" t="e">
        <f t="shared" si="158"/>
        <v>#DIV/0!</v>
      </c>
      <c r="P117" s="340"/>
      <c r="Q117" s="340"/>
      <c r="R117" s="341"/>
      <c r="S117" s="341"/>
      <c r="T117" s="341" t="e">
        <f t="shared" si="159"/>
        <v>#DIV/0!</v>
      </c>
      <c r="U117" s="340"/>
      <c r="V117" s="340"/>
      <c r="W117" s="341"/>
      <c r="X117" s="341"/>
      <c r="Y117" s="341" t="e">
        <f t="shared" si="160"/>
        <v>#DIV/0!</v>
      </c>
      <c r="Z117" s="340"/>
      <c r="AA117" s="340"/>
      <c r="AB117" s="341"/>
      <c r="AC117" s="341"/>
      <c r="AD117" s="341" t="e">
        <f t="shared" si="192"/>
        <v>#DIV/0!</v>
      </c>
      <c r="AE117" s="340"/>
      <c r="AF117" s="340"/>
      <c r="AG117" s="341"/>
      <c r="AH117" s="341"/>
      <c r="AI117" s="341" t="e">
        <f t="shared" si="161"/>
        <v>#DIV/0!</v>
      </c>
      <c r="AJ117" s="340"/>
      <c r="AK117" s="340"/>
      <c r="AL117" s="341"/>
      <c r="AM117" s="341"/>
      <c r="AN117" s="341" t="e">
        <f t="shared" si="162"/>
        <v>#DIV/0!</v>
      </c>
      <c r="AO117" s="340"/>
      <c r="AP117" s="340"/>
      <c r="AQ117" s="341"/>
      <c r="AR117" s="341"/>
      <c r="AS117" s="341" t="e">
        <f t="shared" si="191"/>
        <v>#DIV/0!</v>
      </c>
      <c r="AT117" s="340"/>
      <c r="AU117" s="340"/>
      <c r="AV117" s="341"/>
      <c r="AW117" s="341"/>
      <c r="AX117" s="341" t="e">
        <f t="shared" si="163"/>
        <v>#DIV/0!</v>
      </c>
      <c r="AY117" s="340"/>
      <c r="AZ117" s="340"/>
      <c r="BA117" s="341"/>
      <c r="BB117" s="341"/>
      <c r="BC117" s="341" t="e">
        <f t="shared" si="164"/>
        <v>#DIV/0!</v>
      </c>
      <c r="BD117" s="340"/>
      <c r="BE117" s="340"/>
      <c r="BF117" s="341"/>
      <c r="BG117" s="341"/>
      <c r="BH117" s="341" t="e">
        <f t="shared" si="165"/>
        <v>#DIV/0!</v>
      </c>
      <c r="BI117" s="340"/>
      <c r="BJ117" s="340"/>
      <c r="BK117" s="341"/>
      <c r="BL117" s="341"/>
      <c r="BM117" s="341" t="e">
        <f t="shared" si="166"/>
        <v>#DIV/0!</v>
      </c>
      <c r="BN117" s="340"/>
      <c r="BO117" s="340"/>
      <c r="BP117" s="341"/>
      <c r="BQ117" s="341"/>
      <c r="BR117" s="341" t="e">
        <f t="shared" si="167"/>
        <v>#DIV/0!</v>
      </c>
      <c r="BS117" s="340"/>
      <c r="BT117" s="340"/>
      <c r="BU117" s="341"/>
      <c r="BV117" s="341"/>
      <c r="BW117" s="341" t="e">
        <f t="shared" si="168"/>
        <v>#DIV/0!</v>
      </c>
      <c r="BX117" s="340"/>
      <c r="BY117" s="340"/>
      <c r="BZ117" s="341"/>
      <c r="CA117" s="341"/>
      <c r="CB117" s="341" t="e">
        <f t="shared" si="169"/>
        <v>#DIV/0!</v>
      </c>
      <c r="CC117" s="340"/>
      <c r="CD117" s="340"/>
      <c r="CE117" s="341"/>
      <c r="CF117" s="341"/>
      <c r="CG117" s="341" t="e">
        <f t="shared" si="170"/>
        <v>#DIV/0!</v>
      </c>
      <c r="CH117" s="340"/>
      <c r="CI117" s="340"/>
      <c r="CJ117" s="341"/>
      <c r="CK117" s="341"/>
      <c r="CL117" s="341" t="e">
        <f t="shared" si="171"/>
        <v>#DIV/0!</v>
      </c>
      <c r="CM117" s="340"/>
      <c r="CN117" s="340"/>
      <c r="CO117" s="341"/>
      <c r="CP117" s="341"/>
      <c r="CQ117" s="341" t="e">
        <f t="shared" si="172"/>
        <v>#DIV/0!</v>
      </c>
      <c r="CR117" s="340"/>
      <c r="CS117" s="340"/>
      <c r="CT117" s="341"/>
      <c r="CU117" s="341"/>
      <c r="CV117" s="341" t="e">
        <f t="shared" si="173"/>
        <v>#DIV/0!</v>
      </c>
      <c r="CW117" s="340"/>
      <c r="CX117" s="340"/>
      <c r="CY117" s="341">
        <v>30</v>
      </c>
      <c r="CZ117" s="341"/>
      <c r="DA117" s="341">
        <f t="shared" si="174"/>
        <v>1</v>
      </c>
      <c r="DB117" s="340"/>
      <c r="DC117" s="340"/>
      <c r="DD117" s="341"/>
      <c r="DE117" s="341"/>
      <c r="DF117" s="341" t="e">
        <f t="shared" si="175"/>
        <v>#DIV/0!</v>
      </c>
      <c r="DG117" s="340"/>
      <c r="DH117" s="340"/>
      <c r="DI117" s="341"/>
      <c r="DJ117" s="341"/>
      <c r="DK117" s="341" t="e">
        <f t="shared" si="176"/>
        <v>#DIV/0!</v>
      </c>
      <c r="DL117" s="340"/>
      <c r="DM117" s="340"/>
      <c r="DN117" s="341"/>
      <c r="DO117" s="341"/>
      <c r="DP117" s="341" t="e">
        <f t="shared" si="177"/>
        <v>#DIV/0!</v>
      </c>
      <c r="DQ117" s="340"/>
      <c r="DR117" s="340"/>
      <c r="DS117" s="341"/>
      <c r="DT117" s="341"/>
      <c r="DU117" s="341" t="e">
        <f t="shared" si="178"/>
        <v>#DIV/0!</v>
      </c>
      <c r="DV117" s="340"/>
      <c r="DW117" s="340"/>
      <c r="DX117" s="341"/>
      <c r="DY117" s="341"/>
      <c r="DZ117" s="341" t="e">
        <f t="shared" si="179"/>
        <v>#DIV/0!</v>
      </c>
      <c r="EA117" s="340"/>
      <c r="EB117" s="340"/>
      <c r="EC117" s="341"/>
      <c r="ED117" s="341"/>
      <c r="EE117" s="341" t="e">
        <f t="shared" si="180"/>
        <v>#DIV/0!</v>
      </c>
      <c r="EF117" s="340"/>
      <c r="EG117" s="340"/>
      <c r="EH117" s="341"/>
      <c r="EI117" s="341"/>
      <c r="EJ117" s="341" t="e">
        <f t="shared" si="181"/>
        <v>#DIV/0!</v>
      </c>
      <c r="EK117" s="340"/>
      <c r="EL117" s="340"/>
      <c r="EM117" s="341"/>
      <c r="EN117" s="341"/>
      <c r="EO117" s="341" t="e">
        <f t="shared" si="182"/>
        <v>#DIV/0!</v>
      </c>
      <c r="EP117" s="340"/>
      <c r="EQ117" s="340"/>
      <c r="ER117" s="341"/>
      <c r="ES117" s="341"/>
      <c r="ET117" s="341" t="e">
        <f t="shared" si="183"/>
        <v>#DIV/0!</v>
      </c>
      <c r="EU117" s="340"/>
      <c r="EV117" s="340"/>
      <c r="EW117" s="341"/>
      <c r="EX117" s="341"/>
      <c r="EY117" s="341" t="e">
        <f t="shared" si="184"/>
        <v>#DIV/0!</v>
      </c>
      <c r="EZ117" s="340"/>
      <c r="FA117" s="340"/>
      <c r="FB117" s="341"/>
      <c r="FC117" s="341"/>
      <c r="FD117" s="341" t="e">
        <f t="shared" si="185"/>
        <v>#DIV/0!</v>
      </c>
      <c r="FE117" s="341">
        <f t="shared" si="186"/>
        <v>0</v>
      </c>
      <c r="FF117" s="341"/>
      <c r="FG117" s="341">
        <f t="shared" si="187"/>
        <v>0</v>
      </c>
      <c r="FH117" s="343">
        <f t="shared" si="189"/>
        <v>30</v>
      </c>
      <c r="FI117" s="344" t="e">
        <f t="shared" si="188"/>
        <v>#DIV/0!</v>
      </c>
      <c r="FJ117" s="341">
        <f t="shared" si="190"/>
        <v>12</v>
      </c>
      <c r="FK117" s="345">
        <f>FJ117+FJ118+FJ119+FJ120+FJ121+FJ122+FJ123+FJ124+FJ125+FJ126</f>
        <v>776.552</v>
      </c>
      <c r="FL117" s="346">
        <f>(FH117+FH118+FH119+FH120+FH121+FH122+FH123+FH124+FH125+FH126)/(FE117+FE118+FE119+FE120+FE121+FE122+FE123+FE124+FE125+FE126)</f>
        <v>1.02320987654321</v>
      </c>
      <c r="FM117" s="351"/>
    </row>
    <row r="118" s="215" customFormat="1" ht="27" customHeight="1" spans="1:169">
      <c r="A118" s="337"/>
      <c r="B118" s="335"/>
      <c r="C118" s="338"/>
      <c r="D118" s="337" t="s">
        <v>9</v>
      </c>
      <c r="E118" s="342">
        <v>0.133</v>
      </c>
      <c r="F118" s="340">
        <v>307</v>
      </c>
      <c r="G118" s="340">
        <v>2</v>
      </c>
      <c r="H118" s="341">
        <v>305</v>
      </c>
      <c r="I118" s="341"/>
      <c r="J118" s="341">
        <f t="shared" si="157"/>
        <v>1</v>
      </c>
      <c r="K118" s="340">
        <v>278</v>
      </c>
      <c r="L118" s="340">
        <v>3</v>
      </c>
      <c r="M118" s="341">
        <v>275</v>
      </c>
      <c r="N118" s="341"/>
      <c r="O118" s="341">
        <f t="shared" si="158"/>
        <v>1</v>
      </c>
      <c r="P118" s="340"/>
      <c r="Q118" s="340"/>
      <c r="R118" s="341"/>
      <c r="S118" s="341"/>
      <c r="T118" s="341" t="e">
        <f t="shared" si="159"/>
        <v>#DIV/0!</v>
      </c>
      <c r="U118" s="340"/>
      <c r="V118" s="340"/>
      <c r="W118" s="341"/>
      <c r="X118" s="341"/>
      <c r="Y118" s="341" t="e">
        <f t="shared" si="160"/>
        <v>#DIV/0!</v>
      </c>
      <c r="Z118" s="340"/>
      <c r="AA118" s="340"/>
      <c r="AB118" s="341"/>
      <c r="AC118" s="341"/>
      <c r="AD118" s="341" t="e">
        <f t="shared" si="192"/>
        <v>#DIV/0!</v>
      </c>
      <c r="AE118" s="340"/>
      <c r="AF118" s="340"/>
      <c r="AG118" s="341"/>
      <c r="AH118" s="341"/>
      <c r="AI118" s="341" t="e">
        <f t="shared" si="161"/>
        <v>#DIV/0!</v>
      </c>
      <c r="AJ118" s="340"/>
      <c r="AK118" s="340"/>
      <c r="AL118" s="341"/>
      <c r="AM118" s="341"/>
      <c r="AN118" s="341" t="e">
        <f t="shared" si="162"/>
        <v>#DIV/0!</v>
      </c>
      <c r="AO118" s="340"/>
      <c r="AP118" s="340"/>
      <c r="AQ118" s="341"/>
      <c r="AR118" s="341"/>
      <c r="AS118" s="341" t="e">
        <f t="shared" si="191"/>
        <v>#DIV/0!</v>
      </c>
      <c r="AT118" s="340"/>
      <c r="AU118" s="340"/>
      <c r="AV118" s="341"/>
      <c r="AW118" s="341"/>
      <c r="AX118" s="341" t="e">
        <f t="shared" si="163"/>
        <v>#DIV/0!</v>
      </c>
      <c r="AY118" s="340"/>
      <c r="AZ118" s="340"/>
      <c r="BA118" s="341"/>
      <c r="BB118" s="341"/>
      <c r="BC118" s="341" t="e">
        <f t="shared" si="164"/>
        <v>#DIV/0!</v>
      </c>
      <c r="BD118" s="340"/>
      <c r="BE118" s="340"/>
      <c r="BF118" s="341"/>
      <c r="BG118" s="341"/>
      <c r="BH118" s="341" t="e">
        <f t="shared" si="165"/>
        <v>#DIV/0!</v>
      </c>
      <c r="BI118" s="340"/>
      <c r="BJ118" s="340"/>
      <c r="BK118" s="341"/>
      <c r="BL118" s="341"/>
      <c r="BM118" s="341" t="e">
        <f t="shared" si="166"/>
        <v>#DIV/0!</v>
      </c>
      <c r="BN118" s="340"/>
      <c r="BO118" s="340"/>
      <c r="BP118" s="341"/>
      <c r="BQ118" s="341"/>
      <c r="BR118" s="341" t="e">
        <f t="shared" si="167"/>
        <v>#DIV/0!</v>
      </c>
      <c r="BS118" s="340"/>
      <c r="BT118" s="340"/>
      <c r="BU118" s="341"/>
      <c r="BV118" s="341"/>
      <c r="BW118" s="341" t="e">
        <f t="shared" si="168"/>
        <v>#DIV/0!</v>
      </c>
      <c r="BX118" s="340"/>
      <c r="BY118" s="340"/>
      <c r="BZ118" s="341"/>
      <c r="CA118" s="341"/>
      <c r="CB118" s="341" t="e">
        <f t="shared" si="169"/>
        <v>#DIV/0!</v>
      </c>
      <c r="CC118" s="340"/>
      <c r="CD118" s="340"/>
      <c r="CE118" s="341"/>
      <c r="CF118" s="341"/>
      <c r="CG118" s="341" t="e">
        <f t="shared" si="170"/>
        <v>#DIV/0!</v>
      </c>
      <c r="CH118" s="340">
        <v>585</v>
      </c>
      <c r="CI118" s="340">
        <v>6</v>
      </c>
      <c r="CJ118" s="341">
        <v>544</v>
      </c>
      <c r="CK118" s="341">
        <v>35</v>
      </c>
      <c r="CL118" s="341">
        <f t="shared" si="171"/>
        <v>0.882755987483631</v>
      </c>
      <c r="CM118" s="340"/>
      <c r="CN118" s="340"/>
      <c r="CO118" s="341"/>
      <c r="CP118" s="341"/>
      <c r="CQ118" s="341" t="e">
        <f t="shared" si="172"/>
        <v>#DIV/0!</v>
      </c>
      <c r="CR118" s="340"/>
      <c r="CS118" s="340"/>
      <c r="CT118" s="341"/>
      <c r="CU118" s="341"/>
      <c r="CV118" s="341" t="e">
        <f t="shared" si="173"/>
        <v>#DIV/0!</v>
      </c>
      <c r="CW118" s="340"/>
      <c r="CX118" s="340"/>
      <c r="CY118" s="341"/>
      <c r="CZ118" s="341"/>
      <c r="DA118" s="341" t="e">
        <f t="shared" si="174"/>
        <v>#DIV/0!</v>
      </c>
      <c r="DB118" s="340"/>
      <c r="DC118" s="340"/>
      <c r="DD118" s="341"/>
      <c r="DE118" s="341"/>
      <c r="DF118" s="341" t="e">
        <f t="shared" si="175"/>
        <v>#DIV/0!</v>
      </c>
      <c r="DG118" s="340"/>
      <c r="DH118" s="340"/>
      <c r="DI118" s="341"/>
      <c r="DJ118" s="341"/>
      <c r="DK118" s="341" t="e">
        <f t="shared" si="176"/>
        <v>#DIV/0!</v>
      </c>
      <c r="DL118" s="340"/>
      <c r="DM118" s="340"/>
      <c r="DN118" s="341"/>
      <c r="DO118" s="341"/>
      <c r="DP118" s="341" t="e">
        <f t="shared" si="177"/>
        <v>#DIV/0!</v>
      </c>
      <c r="DQ118" s="340"/>
      <c r="DR118" s="340"/>
      <c r="DS118" s="341"/>
      <c r="DT118" s="341"/>
      <c r="DU118" s="341" t="e">
        <f t="shared" si="178"/>
        <v>#DIV/0!</v>
      </c>
      <c r="DV118" s="340"/>
      <c r="DW118" s="340"/>
      <c r="DX118" s="341"/>
      <c r="DY118" s="341"/>
      <c r="DZ118" s="341" t="e">
        <f t="shared" si="179"/>
        <v>#DIV/0!</v>
      </c>
      <c r="EA118" s="340"/>
      <c r="EB118" s="340"/>
      <c r="EC118" s="341"/>
      <c r="ED118" s="341"/>
      <c r="EE118" s="341" t="e">
        <f t="shared" si="180"/>
        <v>#DIV/0!</v>
      </c>
      <c r="EF118" s="340"/>
      <c r="EG118" s="340"/>
      <c r="EH118" s="341"/>
      <c r="EI118" s="341"/>
      <c r="EJ118" s="341" t="e">
        <f t="shared" si="181"/>
        <v>#DIV/0!</v>
      </c>
      <c r="EK118" s="340"/>
      <c r="EL118" s="340"/>
      <c r="EM118" s="341"/>
      <c r="EN118" s="341"/>
      <c r="EO118" s="341" t="e">
        <f t="shared" si="182"/>
        <v>#DIV/0!</v>
      </c>
      <c r="EP118" s="340"/>
      <c r="EQ118" s="340"/>
      <c r="ER118" s="341"/>
      <c r="ES118" s="341"/>
      <c r="ET118" s="341" t="e">
        <f t="shared" si="183"/>
        <v>#DIV/0!</v>
      </c>
      <c r="EU118" s="340"/>
      <c r="EV118" s="340"/>
      <c r="EW118" s="341"/>
      <c r="EX118" s="341"/>
      <c r="EY118" s="341" t="e">
        <f t="shared" si="184"/>
        <v>#DIV/0!</v>
      </c>
      <c r="EZ118" s="340"/>
      <c r="FA118" s="340"/>
      <c r="FB118" s="341"/>
      <c r="FC118" s="341"/>
      <c r="FD118" s="341" t="e">
        <f t="shared" si="185"/>
        <v>#DIV/0!</v>
      </c>
      <c r="FE118" s="341">
        <f t="shared" si="186"/>
        <v>1170</v>
      </c>
      <c r="FF118" s="341"/>
      <c r="FG118" s="341">
        <f t="shared" si="187"/>
        <v>11</v>
      </c>
      <c r="FH118" s="343">
        <f t="shared" ref="FH118:FH156" si="193">FB118+EW118+ER118+EM118+EH118+EC118+DX118+DS118+DN118+DI118+DD118+CY118+CT118+CO118+CJ118+CE118+BZ118+BU118+BP118+BK118+BF118+BA118+AV118+AQ118+AL118+AG118+AB118+W118+R118+M118+H118</f>
        <v>1124</v>
      </c>
      <c r="FI118" s="344">
        <f t="shared" si="188"/>
        <v>0.922913288041493</v>
      </c>
      <c r="FJ118" s="341">
        <f t="shared" si="190"/>
        <v>149.492</v>
      </c>
      <c r="FK118" s="347"/>
      <c r="FL118" s="348"/>
      <c r="FM118" s="352"/>
    </row>
    <row r="119" s="215" customFormat="1" ht="27" customHeight="1" spans="1:169">
      <c r="A119" s="337"/>
      <c r="B119" s="335"/>
      <c r="C119" s="338"/>
      <c r="D119" s="337" t="s">
        <v>10</v>
      </c>
      <c r="E119" s="342">
        <v>0.133</v>
      </c>
      <c r="F119" s="340"/>
      <c r="G119" s="277"/>
      <c r="H119" s="341"/>
      <c r="I119" s="341"/>
      <c r="J119" s="341" t="e">
        <f t="shared" si="157"/>
        <v>#DIV/0!</v>
      </c>
      <c r="K119" s="340"/>
      <c r="L119" s="341"/>
      <c r="M119" s="341"/>
      <c r="N119" s="341"/>
      <c r="O119" s="341" t="e">
        <f t="shared" si="158"/>
        <v>#DIV/0!</v>
      </c>
      <c r="P119" s="340"/>
      <c r="Q119" s="341"/>
      <c r="R119" s="341"/>
      <c r="S119" s="341"/>
      <c r="T119" s="341" t="e">
        <f t="shared" si="159"/>
        <v>#DIV/0!</v>
      </c>
      <c r="U119" s="340"/>
      <c r="V119" s="341"/>
      <c r="W119" s="341"/>
      <c r="X119" s="341"/>
      <c r="Y119" s="341" t="e">
        <f t="shared" si="160"/>
        <v>#DIV/0!</v>
      </c>
      <c r="Z119" s="340"/>
      <c r="AA119" s="341"/>
      <c r="AB119" s="341"/>
      <c r="AC119" s="341"/>
      <c r="AD119" s="341" t="e">
        <f t="shared" si="192"/>
        <v>#DIV/0!</v>
      </c>
      <c r="AE119" s="340"/>
      <c r="AF119" s="341"/>
      <c r="AG119" s="341"/>
      <c r="AH119" s="341"/>
      <c r="AI119" s="341" t="e">
        <f t="shared" si="161"/>
        <v>#DIV/0!</v>
      </c>
      <c r="AJ119" s="340"/>
      <c r="AK119" s="341"/>
      <c r="AL119" s="341"/>
      <c r="AM119" s="341"/>
      <c r="AN119" s="341" t="e">
        <f t="shared" si="162"/>
        <v>#DIV/0!</v>
      </c>
      <c r="AO119" s="340"/>
      <c r="AP119" s="341"/>
      <c r="AQ119" s="341"/>
      <c r="AR119" s="341"/>
      <c r="AS119" s="341" t="e">
        <f t="shared" ref="AS119:AS156" si="194">AQ119/(AQ119+AR119)*AQ119/(AQ119+AR119)</f>
        <v>#DIV/0!</v>
      </c>
      <c r="AT119" s="340"/>
      <c r="AU119" s="341"/>
      <c r="AV119" s="341"/>
      <c r="AW119" s="341"/>
      <c r="AX119" s="341" t="e">
        <f t="shared" si="163"/>
        <v>#DIV/0!</v>
      </c>
      <c r="AY119" s="340"/>
      <c r="AZ119" s="341"/>
      <c r="BA119" s="341"/>
      <c r="BB119" s="341"/>
      <c r="BC119" s="341" t="e">
        <f t="shared" si="164"/>
        <v>#DIV/0!</v>
      </c>
      <c r="BD119" s="340"/>
      <c r="BE119" s="341"/>
      <c r="BF119" s="341"/>
      <c r="BG119" s="341"/>
      <c r="BH119" s="341" t="e">
        <f t="shared" si="165"/>
        <v>#DIV/0!</v>
      </c>
      <c r="BI119" s="340"/>
      <c r="BJ119" s="341"/>
      <c r="BK119" s="341"/>
      <c r="BL119" s="341"/>
      <c r="BM119" s="341" t="e">
        <f t="shared" si="166"/>
        <v>#DIV/0!</v>
      </c>
      <c r="BN119" s="340"/>
      <c r="BO119" s="341"/>
      <c r="BP119" s="341"/>
      <c r="BQ119" s="341"/>
      <c r="BR119" s="341" t="e">
        <f t="shared" si="167"/>
        <v>#DIV/0!</v>
      </c>
      <c r="BS119" s="340"/>
      <c r="BT119" s="341"/>
      <c r="BU119" s="341"/>
      <c r="BV119" s="341"/>
      <c r="BW119" s="341" t="e">
        <f t="shared" si="168"/>
        <v>#DIV/0!</v>
      </c>
      <c r="BX119" s="340"/>
      <c r="BY119" s="341"/>
      <c r="BZ119" s="341"/>
      <c r="CA119" s="341"/>
      <c r="CB119" s="341" t="e">
        <f t="shared" si="169"/>
        <v>#DIV/0!</v>
      </c>
      <c r="CC119" s="340"/>
      <c r="CD119" s="341"/>
      <c r="CE119" s="341"/>
      <c r="CF119" s="341"/>
      <c r="CG119" s="341" t="e">
        <f t="shared" si="170"/>
        <v>#DIV/0!</v>
      </c>
      <c r="CH119" s="340"/>
      <c r="CI119" s="341"/>
      <c r="CJ119" s="341"/>
      <c r="CK119" s="341"/>
      <c r="CL119" s="341" t="e">
        <f t="shared" si="171"/>
        <v>#DIV/0!</v>
      </c>
      <c r="CM119" s="340"/>
      <c r="CN119" s="341"/>
      <c r="CO119" s="341"/>
      <c r="CP119" s="341"/>
      <c r="CQ119" s="341" t="e">
        <f t="shared" si="172"/>
        <v>#DIV/0!</v>
      </c>
      <c r="CR119" s="340"/>
      <c r="CS119" s="341"/>
      <c r="CT119" s="341"/>
      <c r="CU119" s="341"/>
      <c r="CV119" s="341" t="e">
        <f t="shared" si="173"/>
        <v>#DIV/0!</v>
      </c>
      <c r="CW119" s="340"/>
      <c r="CX119" s="341"/>
      <c r="CY119" s="341"/>
      <c r="CZ119" s="341"/>
      <c r="DA119" s="341" t="e">
        <f t="shared" si="174"/>
        <v>#DIV/0!</v>
      </c>
      <c r="DB119" s="340"/>
      <c r="DC119" s="341"/>
      <c r="DD119" s="341"/>
      <c r="DE119" s="341"/>
      <c r="DF119" s="341" t="e">
        <f t="shared" si="175"/>
        <v>#DIV/0!</v>
      </c>
      <c r="DG119" s="340"/>
      <c r="DH119" s="341"/>
      <c r="DI119" s="341"/>
      <c r="DJ119" s="341"/>
      <c r="DK119" s="341" t="e">
        <f t="shared" si="176"/>
        <v>#DIV/0!</v>
      </c>
      <c r="DL119" s="340"/>
      <c r="DM119" s="341"/>
      <c r="DN119" s="341"/>
      <c r="DO119" s="341"/>
      <c r="DP119" s="341" t="e">
        <f t="shared" si="177"/>
        <v>#DIV/0!</v>
      </c>
      <c r="DQ119" s="340"/>
      <c r="DR119" s="341"/>
      <c r="DS119" s="341"/>
      <c r="DT119" s="341"/>
      <c r="DU119" s="341" t="e">
        <f t="shared" si="178"/>
        <v>#DIV/0!</v>
      </c>
      <c r="DV119" s="340"/>
      <c r="DW119" s="341"/>
      <c r="DX119" s="341"/>
      <c r="DY119" s="341"/>
      <c r="DZ119" s="341" t="e">
        <f t="shared" si="179"/>
        <v>#DIV/0!</v>
      </c>
      <c r="EA119" s="340"/>
      <c r="EB119" s="341"/>
      <c r="EC119" s="341"/>
      <c r="ED119" s="341"/>
      <c r="EE119" s="341" t="e">
        <f t="shared" si="180"/>
        <v>#DIV/0!</v>
      </c>
      <c r="EF119" s="340"/>
      <c r="EG119" s="341"/>
      <c r="EH119" s="341"/>
      <c r="EI119" s="341"/>
      <c r="EJ119" s="341" t="e">
        <f t="shared" si="181"/>
        <v>#DIV/0!</v>
      </c>
      <c r="EK119" s="340"/>
      <c r="EL119" s="341"/>
      <c r="EM119" s="341"/>
      <c r="EN119" s="341"/>
      <c r="EO119" s="341" t="e">
        <f t="shared" si="182"/>
        <v>#DIV/0!</v>
      </c>
      <c r="EP119" s="340"/>
      <c r="EQ119" s="341"/>
      <c r="ER119" s="341"/>
      <c r="ES119" s="341"/>
      <c r="ET119" s="341" t="e">
        <f t="shared" si="183"/>
        <v>#DIV/0!</v>
      </c>
      <c r="EU119" s="340"/>
      <c r="EV119" s="341"/>
      <c r="EW119" s="341"/>
      <c r="EX119" s="341"/>
      <c r="EY119" s="341" t="e">
        <f t="shared" si="184"/>
        <v>#DIV/0!</v>
      </c>
      <c r="EZ119" s="340"/>
      <c r="FA119" s="341"/>
      <c r="FB119" s="341"/>
      <c r="FC119" s="341"/>
      <c r="FD119" s="341" t="e">
        <f t="shared" si="185"/>
        <v>#DIV/0!</v>
      </c>
      <c r="FE119" s="341">
        <f t="shared" si="186"/>
        <v>0</v>
      </c>
      <c r="FF119" s="341"/>
      <c r="FG119" s="341" t="e">
        <f>FA119+EQ119+EL119+EG119+EB119+DW119+DR119+DM119+DH119+DC119+CX119+CS119+CN119+CI119+CD119+BY119+BT119+BO119+BJ119+BE119+AZ119+AU119+AP119+AK119+AF119+AA119+V119+Q119+L119+#REF!</f>
        <v>#REF!</v>
      </c>
      <c r="FH119" s="343">
        <f t="shared" si="193"/>
        <v>0</v>
      </c>
      <c r="FI119" s="344" t="e">
        <f t="shared" si="188"/>
        <v>#DIV/0!</v>
      </c>
      <c r="FJ119" s="341">
        <f t="shared" si="190"/>
        <v>0</v>
      </c>
      <c r="FK119" s="347"/>
      <c r="FL119" s="348"/>
      <c r="FM119" s="352"/>
    </row>
    <row r="120" s="215" customFormat="1" ht="27" customHeight="1" spans="1:169">
      <c r="A120" s="337"/>
      <c r="B120" s="335"/>
      <c r="C120" s="338"/>
      <c r="D120" s="337" t="s">
        <v>11</v>
      </c>
      <c r="E120" s="342">
        <v>0.23</v>
      </c>
      <c r="F120" s="340"/>
      <c r="G120" s="341"/>
      <c r="H120" s="341"/>
      <c r="I120" s="341"/>
      <c r="J120" s="341" t="e">
        <f t="shared" si="157"/>
        <v>#DIV/0!</v>
      </c>
      <c r="K120" s="340"/>
      <c r="L120" s="341"/>
      <c r="M120" s="341"/>
      <c r="N120" s="341"/>
      <c r="O120" s="341" t="e">
        <f t="shared" si="158"/>
        <v>#DIV/0!</v>
      </c>
      <c r="P120" s="340"/>
      <c r="Q120" s="341"/>
      <c r="R120" s="341"/>
      <c r="S120" s="341"/>
      <c r="T120" s="341" t="e">
        <f t="shared" si="159"/>
        <v>#DIV/0!</v>
      </c>
      <c r="U120" s="340"/>
      <c r="V120" s="341"/>
      <c r="W120" s="341"/>
      <c r="X120" s="341"/>
      <c r="Y120" s="341" t="e">
        <f t="shared" si="160"/>
        <v>#DIV/0!</v>
      </c>
      <c r="Z120" s="340"/>
      <c r="AA120" s="341"/>
      <c r="AB120" s="341"/>
      <c r="AC120" s="341"/>
      <c r="AD120" s="341" t="e">
        <f t="shared" si="192"/>
        <v>#DIV/0!</v>
      </c>
      <c r="AE120" s="340"/>
      <c r="AF120" s="341"/>
      <c r="AG120" s="341"/>
      <c r="AH120" s="341"/>
      <c r="AI120" s="341" t="e">
        <f t="shared" si="161"/>
        <v>#DIV/0!</v>
      </c>
      <c r="AJ120" s="340"/>
      <c r="AK120" s="341"/>
      <c r="AL120" s="341"/>
      <c r="AM120" s="341"/>
      <c r="AN120" s="341" t="e">
        <f t="shared" si="162"/>
        <v>#DIV/0!</v>
      </c>
      <c r="AO120" s="340"/>
      <c r="AP120" s="341"/>
      <c r="AQ120" s="341"/>
      <c r="AR120" s="341"/>
      <c r="AS120" s="341" t="e">
        <f t="shared" si="194"/>
        <v>#DIV/0!</v>
      </c>
      <c r="AT120" s="340"/>
      <c r="AU120" s="341"/>
      <c r="AV120" s="341"/>
      <c r="AW120" s="341"/>
      <c r="AX120" s="341" t="e">
        <f t="shared" si="163"/>
        <v>#DIV/0!</v>
      </c>
      <c r="AY120" s="340"/>
      <c r="AZ120" s="341"/>
      <c r="BA120" s="341"/>
      <c r="BB120" s="341"/>
      <c r="BC120" s="341" t="e">
        <f t="shared" si="164"/>
        <v>#DIV/0!</v>
      </c>
      <c r="BD120" s="340"/>
      <c r="BE120" s="341"/>
      <c r="BF120" s="341"/>
      <c r="BG120" s="341"/>
      <c r="BH120" s="341" t="e">
        <f t="shared" si="165"/>
        <v>#DIV/0!</v>
      </c>
      <c r="BI120" s="340"/>
      <c r="BJ120" s="341"/>
      <c r="BK120" s="341"/>
      <c r="BL120" s="341"/>
      <c r="BM120" s="341" t="e">
        <f t="shared" si="166"/>
        <v>#DIV/0!</v>
      </c>
      <c r="BN120" s="340"/>
      <c r="BO120" s="341"/>
      <c r="BP120" s="341"/>
      <c r="BQ120" s="341"/>
      <c r="BR120" s="341" t="e">
        <f t="shared" si="167"/>
        <v>#DIV/0!</v>
      </c>
      <c r="BS120" s="340"/>
      <c r="BT120" s="341"/>
      <c r="BU120" s="341"/>
      <c r="BV120" s="341"/>
      <c r="BW120" s="341" t="e">
        <f t="shared" si="168"/>
        <v>#DIV/0!</v>
      </c>
      <c r="BX120" s="340"/>
      <c r="BY120" s="341"/>
      <c r="BZ120" s="341"/>
      <c r="CA120" s="341"/>
      <c r="CB120" s="341" t="e">
        <f t="shared" si="169"/>
        <v>#DIV/0!</v>
      </c>
      <c r="CC120" s="340"/>
      <c r="CD120" s="341"/>
      <c r="CE120" s="341"/>
      <c r="CF120" s="341"/>
      <c r="CG120" s="341" t="e">
        <f t="shared" si="170"/>
        <v>#DIV/0!</v>
      </c>
      <c r="CH120" s="340"/>
      <c r="CI120" s="341"/>
      <c r="CJ120" s="341"/>
      <c r="CK120" s="341"/>
      <c r="CL120" s="341" t="e">
        <f t="shared" si="171"/>
        <v>#DIV/0!</v>
      </c>
      <c r="CM120" s="340"/>
      <c r="CN120" s="341"/>
      <c r="CO120" s="341"/>
      <c r="CP120" s="341"/>
      <c r="CQ120" s="341" t="e">
        <f t="shared" si="172"/>
        <v>#DIV/0!</v>
      </c>
      <c r="CR120" s="340"/>
      <c r="CS120" s="341"/>
      <c r="CT120" s="341"/>
      <c r="CU120" s="341"/>
      <c r="CV120" s="341" t="e">
        <f t="shared" si="173"/>
        <v>#DIV/0!</v>
      </c>
      <c r="CW120" s="340"/>
      <c r="CX120" s="341"/>
      <c r="CY120" s="341"/>
      <c r="CZ120" s="341"/>
      <c r="DA120" s="341" t="e">
        <f t="shared" si="174"/>
        <v>#DIV/0!</v>
      </c>
      <c r="DB120" s="340"/>
      <c r="DC120" s="341"/>
      <c r="DD120" s="341"/>
      <c r="DE120" s="341"/>
      <c r="DF120" s="341" t="e">
        <f t="shared" si="175"/>
        <v>#DIV/0!</v>
      </c>
      <c r="DG120" s="340"/>
      <c r="DH120" s="341"/>
      <c r="DI120" s="341"/>
      <c r="DJ120" s="341"/>
      <c r="DK120" s="341" t="e">
        <f t="shared" si="176"/>
        <v>#DIV/0!</v>
      </c>
      <c r="DL120" s="340"/>
      <c r="DM120" s="341"/>
      <c r="DN120" s="341"/>
      <c r="DO120" s="341"/>
      <c r="DP120" s="341" t="e">
        <f t="shared" si="177"/>
        <v>#DIV/0!</v>
      </c>
      <c r="DQ120" s="340"/>
      <c r="DR120" s="341"/>
      <c r="DS120" s="341"/>
      <c r="DT120" s="341"/>
      <c r="DU120" s="341" t="e">
        <f t="shared" si="178"/>
        <v>#DIV/0!</v>
      </c>
      <c r="DV120" s="340"/>
      <c r="DW120" s="341"/>
      <c r="DX120" s="341"/>
      <c r="DY120" s="341"/>
      <c r="DZ120" s="341" t="e">
        <f t="shared" si="179"/>
        <v>#DIV/0!</v>
      </c>
      <c r="EA120" s="340"/>
      <c r="EB120" s="341"/>
      <c r="EC120" s="341"/>
      <c r="ED120" s="341"/>
      <c r="EE120" s="341" t="e">
        <f t="shared" si="180"/>
        <v>#DIV/0!</v>
      </c>
      <c r="EF120" s="340"/>
      <c r="EG120" s="341"/>
      <c r="EH120" s="341"/>
      <c r="EI120" s="341"/>
      <c r="EJ120" s="341" t="e">
        <f t="shared" si="181"/>
        <v>#DIV/0!</v>
      </c>
      <c r="EK120" s="340"/>
      <c r="EL120" s="341"/>
      <c r="EM120" s="341"/>
      <c r="EN120" s="341"/>
      <c r="EO120" s="341" t="e">
        <f t="shared" si="182"/>
        <v>#DIV/0!</v>
      </c>
      <c r="EP120" s="340"/>
      <c r="EQ120" s="341"/>
      <c r="ER120" s="341"/>
      <c r="ES120" s="341"/>
      <c r="ET120" s="341" t="e">
        <f t="shared" si="183"/>
        <v>#DIV/0!</v>
      </c>
      <c r="EU120" s="340"/>
      <c r="EV120" s="341"/>
      <c r="EW120" s="341"/>
      <c r="EX120" s="341"/>
      <c r="EY120" s="341" t="e">
        <f t="shared" si="184"/>
        <v>#DIV/0!</v>
      </c>
      <c r="EZ120" s="340"/>
      <c r="FA120" s="341"/>
      <c r="FB120" s="341"/>
      <c r="FC120" s="341"/>
      <c r="FD120" s="341" t="e">
        <f t="shared" si="185"/>
        <v>#DIV/0!</v>
      </c>
      <c r="FE120" s="341">
        <f t="shared" si="186"/>
        <v>0</v>
      </c>
      <c r="FF120" s="341"/>
      <c r="FG120" s="341">
        <f t="shared" si="187"/>
        <v>0</v>
      </c>
      <c r="FH120" s="343">
        <f t="shared" si="193"/>
        <v>0</v>
      </c>
      <c r="FI120" s="344" t="e">
        <f t="shared" si="188"/>
        <v>#DIV/0!</v>
      </c>
      <c r="FJ120" s="341">
        <f t="shared" si="190"/>
        <v>0</v>
      </c>
      <c r="FK120" s="347"/>
      <c r="FL120" s="348"/>
      <c r="FM120" s="352"/>
    </row>
    <row r="121" s="215" customFormat="1" ht="27" customHeight="1" spans="1:171">
      <c r="A121" s="337"/>
      <c r="B121" s="335"/>
      <c r="C121" s="338"/>
      <c r="D121" s="337" t="s">
        <v>12</v>
      </c>
      <c r="E121" s="342">
        <v>0.25</v>
      </c>
      <c r="F121" s="340"/>
      <c r="G121" s="341"/>
      <c r="H121" s="341"/>
      <c r="I121" s="341"/>
      <c r="J121" s="341" t="e">
        <f t="shared" si="157"/>
        <v>#DIV/0!</v>
      </c>
      <c r="K121" s="340"/>
      <c r="L121" s="341"/>
      <c r="M121" s="341"/>
      <c r="N121" s="341"/>
      <c r="O121" s="341" t="e">
        <f t="shared" si="158"/>
        <v>#DIV/0!</v>
      </c>
      <c r="P121" s="340"/>
      <c r="Q121" s="341"/>
      <c r="R121" s="341"/>
      <c r="S121" s="341"/>
      <c r="T121" s="341" t="e">
        <f t="shared" si="159"/>
        <v>#DIV/0!</v>
      </c>
      <c r="U121" s="340"/>
      <c r="V121" s="341"/>
      <c r="W121" s="341"/>
      <c r="X121" s="341"/>
      <c r="Y121" s="341" t="e">
        <f t="shared" si="160"/>
        <v>#DIV/0!</v>
      </c>
      <c r="Z121" s="340"/>
      <c r="AA121" s="341"/>
      <c r="AB121" s="341"/>
      <c r="AC121" s="341"/>
      <c r="AD121" s="341" t="e">
        <f t="shared" si="192"/>
        <v>#DIV/0!</v>
      </c>
      <c r="AE121" s="340"/>
      <c r="AF121" s="341"/>
      <c r="AG121" s="341"/>
      <c r="AH121" s="341"/>
      <c r="AI121" s="341" t="e">
        <f t="shared" si="161"/>
        <v>#DIV/0!</v>
      </c>
      <c r="AJ121" s="340"/>
      <c r="AK121" s="341"/>
      <c r="AL121" s="341"/>
      <c r="AM121" s="341"/>
      <c r="AN121" s="341" t="e">
        <f t="shared" si="162"/>
        <v>#DIV/0!</v>
      </c>
      <c r="AO121" s="340"/>
      <c r="AP121" s="341"/>
      <c r="AQ121" s="341"/>
      <c r="AR121" s="341"/>
      <c r="AS121" s="341" t="e">
        <f t="shared" si="194"/>
        <v>#DIV/0!</v>
      </c>
      <c r="AT121" s="340"/>
      <c r="AU121" s="341"/>
      <c r="AV121" s="341"/>
      <c r="AW121" s="341"/>
      <c r="AX121" s="341" t="e">
        <f t="shared" si="163"/>
        <v>#DIV/0!</v>
      </c>
      <c r="AY121" s="340"/>
      <c r="AZ121" s="341"/>
      <c r="BA121" s="341"/>
      <c r="BB121" s="341"/>
      <c r="BC121" s="341" t="e">
        <f t="shared" si="164"/>
        <v>#DIV/0!</v>
      </c>
      <c r="BD121" s="340"/>
      <c r="BE121" s="341"/>
      <c r="BF121" s="341"/>
      <c r="BG121" s="341"/>
      <c r="BH121" s="341" t="e">
        <f t="shared" si="165"/>
        <v>#DIV/0!</v>
      </c>
      <c r="BI121" s="340"/>
      <c r="BJ121" s="341"/>
      <c r="BK121" s="341"/>
      <c r="BL121" s="341"/>
      <c r="BM121" s="341" t="e">
        <f t="shared" si="166"/>
        <v>#DIV/0!</v>
      </c>
      <c r="BN121" s="340"/>
      <c r="BO121" s="341"/>
      <c r="BP121" s="341"/>
      <c r="BQ121" s="341"/>
      <c r="BR121" s="341" t="e">
        <f t="shared" si="167"/>
        <v>#DIV/0!</v>
      </c>
      <c r="BS121" s="340"/>
      <c r="BT121" s="341"/>
      <c r="BU121" s="341"/>
      <c r="BV121" s="341"/>
      <c r="BW121" s="341" t="e">
        <f t="shared" si="168"/>
        <v>#DIV/0!</v>
      </c>
      <c r="BX121" s="340"/>
      <c r="BY121" s="341"/>
      <c r="BZ121" s="341"/>
      <c r="CA121" s="341"/>
      <c r="CB121" s="341" t="e">
        <f t="shared" si="169"/>
        <v>#DIV/0!</v>
      </c>
      <c r="CC121" s="340"/>
      <c r="CD121" s="341"/>
      <c r="CE121" s="341"/>
      <c r="CF121" s="341"/>
      <c r="CG121" s="341" t="e">
        <f t="shared" si="170"/>
        <v>#DIV/0!</v>
      </c>
      <c r="CH121" s="340"/>
      <c r="CI121" s="341"/>
      <c r="CJ121" s="341"/>
      <c r="CK121" s="341"/>
      <c r="CL121" s="341" t="e">
        <f t="shared" si="171"/>
        <v>#DIV/0!</v>
      </c>
      <c r="CM121" s="340"/>
      <c r="CN121" s="341"/>
      <c r="CO121" s="341"/>
      <c r="CP121" s="341"/>
      <c r="CQ121" s="341" t="e">
        <f t="shared" si="172"/>
        <v>#DIV/0!</v>
      </c>
      <c r="CR121" s="340"/>
      <c r="CS121" s="341"/>
      <c r="CT121" s="341"/>
      <c r="CU121" s="341"/>
      <c r="CV121" s="341" t="e">
        <f t="shared" si="173"/>
        <v>#DIV/0!</v>
      </c>
      <c r="CW121" s="340"/>
      <c r="CX121" s="341"/>
      <c r="CY121" s="341"/>
      <c r="CZ121" s="341"/>
      <c r="DA121" s="341" t="e">
        <f t="shared" si="174"/>
        <v>#DIV/0!</v>
      </c>
      <c r="DB121" s="340"/>
      <c r="DC121" s="341"/>
      <c r="DD121" s="341"/>
      <c r="DE121" s="341"/>
      <c r="DF121" s="341" t="e">
        <f t="shared" si="175"/>
        <v>#DIV/0!</v>
      </c>
      <c r="DG121" s="340"/>
      <c r="DH121" s="341"/>
      <c r="DI121" s="341"/>
      <c r="DJ121" s="341"/>
      <c r="DK121" s="341" t="e">
        <f t="shared" si="176"/>
        <v>#DIV/0!</v>
      </c>
      <c r="DL121" s="340"/>
      <c r="DM121" s="341"/>
      <c r="DN121" s="341"/>
      <c r="DO121" s="341"/>
      <c r="DP121" s="341" t="e">
        <f t="shared" si="177"/>
        <v>#DIV/0!</v>
      </c>
      <c r="DQ121" s="340"/>
      <c r="DR121" s="341"/>
      <c r="DS121" s="341"/>
      <c r="DT121" s="341"/>
      <c r="DU121" s="341" t="e">
        <f t="shared" si="178"/>
        <v>#DIV/0!</v>
      </c>
      <c r="DV121" s="340"/>
      <c r="DW121" s="341"/>
      <c r="DX121" s="341"/>
      <c r="DY121" s="341"/>
      <c r="DZ121" s="341" t="e">
        <f t="shared" si="179"/>
        <v>#DIV/0!</v>
      </c>
      <c r="EA121" s="340"/>
      <c r="EB121" s="341"/>
      <c r="EC121" s="341"/>
      <c r="ED121" s="341"/>
      <c r="EE121" s="341" t="e">
        <f t="shared" si="180"/>
        <v>#DIV/0!</v>
      </c>
      <c r="EF121" s="340"/>
      <c r="EG121" s="341"/>
      <c r="EH121" s="341"/>
      <c r="EI121" s="341"/>
      <c r="EJ121" s="341" t="e">
        <f t="shared" si="181"/>
        <v>#DIV/0!</v>
      </c>
      <c r="EK121" s="340"/>
      <c r="EL121" s="341"/>
      <c r="EM121" s="341"/>
      <c r="EN121" s="341"/>
      <c r="EO121" s="341" t="e">
        <f t="shared" si="182"/>
        <v>#DIV/0!</v>
      </c>
      <c r="EP121" s="340"/>
      <c r="EQ121" s="341"/>
      <c r="ER121" s="341"/>
      <c r="ES121" s="341"/>
      <c r="ET121" s="341" t="e">
        <f t="shared" si="183"/>
        <v>#DIV/0!</v>
      </c>
      <c r="EU121" s="340"/>
      <c r="EV121" s="341"/>
      <c r="EW121" s="341"/>
      <c r="EX121" s="341"/>
      <c r="EY121" s="341" t="e">
        <f t="shared" si="184"/>
        <v>#DIV/0!</v>
      </c>
      <c r="EZ121" s="340"/>
      <c r="FA121" s="341"/>
      <c r="FB121" s="341"/>
      <c r="FC121" s="341"/>
      <c r="FD121" s="341" t="e">
        <f t="shared" si="185"/>
        <v>#DIV/0!</v>
      </c>
      <c r="FE121" s="341">
        <f t="shared" si="186"/>
        <v>0</v>
      </c>
      <c r="FF121" s="341"/>
      <c r="FG121" s="341">
        <f t="shared" si="187"/>
        <v>0</v>
      </c>
      <c r="FH121" s="343">
        <f t="shared" si="193"/>
        <v>0</v>
      </c>
      <c r="FI121" s="344" t="e">
        <f t="shared" si="188"/>
        <v>#DIV/0!</v>
      </c>
      <c r="FJ121" s="341">
        <f t="shared" si="190"/>
        <v>0</v>
      </c>
      <c r="FK121" s="347"/>
      <c r="FL121" s="348"/>
      <c r="FM121" s="352"/>
      <c r="FO121" s="353"/>
    </row>
    <row r="122" s="215" customFormat="1" ht="27" customHeight="1" spans="1:169">
      <c r="A122" s="337"/>
      <c r="B122" s="335"/>
      <c r="C122" s="338"/>
      <c r="D122" s="337" t="s">
        <v>52</v>
      </c>
      <c r="E122" s="342">
        <v>0.67</v>
      </c>
      <c r="F122" s="340">
        <v>63</v>
      </c>
      <c r="G122" s="341">
        <v>1</v>
      </c>
      <c r="H122" s="341">
        <v>62</v>
      </c>
      <c r="I122" s="341"/>
      <c r="J122" s="341">
        <f t="shared" si="157"/>
        <v>1</v>
      </c>
      <c r="K122" s="340">
        <v>61</v>
      </c>
      <c r="L122" s="341">
        <v>4</v>
      </c>
      <c r="M122" s="341">
        <v>57</v>
      </c>
      <c r="N122" s="341"/>
      <c r="O122" s="341">
        <f t="shared" si="158"/>
        <v>1</v>
      </c>
      <c r="P122" s="340"/>
      <c r="Q122" s="341"/>
      <c r="R122" s="341"/>
      <c r="S122" s="341"/>
      <c r="T122" s="341" t="e">
        <f t="shared" si="159"/>
        <v>#DIV/0!</v>
      </c>
      <c r="U122" s="340">
        <v>47</v>
      </c>
      <c r="V122" s="341">
        <v>3</v>
      </c>
      <c r="W122" s="341">
        <v>44</v>
      </c>
      <c r="X122" s="341"/>
      <c r="Y122" s="341">
        <f t="shared" si="160"/>
        <v>1</v>
      </c>
      <c r="Z122" s="340"/>
      <c r="AA122" s="341"/>
      <c r="AB122" s="341"/>
      <c r="AC122" s="341"/>
      <c r="AD122" s="341" t="e">
        <f t="shared" si="192"/>
        <v>#DIV/0!</v>
      </c>
      <c r="AE122" s="340">
        <v>122</v>
      </c>
      <c r="AF122" s="341">
        <v>3</v>
      </c>
      <c r="AG122" s="341">
        <v>114</v>
      </c>
      <c r="AH122" s="341">
        <v>5</v>
      </c>
      <c r="AI122" s="341">
        <f t="shared" si="161"/>
        <v>0.917731798601794</v>
      </c>
      <c r="AJ122" s="340">
        <v>178</v>
      </c>
      <c r="AK122" s="341">
        <v>2</v>
      </c>
      <c r="AL122" s="341">
        <v>170</v>
      </c>
      <c r="AM122" s="341">
        <v>6</v>
      </c>
      <c r="AN122" s="341">
        <f t="shared" si="162"/>
        <v>0.932980371900826</v>
      </c>
      <c r="AO122" s="340">
        <v>120</v>
      </c>
      <c r="AP122" s="341"/>
      <c r="AQ122" s="341">
        <v>160</v>
      </c>
      <c r="AR122" s="341"/>
      <c r="AS122" s="341">
        <f t="shared" si="194"/>
        <v>1</v>
      </c>
      <c r="AT122" s="340"/>
      <c r="AU122" s="341"/>
      <c r="AV122" s="341"/>
      <c r="AW122" s="341"/>
      <c r="AX122" s="341" t="e">
        <f t="shared" si="163"/>
        <v>#DIV/0!</v>
      </c>
      <c r="AY122" s="340"/>
      <c r="AZ122" s="341"/>
      <c r="BA122" s="341"/>
      <c r="BB122" s="341"/>
      <c r="BC122" s="341" t="e">
        <f t="shared" si="164"/>
        <v>#DIV/0!</v>
      </c>
      <c r="BD122" s="340"/>
      <c r="BE122" s="341"/>
      <c r="BF122" s="341"/>
      <c r="BG122" s="341"/>
      <c r="BH122" s="341" t="e">
        <f t="shared" si="165"/>
        <v>#DIV/0!</v>
      </c>
      <c r="BI122" s="340"/>
      <c r="BJ122" s="341"/>
      <c r="BK122" s="341"/>
      <c r="BL122" s="341"/>
      <c r="BM122" s="341" t="e">
        <f t="shared" si="166"/>
        <v>#DIV/0!</v>
      </c>
      <c r="BN122" s="340"/>
      <c r="BO122" s="341"/>
      <c r="BP122" s="341"/>
      <c r="BQ122" s="341"/>
      <c r="BR122" s="341" t="e">
        <f t="shared" si="167"/>
        <v>#DIV/0!</v>
      </c>
      <c r="BS122" s="340"/>
      <c r="BT122" s="341"/>
      <c r="BU122" s="341"/>
      <c r="BV122" s="341"/>
      <c r="BW122" s="341" t="e">
        <f t="shared" si="168"/>
        <v>#DIV/0!</v>
      </c>
      <c r="BX122" s="340"/>
      <c r="BY122" s="341"/>
      <c r="BZ122" s="341"/>
      <c r="CA122" s="341"/>
      <c r="CB122" s="341" t="e">
        <f t="shared" si="169"/>
        <v>#DIV/0!</v>
      </c>
      <c r="CC122" s="340"/>
      <c r="CD122" s="341"/>
      <c r="CE122" s="341"/>
      <c r="CF122" s="341"/>
      <c r="CG122" s="341" t="e">
        <f t="shared" si="170"/>
        <v>#DIV/0!</v>
      </c>
      <c r="CH122" s="340"/>
      <c r="CI122" s="341"/>
      <c r="CJ122" s="341"/>
      <c r="CK122" s="341"/>
      <c r="CL122" s="341" t="e">
        <f t="shared" si="171"/>
        <v>#DIV/0!</v>
      </c>
      <c r="CM122" s="340"/>
      <c r="CN122" s="341"/>
      <c r="CO122" s="341"/>
      <c r="CP122" s="341"/>
      <c r="CQ122" s="341" t="e">
        <f t="shared" si="172"/>
        <v>#DIV/0!</v>
      </c>
      <c r="CR122" s="340"/>
      <c r="CS122" s="341"/>
      <c r="CT122" s="341"/>
      <c r="CU122" s="341"/>
      <c r="CV122" s="341" t="e">
        <f t="shared" si="173"/>
        <v>#DIV/0!</v>
      </c>
      <c r="CW122" s="340"/>
      <c r="CX122" s="341"/>
      <c r="CY122" s="341">
        <v>54</v>
      </c>
      <c r="CZ122" s="341"/>
      <c r="DA122" s="341">
        <f t="shared" si="174"/>
        <v>1</v>
      </c>
      <c r="DB122" s="340"/>
      <c r="DC122" s="341"/>
      <c r="DD122" s="341"/>
      <c r="DE122" s="341"/>
      <c r="DF122" s="341" t="e">
        <f t="shared" si="175"/>
        <v>#DIV/0!</v>
      </c>
      <c r="DG122" s="340"/>
      <c r="DH122" s="341"/>
      <c r="DI122" s="341"/>
      <c r="DJ122" s="341"/>
      <c r="DK122" s="341" t="e">
        <f t="shared" si="176"/>
        <v>#DIV/0!</v>
      </c>
      <c r="DL122" s="340"/>
      <c r="DM122" s="341"/>
      <c r="DN122" s="341"/>
      <c r="DO122" s="341"/>
      <c r="DP122" s="341" t="e">
        <f t="shared" si="177"/>
        <v>#DIV/0!</v>
      </c>
      <c r="DQ122" s="340"/>
      <c r="DR122" s="341"/>
      <c r="DS122" s="341"/>
      <c r="DT122" s="341"/>
      <c r="DU122" s="341" t="e">
        <f t="shared" si="178"/>
        <v>#DIV/0!</v>
      </c>
      <c r="DV122" s="340"/>
      <c r="DW122" s="341"/>
      <c r="DX122" s="341"/>
      <c r="DY122" s="341"/>
      <c r="DZ122" s="341" t="e">
        <f t="shared" si="179"/>
        <v>#DIV/0!</v>
      </c>
      <c r="EA122" s="340"/>
      <c r="EB122" s="341"/>
      <c r="EC122" s="341"/>
      <c r="ED122" s="341"/>
      <c r="EE122" s="341" t="e">
        <f t="shared" si="180"/>
        <v>#DIV/0!</v>
      </c>
      <c r="EF122" s="340"/>
      <c r="EG122" s="341"/>
      <c r="EH122" s="341"/>
      <c r="EI122" s="341"/>
      <c r="EJ122" s="341" t="e">
        <f t="shared" si="181"/>
        <v>#DIV/0!</v>
      </c>
      <c r="EK122" s="340"/>
      <c r="EL122" s="341"/>
      <c r="EM122" s="341"/>
      <c r="EN122" s="341"/>
      <c r="EO122" s="341" t="e">
        <f t="shared" si="182"/>
        <v>#DIV/0!</v>
      </c>
      <c r="EP122" s="340"/>
      <c r="EQ122" s="341"/>
      <c r="ER122" s="341"/>
      <c r="ES122" s="341"/>
      <c r="ET122" s="341" t="e">
        <f t="shared" si="183"/>
        <v>#DIV/0!</v>
      </c>
      <c r="EU122" s="340"/>
      <c r="EV122" s="341"/>
      <c r="EW122" s="341"/>
      <c r="EX122" s="341"/>
      <c r="EY122" s="341" t="e">
        <f t="shared" si="184"/>
        <v>#DIV/0!</v>
      </c>
      <c r="EZ122" s="340"/>
      <c r="FA122" s="341"/>
      <c r="FB122" s="341"/>
      <c r="FC122" s="341"/>
      <c r="FD122" s="341" t="e">
        <f t="shared" si="185"/>
        <v>#DIV/0!</v>
      </c>
      <c r="FE122" s="341">
        <f t="shared" si="186"/>
        <v>591</v>
      </c>
      <c r="FF122" s="341"/>
      <c r="FG122" s="341">
        <f t="shared" si="187"/>
        <v>13</v>
      </c>
      <c r="FH122" s="343">
        <f t="shared" si="193"/>
        <v>661</v>
      </c>
      <c r="FI122" s="344">
        <f t="shared" si="188"/>
        <v>1.2509154520286</v>
      </c>
      <c r="FJ122" s="341">
        <f t="shared" si="190"/>
        <v>442.87</v>
      </c>
      <c r="FK122" s="347"/>
      <c r="FL122" s="348"/>
      <c r="FM122" s="352"/>
    </row>
    <row r="123" s="215" customFormat="1" ht="27" customHeight="1" spans="1:169">
      <c r="A123" s="337"/>
      <c r="B123" s="335"/>
      <c r="C123" s="338"/>
      <c r="D123" s="337" t="s">
        <v>14</v>
      </c>
      <c r="E123" s="342">
        <v>0.373</v>
      </c>
      <c r="F123" s="340"/>
      <c r="G123" s="341"/>
      <c r="H123" s="341"/>
      <c r="I123" s="341"/>
      <c r="J123" s="341" t="e">
        <f t="shared" si="157"/>
        <v>#DIV/0!</v>
      </c>
      <c r="K123" s="340"/>
      <c r="L123" s="341"/>
      <c r="M123" s="341"/>
      <c r="N123" s="341"/>
      <c r="O123" s="341" t="e">
        <f t="shared" si="158"/>
        <v>#DIV/0!</v>
      </c>
      <c r="P123" s="340"/>
      <c r="Q123" s="341"/>
      <c r="R123" s="341"/>
      <c r="S123" s="341"/>
      <c r="T123" s="341" t="e">
        <f t="shared" si="159"/>
        <v>#DIV/0!</v>
      </c>
      <c r="U123" s="340"/>
      <c r="V123" s="341"/>
      <c r="W123" s="341"/>
      <c r="X123" s="341"/>
      <c r="Y123" s="341" t="e">
        <f t="shared" si="160"/>
        <v>#DIV/0!</v>
      </c>
      <c r="Z123" s="340"/>
      <c r="AA123" s="341"/>
      <c r="AB123" s="341"/>
      <c r="AC123" s="341"/>
      <c r="AD123" s="341" t="e">
        <f t="shared" si="192"/>
        <v>#DIV/0!</v>
      </c>
      <c r="AE123" s="340"/>
      <c r="AF123" s="341"/>
      <c r="AG123" s="341"/>
      <c r="AH123" s="341"/>
      <c r="AI123" s="341" t="e">
        <f t="shared" si="161"/>
        <v>#DIV/0!</v>
      </c>
      <c r="AJ123" s="340"/>
      <c r="AK123" s="341"/>
      <c r="AL123" s="341"/>
      <c r="AM123" s="341"/>
      <c r="AN123" s="341" t="e">
        <f t="shared" si="162"/>
        <v>#DIV/0!</v>
      </c>
      <c r="AO123" s="340"/>
      <c r="AP123" s="341"/>
      <c r="AQ123" s="341"/>
      <c r="AR123" s="341"/>
      <c r="AS123" s="341" t="e">
        <f t="shared" si="194"/>
        <v>#DIV/0!</v>
      </c>
      <c r="AT123" s="340"/>
      <c r="AU123" s="341"/>
      <c r="AV123" s="341"/>
      <c r="AW123" s="341"/>
      <c r="AX123" s="341" t="e">
        <f t="shared" si="163"/>
        <v>#DIV/0!</v>
      </c>
      <c r="AY123" s="340"/>
      <c r="AZ123" s="341"/>
      <c r="BA123" s="341"/>
      <c r="BB123" s="341"/>
      <c r="BC123" s="341" t="e">
        <f t="shared" si="164"/>
        <v>#DIV/0!</v>
      </c>
      <c r="BD123" s="340"/>
      <c r="BE123" s="341"/>
      <c r="BF123" s="341"/>
      <c r="BG123" s="341"/>
      <c r="BH123" s="341" t="e">
        <f t="shared" si="165"/>
        <v>#DIV/0!</v>
      </c>
      <c r="BI123" s="340"/>
      <c r="BJ123" s="341"/>
      <c r="BK123" s="341"/>
      <c r="BL123" s="341"/>
      <c r="BM123" s="341" t="e">
        <f t="shared" si="166"/>
        <v>#DIV/0!</v>
      </c>
      <c r="BN123" s="340"/>
      <c r="BO123" s="341"/>
      <c r="BP123" s="341"/>
      <c r="BQ123" s="341"/>
      <c r="BR123" s="341" t="e">
        <f t="shared" si="167"/>
        <v>#DIV/0!</v>
      </c>
      <c r="BS123" s="340"/>
      <c r="BT123" s="341"/>
      <c r="BU123" s="341"/>
      <c r="BV123" s="341"/>
      <c r="BW123" s="341" t="e">
        <f t="shared" si="168"/>
        <v>#DIV/0!</v>
      </c>
      <c r="BX123" s="340"/>
      <c r="BY123" s="341"/>
      <c r="BZ123" s="341"/>
      <c r="CA123" s="341"/>
      <c r="CB123" s="341" t="e">
        <f t="shared" si="169"/>
        <v>#DIV/0!</v>
      </c>
      <c r="CC123" s="340"/>
      <c r="CD123" s="341"/>
      <c r="CE123" s="341"/>
      <c r="CF123" s="341"/>
      <c r="CG123" s="341" t="e">
        <f t="shared" si="170"/>
        <v>#DIV/0!</v>
      </c>
      <c r="CH123" s="340"/>
      <c r="CI123" s="341"/>
      <c r="CJ123" s="341"/>
      <c r="CK123" s="341"/>
      <c r="CL123" s="341" t="e">
        <f t="shared" si="171"/>
        <v>#DIV/0!</v>
      </c>
      <c r="CM123" s="340"/>
      <c r="CN123" s="341"/>
      <c r="CO123" s="341"/>
      <c r="CP123" s="341"/>
      <c r="CQ123" s="341" t="e">
        <f t="shared" si="172"/>
        <v>#DIV/0!</v>
      </c>
      <c r="CR123" s="340"/>
      <c r="CS123" s="341"/>
      <c r="CT123" s="341"/>
      <c r="CU123" s="341"/>
      <c r="CV123" s="341" t="e">
        <f t="shared" si="173"/>
        <v>#DIV/0!</v>
      </c>
      <c r="CW123" s="340"/>
      <c r="CX123" s="341"/>
      <c r="CY123" s="341"/>
      <c r="CZ123" s="341"/>
      <c r="DA123" s="341" t="e">
        <f t="shared" si="174"/>
        <v>#DIV/0!</v>
      </c>
      <c r="DB123" s="340"/>
      <c r="DC123" s="341"/>
      <c r="DD123" s="341"/>
      <c r="DE123" s="341"/>
      <c r="DF123" s="341" t="e">
        <f t="shared" si="175"/>
        <v>#DIV/0!</v>
      </c>
      <c r="DG123" s="340"/>
      <c r="DH123" s="341"/>
      <c r="DI123" s="341"/>
      <c r="DJ123" s="341"/>
      <c r="DK123" s="341" t="e">
        <f t="shared" si="176"/>
        <v>#DIV/0!</v>
      </c>
      <c r="DL123" s="340"/>
      <c r="DM123" s="341"/>
      <c r="DN123" s="341"/>
      <c r="DO123" s="341"/>
      <c r="DP123" s="341" t="e">
        <f t="shared" si="177"/>
        <v>#DIV/0!</v>
      </c>
      <c r="DQ123" s="340"/>
      <c r="DR123" s="341"/>
      <c r="DS123" s="341"/>
      <c r="DT123" s="341"/>
      <c r="DU123" s="341" t="e">
        <f t="shared" si="178"/>
        <v>#DIV/0!</v>
      </c>
      <c r="DV123" s="340"/>
      <c r="DW123" s="341"/>
      <c r="DX123" s="341"/>
      <c r="DY123" s="341"/>
      <c r="DZ123" s="341" t="e">
        <f t="shared" si="179"/>
        <v>#DIV/0!</v>
      </c>
      <c r="EA123" s="340"/>
      <c r="EB123" s="341"/>
      <c r="EC123" s="341"/>
      <c r="ED123" s="341"/>
      <c r="EE123" s="341" t="e">
        <f t="shared" si="180"/>
        <v>#DIV/0!</v>
      </c>
      <c r="EF123" s="340"/>
      <c r="EG123" s="341"/>
      <c r="EH123" s="341"/>
      <c r="EI123" s="341"/>
      <c r="EJ123" s="341" t="e">
        <f t="shared" si="181"/>
        <v>#DIV/0!</v>
      </c>
      <c r="EK123" s="340"/>
      <c r="EL123" s="341"/>
      <c r="EM123" s="341"/>
      <c r="EN123" s="341"/>
      <c r="EO123" s="341" t="e">
        <f t="shared" si="182"/>
        <v>#DIV/0!</v>
      </c>
      <c r="EP123" s="340"/>
      <c r="EQ123" s="341"/>
      <c r="ER123" s="341"/>
      <c r="ES123" s="341"/>
      <c r="ET123" s="341" t="e">
        <f t="shared" si="183"/>
        <v>#DIV/0!</v>
      </c>
      <c r="EU123" s="340"/>
      <c r="EV123" s="341"/>
      <c r="EW123" s="341"/>
      <c r="EX123" s="341"/>
      <c r="EY123" s="341" t="e">
        <f t="shared" si="184"/>
        <v>#DIV/0!</v>
      </c>
      <c r="EZ123" s="340"/>
      <c r="FA123" s="341"/>
      <c r="FB123" s="341"/>
      <c r="FC123" s="341"/>
      <c r="FD123" s="341" t="e">
        <f t="shared" si="185"/>
        <v>#DIV/0!</v>
      </c>
      <c r="FE123" s="341">
        <f t="shared" si="186"/>
        <v>0</v>
      </c>
      <c r="FF123" s="341"/>
      <c r="FG123" s="341">
        <f t="shared" si="187"/>
        <v>0</v>
      </c>
      <c r="FH123" s="343">
        <f t="shared" si="193"/>
        <v>0</v>
      </c>
      <c r="FI123" s="344" t="e">
        <f t="shared" si="188"/>
        <v>#DIV/0!</v>
      </c>
      <c r="FJ123" s="341">
        <f t="shared" si="190"/>
        <v>0</v>
      </c>
      <c r="FK123" s="347"/>
      <c r="FL123" s="348"/>
      <c r="FM123" s="352"/>
    </row>
    <row r="124" s="215" customFormat="1" ht="27" customHeight="1" spans="1:169">
      <c r="A124" s="337"/>
      <c r="B124" s="335"/>
      <c r="C124" s="338"/>
      <c r="D124" s="337" t="s">
        <v>15</v>
      </c>
      <c r="E124" s="342">
        <v>0.67</v>
      </c>
      <c r="F124" s="340"/>
      <c r="G124" s="341"/>
      <c r="H124" s="341"/>
      <c r="I124" s="341"/>
      <c r="J124" s="341" t="e">
        <f t="shared" si="157"/>
        <v>#DIV/0!</v>
      </c>
      <c r="K124" s="340"/>
      <c r="L124" s="341"/>
      <c r="M124" s="341"/>
      <c r="N124" s="341"/>
      <c r="O124" s="341" t="e">
        <f t="shared" si="158"/>
        <v>#DIV/0!</v>
      </c>
      <c r="P124" s="340"/>
      <c r="Q124" s="341"/>
      <c r="R124" s="341"/>
      <c r="S124" s="341"/>
      <c r="T124" s="341" t="e">
        <f t="shared" si="159"/>
        <v>#DIV/0!</v>
      </c>
      <c r="U124" s="340">
        <v>50</v>
      </c>
      <c r="V124" s="341">
        <v>4</v>
      </c>
      <c r="W124" s="341">
        <v>46</v>
      </c>
      <c r="X124" s="341"/>
      <c r="Y124" s="341">
        <f t="shared" si="160"/>
        <v>1</v>
      </c>
      <c r="Z124" s="340">
        <v>95</v>
      </c>
      <c r="AA124" s="341"/>
      <c r="AB124" s="341">
        <v>95</v>
      </c>
      <c r="AC124" s="341"/>
      <c r="AD124" s="341">
        <f t="shared" si="192"/>
        <v>1</v>
      </c>
      <c r="AE124" s="340"/>
      <c r="AF124" s="341"/>
      <c r="AG124" s="341"/>
      <c r="AH124" s="341"/>
      <c r="AI124" s="341" t="e">
        <f t="shared" si="161"/>
        <v>#DIV/0!</v>
      </c>
      <c r="AJ124" s="340"/>
      <c r="AK124" s="341"/>
      <c r="AL124" s="341"/>
      <c r="AM124" s="341"/>
      <c r="AN124" s="341" t="e">
        <f t="shared" si="162"/>
        <v>#DIV/0!</v>
      </c>
      <c r="AO124" s="340"/>
      <c r="AP124" s="341"/>
      <c r="AQ124" s="341"/>
      <c r="AR124" s="341"/>
      <c r="AS124" s="341" t="e">
        <f t="shared" si="194"/>
        <v>#DIV/0!</v>
      </c>
      <c r="AT124" s="340"/>
      <c r="AU124" s="341"/>
      <c r="AV124" s="341"/>
      <c r="AW124" s="341"/>
      <c r="AX124" s="341" t="e">
        <f t="shared" si="163"/>
        <v>#DIV/0!</v>
      </c>
      <c r="AY124" s="340"/>
      <c r="AZ124" s="341"/>
      <c r="BA124" s="341"/>
      <c r="BB124" s="341"/>
      <c r="BC124" s="341" t="e">
        <f t="shared" si="164"/>
        <v>#DIV/0!</v>
      </c>
      <c r="BD124" s="340"/>
      <c r="BE124" s="341"/>
      <c r="BF124" s="341"/>
      <c r="BG124" s="341"/>
      <c r="BH124" s="341" t="e">
        <f t="shared" si="165"/>
        <v>#DIV/0!</v>
      </c>
      <c r="BI124" s="340"/>
      <c r="BJ124" s="341"/>
      <c r="BK124" s="341"/>
      <c r="BL124" s="341"/>
      <c r="BM124" s="341" t="e">
        <f t="shared" si="166"/>
        <v>#DIV/0!</v>
      </c>
      <c r="BN124" s="340"/>
      <c r="BO124" s="341"/>
      <c r="BP124" s="341"/>
      <c r="BQ124" s="341"/>
      <c r="BR124" s="341" t="e">
        <f t="shared" si="167"/>
        <v>#DIV/0!</v>
      </c>
      <c r="BS124" s="340"/>
      <c r="BT124" s="341"/>
      <c r="BU124" s="341"/>
      <c r="BV124" s="341"/>
      <c r="BW124" s="341" t="e">
        <f t="shared" si="168"/>
        <v>#DIV/0!</v>
      </c>
      <c r="BX124" s="340"/>
      <c r="BY124" s="341"/>
      <c r="BZ124" s="341"/>
      <c r="CA124" s="341"/>
      <c r="CB124" s="341" t="e">
        <f t="shared" si="169"/>
        <v>#DIV/0!</v>
      </c>
      <c r="CC124" s="340"/>
      <c r="CD124" s="341"/>
      <c r="CE124" s="341"/>
      <c r="CF124" s="341"/>
      <c r="CG124" s="341" t="e">
        <f t="shared" si="170"/>
        <v>#DIV/0!</v>
      </c>
      <c r="CH124" s="340"/>
      <c r="CI124" s="341"/>
      <c r="CJ124" s="341"/>
      <c r="CK124" s="341"/>
      <c r="CL124" s="341" t="e">
        <f t="shared" si="171"/>
        <v>#DIV/0!</v>
      </c>
      <c r="CM124" s="340"/>
      <c r="CN124" s="341"/>
      <c r="CO124" s="341"/>
      <c r="CP124" s="341"/>
      <c r="CQ124" s="341" t="e">
        <f t="shared" si="172"/>
        <v>#DIV/0!</v>
      </c>
      <c r="CR124" s="340"/>
      <c r="CS124" s="341"/>
      <c r="CT124" s="341"/>
      <c r="CU124" s="341"/>
      <c r="CV124" s="341" t="e">
        <f t="shared" si="173"/>
        <v>#DIV/0!</v>
      </c>
      <c r="CW124" s="340"/>
      <c r="CX124" s="341"/>
      <c r="CY124" s="341"/>
      <c r="CZ124" s="341"/>
      <c r="DA124" s="341" t="e">
        <f t="shared" si="174"/>
        <v>#DIV/0!</v>
      </c>
      <c r="DB124" s="340"/>
      <c r="DC124" s="341"/>
      <c r="DD124" s="341"/>
      <c r="DE124" s="341"/>
      <c r="DF124" s="341" t="e">
        <f t="shared" si="175"/>
        <v>#DIV/0!</v>
      </c>
      <c r="DG124" s="340"/>
      <c r="DH124" s="341"/>
      <c r="DI124" s="341"/>
      <c r="DJ124" s="341"/>
      <c r="DK124" s="341" t="e">
        <f t="shared" si="176"/>
        <v>#DIV/0!</v>
      </c>
      <c r="DL124" s="340"/>
      <c r="DM124" s="341"/>
      <c r="DN124" s="341"/>
      <c r="DO124" s="341"/>
      <c r="DP124" s="341" t="e">
        <f t="shared" si="177"/>
        <v>#DIV/0!</v>
      </c>
      <c r="DQ124" s="340"/>
      <c r="DR124" s="341"/>
      <c r="DS124" s="341"/>
      <c r="DT124" s="341"/>
      <c r="DU124" s="341" t="e">
        <f t="shared" si="178"/>
        <v>#DIV/0!</v>
      </c>
      <c r="DV124" s="340"/>
      <c r="DW124" s="341"/>
      <c r="DX124" s="341"/>
      <c r="DY124" s="341"/>
      <c r="DZ124" s="341" t="e">
        <f t="shared" si="179"/>
        <v>#DIV/0!</v>
      </c>
      <c r="EA124" s="340"/>
      <c r="EB124" s="341"/>
      <c r="EC124" s="341"/>
      <c r="ED124" s="341"/>
      <c r="EE124" s="341" t="e">
        <f t="shared" si="180"/>
        <v>#DIV/0!</v>
      </c>
      <c r="EF124" s="340"/>
      <c r="EG124" s="341"/>
      <c r="EH124" s="341"/>
      <c r="EI124" s="341"/>
      <c r="EJ124" s="341" t="e">
        <f t="shared" si="181"/>
        <v>#DIV/0!</v>
      </c>
      <c r="EK124" s="340"/>
      <c r="EL124" s="341"/>
      <c r="EM124" s="341"/>
      <c r="EN124" s="341"/>
      <c r="EO124" s="341" t="e">
        <f t="shared" si="182"/>
        <v>#DIV/0!</v>
      </c>
      <c r="EP124" s="340"/>
      <c r="EQ124" s="341"/>
      <c r="ER124" s="341"/>
      <c r="ES124" s="341"/>
      <c r="ET124" s="341" t="e">
        <f t="shared" si="183"/>
        <v>#DIV/0!</v>
      </c>
      <c r="EU124" s="340"/>
      <c r="EV124" s="341"/>
      <c r="EW124" s="341"/>
      <c r="EX124" s="341"/>
      <c r="EY124" s="341" t="e">
        <f t="shared" si="184"/>
        <v>#DIV/0!</v>
      </c>
      <c r="EZ124" s="340"/>
      <c r="FA124" s="341"/>
      <c r="FB124" s="341"/>
      <c r="FC124" s="341"/>
      <c r="FD124" s="341" t="e">
        <f t="shared" si="185"/>
        <v>#DIV/0!</v>
      </c>
      <c r="FE124" s="341">
        <f t="shared" si="186"/>
        <v>145</v>
      </c>
      <c r="FF124" s="341"/>
      <c r="FG124" s="341">
        <f t="shared" si="187"/>
        <v>4</v>
      </c>
      <c r="FH124" s="343">
        <f t="shared" si="193"/>
        <v>141</v>
      </c>
      <c r="FI124" s="344">
        <f t="shared" si="188"/>
        <v>0.945588585017836</v>
      </c>
      <c r="FJ124" s="341">
        <f t="shared" si="190"/>
        <v>94.47</v>
      </c>
      <c r="FK124" s="347"/>
      <c r="FL124" s="348"/>
      <c r="FM124" s="352"/>
    </row>
    <row r="125" s="215" customFormat="1" ht="27" customHeight="1" spans="1:169">
      <c r="A125" s="337"/>
      <c r="B125" s="335"/>
      <c r="C125" s="338"/>
      <c r="D125" s="337" t="s">
        <v>16</v>
      </c>
      <c r="E125" s="342">
        <v>0.67</v>
      </c>
      <c r="F125" s="340"/>
      <c r="G125" s="341"/>
      <c r="H125" s="341"/>
      <c r="I125" s="341"/>
      <c r="J125" s="341" t="e">
        <f t="shared" si="157"/>
        <v>#DIV/0!</v>
      </c>
      <c r="K125" s="340"/>
      <c r="L125" s="341"/>
      <c r="M125" s="341"/>
      <c r="N125" s="341"/>
      <c r="O125" s="341" t="e">
        <f t="shared" si="158"/>
        <v>#DIV/0!</v>
      </c>
      <c r="P125" s="340"/>
      <c r="Q125" s="341"/>
      <c r="R125" s="341"/>
      <c r="S125" s="341"/>
      <c r="T125" s="341" t="e">
        <f t="shared" si="159"/>
        <v>#DIV/0!</v>
      </c>
      <c r="U125" s="340">
        <v>55</v>
      </c>
      <c r="V125" s="341">
        <v>2</v>
      </c>
      <c r="W125" s="341">
        <v>53</v>
      </c>
      <c r="X125" s="341"/>
      <c r="Y125" s="341">
        <f t="shared" si="160"/>
        <v>1</v>
      </c>
      <c r="Z125" s="340">
        <v>64</v>
      </c>
      <c r="AA125" s="341">
        <v>1</v>
      </c>
      <c r="AB125" s="341">
        <v>63</v>
      </c>
      <c r="AC125" s="341"/>
      <c r="AD125" s="341">
        <f t="shared" si="192"/>
        <v>1</v>
      </c>
      <c r="AE125" s="340"/>
      <c r="AF125" s="341"/>
      <c r="AG125" s="341"/>
      <c r="AH125" s="341"/>
      <c r="AI125" s="341" t="e">
        <f t="shared" si="161"/>
        <v>#DIV/0!</v>
      </c>
      <c r="AJ125" s="340"/>
      <c r="AK125" s="341"/>
      <c r="AL125" s="341"/>
      <c r="AM125" s="341"/>
      <c r="AN125" s="341" t="e">
        <f t="shared" si="162"/>
        <v>#DIV/0!</v>
      </c>
      <c r="AO125" s="340"/>
      <c r="AP125" s="341"/>
      <c r="AQ125" s="341"/>
      <c r="AR125" s="341"/>
      <c r="AS125" s="341" t="e">
        <f t="shared" si="194"/>
        <v>#DIV/0!</v>
      </c>
      <c r="AT125" s="340"/>
      <c r="AU125" s="341"/>
      <c r="AV125" s="341"/>
      <c r="AW125" s="341"/>
      <c r="AX125" s="341" t="e">
        <f t="shared" si="163"/>
        <v>#DIV/0!</v>
      </c>
      <c r="AY125" s="340"/>
      <c r="AZ125" s="341"/>
      <c r="BA125" s="341"/>
      <c r="BB125" s="341"/>
      <c r="BC125" s="341" t="e">
        <f t="shared" si="164"/>
        <v>#DIV/0!</v>
      </c>
      <c r="BD125" s="340"/>
      <c r="BE125" s="341"/>
      <c r="BF125" s="341"/>
      <c r="BG125" s="341"/>
      <c r="BH125" s="341" t="e">
        <f t="shared" si="165"/>
        <v>#DIV/0!</v>
      </c>
      <c r="BI125" s="340"/>
      <c r="BJ125" s="341"/>
      <c r="BK125" s="341"/>
      <c r="BL125" s="341"/>
      <c r="BM125" s="341" t="e">
        <f t="shared" si="166"/>
        <v>#DIV/0!</v>
      </c>
      <c r="BN125" s="340"/>
      <c r="BO125" s="341"/>
      <c r="BP125" s="341"/>
      <c r="BQ125" s="341"/>
      <c r="BR125" s="341" t="e">
        <f t="shared" si="167"/>
        <v>#DIV/0!</v>
      </c>
      <c r="BS125" s="340"/>
      <c r="BT125" s="341"/>
      <c r="BU125" s="341"/>
      <c r="BV125" s="341"/>
      <c r="BW125" s="341" t="e">
        <f t="shared" si="168"/>
        <v>#DIV/0!</v>
      </c>
      <c r="BX125" s="340"/>
      <c r="BY125" s="341"/>
      <c r="BZ125" s="341"/>
      <c r="CA125" s="341"/>
      <c r="CB125" s="341" t="e">
        <f t="shared" si="169"/>
        <v>#DIV/0!</v>
      </c>
      <c r="CC125" s="340"/>
      <c r="CD125" s="341"/>
      <c r="CE125" s="341"/>
      <c r="CF125" s="341"/>
      <c r="CG125" s="341" t="e">
        <f t="shared" si="170"/>
        <v>#DIV/0!</v>
      </c>
      <c r="CH125" s="340"/>
      <c r="CI125" s="341"/>
      <c r="CJ125" s="341"/>
      <c r="CK125" s="341"/>
      <c r="CL125" s="341" t="e">
        <f t="shared" si="171"/>
        <v>#DIV/0!</v>
      </c>
      <c r="CM125" s="340"/>
      <c r="CN125" s="341"/>
      <c r="CO125" s="341"/>
      <c r="CP125" s="341"/>
      <c r="CQ125" s="341" t="e">
        <f t="shared" si="172"/>
        <v>#DIV/0!</v>
      </c>
      <c r="CR125" s="340"/>
      <c r="CS125" s="341"/>
      <c r="CT125" s="341"/>
      <c r="CU125" s="341"/>
      <c r="CV125" s="341" t="e">
        <f t="shared" si="173"/>
        <v>#DIV/0!</v>
      </c>
      <c r="CW125" s="340"/>
      <c r="CX125" s="341"/>
      <c r="CY125" s="341"/>
      <c r="CZ125" s="341"/>
      <c r="DA125" s="341" t="e">
        <f t="shared" si="174"/>
        <v>#DIV/0!</v>
      </c>
      <c r="DB125" s="340"/>
      <c r="DC125" s="341"/>
      <c r="DD125" s="341"/>
      <c r="DE125" s="341"/>
      <c r="DF125" s="341" t="e">
        <f t="shared" si="175"/>
        <v>#DIV/0!</v>
      </c>
      <c r="DG125" s="340"/>
      <c r="DH125" s="341"/>
      <c r="DI125" s="341"/>
      <c r="DJ125" s="341"/>
      <c r="DK125" s="341" t="e">
        <f t="shared" si="176"/>
        <v>#DIV/0!</v>
      </c>
      <c r="DL125" s="340"/>
      <c r="DM125" s="341"/>
      <c r="DN125" s="341"/>
      <c r="DO125" s="341"/>
      <c r="DP125" s="341" t="e">
        <f t="shared" si="177"/>
        <v>#DIV/0!</v>
      </c>
      <c r="DQ125" s="340"/>
      <c r="DR125" s="341"/>
      <c r="DS125" s="341"/>
      <c r="DT125" s="341"/>
      <c r="DU125" s="341" t="e">
        <f t="shared" si="178"/>
        <v>#DIV/0!</v>
      </c>
      <c r="DV125" s="340"/>
      <c r="DW125" s="341"/>
      <c r="DX125" s="341"/>
      <c r="DY125" s="341"/>
      <c r="DZ125" s="341" t="e">
        <f t="shared" si="179"/>
        <v>#DIV/0!</v>
      </c>
      <c r="EA125" s="340"/>
      <c r="EB125" s="341"/>
      <c r="EC125" s="341"/>
      <c r="ED125" s="341"/>
      <c r="EE125" s="341" t="e">
        <f t="shared" si="180"/>
        <v>#DIV/0!</v>
      </c>
      <c r="EF125" s="340"/>
      <c r="EG125" s="341"/>
      <c r="EH125" s="341"/>
      <c r="EI125" s="341"/>
      <c r="EJ125" s="341" t="e">
        <f t="shared" si="181"/>
        <v>#DIV/0!</v>
      </c>
      <c r="EK125" s="340"/>
      <c r="EL125" s="341"/>
      <c r="EM125" s="341"/>
      <c r="EN125" s="341"/>
      <c r="EO125" s="341" t="e">
        <f t="shared" si="182"/>
        <v>#DIV/0!</v>
      </c>
      <c r="EP125" s="340"/>
      <c r="EQ125" s="341"/>
      <c r="ER125" s="341"/>
      <c r="ES125" s="341"/>
      <c r="ET125" s="341" t="e">
        <f t="shared" si="183"/>
        <v>#DIV/0!</v>
      </c>
      <c r="EU125" s="340"/>
      <c r="EV125" s="341"/>
      <c r="EW125" s="341"/>
      <c r="EX125" s="341"/>
      <c r="EY125" s="341" t="e">
        <f t="shared" si="184"/>
        <v>#DIV/0!</v>
      </c>
      <c r="EZ125" s="340"/>
      <c r="FA125" s="341"/>
      <c r="FB125" s="341"/>
      <c r="FC125" s="341"/>
      <c r="FD125" s="341" t="e">
        <f t="shared" si="185"/>
        <v>#DIV/0!</v>
      </c>
      <c r="FE125" s="341">
        <f t="shared" si="186"/>
        <v>119</v>
      </c>
      <c r="FF125" s="341"/>
      <c r="FG125" s="341">
        <f t="shared" si="187"/>
        <v>3</v>
      </c>
      <c r="FH125" s="343">
        <f t="shared" si="193"/>
        <v>116</v>
      </c>
      <c r="FI125" s="344">
        <f t="shared" si="188"/>
        <v>0.950215380269755</v>
      </c>
      <c r="FJ125" s="341">
        <f t="shared" si="190"/>
        <v>77.72</v>
      </c>
      <c r="FK125" s="347"/>
      <c r="FL125" s="348"/>
      <c r="FM125" s="352"/>
    </row>
    <row r="126" s="215" customFormat="1" ht="27" customHeight="1" spans="1:169">
      <c r="A126" s="337"/>
      <c r="B126" s="336"/>
      <c r="C126" s="338"/>
      <c r="D126" s="337" t="s">
        <v>17</v>
      </c>
      <c r="E126" s="342">
        <v>0.373</v>
      </c>
      <c r="F126" s="340"/>
      <c r="G126" s="341"/>
      <c r="H126" s="341"/>
      <c r="I126" s="341"/>
      <c r="J126" s="341" t="e">
        <f t="shared" si="157"/>
        <v>#DIV/0!</v>
      </c>
      <c r="K126" s="340"/>
      <c r="L126" s="341"/>
      <c r="M126" s="341"/>
      <c r="N126" s="341"/>
      <c r="O126" s="341" t="e">
        <f t="shared" si="158"/>
        <v>#DIV/0!</v>
      </c>
      <c r="P126" s="340"/>
      <c r="Q126" s="341"/>
      <c r="R126" s="341"/>
      <c r="S126" s="341"/>
      <c r="T126" s="341" t="e">
        <f t="shared" si="159"/>
        <v>#DIV/0!</v>
      </c>
      <c r="U126" s="340"/>
      <c r="V126" s="341"/>
      <c r="W126" s="341"/>
      <c r="X126" s="341"/>
      <c r="Y126" s="341" t="e">
        <f t="shared" si="160"/>
        <v>#DIV/0!</v>
      </c>
      <c r="Z126" s="340"/>
      <c r="AA126" s="341"/>
      <c r="AB126" s="341"/>
      <c r="AC126" s="341"/>
      <c r="AD126" s="341" t="e">
        <f t="shared" si="192"/>
        <v>#DIV/0!</v>
      </c>
      <c r="AE126" s="340"/>
      <c r="AF126" s="341"/>
      <c r="AG126" s="341"/>
      <c r="AH126" s="341"/>
      <c r="AI126" s="341" t="e">
        <f t="shared" si="161"/>
        <v>#DIV/0!</v>
      </c>
      <c r="AJ126" s="340"/>
      <c r="AK126" s="341"/>
      <c r="AL126" s="341"/>
      <c r="AM126" s="341"/>
      <c r="AN126" s="341" t="e">
        <f t="shared" si="162"/>
        <v>#DIV/0!</v>
      </c>
      <c r="AO126" s="340"/>
      <c r="AP126" s="341"/>
      <c r="AQ126" s="341"/>
      <c r="AR126" s="341"/>
      <c r="AS126" s="341" t="e">
        <f t="shared" si="194"/>
        <v>#DIV/0!</v>
      </c>
      <c r="AT126" s="340"/>
      <c r="AU126" s="341"/>
      <c r="AV126" s="341"/>
      <c r="AW126" s="341"/>
      <c r="AX126" s="341" t="e">
        <f t="shared" si="163"/>
        <v>#DIV/0!</v>
      </c>
      <c r="AY126" s="340"/>
      <c r="AZ126" s="341"/>
      <c r="BA126" s="341"/>
      <c r="BB126" s="341"/>
      <c r="BC126" s="341" t="e">
        <f t="shared" si="164"/>
        <v>#DIV/0!</v>
      </c>
      <c r="BD126" s="340"/>
      <c r="BE126" s="341"/>
      <c r="BF126" s="341"/>
      <c r="BG126" s="341"/>
      <c r="BH126" s="341" t="e">
        <f t="shared" si="165"/>
        <v>#DIV/0!</v>
      </c>
      <c r="BI126" s="340"/>
      <c r="BJ126" s="341"/>
      <c r="BK126" s="341"/>
      <c r="BL126" s="341"/>
      <c r="BM126" s="341" t="e">
        <f t="shared" si="166"/>
        <v>#DIV/0!</v>
      </c>
      <c r="BN126" s="340"/>
      <c r="BO126" s="341"/>
      <c r="BP126" s="341"/>
      <c r="BQ126" s="341"/>
      <c r="BR126" s="341" t="e">
        <f t="shared" si="167"/>
        <v>#DIV/0!</v>
      </c>
      <c r="BS126" s="340"/>
      <c r="BT126" s="341"/>
      <c r="BU126" s="341"/>
      <c r="BV126" s="341"/>
      <c r="BW126" s="341" t="e">
        <f t="shared" si="168"/>
        <v>#DIV/0!</v>
      </c>
      <c r="BX126" s="340"/>
      <c r="BY126" s="341"/>
      <c r="BZ126" s="341"/>
      <c r="CA126" s="341"/>
      <c r="CB126" s="341" t="e">
        <f t="shared" si="169"/>
        <v>#DIV/0!</v>
      </c>
      <c r="CC126" s="340"/>
      <c r="CD126" s="341"/>
      <c r="CE126" s="341"/>
      <c r="CF126" s="341"/>
      <c r="CG126" s="341" t="e">
        <f t="shared" si="170"/>
        <v>#DIV/0!</v>
      </c>
      <c r="CH126" s="340"/>
      <c r="CI126" s="341"/>
      <c r="CJ126" s="341"/>
      <c r="CK126" s="341"/>
      <c r="CL126" s="341" t="e">
        <f t="shared" si="171"/>
        <v>#DIV/0!</v>
      </c>
      <c r="CM126" s="340"/>
      <c r="CN126" s="341"/>
      <c r="CO126" s="341"/>
      <c r="CP126" s="341"/>
      <c r="CQ126" s="341" t="e">
        <f t="shared" si="172"/>
        <v>#DIV/0!</v>
      </c>
      <c r="CR126" s="340"/>
      <c r="CS126" s="341"/>
      <c r="CT126" s="341"/>
      <c r="CU126" s="341"/>
      <c r="CV126" s="341" t="e">
        <f t="shared" si="173"/>
        <v>#DIV/0!</v>
      </c>
      <c r="CW126" s="340"/>
      <c r="CX126" s="341"/>
      <c r="CY126" s="341"/>
      <c r="CZ126" s="341"/>
      <c r="DA126" s="341" t="e">
        <f t="shared" si="174"/>
        <v>#DIV/0!</v>
      </c>
      <c r="DB126" s="340"/>
      <c r="DC126" s="341"/>
      <c r="DD126" s="341"/>
      <c r="DE126" s="341"/>
      <c r="DF126" s="341" t="e">
        <f t="shared" si="175"/>
        <v>#DIV/0!</v>
      </c>
      <c r="DG126" s="340"/>
      <c r="DH126" s="341"/>
      <c r="DI126" s="341"/>
      <c r="DJ126" s="341"/>
      <c r="DK126" s="341" t="e">
        <f t="shared" si="176"/>
        <v>#DIV/0!</v>
      </c>
      <c r="DL126" s="340"/>
      <c r="DM126" s="341"/>
      <c r="DN126" s="341"/>
      <c r="DO126" s="341"/>
      <c r="DP126" s="341" t="e">
        <f t="shared" si="177"/>
        <v>#DIV/0!</v>
      </c>
      <c r="DQ126" s="340"/>
      <c r="DR126" s="341"/>
      <c r="DS126" s="341"/>
      <c r="DT126" s="341"/>
      <c r="DU126" s="341" t="e">
        <f t="shared" si="178"/>
        <v>#DIV/0!</v>
      </c>
      <c r="DV126" s="340"/>
      <c r="DW126" s="341"/>
      <c r="DX126" s="341"/>
      <c r="DY126" s="341"/>
      <c r="DZ126" s="341" t="e">
        <f t="shared" si="179"/>
        <v>#DIV/0!</v>
      </c>
      <c r="EA126" s="340"/>
      <c r="EB126" s="341"/>
      <c r="EC126" s="341"/>
      <c r="ED126" s="341"/>
      <c r="EE126" s="341" t="e">
        <f t="shared" si="180"/>
        <v>#DIV/0!</v>
      </c>
      <c r="EF126" s="340"/>
      <c r="EG126" s="341"/>
      <c r="EH126" s="341"/>
      <c r="EI126" s="341"/>
      <c r="EJ126" s="341" t="e">
        <f t="shared" si="181"/>
        <v>#DIV/0!</v>
      </c>
      <c r="EK126" s="340"/>
      <c r="EL126" s="341"/>
      <c r="EM126" s="341"/>
      <c r="EN126" s="341"/>
      <c r="EO126" s="341" t="e">
        <f t="shared" si="182"/>
        <v>#DIV/0!</v>
      </c>
      <c r="EP126" s="340"/>
      <c r="EQ126" s="341"/>
      <c r="ER126" s="341"/>
      <c r="ES126" s="341"/>
      <c r="ET126" s="341" t="e">
        <f t="shared" si="183"/>
        <v>#DIV/0!</v>
      </c>
      <c r="EU126" s="340"/>
      <c r="EV126" s="341"/>
      <c r="EW126" s="341"/>
      <c r="EX126" s="341"/>
      <c r="EY126" s="341" t="e">
        <f t="shared" si="184"/>
        <v>#DIV/0!</v>
      </c>
      <c r="EZ126" s="340"/>
      <c r="FA126" s="341"/>
      <c r="FB126" s="341"/>
      <c r="FC126" s="341"/>
      <c r="FD126" s="341" t="e">
        <f t="shared" si="185"/>
        <v>#DIV/0!</v>
      </c>
      <c r="FE126" s="341">
        <f t="shared" si="186"/>
        <v>0</v>
      </c>
      <c r="FF126" s="341"/>
      <c r="FG126" s="341">
        <f t="shared" si="187"/>
        <v>0</v>
      </c>
      <c r="FH126" s="343">
        <f t="shared" si="193"/>
        <v>0</v>
      </c>
      <c r="FI126" s="344" t="e">
        <f t="shared" si="188"/>
        <v>#DIV/0!</v>
      </c>
      <c r="FJ126" s="341">
        <f t="shared" si="190"/>
        <v>0</v>
      </c>
      <c r="FK126" s="349"/>
      <c r="FL126" s="350"/>
      <c r="FM126" s="354"/>
    </row>
    <row r="127" s="215" customFormat="1" ht="27" customHeight="1" spans="1:169">
      <c r="A127" s="337">
        <v>18</v>
      </c>
      <c r="B127" s="334" t="s">
        <v>56</v>
      </c>
      <c r="C127" s="338"/>
      <c r="D127" s="337" t="s">
        <v>8</v>
      </c>
      <c r="E127" s="339">
        <v>0.4</v>
      </c>
      <c r="F127" s="340">
        <v>251</v>
      </c>
      <c r="G127" s="340">
        <v>6</v>
      </c>
      <c r="H127" s="341">
        <v>245</v>
      </c>
      <c r="I127" s="341"/>
      <c r="J127" s="341">
        <f t="shared" si="157"/>
        <v>1</v>
      </c>
      <c r="K127" s="340">
        <v>244</v>
      </c>
      <c r="L127" s="340">
        <v>2</v>
      </c>
      <c r="M127" s="341">
        <v>242</v>
      </c>
      <c r="N127" s="341"/>
      <c r="O127" s="341">
        <f t="shared" si="158"/>
        <v>1</v>
      </c>
      <c r="P127" s="340">
        <v>64</v>
      </c>
      <c r="Q127" s="340">
        <v>9</v>
      </c>
      <c r="R127" s="341">
        <v>55</v>
      </c>
      <c r="S127" s="341"/>
      <c r="T127" s="341">
        <f t="shared" si="159"/>
        <v>1</v>
      </c>
      <c r="U127" s="340">
        <v>176</v>
      </c>
      <c r="V127" s="340"/>
      <c r="W127" s="341">
        <v>171</v>
      </c>
      <c r="X127" s="341">
        <v>5</v>
      </c>
      <c r="Y127" s="341">
        <f t="shared" si="160"/>
        <v>0.943988894628099</v>
      </c>
      <c r="Z127" s="340">
        <v>180</v>
      </c>
      <c r="AA127" s="340"/>
      <c r="AB127" s="341">
        <v>180</v>
      </c>
      <c r="AC127" s="341"/>
      <c r="AD127" s="341">
        <f t="shared" si="192"/>
        <v>1</v>
      </c>
      <c r="AE127" s="340">
        <v>232</v>
      </c>
      <c r="AF127" s="340">
        <v>5</v>
      </c>
      <c r="AG127" s="341">
        <v>215</v>
      </c>
      <c r="AH127" s="341">
        <v>12</v>
      </c>
      <c r="AI127" s="341">
        <f t="shared" si="161"/>
        <v>0.897067670632071</v>
      </c>
      <c r="AJ127" s="340">
        <v>233</v>
      </c>
      <c r="AK127" s="340">
        <v>2</v>
      </c>
      <c r="AL127" s="341">
        <v>219</v>
      </c>
      <c r="AM127" s="341">
        <v>13</v>
      </c>
      <c r="AN127" s="341">
        <f t="shared" si="162"/>
        <v>0.891070897740785</v>
      </c>
      <c r="AO127" s="340">
        <v>182</v>
      </c>
      <c r="AP127" s="340">
        <v>4</v>
      </c>
      <c r="AQ127" s="341">
        <v>194</v>
      </c>
      <c r="AR127" s="341"/>
      <c r="AS127" s="341">
        <f t="shared" si="194"/>
        <v>1</v>
      </c>
      <c r="AT127" s="340">
        <v>252</v>
      </c>
      <c r="AU127" s="340">
        <v>2</v>
      </c>
      <c r="AV127" s="341">
        <v>250</v>
      </c>
      <c r="AW127" s="341"/>
      <c r="AX127" s="341">
        <f t="shared" si="163"/>
        <v>1</v>
      </c>
      <c r="AY127" s="340">
        <v>242</v>
      </c>
      <c r="AZ127" s="340">
        <v>4</v>
      </c>
      <c r="BA127" s="341">
        <v>238</v>
      </c>
      <c r="BB127" s="341"/>
      <c r="BC127" s="341">
        <f t="shared" si="164"/>
        <v>1</v>
      </c>
      <c r="BD127" s="340">
        <v>241</v>
      </c>
      <c r="BE127" s="340">
        <v>3</v>
      </c>
      <c r="BF127" s="341">
        <v>238</v>
      </c>
      <c r="BG127" s="341"/>
      <c r="BH127" s="341">
        <f t="shared" si="165"/>
        <v>1</v>
      </c>
      <c r="BI127" s="340">
        <v>245</v>
      </c>
      <c r="BJ127" s="340">
        <v>5</v>
      </c>
      <c r="BK127" s="341">
        <v>240</v>
      </c>
      <c r="BL127" s="341"/>
      <c r="BM127" s="341">
        <f t="shared" si="166"/>
        <v>1</v>
      </c>
      <c r="BN127" s="340">
        <v>295</v>
      </c>
      <c r="BO127" s="340">
        <v>1</v>
      </c>
      <c r="BP127" s="341">
        <v>280</v>
      </c>
      <c r="BQ127" s="341">
        <v>14</v>
      </c>
      <c r="BR127" s="341">
        <f t="shared" si="167"/>
        <v>0.90702947845805</v>
      </c>
      <c r="BS127" s="340">
        <v>276</v>
      </c>
      <c r="BT127" s="340"/>
      <c r="BU127" s="341">
        <v>255</v>
      </c>
      <c r="BV127" s="341">
        <v>21</v>
      </c>
      <c r="BW127" s="341">
        <f t="shared" si="168"/>
        <v>0.853615311909263</v>
      </c>
      <c r="BX127" s="340">
        <v>127</v>
      </c>
      <c r="BY127" s="340">
        <v>1</v>
      </c>
      <c r="BZ127" s="341">
        <v>126</v>
      </c>
      <c r="CA127" s="341"/>
      <c r="CB127" s="341">
        <f t="shared" si="169"/>
        <v>1</v>
      </c>
      <c r="CC127" s="340">
        <v>199</v>
      </c>
      <c r="CD127" s="340">
        <v>4</v>
      </c>
      <c r="CE127" s="341">
        <v>195</v>
      </c>
      <c r="CF127" s="341"/>
      <c r="CG127" s="341">
        <f t="shared" si="170"/>
        <v>1</v>
      </c>
      <c r="CH127" s="340"/>
      <c r="CI127" s="340"/>
      <c r="CJ127" s="341"/>
      <c r="CK127" s="341"/>
      <c r="CL127" s="341" t="e">
        <f t="shared" si="171"/>
        <v>#DIV/0!</v>
      </c>
      <c r="CM127" s="340"/>
      <c r="CN127" s="340"/>
      <c r="CO127" s="341"/>
      <c r="CP127" s="341"/>
      <c r="CQ127" s="341" t="e">
        <f t="shared" si="172"/>
        <v>#DIV/0!</v>
      </c>
      <c r="CR127" s="340"/>
      <c r="CS127" s="340"/>
      <c r="CT127" s="341"/>
      <c r="CU127" s="341"/>
      <c r="CV127" s="341" t="e">
        <f t="shared" si="173"/>
        <v>#DIV/0!</v>
      </c>
      <c r="CW127" s="340"/>
      <c r="CX127" s="340"/>
      <c r="CY127" s="341"/>
      <c r="CZ127" s="341"/>
      <c r="DA127" s="341" t="e">
        <f t="shared" si="174"/>
        <v>#DIV/0!</v>
      </c>
      <c r="DB127" s="340"/>
      <c r="DC127" s="340"/>
      <c r="DD127" s="341"/>
      <c r="DE127" s="341"/>
      <c r="DF127" s="341" t="e">
        <f t="shared" si="175"/>
        <v>#DIV/0!</v>
      </c>
      <c r="DG127" s="340"/>
      <c r="DH127" s="340"/>
      <c r="DI127" s="341"/>
      <c r="DJ127" s="341"/>
      <c r="DK127" s="341" t="e">
        <f t="shared" si="176"/>
        <v>#DIV/0!</v>
      </c>
      <c r="DL127" s="340"/>
      <c r="DM127" s="340"/>
      <c r="DN127" s="341"/>
      <c r="DO127" s="341"/>
      <c r="DP127" s="341" t="e">
        <f t="shared" si="177"/>
        <v>#DIV/0!</v>
      </c>
      <c r="DQ127" s="340"/>
      <c r="DR127" s="340"/>
      <c r="DS127" s="341"/>
      <c r="DT127" s="341"/>
      <c r="DU127" s="341" t="e">
        <f t="shared" si="178"/>
        <v>#DIV/0!</v>
      </c>
      <c r="DV127" s="340"/>
      <c r="DW127" s="340"/>
      <c r="DX127" s="341"/>
      <c r="DY127" s="341"/>
      <c r="DZ127" s="341" t="e">
        <f t="shared" si="179"/>
        <v>#DIV/0!</v>
      </c>
      <c r="EA127" s="340"/>
      <c r="EB127" s="340"/>
      <c r="EC127" s="341"/>
      <c r="ED127" s="341"/>
      <c r="EE127" s="341" t="e">
        <f t="shared" si="180"/>
        <v>#DIV/0!</v>
      </c>
      <c r="EF127" s="340"/>
      <c r="EG127" s="340"/>
      <c r="EH127" s="341"/>
      <c r="EI127" s="341"/>
      <c r="EJ127" s="341" t="e">
        <f t="shared" si="181"/>
        <v>#DIV/0!</v>
      </c>
      <c r="EK127" s="340"/>
      <c r="EL127" s="340"/>
      <c r="EM127" s="341"/>
      <c r="EN127" s="341"/>
      <c r="EO127" s="341" t="e">
        <f t="shared" si="182"/>
        <v>#DIV/0!</v>
      </c>
      <c r="EP127" s="340"/>
      <c r="EQ127" s="340"/>
      <c r="ER127" s="341"/>
      <c r="ES127" s="341"/>
      <c r="ET127" s="341" t="e">
        <f t="shared" si="183"/>
        <v>#DIV/0!</v>
      </c>
      <c r="EU127" s="340"/>
      <c r="EV127" s="340"/>
      <c r="EW127" s="341"/>
      <c r="EX127" s="341"/>
      <c r="EY127" s="341" t="e">
        <f t="shared" si="184"/>
        <v>#DIV/0!</v>
      </c>
      <c r="EZ127" s="340"/>
      <c r="FA127" s="340"/>
      <c r="FB127" s="341"/>
      <c r="FC127" s="341"/>
      <c r="FD127" s="341" t="e">
        <f t="shared" si="185"/>
        <v>#DIV/0!</v>
      </c>
      <c r="FE127" s="341">
        <f t="shared" si="186"/>
        <v>3439</v>
      </c>
      <c r="FF127" s="341"/>
      <c r="FG127" s="341">
        <f t="shared" si="187"/>
        <v>48</v>
      </c>
      <c r="FH127" s="343">
        <f t="shared" si="193"/>
        <v>3343</v>
      </c>
      <c r="FI127" s="344">
        <f t="shared" si="188"/>
        <v>0.944949069146046</v>
      </c>
      <c r="FJ127" s="341">
        <f t="shared" si="190"/>
        <v>1337.2</v>
      </c>
      <c r="FK127" s="345">
        <f>FJ127+FJ128+FJ129+FJ130+FJ131+FJ132+FJ133+FJ134+FJ135+FJ136</f>
        <v>1824.267</v>
      </c>
      <c r="FL127" s="346">
        <f>(FH127+FH128+FH129+FH130+FH131+FH132+FH133+FH134+FH135+FH136)/(FE127+FE128+FE129+FE130+FE131+FE132+FE133+FE134+FE135+FE136)</f>
        <v>0.98582995951417</v>
      </c>
      <c r="FM127" s="351"/>
    </row>
    <row r="128" s="215" customFormat="1" ht="27" customHeight="1" spans="1:169">
      <c r="A128" s="337"/>
      <c r="B128" s="335"/>
      <c r="C128" s="338"/>
      <c r="D128" s="337" t="s">
        <v>9</v>
      </c>
      <c r="E128" s="342">
        <v>0.133</v>
      </c>
      <c r="F128" s="340"/>
      <c r="G128" s="340"/>
      <c r="H128" s="341"/>
      <c r="I128" s="341"/>
      <c r="J128" s="341" t="e">
        <f t="shared" si="157"/>
        <v>#DIV/0!</v>
      </c>
      <c r="K128" s="340"/>
      <c r="L128" s="340"/>
      <c r="M128" s="341"/>
      <c r="N128" s="341"/>
      <c r="O128" s="341" t="e">
        <f t="shared" si="158"/>
        <v>#DIV/0!</v>
      </c>
      <c r="P128" s="340">
        <v>33</v>
      </c>
      <c r="Q128" s="340">
        <v>4</v>
      </c>
      <c r="R128" s="341">
        <v>29</v>
      </c>
      <c r="S128" s="341"/>
      <c r="T128" s="341">
        <f t="shared" si="159"/>
        <v>1</v>
      </c>
      <c r="U128" s="340"/>
      <c r="V128" s="340"/>
      <c r="W128" s="341"/>
      <c r="X128" s="341"/>
      <c r="Y128" s="341" t="e">
        <f t="shared" si="160"/>
        <v>#DIV/0!</v>
      </c>
      <c r="Z128" s="340"/>
      <c r="AA128" s="340"/>
      <c r="AB128" s="341"/>
      <c r="AC128" s="341"/>
      <c r="AD128" s="341" t="e">
        <f t="shared" si="192"/>
        <v>#DIV/0!</v>
      </c>
      <c r="AE128" s="340"/>
      <c r="AF128" s="340"/>
      <c r="AG128" s="341"/>
      <c r="AH128" s="341"/>
      <c r="AI128" s="341" t="e">
        <f t="shared" si="161"/>
        <v>#DIV/0!</v>
      </c>
      <c r="AJ128" s="340"/>
      <c r="AK128" s="340"/>
      <c r="AL128" s="341"/>
      <c r="AM128" s="341"/>
      <c r="AN128" s="341" t="e">
        <f t="shared" si="162"/>
        <v>#DIV/0!</v>
      </c>
      <c r="AO128" s="340"/>
      <c r="AP128" s="340"/>
      <c r="AQ128" s="341"/>
      <c r="AR128" s="341"/>
      <c r="AS128" s="341" t="e">
        <f t="shared" si="194"/>
        <v>#DIV/0!</v>
      </c>
      <c r="AT128" s="340"/>
      <c r="AU128" s="340"/>
      <c r="AV128" s="341"/>
      <c r="AW128" s="341"/>
      <c r="AX128" s="341" t="e">
        <f t="shared" si="163"/>
        <v>#DIV/0!</v>
      </c>
      <c r="AY128" s="340"/>
      <c r="AZ128" s="340"/>
      <c r="BA128" s="341"/>
      <c r="BB128" s="341"/>
      <c r="BC128" s="341" t="e">
        <f t="shared" si="164"/>
        <v>#DIV/0!</v>
      </c>
      <c r="BD128" s="340"/>
      <c r="BE128" s="340"/>
      <c r="BF128" s="341"/>
      <c r="BG128" s="341"/>
      <c r="BH128" s="341" t="e">
        <f t="shared" si="165"/>
        <v>#DIV/0!</v>
      </c>
      <c r="BI128" s="340"/>
      <c r="BJ128" s="340"/>
      <c r="BK128" s="341"/>
      <c r="BL128" s="341"/>
      <c r="BM128" s="341" t="e">
        <f t="shared" si="166"/>
        <v>#DIV/0!</v>
      </c>
      <c r="BN128" s="340"/>
      <c r="BO128" s="340"/>
      <c r="BP128" s="341"/>
      <c r="BQ128" s="341"/>
      <c r="BR128" s="341" t="e">
        <f t="shared" si="167"/>
        <v>#DIV/0!</v>
      </c>
      <c r="BS128" s="340"/>
      <c r="BT128" s="340"/>
      <c r="BU128" s="341"/>
      <c r="BV128" s="341"/>
      <c r="BW128" s="341" t="e">
        <f t="shared" si="168"/>
        <v>#DIV/0!</v>
      </c>
      <c r="BX128" s="340"/>
      <c r="BY128" s="340"/>
      <c r="BZ128" s="341"/>
      <c r="CA128" s="341"/>
      <c r="CB128" s="341" t="e">
        <f t="shared" si="169"/>
        <v>#DIV/0!</v>
      </c>
      <c r="CC128" s="340"/>
      <c r="CD128" s="340"/>
      <c r="CE128" s="341"/>
      <c r="CF128" s="341"/>
      <c r="CG128" s="341" t="e">
        <f t="shared" si="170"/>
        <v>#DIV/0!</v>
      </c>
      <c r="CH128" s="340"/>
      <c r="CI128" s="340"/>
      <c r="CJ128" s="341"/>
      <c r="CK128" s="341"/>
      <c r="CL128" s="341" t="e">
        <f t="shared" si="171"/>
        <v>#DIV/0!</v>
      </c>
      <c r="CM128" s="340"/>
      <c r="CN128" s="340"/>
      <c r="CO128" s="341"/>
      <c r="CP128" s="341"/>
      <c r="CQ128" s="341" t="e">
        <f t="shared" si="172"/>
        <v>#DIV/0!</v>
      </c>
      <c r="CR128" s="340"/>
      <c r="CS128" s="340"/>
      <c r="CT128" s="341"/>
      <c r="CU128" s="341"/>
      <c r="CV128" s="341" t="e">
        <f t="shared" si="173"/>
        <v>#DIV/0!</v>
      </c>
      <c r="CW128" s="340"/>
      <c r="CX128" s="340"/>
      <c r="CY128" s="341"/>
      <c r="CZ128" s="341"/>
      <c r="DA128" s="341" t="e">
        <f t="shared" si="174"/>
        <v>#DIV/0!</v>
      </c>
      <c r="DB128" s="340"/>
      <c r="DC128" s="340"/>
      <c r="DD128" s="341"/>
      <c r="DE128" s="341"/>
      <c r="DF128" s="341" t="e">
        <f t="shared" si="175"/>
        <v>#DIV/0!</v>
      </c>
      <c r="DG128" s="340"/>
      <c r="DH128" s="340"/>
      <c r="DI128" s="341"/>
      <c r="DJ128" s="341"/>
      <c r="DK128" s="341" t="e">
        <f t="shared" si="176"/>
        <v>#DIV/0!</v>
      </c>
      <c r="DL128" s="340"/>
      <c r="DM128" s="340"/>
      <c r="DN128" s="341"/>
      <c r="DO128" s="341"/>
      <c r="DP128" s="341" t="e">
        <f t="shared" si="177"/>
        <v>#DIV/0!</v>
      </c>
      <c r="DQ128" s="340"/>
      <c r="DR128" s="340"/>
      <c r="DS128" s="341"/>
      <c r="DT128" s="341"/>
      <c r="DU128" s="341" t="e">
        <f t="shared" si="178"/>
        <v>#DIV/0!</v>
      </c>
      <c r="DV128" s="340"/>
      <c r="DW128" s="340"/>
      <c r="DX128" s="341"/>
      <c r="DY128" s="341"/>
      <c r="DZ128" s="341" t="e">
        <f t="shared" si="179"/>
        <v>#DIV/0!</v>
      </c>
      <c r="EA128" s="340"/>
      <c r="EB128" s="340"/>
      <c r="EC128" s="341"/>
      <c r="ED128" s="341"/>
      <c r="EE128" s="341" t="e">
        <f t="shared" si="180"/>
        <v>#DIV/0!</v>
      </c>
      <c r="EF128" s="340"/>
      <c r="EG128" s="340"/>
      <c r="EH128" s="341"/>
      <c r="EI128" s="341"/>
      <c r="EJ128" s="341" t="e">
        <f t="shared" si="181"/>
        <v>#DIV/0!</v>
      </c>
      <c r="EK128" s="340"/>
      <c r="EL128" s="340"/>
      <c r="EM128" s="341"/>
      <c r="EN128" s="341"/>
      <c r="EO128" s="341" t="e">
        <f t="shared" si="182"/>
        <v>#DIV/0!</v>
      </c>
      <c r="EP128" s="340"/>
      <c r="EQ128" s="340"/>
      <c r="ER128" s="341"/>
      <c r="ES128" s="341"/>
      <c r="ET128" s="341" t="e">
        <f t="shared" si="183"/>
        <v>#DIV/0!</v>
      </c>
      <c r="EU128" s="340"/>
      <c r="EV128" s="340"/>
      <c r="EW128" s="341"/>
      <c r="EX128" s="341"/>
      <c r="EY128" s="341" t="e">
        <f t="shared" si="184"/>
        <v>#DIV/0!</v>
      </c>
      <c r="EZ128" s="340"/>
      <c r="FA128" s="340"/>
      <c r="FB128" s="341"/>
      <c r="FC128" s="341"/>
      <c r="FD128" s="341" t="e">
        <f t="shared" si="185"/>
        <v>#DIV/0!</v>
      </c>
      <c r="FE128" s="341">
        <f t="shared" si="186"/>
        <v>33</v>
      </c>
      <c r="FF128" s="341"/>
      <c r="FG128" s="341">
        <f t="shared" si="187"/>
        <v>4</v>
      </c>
      <c r="FH128" s="343">
        <f t="shared" si="193"/>
        <v>29</v>
      </c>
      <c r="FI128" s="344">
        <f t="shared" si="188"/>
        <v>0.772268135904499</v>
      </c>
      <c r="FJ128" s="341">
        <f t="shared" si="190"/>
        <v>3.857</v>
      </c>
      <c r="FK128" s="347"/>
      <c r="FL128" s="348"/>
      <c r="FM128" s="352"/>
    </row>
    <row r="129" s="215" customFormat="1" ht="27" customHeight="1" spans="1:169">
      <c r="A129" s="337"/>
      <c r="B129" s="335"/>
      <c r="C129" s="338"/>
      <c r="D129" s="337" t="s">
        <v>10</v>
      </c>
      <c r="E129" s="342">
        <v>0.133</v>
      </c>
      <c r="F129" s="340"/>
      <c r="G129" s="277"/>
      <c r="H129" s="341"/>
      <c r="I129" s="341"/>
      <c r="J129" s="341" t="e">
        <f t="shared" si="157"/>
        <v>#DIV/0!</v>
      </c>
      <c r="K129" s="340"/>
      <c r="L129" s="341"/>
      <c r="M129" s="341"/>
      <c r="N129" s="341"/>
      <c r="O129" s="341" t="e">
        <f t="shared" si="158"/>
        <v>#DIV/0!</v>
      </c>
      <c r="P129" s="340"/>
      <c r="Q129" s="341"/>
      <c r="R129" s="341"/>
      <c r="S129" s="341"/>
      <c r="T129" s="341" t="e">
        <f t="shared" si="159"/>
        <v>#DIV/0!</v>
      </c>
      <c r="U129" s="340"/>
      <c r="V129" s="341"/>
      <c r="W129" s="341"/>
      <c r="X129" s="341"/>
      <c r="Y129" s="341" t="e">
        <f t="shared" si="160"/>
        <v>#DIV/0!</v>
      </c>
      <c r="Z129" s="340"/>
      <c r="AA129" s="341"/>
      <c r="AB129" s="341"/>
      <c r="AC129" s="341"/>
      <c r="AD129" s="341" t="e">
        <f t="shared" si="192"/>
        <v>#DIV/0!</v>
      </c>
      <c r="AE129" s="340"/>
      <c r="AF129" s="341"/>
      <c r="AG129" s="341"/>
      <c r="AH129" s="341"/>
      <c r="AI129" s="341" t="e">
        <f t="shared" si="161"/>
        <v>#DIV/0!</v>
      </c>
      <c r="AJ129" s="340"/>
      <c r="AK129" s="341"/>
      <c r="AL129" s="341"/>
      <c r="AM129" s="341"/>
      <c r="AN129" s="341" t="e">
        <f t="shared" si="162"/>
        <v>#DIV/0!</v>
      </c>
      <c r="AO129" s="340"/>
      <c r="AP129" s="341"/>
      <c r="AQ129" s="341"/>
      <c r="AR129" s="341"/>
      <c r="AS129" s="341" t="e">
        <f t="shared" si="194"/>
        <v>#DIV/0!</v>
      </c>
      <c r="AT129" s="340"/>
      <c r="AU129" s="341"/>
      <c r="AV129" s="341"/>
      <c r="AW129" s="341"/>
      <c r="AX129" s="341" t="e">
        <f t="shared" si="163"/>
        <v>#DIV/0!</v>
      </c>
      <c r="AY129" s="340"/>
      <c r="AZ129" s="341"/>
      <c r="BA129" s="341"/>
      <c r="BB129" s="341"/>
      <c r="BC129" s="341" t="e">
        <f t="shared" si="164"/>
        <v>#DIV/0!</v>
      </c>
      <c r="BD129" s="340"/>
      <c r="BE129" s="341"/>
      <c r="BF129" s="341"/>
      <c r="BG129" s="341"/>
      <c r="BH129" s="341" t="e">
        <f t="shared" si="165"/>
        <v>#DIV/0!</v>
      </c>
      <c r="BI129" s="340"/>
      <c r="BJ129" s="341"/>
      <c r="BK129" s="341"/>
      <c r="BL129" s="341"/>
      <c r="BM129" s="341" t="e">
        <f t="shared" si="166"/>
        <v>#DIV/0!</v>
      </c>
      <c r="BN129" s="340"/>
      <c r="BO129" s="341"/>
      <c r="BP129" s="341"/>
      <c r="BQ129" s="341"/>
      <c r="BR129" s="341" t="e">
        <f t="shared" si="167"/>
        <v>#DIV/0!</v>
      </c>
      <c r="BS129" s="340"/>
      <c r="BT129" s="341"/>
      <c r="BU129" s="341"/>
      <c r="BV129" s="341"/>
      <c r="BW129" s="341" t="e">
        <f t="shared" si="168"/>
        <v>#DIV/0!</v>
      </c>
      <c r="BX129" s="340"/>
      <c r="BY129" s="341"/>
      <c r="BZ129" s="341"/>
      <c r="CA129" s="341"/>
      <c r="CB129" s="341" t="e">
        <f t="shared" si="169"/>
        <v>#DIV/0!</v>
      </c>
      <c r="CC129" s="340"/>
      <c r="CD129" s="341"/>
      <c r="CE129" s="341"/>
      <c r="CF129" s="341"/>
      <c r="CG129" s="341" t="e">
        <f t="shared" si="170"/>
        <v>#DIV/0!</v>
      </c>
      <c r="CH129" s="340"/>
      <c r="CI129" s="341"/>
      <c r="CJ129" s="341"/>
      <c r="CK129" s="341"/>
      <c r="CL129" s="341" t="e">
        <f t="shared" si="171"/>
        <v>#DIV/0!</v>
      </c>
      <c r="CM129" s="340"/>
      <c r="CN129" s="341"/>
      <c r="CO129" s="341"/>
      <c r="CP129" s="341"/>
      <c r="CQ129" s="341" t="e">
        <f t="shared" si="172"/>
        <v>#DIV/0!</v>
      </c>
      <c r="CR129" s="340"/>
      <c r="CS129" s="341"/>
      <c r="CT129" s="341"/>
      <c r="CU129" s="341"/>
      <c r="CV129" s="341" t="e">
        <f t="shared" si="173"/>
        <v>#DIV/0!</v>
      </c>
      <c r="CW129" s="340"/>
      <c r="CX129" s="341"/>
      <c r="CY129" s="341"/>
      <c r="CZ129" s="341"/>
      <c r="DA129" s="341" t="e">
        <f t="shared" si="174"/>
        <v>#DIV/0!</v>
      </c>
      <c r="DB129" s="340"/>
      <c r="DC129" s="341"/>
      <c r="DD129" s="341"/>
      <c r="DE129" s="341"/>
      <c r="DF129" s="341" t="e">
        <f t="shared" si="175"/>
        <v>#DIV/0!</v>
      </c>
      <c r="DG129" s="340"/>
      <c r="DH129" s="341"/>
      <c r="DI129" s="341"/>
      <c r="DJ129" s="341"/>
      <c r="DK129" s="341" t="e">
        <f t="shared" si="176"/>
        <v>#DIV/0!</v>
      </c>
      <c r="DL129" s="340"/>
      <c r="DM129" s="341"/>
      <c r="DN129" s="341"/>
      <c r="DO129" s="341"/>
      <c r="DP129" s="341" t="e">
        <f t="shared" si="177"/>
        <v>#DIV/0!</v>
      </c>
      <c r="DQ129" s="340"/>
      <c r="DR129" s="341"/>
      <c r="DS129" s="341"/>
      <c r="DT129" s="341"/>
      <c r="DU129" s="341" t="e">
        <f t="shared" si="178"/>
        <v>#DIV/0!</v>
      </c>
      <c r="DV129" s="340"/>
      <c r="DW129" s="341"/>
      <c r="DX129" s="341"/>
      <c r="DY129" s="341"/>
      <c r="DZ129" s="341" t="e">
        <f t="shared" si="179"/>
        <v>#DIV/0!</v>
      </c>
      <c r="EA129" s="340"/>
      <c r="EB129" s="341"/>
      <c r="EC129" s="341"/>
      <c r="ED129" s="341"/>
      <c r="EE129" s="341" t="e">
        <f t="shared" si="180"/>
        <v>#DIV/0!</v>
      </c>
      <c r="EF129" s="340"/>
      <c r="EG129" s="341"/>
      <c r="EH129" s="341"/>
      <c r="EI129" s="341"/>
      <c r="EJ129" s="341" t="e">
        <f t="shared" si="181"/>
        <v>#DIV/0!</v>
      </c>
      <c r="EK129" s="340"/>
      <c r="EL129" s="341"/>
      <c r="EM129" s="341"/>
      <c r="EN129" s="341"/>
      <c r="EO129" s="341" t="e">
        <f t="shared" si="182"/>
        <v>#DIV/0!</v>
      </c>
      <c r="EP129" s="340"/>
      <c r="EQ129" s="341"/>
      <c r="ER129" s="341"/>
      <c r="ES129" s="341"/>
      <c r="ET129" s="341" t="e">
        <f t="shared" si="183"/>
        <v>#DIV/0!</v>
      </c>
      <c r="EU129" s="340"/>
      <c r="EV129" s="341"/>
      <c r="EW129" s="341"/>
      <c r="EX129" s="341"/>
      <c r="EY129" s="341" t="e">
        <f t="shared" si="184"/>
        <v>#DIV/0!</v>
      </c>
      <c r="EZ129" s="340"/>
      <c r="FA129" s="341"/>
      <c r="FB129" s="341"/>
      <c r="FC129" s="341"/>
      <c r="FD129" s="341" t="e">
        <f t="shared" si="185"/>
        <v>#DIV/0!</v>
      </c>
      <c r="FE129" s="341">
        <f t="shared" si="186"/>
        <v>0</v>
      </c>
      <c r="FF129" s="341"/>
      <c r="FG129" s="341" t="e">
        <f>FA129+EQ129+EL129+EG129+EB129+DW129+DR129+DM129+DH129+DC129+CX129+CS129+CN129+CI129+CD129+BY129+BT129+BO129+BJ129+BE129+AZ129+AU129+AP129+AK129+AF129+AA129+V129+Q129+L129+#REF!</f>
        <v>#REF!</v>
      </c>
      <c r="FH129" s="343">
        <f t="shared" si="193"/>
        <v>0</v>
      </c>
      <c r="FI129" s="344" t="e">
        <f t="shared" si="188"/>
        <v>#DIV/0!</v>
      </c>
      <c r="FJ129" s="341">
        <f t="shared" si="190"/>
        <v>0</v>
      </c>
      <c r="FK129" s="347"/>
      <c r="FL129" s="348"/>
      <c r="FM129" s="352"/>
    </row>
    <row r="130" s="215" customFormat="1" ht="27" customHeight="1" spans="1:169">
      <c r="A130" s="337"/>
      <c r="B130" s="335"/>
      <c r="C130" s="338"/>
      <c r="D130" s="337" t="s">
        <v>11</v>
      </c>
      <c r="E130" s="342">
        <v>0.23</v>
      </c>
      <c r="F130" s="340"/>
      <c r="G130" s="341"/>
      <c r="H130" s="341"/>
      <c r="I130" s="341"/>
      <c r="J130" s="341" t="e">
        <f t="shared" si="157"/>
        <v>#DIV/0!</v>
      </c>
      <c r="K130" s="340"/>
      <c r="L130" s="341"/>
      <c r="M130" s="341"/>
      <c r="N130" s="341"/>
      <c r="O130" s="341" t="e">
        <f t="shared" si="158"/>
        <v>#DIV/0!</v>
      </c>
      <c r="P130" s="340"/>
      <c r="Q130" s="341"/>
      <c r="R130" s="341"/>
      <c r="S130" s="341"/>
      <c r="T130" s="341" t="e">
        <f t="shared" si="159"/>
        <v>#DIV/0!</v>
      </c>
      <c r="U130" s="340"/>
      <c r="V130" s="341"/>
      <c r="W130" s="341"/>
      <c r="X130" s="341"/>
      <c r="Y130" s="341" t="e">
        <f t="shared" si="160"/>
        <v>#DIV/0!</v>
      </c>
      <c r="Z130" s="340">
        <v>64</v>
      </c>
      <c r="AA130" s="341"/>
      <c r="AB130" s="341">
        <v>64</v>
      </c>
      <c r="AC130" s="341"/>
      <c r="AD130" s="341">
        <f t="shared" si="192"/>
        <v>1</v>
      </c>
      <c r="AE130" s="340">
        <v>125</v>
      </c>
      <c r="AF130" s="341">
        <v>2</v>
      </c>
      <c r="AG130" s="341">
        <v>120</v>
      </c>
      <c r="AH130" s="341">
        <v>3</v>
      </c>
      <c r="AI130" s="341">
        <f t="shared" si="161"/>
        <v>0.951814396192742</v>
      </c>
      <c r="AJ130" s="340">
        <v>127</v>
      </c>
      <c r="AK130" s="341">
        <v>1</v>
      </c>
      <c r="AL130" s="341">
        <v>122</v>
      </c>
      <c r="AM130" s="341">
        <v>4</v>
      </c>
      <c r="AN130" s="341">
        <f t="shared" si="162"/>
        <v>0.937515747039557</v>
      </c>
      <c r="AO130" s="340">
        <v>41</v>
      </c>
      <c r="AP130" s="341">
        <v>10</v>
      </c>
      <c r="AQ130" s="341">
        <v>31</v>
      </c>
      <c r="AR130" s="341"/>
      <c r="AS130" s="341">
        <f t="shared" si="194"/>
        <v>1</v>
      </c>
      <c r="AT130" s="340">
        <v>130</v>
      </c>
      <c r="AU130" s="341">
        <v>1</v>
      </c>
      <c r="AV130" s="341">
        <v>129</v>
      </c>
      <c r="AW130" s="341"/>
      <c r="AX130" s="341">
        <f t="shared" si="163"/>
        <v>1</v>
      </c>
      <c r="AY130" s="340">
        <v>125</v>
      </c>
      <c r="AZ130" s="341">
        <v>3</v>
      </c>
      <c r="BA130" s="341">
        <v>122</v>
      </c>
      <c r="BB130" s="341"/>
      <c r="BC130" s="341">
        <f t="shared" si="164"/>
        <v>1</v>
      </c>
      <c r="BD130" s="340"/>
      <c r="BE130" s="341"/>
      <c r="BF130" s="341"/>
      <c r="BG130" s="341"/>
      <c r="BH130" s="341" t="e">
        <f t="shared" si="165"/>
        <v>#DIV/0!</v>
      </c>
      <c r="BI130" s="340"/>
      <c r="BJ130" s="341"/>
      <c r="BK130" s="341"/>
      <c r="BL130" s="341"/>
      <c r="BM130" s="341" t="e">
        <f t="shared" si="166"/>
        <v>#DIV/0!</v>
      </c>
      <c r="BN130" s="340"/>
      <c r="BO130" s="341"/>
      <c r="BP130" s="341"/>
      <c r="BQ130" s="341"/>
      <c r="BR130" s="341" t="e">
        <f t="shared" si="167"/>
        <v>#DIV/0!</v>
      </c>
      <c r="BS130" s="340"/>
      <c r="BT130" s="341"/>
      <c r="BU130" s="341"/>
      <c r="BV130" s="341"/>
      <c r="BW130" s="341" t="e">
        <f t="shared" si="168"/>
        <v>#DIV/0!</v>
      </c>
      <c r="BX130" s="340"/>
      <c r="BY130" s="341"/>
      <c r="BZ130" s="341">
        <v>64</v>
      </c>
      <c r="CA130" s="341"/>
      <c r="CB130" s="341">
        <f t="shared" si="169"/>
        <v>1</v>
      </c>
      <c r="CC130" s="340"/>
      <c r="CD130" s="341"/>
      <c r="CE130" s="341"/>
      <c r="CF130" s="341"/>
      <c r="CG130" s="341" t="e">
        <f t="shared" si="170"/>
        <v>#DIV/0!</v>
      </c>
      <c r="CH130" s="340"/>
      <c r="CI130" s="341"/>
      <c r="CJ130" s="341"/>
      <c r="CK130" s="341"/>
      <c r="CL130" s="341" t="e">
        <f t="shared" si="171"/>
        <v>#DIV/0!</v>
      </c>
      <c r="CM130" s="340"/>
      <c r="CN130" s="341"/>
      <c r="CO130" s="341"/>
      <c r="CP130" s="341"/>
      <c r="CQ130" s="341" t="e">
        <f t="shared" si="172"/>
        <v>#DIV/0!</v>
      </c>
      <c r="CR130" s="340"/>
      <c r="CS130" s="341"/>
      <c r="CT130" s="341"/>
      <c r="CU130" s="341"/>
      <c r="CV130" s="341" t="e">
        <f t="shared" si="173"/>
        <v>#DIV/0!</v>
      </c>
      <c r="CW130" s="340"/>
      <c r="CX130" s="341"/>
      <c r="CY130" s="341"/>
      <c r="CZ130" s="341"/>
      <c r="DA130" s="341" t="e">
        <f t="shared" si="174"/>
        <v>#DIV/0!</v>
      </c>
      <c r="DB130" s="340"/>
      <c r="DC130" s="341"/>
      <c r="DD130" s="341"/>
      <c r="DE130" s="341"/>
      <c r="DF130" s="341" t="e">
        <f t="shared" si="175"/>
        <v>#DIV/0!</v>
      </c>
      <c r="DG130" s="340"/>
      <c r="DH130" s="341"/>
      <c r="DI130" s="341"/>
      <c r="DJ130" s="341"/>
      <c r="DK130" s="341" t="e">
        <f t="shared" si="176"/>
        <v>#DIV/0!</v>
      </c>
      <c r="DL130" s="340"/>
      <c r="DM130" s="341"/>
      <c r="DN130" s="341"/>
      <c r="DO130" s="341"/>
      <c r="DP130" s="341" t="e">
        <f t="shared" si="177"/>
        <v>#DIV/0!</v>
      </c>
      <c r="DQ130" s="340"/>
      <c r="DR130" s="341"/>
      <c r="DS130" s="341"/>
      <c r="DT130" s="341"/>
      <c r="DU130" s="341" t="e">
        <f t="shared" si="178"/>
        <v>#DIV/0!</v>
      </c>
      <c r="DV130" s="340"/>
      <c r="DW130" s="341"/>
      <c r="DX130" s="341"/>
      <c r="DY130" s="341"/>
      <c r="DZ130" s="341" t="e">
        <f t="shared" si="179"/>
        <v>#DIV/0!</v>
      </c>
      <c r="EA130" s="340"/>
      <c r="EB130" s="341"/>
      <c r="EC130" s="341"/>
      <c r="ED130" s="341"/>
      <c r="EE130" s="341" t="e">
        <f t="shared" si="180"/>
        <v>#DIV/0!</v>
      </c>
      <c r="EF130" s="340"/>
      <c r="EG130" s="341"/>
      <c r="EH130" s="341"/>
      <c r="EI130" s="341"/>
      <c r="EJ130" s="341" t="e">
        <f t="shared" si="181"/>
        <v>#DIV/0!</v>
      </c>
      <c r="EK130" s="340"/>
      <c r="EL130" s="341"/>
      <c r="EM130" s="341"/>
      <c r="EN130" s="341"/>
      <c r="EO130" s="341" t="e">
        <f t="shared" si="182"/>
        <v>#DIV/0!</v>
      </c>
      <c r="EP130" s="340"/>
      <c r="EQ130" s="341"/>
      <c r="ER130" s="341"/>
      <c r="ES130" s="341"/>
      <c r="ET130" s="341" t="e">
        <f t="shared" si="183"/>
        <v>#DIV/0!</v>
      </c>
      <c r="EU130" s="340"/>
      <c r="EV130" s="341"/>
      <c r="EW130" s="341"/>
      <c r="EX130" s="341"/>
      <c r="EY130" s="341" t="e">
        <f t="shared" si="184"/>
        <v>#DIV/0!</v>
      </c>
      <c r="EZ130" s="340"/>
      <c r="FA130" s="341"/>
      <c r="FB130" s="341"/>
      <c r="FC130" s="341"/>
      <c r="FD130" s="341" t="e">
        <f t="shared" si="185"/>
        <v>#DIV/0!</v>
      </c>
      <c r="FE130" s="341">
        <f t="shared" si="186"/>
        <v>612</v>
      </c>
      <c r="FF130" s="341"/>
      <c r="FG130" s="341">
        <f t="shared" ref="FG130:FG138" si="195">FA130+EQ130+EL130+EG130+EB130+DW130+DR130+DM130+DH130+DC130+CX130+CS130+CN130+CI130+CD130+BY130+BT130+BO130+BJ130+BE130+AZ130+AU130+AP130+AK130+AF130+AA130+V130+Q130+L130+G130</f>
        <v>17</v>
      </c>
      <c r="FH130" s="343">
        <f t="shared" si="193"/>
        <v>652</v>
      </c>
      <c r="FI130" s="344">
        <f t="shared" si="188"/>
        <v>1.13499081549831</v>
      </c>
      <c r="FJ130" s="341">
        <f t="shared" si="190"/>
        <v>149.96</v>
      </c>
      <c r="FK130" s="347"/>
      <c r="FL130" s="348"/>
      <c r="FM130" s="352"/>
    </row>
    <row r="131" s="215" customFormat="1" ht="27" customHeight="1" spans="1:171">
      <c r="A131" s="337"/>
      <c r="B131" s="335"/>
      <c r="C131" s="338"/>
      <c r="D131" s="337" t="s">
        <v>12</v>
      </c>
      <c r="E131" s="342">
        <v>0.25</v>
      </c>
      <c r="F131" s="340"/>
      <c r="G131" s="341"/>
      <c r="H131" s="341"/>
      <c r="I131" s="341"/>
      <c r="J131" s="341" t="e">
        <f t="shared" si="157"/>
        <v>#DIV/0!</v>
      </c>
      <c r="K131" s="340"/>
      <c r="L131" s="341"/>
      <c r="M131" s="341"/>
      <c r="N131" s="341"/>
      <c r="O131" s="341" t="e">
        <f t="shared" si="158"/>
        <v>#DIV/0!</v>
      </c>
      <c r="P131" s="340"/>
      <c r="Q131" s="341"/>
      <c r="R131" s="341"/>
      <c r="S131" s="341"/>
      <c r="T131" s="341" t="e">
        <f t="shared" si="159"/>
        <v>#DIV/0!</v>
      </c>
      <c r="U131" s="340"/>
      <c r="V131" s="341"/>
      <c r="W131" s="341"/>
      <c r="X131" s="341"/>
      <c r="Y131" s="341" t="e">
        <f t="shared" si="160"/>
        <v>#DIV/0!</v>
      </c>
      <c r="Z131" s="340">
        <v>64</v>
      </c>
      <c r="AA131" s="341">
        <v>1</v>
      </c>
      <c r="AB131" s="341">
        <v>63</v>
      </c>
      <c r="AC131" s="341">
        <v>3</v>
      </c>
      <c r="AD131" s="341">
        <f t="shared" si="192"/>
        <v>0.911157024793388</v>
      </c>
      <c r="AE131" s="340">
        <v>125</v>
      </c>
      <c r="AF131" s="341">
        <v>2</v>
      </c>
      <c r="AG131" s="341">
        <v>120</v>
      </c>
      <c r="AH131" s="341">
        <v>3</v>
      </c>
      <c r="AI131" s="341">
        <f t="shared" si="161"/>
        <v>0.951814396192742</v>
      </c>
      <c r="AJ131" s="340">
        <v>126</v>
      </c>
      <c r="AK131" s="341">
        <v>1</v>
      </c>
      <c r="AL131" s="341">
        <v>122</v>
      </c>
      <c r="AM131" s="341">
        <v>3</v>
      </c>
      <c r="AN131" s="341">
        <f t="shared" si="162"/>
        <v>0.952576</v>
      </c>
      <c r="AO131" s="340">
        <v>114</v>
      </c>
      <c r="AP131" s="341">
        <v>1</v>
      </c>
      <c r="AQ131" s="341">
        <v>113</v>
      </c>
      <c r="AR131" s="341"/>
      <c r="AS131" s="341">
        <f t="shared" si="194"/>
        <v>1</v>
      </c>
      <c r="AT131" s="340">
        <v>130</v>
      </c>
      <c r="AU131" s="341"/>
      <c r="AV131" s="341">
        <v>130</v>
      </c>
      <c r="AW131" s="341"/>
      <c r="AX131" s="341">
        <f t="shared" si="163"/>
        <v>1</v>
      </c>
      <c r="AY131" s="340">
        <v>125</v>
      </c>
      <c r="AZ131" s="341"/>
      <c r="BA131" s="341">
        <v>125</v>
      </c>
      <c r="BB131" s="341"/>
      <c r="BC131" s="341">
        <f t="shared" si="164"/>
        <v>1</v>
      </c>
      <c r="BD131" s="340">
        <v>184</v>
      </c>
      <c r="BE131" s="341">
        <v>2</v>
      </c>
      <c r="BF131" s="341">
        <v>182</v>
      </c>
      <c r="BG131" s="341"/>
      <c r="BH131" s="341">
        <f t="shared" si="165"/>
        <v>1</v>
      </c>
      <c r="BI131" s="340">
        <v>127</v>
      </c>
      <c r="BJ131" s="341">
        <v>3</v>
      </c>
      <c r="BK131" s="341">
        <v>124</v>
      </c>
      <c r="BL131" s="341"/>
      <c r="BM131" s="341">
        <f t="shared" si="166"/>
        <v>1</v>
      </c>
      <c r="BN131" s="340">
        <v>123</v>
      </c>
      <c r="BO131" s="341">
        <v>1</v>
      </c>
      <c r="BP131" s="341">
        <v>122</v>
      </c>
      <c r="BQ131" s="341"/>
      <c r="BR131" s="341">
        <f t="shared" si="167"/>
        <v>1</v>
      </c>
      <c r="BS131" s="340">
        <v>119</v>
      </c>
      <c r="BT131" s="341"/>
      <c r="BU131" s="341">
        <v>119</v>
      </c>
      <c r="BV131" s="341"/>
      <c r="BW131" s="341">
        <f t="shared" si="168"/>
        <v>1</v>
      </c>
      <c r="BX131" s="340"/>
      <c r="BY131" s="341"/>
      <c r="BZ131" s="341"/>
      <c r="CA131" s="341"/>
      <c r="CB131" s="341" t="e">
        <f t="shared" si="169"/>
        <v>#DIV/0!</v>
      </c>
      <c r="CC131" s="340">
        <v>113</v>
      </c>
      <c r="CD131" s="341"/>
      <c r="CE131" s="341">
        <v>113</v>
      </c>
      <c r="CF131" s="341"/>
      <c r="CG131" s="341">
        <f t="shared" si="170"/>
        <v>1</v>
      </c>
      <c r="CH131" s="340"/>
      <c r="CI131" s="341"/>
      <c r="CJ131" s="341"/>
      <c r="CK131" s="341"/>
      <c r="CL131" s="341" t="e">
        <f t="shared" si="171"/>
        <v>#DIV/0!</v>
      </c>
      <c r="CM131" s="340"/>
      <c r="CN131" s="341"/>
      <c r="CO131" s="341"/>
      <c r="CP131" s="341"/>
      <c r="CQ131" s="341" t="e">
        <f t="shared" si="172"/>
        <v>#DIV/0!</v>
      </c>
      <c r="CR131" s="340"/>
      <c r="CS131" s="341"/>
      <c r="CT131" s="341"/>
      <c r="CU131" s="341"/>
      <c r="CV131" s="341" t="e">
        <f t="shared" si="173"/>
        <v>#DIV/0!</v>
      </c>
      <c r="CW131" s="340"/>
      <c r="CX131" s="341"/>
      <c r="CY131" s="341"/>
      <c r="CZ131" s="341"/>
      <c r="DA131" s="341" t="e">
        <f t="shared" si="174"/>
        <v>#DIV/0!</v>
      </c>
      <c r="DB131" s="340"/>
      <c r="DC131" s="341"/>
      <c r="DD131" s="341"/>
      <c r="DE131" s="341"/>
      <c r="DF131" s="341" t="e">
        <f t="shared" si="175"/>
        <v>#DIV/0!</v>
      </c>
      <c r="DG131" s="340"/>
      <c r="DH131" s="341"/>
      <c r="DI131" s="341"/>
      <c r="DJ131" s="341"/>
      <c r="DK131" s="341" t="e">
        <f t="shared" si="176"/>
        <v>#DIV/0!</v>
      </c>
      <c r="DL131" s="340"/>
      <c r="DM131" s="341"/>
      <c r="DN131" s="341"/>
      <c r="DO131" s="341"/>
      <c r="DP131" s="341" t="e">
        <f t="shared" si="177"/>
        <v>#DIV/0!</v>
      </c>
      <c r="DQ131" s="340"/>
      <c r="DR131" s="341"/>
      <c r="DS131" s="341"/>
      <c r="DT131" s="341"/>
      <c r="DU131" s="341" t="e">
        <f t="shared" si="178"/>
        <v>#DIV/0!</v>
      </c>
      <c r="DV131" s="340"/>
      <c r="DW131" s="341"/>
      <c r="DX131" s="341"/>
      <c r="DY131" s="341"/>
      <c r="DZ131" s="341" t="e">
        <f t="shared" si="179"/>
        <v>#DIV/0!</v>
      </c>
      <c r="EA131" s="340"/>
      <c r="EB131" s="341"/>
      <c r="EC131" s="341"/>
      <c r="ED131" s="341"/>
      <c r="EE131" s="341" t="e">
        <f t="shared" si="180"/>
        <v>#DIV/0!</v>
      </c>
      <c r="EF131" s="340"/>
      <c r="EG131" s="341"/>
      <c r="EH131" s="341"/>
      <c r="EI131" s="341"/>
      <c r="EJ131" s="341" t="e">
        <f t="shared" si="181"/>
        <v>#DIV/0!</v>
      </c>
      <c r="EK131" s="340"/>
      <c r="EL131" s="341"/>
      <c r="EM131" s="341"/>
      <c r="EN131" s="341"/>
      <c r="EO131" s="341" t="e">
        <f t="shared" si="182"/>
        <v>#DIV/0!</v>
      </c>
      <c r="EP131" s="340"/>
      <c r="EQ131" s="341"/>
      <c r="ER131" s="341"/>
      <c r="ES131" s="341"/>
      <c r="ET131" s="341" t="e">
        <f t="shared" si="183"/>
        <v>#DIV/0!</v>
      </c>
      <c r="EU131" s="340"/>
      <c r="EV131" s="341"/>
      <c r="EW131" s="341"/>
      <c r="EX131" s="341"/>
      <c r="EY131" s="341" t="e">
        <f t="shared" si="184"/>
        <v>#DIV/0!</v>
      </c>
      <c r="EZ131" s="340"/>
      <c r="FA131" s="341"/>
      <c r="FB131" s="341"/>
      <c r="FC131" s="341"/>
      <c r="FD131" s="341" t="e">
        <f t="shared" si="185"/>
        <v>#DIV/0!</v>
      </c>
      <c r="FE131" s="341">
        <f t="shared" si="186"/>
        <v>1350</v>
      </c>
      <c r="FF131" s="341"/>
      <c r="FG131" s="341">
        <f t="shared" si="195"/>
        <v>11</v>
      </c>
      <c r="FH131" s="343">
        <f t="shared" si="193"/>
        <v>1333</v>
      </c>
      <c r="FI131" s="344">
        <f t="shared" si="188"/>
        <v>0.974973388203018</v>
      </c>
      <c r="FJ131" s="341">
        <f t="shared" si="190"/>
        <v>333.25</v>
      </c>
      <c r="FK131" s="347"/>
      <c r="FL131" s="348"/>
      <c r="FM131" s="352"/>
      <c r="FO131" s="353"/>
    </row>
    <row r="132" s="215" customFormat="1" ht="27" customHeight="1" spans="1:169">
      <c r="A132" s="337"/>
      <c r="B132" s="335"/>
      <c r="C132" s="338"/>
      <c r="D132" s="337" t="s">
        <v>52</v>
      </c>
      <c r="E132" s="342">
        <v>0.67</v>
      </c>
      <c r="F132" s="340"/>
      <c r="G132" s="341"/>
      <c r="H132" s="341"/>
      <c r="I132" s="341"/>
      <c r="J132" s="341" t="e">
        <f t="shared" si="157"/>
        <v>#DIV/0!</v>
      </c>
      <c r="K132" s="340"/>
      <c r="L132" s="341"/>
      <c r="M132" s="341"/>
      <c r="N132" s="341"/>
      <c r="O132" s="341" t="e">
        <f t="shared" si="158"/>
        <v>#DIV/0!</v>
      </c>
      <c r="P132" s="340"/>
      <c r="Q132" s="341"/>
      <c r="R132" s="341"/>
      <c r="S132" s="341"/>
      <c r="T132" s="341" t="e">
        <f t="shared" si="159"/>
        <v>#DIV/0!</v>
      </c>
      <c r="U132" s="340"/>
      <c r="V132" s="341"/>
      <c r="W132" s="341"/>
      <c r="X132" s="341"/>
      <c r="Y132" s="341" t="e">
        <f t="shared" si="160"/>
        <v>#DIV/0!</v>
      </c>
      <c r="Z132" s="340"/>
      <c r="AA132" s="341"/>
      <c r="AB132" s="341"/>
      <c r="AC132" s="341"/>
      <c r="AD132" s="341" t="e">
        <f t="shared" si="192"/>
        <v>#DIV/0!</v>
      </c>
      <c r="AE132" s="340"/>
      <c r="AF132" s="341"/>
      <c r="AG132" s="341"/>
      <c r="AH132" s="341"/>
      <c r="AI132" s="341" t="e">
        <f t="shared" si="161"/>
        <v>#DIV/0!</v>
      </c>
      <c r="AJ132" s="340"/>
      <c r="AK132" s="341"/>
      <c r="AL132" s="341"/>
      <c r="AM132" s="341"/>
      <c r="AN132" s="341" t="e">
        <f t="shared" si="162"/>
        <v>#DIV/0!</v>
      </c>
      <c r="AO132" s="340"/>
      <c r="AP132" s="341"/>
      <c r="AQ132" s="341"/>
      <c r="AR132" s="341"/>
      <c r="AS132" s="341" t="e">
        <f t="shared" si="194"/>
        <v>#DIV/0!</v>
      </c>
      <c r="AT132" s="340"/>
      <c r="AU132" s="341"/>
      <c r="AV132" s="341"/>
      <c r="AW132" s="341"/>
      <c r="AX132" s="341" t="e">
        <f t="shared" si="163"/>
        <v>#DIV/0!</v>
      </c>
      <c r="AY132" s="340"/>
      <c r="AZ132" s="341"/>
      <c r="BA132" s="341"/>
      <c r="BB132" s="341"/>
      <c r="BC132" s="341" t="e">
        <f t="shared" si="164"/>
        <v>#DIV/0!</v>
      </c>
      <c r="BD132" s="340"/>
      <c r="BE132" s="341"/>
      <c r="BF132" s="341"/>
      <c r="BG132" s="341"/>
      <c r="BH132" s="341" t="e">
        <f t="shared" si="165"/>
        <v>#DIV/0!</v>
      </c>
      <c r="BI132" s="340"/>
      <c r="BJ132" s="341"/>
      <c r="BK132" s="341"/>
      <c r="BL132" s="341"/>
      <c r="BM132" s="341" t="e">
        <f t="shared" si="166"/>
        <v>#DIV/0!</v>
      </c>
      <c r="BN132" s="340"/>
      <c r="BO132" s="341"/>
      <c r="BP132" s="341"/>
      <c r="BQ132" s="341"/>
      <c r="BR132" s="341" t="e">
        <f t="shared" si="167"/>
        <v>#DIV/0!</v>
      </c>
      <c r="BS132" s="340"/>
      <c r="BT132" s="341"/>
      <c r="BU132" s="341"/>
      <c r="BV132" s="341"/>
      <c r="BW132" s="341" t="e">
        <f t="shared" si="168"/>
        <v>#DIV/0!</v>
      </c>
      <c r="BX132" s="340"/>
      <c r="BY132" s="341"/>
      <c r="BZ132" s="341"/>
      <c r="CA132" s="341"/>
      <c r="CB132" s="341" t="e">
        <f t="shared" si="169"/>
        <v>#DIV/0!</v>
      </c>
      <c r="CC132" s="340"/>
      <c r="CD132" s="341"/>
      <c r="CE132" s="341"/>
      <c r="CF132" s="341"/>
      <c r="CG132" s="341" t="e">
        <f t="shared" si="170"/>
        <v>#DIV/0!</v>
      </c>
      <c r="CH132" s="340"/>
      <c r="CI132" s="341"/>
      <c r="CJ132" s="341"/>
      <c r="CK132" s="341"/>
      <c r="CL132" s="341" t="e">
        <f t="shared" si="171"/>
        <v>#DIV/0!</v>
      </c>
      <c r="CM132" s="340"/>
      <c r="CN132" s="341"/>
      <c r="CO132" s="341"/>
      <c r="CP132" s="341"/>
      <c r="CQ132" s="341" t="e">
        <f t="shared" si="172"/>
        <v>#DIV/0!</v>
      </c>
      <c r="CR132" s="340"/>
      <c r="CS132" s="341"/>
      <c r="CT132" s="341"/>
      <c r="CU132" s="341"/>
      <c r="CV132" s="341" t="e">
        <f t="shared" si="173"/>
        <v>#DIV/0!</v>
      </c>
      <c r="CW132" s="340"/>
      <c r="CX132" s="341"/>
      <c r="CY132" s="341"/>
      <c r="CZ132" s="341"/>
      <c r="DA132" s="341" t="e">
        <f t="shared" si="174"/>
        <v>#DIV/0!</v>
      </c>
      <c r="DB132" s="340"/>
      <c r="DC132" s="341"/>
      <c r="DD132" s="341"/>
      <c r="DE132" s="341"/>
      <c r="DF132" s="341" t="e">
        <f t="shared" si="175"/>
        <v>#DIV/0!</v>
      </c>
      <c r="DG132" s="340"/>
      <c r="DH132" s="341"/>
      <c r="DI132" s="341"/>
      <c r="DJ132" s="341"/>
      <c r="DK132" s="341" t="e">
        <f t="shared" si="176"/>
        <v>#DIV/0!</v>
      </c>
      <c r="DL132" s="340"/>
      <c r="DM132" s="341"/>
      <c r="DN132" s="341"/>
      <c r="DO132" s="341"/>
      <c r="DP132" s="341" t="e">
        <f t="shared" si="177"/>
        <v>#DIV/0!</v>
      </c>
      <c r="DQ132" s="340"/>
      <c r="DR132" s="341"/>
      <c r="DS132" s="341"/>
      <c r="DT132" s="341"/>
      <c r="DU132" s="341" t="e">
        <f t="shared" si="178"/>
        <v>#DIV/0!</v>
      </c>
      <c r="DV132" s="340"/>
      <c r="DW132" s="341"/>
      <c r="DX132" s="341"/>
      <c r="DY132" s="341"/>
      <c r="DZ132" s="341" t="e">
        <f t="shared" si="179"/>
        <v>#DIV/0!</v>
      </c>
      <c r="EA132" s="340"/>
      <c r="EB132" s="341"/>
      <c r="EC132" s="341"/>
      <c r="ED132" s="341"/>
      <c r="EE132" s="341" t="e">
        <f t="shared" si="180"/>
        <v>#DIV/0!</v>
      </c>
      <c r="EF132" s="340"/>
      <c r="EG132" s="341"/>
      <c r="EH132" s="341"/>
      <c r="EI132" s="341"/>
      <c r="EJ132" s="341" t="e">
        <f t="shared" si="181"/>
        <v>#DIV/0!</v>
      </c>
      <c r="EK132" s="340"/>
      <c r="EL132" s="341"/>
      <c r="EM132" s="341"/>
      <c r="EN132" s="341"/>
      <c r="EO132" s="341" t="e">
        <f t="shared" si="182"/>
        <v>#DIV/0!</v>
      </c>
      <c r="EP132" s="340"/>
      <c r="EQ132" s="341"/>
      <c r="ER132" s="341"/>
      <c r="ES132" s="341"/>
      <c r="ET132" s="341" t="e">
        <f t="shared" si="183"/>
        <v>#DIV/0!</v>
      </c>
      <c r="EU132" s="340"/>
      <c r="EV132" s="341"/>
      <c r="EW132" s="341"/>
      <c r="EX132" s="341"/>
      <c r="EY132" s="341" t="e">
        <f t="shared" si="184"/>
        <v>#DIV/0!</v>
      </c>
      <c r="EZ132" s="340"/>
      <c r="FA132" s="341"/>
      <c r="FB132" s="341"/>
      <c r="FC132" s="341"/>
      <c r="FD132" s="341" t="e">
        <f t="shared" si="185"/>
        <v>#DIV/0!</v>
      </c>
      <c r="FE132" s="341">
        <f t="shared" si="186"/>
        <v>0</v>
      </c>
      <c r="FF132" s="341"/>
      <c r="FG132" s="341">
        <f t="shared" si="195"/>
        <v>0</v>
      </c>
      <c r="FH132" s="343">
        <f t="shared" si="193"/>
        <v>0</v>
      </c>
      <c r="FI132" s="344" t="e">
        <f t="shared" si="188"/>
        <v>#DIV/0!</v>
      </c>
      <c r="FJ132" s="341">
        <f t="shared" si="190"/>
        <v>0</v>
      </c>
      <c r="FK132" s="347"/>
      <c r="FL132" s="348"/>
      <c r="FM132" s="352"/>
    </row>
    <row r="133" s="215" customFormat="1" ht="27" customHeight="1" spans="1:169">
      <c r="A133" s="337"/>
      <c r="B133" s="335"/>
      <c r="C133" s="338"/>
      <c r="D133" s="337" t="s">
        <v>14</v>
      </c>
      <c r="E133" s="342">
        <v>0.373</v>
      </c>
      <c r="F133" s="340"/>
      <c r="G133" s="341"/>
      <c r="H133" s="341"/>
      <c r="I133" s="341"/>
      <c r="J133" s="341" t="e">
        <f t="shared" si="157"/>
        <v>#DIV/0!</v>
      </c>
      <c r="K133" s="340"/>
      <c r="L133" s="341"/>
      <c r="M133" s="341"/>
      <c r="N133" s="341"/>
      <c r="O133" s="341" t="e">
        <f t="shared" si="158"/>
        <v>#DIV/0!</v>
      </c>
      <c r="P133" s="340"/>
      <c r="Q133" s="341"/>
      <c r="R133" s="341"/>
      <c r="S133" s="341"/>
      <c r="T133" s="341" t="e">
        <f t="shared" si="159"/>
        <v>#DIV/0!</v>
      </c>
      <c r="U133" s="340"/>
      <c r="V133" s="341"/>
      <c r="W133" s="341"/>
      <c r="X133" s="341"/>
      <c r="Y133" s="341" t="e">
        <f t="shared" si="160"/>
        <v>#DIV/0!</v>
      </c>
      <c r="Z133" s="340"/>
      <c r="AA133" s="341"/>
      <c r="AB133" s="341"/>
      <c r="AC133" s="341"/>
      <c r="AD133" s="341" t="e">
        <f t="shared" si="192"/>
        <v>#DIV/0!</v>
      </c>
      <c r="AE133" s="340"/>
      <c r="AF133" s="341"/>
      <c r="AG133" s="341"/>
      <c r="AH133" s="341"/>
      <c r="AI133" s="341" t="e">
        <f t="shared" si="161"/>
        <v>#DIV/0!</v>
      </c>
      <c r="AJ133" s="340"/>
      <c r="AK133" s="341"/>
      <c r="AL133" s="341"/>
      <c r="AM133" s="341"/>
      <c r="AN133" s="341" t="e">
        <f t="shared" si="162"/>
        <v>#DIV/0!</v>
      </c>
      <c r="AO133" s="340"/>
      <c r="AP133" s="341"/>
      <c r="AQ133" s="341"/>
      <c r="AR133" s="341"/>
      <c r="AS133" s="341" t="e">
        <f t="shared" si="194"/>
        <v>#DIV/0!</v>
      </c>
      <c r="AT133" s="340"/>
      <c r="AU133" s="341"/>
      <c r="AV133" s="341"/>
      <c r="AW133" s="341"/>
      <c r="AX133" s="341" t="e">
        <f t="shared" si="163"/>
        <v>#DIV/0!</v>
      </c>
      <c r="AY133" s="340"/>
      <c r="AZ133" s="341"/>
      <c r="BA133" s="341"/>
      <c r="BB133" s="341"/>
      <c r="BC133" s="341" t="e">
        <f t="shared" si="164"/>
        <v>#DIV/0!</v>
      </c>
      <c r="BD133" s="340"/>
      <c r="BE133" s="341"/>
      <c r="BF133" s="341"/>
      <c r="BG133" s="341"/>
      <c r="BH133" s="341" t="e">
        <f t="shared" si="165"/>
        <v>#DIV/0!</v>
      </c>
      <c r="BI133" s="340"/>
      <c r="BJ133" s="341"/>
      <c r="BK133" s="341"/>
      <c r="BL133" s="341"/>
      <c r="BM133" s="341" t="e">
        <f t="shared" si="166"/>
        <v>#DIV/0!</v>
      </c>
      <c r="BN133" s="340"/>
      <c r="BO133" s="341"/>
      <c r="BP133" s="341"/>
      <c r="BQ133" s="341"/>
      <c r="BR133" s="341" t="e">
        <f t="shared" si="167"/>
        <v>#DIV/0!</v>
      </c>
      <c r="BS133" s="340"/>
      <c r="BT133" s="341"/>
      <c r="BU133" s="341"/>
      <c r="BV133" s="341"/>
      <c r="BW133" s="341" t="e">
        <f t="shared" si="168"/>
        <v>#DIV/0!</v>
      </c>
      <c r="BX133" s="340"/>
      <c r="BY133" s="341"/>
      <c r="BZ133" s="341"/>
      <c r="CA133" s="341"/>
      <c r="CB133" s="341" t="e">
        <f t="shared" si="169"/>
        <v>#DIV/0!</v>
      </c>
      <c r="CC133" s="340"/>
      <c r="CD133" s="341"/>
      <c r="CE133" s="341"/>
      <c r="CF133" s="341"/>
      <c r="CG133" s="341" t="e">
        <f t="shared" si="170"/>
        <v>#DIV/0!</v>
      </c>
      <c r="CH133" s="340"/>
      <c r="CI133" s="341"/>
      <c r="CJ133" s="341"/>
      <c r="CK133" s="341"/>
      <c r="CL133" s="341" t="e">
        <f t="shared" si="171"/>
        <v>#DIV/0!</v>
      </c>
      <c r="CM133" s="340"/>
      <c r="CN133" s="341"/>
      <c r="CO133" s="341"/>
      <c r="CP133" s="341"/>
      <c r="CQ133" s="341" t="e">
        <f t="shared" si="172"/>
        <v>#DIV/0!</v>
      </c>
      <c r="CR133" s="340"/>
      <c r="CS133" s="341"/>
      <c r="CT133" s="341"/>
      <c r="CU133" s="341"/>
      <c r="CV133" s="341" t="e">
        <f t="shared" si="173"/>
        <v>#DIV/0!</v>
      </c>
      <c r="CW133" s="340"/>
      <c r="CX133" s="341"/>
      <c r="CY133" s="341"/>
      <c r="CZ133" s="341"/>
      <c r="DA133" s="341" t="e">
        <f t="shared" si="174"/>
        <v>#DIV/0!</v>
      </c>
      <c r="DB133" s="340"/>
      <c r="DC133" s="341"/>
      <c r="DD133" s="341"/>
      <c r="DE133" s="341"/>
      <c r="DF133" s="341" t="e">
        <f t="shared" si="175"/>
        <v>#DIV/0!</v>
      </c>
      <c r="DG133" s="340"/>
      <c r="DH133" s="341"/>
      <c r="DI133" s="341"/>
      <c r="DJ133" s="341"/>
      <c r="DK133" s="341" t="e">
        <f t="shared" si="176"/>
        <v>#DIV/0!</v>
      </c>
      <c r="DL133" s="340"/>
      <c r="DM133" s="341"/>
      <c r="DN133" s="341"/>
      <c r="DO133" s="341"/>
      <c r="DP133" s="341" t="e">
        <f t="shared" si="177"/>
        <v>#DIV/0!</v>
      </c>
      <c r="DQ133" s="340"/>
      <c r="DR133" s="341"/>
      <c r="DS133" s="341"/>
      <c r="DT133" s="341"/>
      <c r="DU133" s="341" t="e">
        <f t="shared" si="178"/>
        <v>#DIV/0!</v>
      </c>
      <c r="DV133" s="340"/>
      <c r="DW133" s="341"/>
      <c r="DX133" s="341"/>
      <c r="DY133" s="341"/>
      <c r="DZ133" s="341" t="e">
        <f t="shared" si="179"/>
        <v>#DIV/0!</v>
      </c>
      <c r="EA133" s="340"/>
      <c r="EB133" s="341"/>
      <c r="EC133" s="341"/>
      <c r="ED133" s="341"/>
      <c r="EE133" s="341" t="e">
        <f t="shared" si="180"/>
        <v>#DIV/0!</v>
      </c>
      <c r="EF133" s="340"/>
      <c r="EG133" s="341"/>
      <c r="EH133" s="341"/>
      <c r="EI133" s="341"/>
      <c r="EJ133" s="341" t="e">
        <f t="shared" si="181"/>
        <v>#DIV/0!</v>
      </c>
      <c r="EK133" s="340"/>
      <c r="EL133" s="341"/>
      <c r="EM133" s="341"/>
      <c r="EN133" s="341"/>
      <c r="EO133" s="341" t="e">
        <f t="shared" si="182"/>
        <v>#DIV/0!</v>
      </c>
      <c r="EP133" s="340"/>
      <c r="EQ133" s="341"/>
      <c r="ER133" s="341"/>
      <c r="ES133" s="341"/>
      <c r="ET133" s="341" t="e">
        <f t="shared" si="183"/>
        <v>#DIV/0!</v>
      </c>
      <c r="EU133" s="340"/>
      <c r="EV133" s="341"/>
      <c r="EW133" s="341"/>
      <c r="EX133" s="341"/>
      <c r="EY133" s="341" t="e">
        <f t="shared" si="184"/>
        <v>#DIV/0!</v>
      </c>
      <c r="EZ133" s="340"/>
      <c r="FA133" s="341"/>
      <c r="FB133" s="341"/>
      <c r="FC133" s="341"/>
      <c r="FD133" s="341" t="e">
        <f t="shared" si="185"/>
        <v>#DIV/0!</v>
      </c>
      <c r="FE133" s="341">
        <f t="shared" si="186"/>
        <v>0</v>
      </c>
      <c r="FF133" s="341"/>
      <c r="FG133" s="341">
        <f t="shared" si="195"/>
        <v>0</v>
      </c>
      <c r="FH133" s="343">
        <f t="shared" si="193"/>
        <v>0</v>
      </c>
      <c r="FI133" s="344" t="e">
        <f t="shared" si="188"/>
        <v>#DIV/0!</v>
      </c>
      <c r="FJ133" s="341">
        <f t="shared" si="190"/>
        <v>0</v>
      </c>
      <c r="FK133" s="347"/>
      <c r="FL133" s="348"/>
      <c r="FM133" s="352"/>
    </row>
    <row r="134" s="215" customFormat="1" ht="27" customHeight="1" spans="1:169">
      <c r="A134" s="337"/>
      <c r="B134" s="335"/>
      <c r="C134" s="338"/>
      <c r="D134" s="337" t="s">
        <v>15</v>
      </c>
      <c r="E134" s="342">
        <v>0.67</v>
      </c>
      <c r="F134" s="340"/>
      <c r="G134" s="341"/>
      <c r="H134" s="341"/>
      <c r="I134" s="341"/>
      <c r="J134" s="341" t="e">
        <f t="shared" si="157"/>
        <v>#DIV/0!</v>
      </c>
      <c r="K134" s="340"/>
      <c r="L134" s="341"/>
      <c r="M134" s="341"/>
      <c r="N134" s="341"/>
      <c r="O134" s="341" t="e">
        <f t="shared" si="158"/>
        <v>#DIV/0!</v>
      </c>
      <c r="P134" s="340"/>
      <c r="Q134" s="341"/>
      <c r="R134" s="341"/>
      <c r="S134" s="341"/>
      <c r="T134" s="341" t="e">
        <f t="shared" si="159"/>
        <v>#DIV/0!</v>
      </c>
      <c r="U134" s="340"/>
      <c r="V134" s="341"/>
      <c r="W134" s="341"/>
      <c r="X134" s="341"/>
      <c r="Y134" s="341" t="e">
        <f t="shared" si="160"/>
        <v>#DIV/0!</v>
      </c>
      <c r="Z134" s="340"/>
      <c r="AA134" s="341"/>
      <c r="AB134" s="341"/>
      <c r="AC134" s="341"/>
      <c r="AD134" s="341" t="e">
        <f t="shared" si="192"/>
        <v>#DIV/0!</v>
      </c>
      <c r="AE134" s="340"/>
      <c r="AF134" s="341"/>
      <c r="AG134" s="341"/>
      <c r="AH134" s="341"/>
      <c r="AI134" s="341" t="e">
        <f t="shared" si="161"/>
        <v>#DIV/0!</v>
      </c>
      <c r="AJ134" s="340"/>
      <c r="AK134" s="341"/>
      <c r="AL134" s="341"/>
      <c r="AM134" s="341"/>
      <c r="AN134" s="341" t="e">
        <f t="shared" si="162"/>
        <v>#DIV/0!</v>
      </c>
      <c r="AO134" s="340"/>
      <c r="AP134" s="341"/>
      <c r="AQ134" s="341"/>
      <c r="AR134" s="341"/>
      <c r="AS134" s="341" t="e">
        <f t="shared" si="194"/>
        <v>#DIV/0!</v>
      </c>
      <c r="AT134" s="340"/>
      <c r="AU134" s="341"/>
      <c r="AV134" s="341"/>
      <c r="AW134" s="341"/>
      <c r="AX134" s="341" t="e">
        <f t="shared" si="163"/>
        <v>#DIV/0!</v>
      </c>
      <c r="AY134" s="340"/>
      <c r="AZ134" s="341"/>
      <c r="BA134" s="341"/>
      <c r="BB134" s="341"/>
      <c r="BC134" s="341" t="e">
        <f t="shared" si="164"/>
        <v>#DIV/0!</v>
      </c>
      <c r="BD134" s="340"/>
      <c r="BE134" s="341"/>
      <c r="BF134" s="341"/>
      <c r="BG134" s="341"/>
      <c r="BH134" s="341" t="e">
        <f t="shared" si="165"/>
        <v>#DIV/0!</v>
      </c>
      <c r="BI134" s="340"/>
      <c r="BJ134" s="341"/>
      <c r="BK134" s="341"/>
      <c r="BL134" s="341"/>
      <c r="BM134" s="341" t="e">
        <f t="shared" si="166"/>
        <v>#DIV/0!</v>
      </c>
      <c r="BN134" s="340"/>
      <c r="BO134" s="341"/>
      <c r="BP134" s="341"/>
      <c r="BQ134" s="341"/>
      <c r="BR134" s="341" t="e">
        <f t="shared" si="167"/>
        <v>#DIV/0!</v>
      </c>
      <c r="BS134" s="340"/>
      <c r="BT134" s="341"/>
      <c r="BU134" s="341"/>
      <c r="BV134" s="341"/>
      <c r="BW134" s="341" t="e">
        <f t="shared" si="168"/>
        <v>#DIV/0!</v>
      </c>
      <c r="BX134" s="340"/>
      <c r="BY134" s="341"/>
      <c r="BZ134" s="341"/>
      <c r="CA134" s="341"/>
      <c r="CB134" s="341" t="e">
        <f t="shared" si="169"/>
        <v>#DIV/0!</v>
      </c>
      <c r="CC134" s="340"/>
      <c r="CD134" s="341"/>
      <c r="CE134" s="341"/>
      <c r="CF134" s="341"/>
      <c r="CG134" s="341" t="e">
        <f t="shared" si="170"/>
        <v>#DIV/0!</v>
      </c>
      <c r="CH134" s="340"/>
      <c r="CI134" s="341"/>
      <c r="CJ134" s="341"/>
      <c r="CK134" s="341"/>
      <c r="CL134" s="341" t="e">
        <f t="shared" si="171"/>
        <v>#DIV/0!</v>
      </c>
      <c r="CM134" s="340"/>
      <c r="CN134" s="341"/>
      <c r="CO134" s="341"/>
      <c r="CP134" s="341"/>
      <c r="CQ134" s="341" t="e">
        <f t="shared" si="172"/>
        <v>#DIV/0!</v>
      </c>
      <c r="CR134" s="340"/>
      <c r="CS134" s="341"/>
      <c r="CT134" s="341"/>
      <c r="CU134" s="341"/>
      <c r="CV134" s="341" t="e">
        <f t="shared" si="173"/>
        <v>#DIV/0!</v>
      </c>
      <c r="CW134" s="340"/>
      <c r="CX134" s="341"/>
      <c r="CY134" s="341"/>
      <c r="CZ134" s="341"/>
      <c r="DA134" s="341" t="e">
        <f t="shared" si="174"/>
        <v>#DIV/0!</v>
      </c>
      <c r="DB134" s="340"/>
      <c r="DC134" s="341"/>
      <c r="DD134" s="341"/>
      <c r="DE134" s="341"/>
      <c r="DF134" s="341" t="e">
        <f t="shared" si="175"/>
        <v>#DIV/0!</v>
      </c>
      <c r="DG134" s="340"/>
      <c r="DH134" s="341"/>
      <c r="DI134" s="341"/>
      <c r="DJ134" s="341"/>
      <c r="DK134" s="341" t="e">
        <f t="shared" si="176"/>
        <v>#DIV/0!</v>
      </c>
      <c r="DL134" s="340"/>
      <c r="DM134" s="341"/>
      <c r="DN134" s="341"/>
      <c r="DO134" s="341"/>
      <c r="DP134" s="341" t="e">
        <f t="shared" si="177"/>
        <v>#DIV/0!</v>
      </c>
      <c r="DQ134" s="340"/>
      <c r="DR134" s="341"/>
      <c r="DS134" s="341"/>
      <c r="DT134" s="341"/>
      <c r="DU134" s="341" t="e">
        <f t="shared" si="178"/>
        <v>#DIV/0!</v>
      </c>
      <c r="DV134" s="340"/>
      <c r="DW134" s="341"/>
      <c r="DX134" s="341"/>
      <c r="DY134" s="341"/>
      <c r="DZ134" s="341" t="e">
        <f t="shared" si="179"/>
        <v>#DIV/0!</v>
      </c>
      <c r="EA134" s="340"/>
      <c r="EB134" s="341"/>
      <c r="EC134" s="341"/>
      <c r="ED134" s="341"/>
      <c r="EE134" s="341" t="e">
        <f t="shared" si="180"/>
        <v>#DIV/0!</v>
      </c>
      <c r="EF134" s="340"/>
      <c r="EG134" s="341"/>
      <c r="EH134" s="341"/>
      <c r="EI134" s="341"/>
      <c r="EJ134" s="341" t="e">
        <f t="shared" si="181"/>
        <v>#DIV/0!</v>
      </c>
      <c r="EK134" s="340"/>
      <c r="EL134" s="341"/>
      <c r="EM134" s="341"/>
      <c r="EN134" s="341"/>
      <c r="EO134" s="341" t="e">
        <f t="shared" si="182"/>
        <v>#DIV/0!</v>
      </c>
      <c r="EP134" s="340"/>
      <c r="EQ134" s="341"/>
      <c r="ER134" s="341"/>
      <c r="ES134" s="341"/>
      <c r="ET134" s="341" t="e">
        <f t="shared" si="183"/>
        <v>#DIV/0!</v>
      </c>
      <c r="EU134" s="340"/>
      <c r="EV134" s="341"/>
      <c r="EW134" s="341"/>
      <c r="EX134" s="341"/>
      <c r="EY134" s="341" t="e">
        <f t="shared" si="184"/>
        <v>#DIV/0!</v>
      </c>
      <c r="EZ134" s="340"/>
      <c r="FA134" s="341"/>
      <c r="FB134" s="341"/>
      <c r="FC134" s="341"/>
      <c r="FD134" s="341" t="e">
        <f t="shared" si="185"/>
        <v>#DIV/0!</v>
      </c>
      <c r="FE134" s="341">
        <f t="shared" si="186"/>
        <v>0</v>
      </c>
      <c r="FF134" s="341"/>
      <c r="FG134" s="341">
        <f t="shared" si="195"/>
        <v>0</v>
      </c>
      <c r="FH134" s="343">
        <f t="shared" si="193"/>
        <v>0</v>
      </c>
      <c r="FI134" s="344" t="e">
        <f t="shared" si="188"/>
        <v>#DIV/0!</v>
      </c>
      <c r="FJ134" s="341">
        <f t="shared" si="190"/>
        <v>0</v>
      </c>
      <c r="FK134" s="347"/>
      <c r="FL134" s="348"/>
      <c r="FM134" s="352"/>
    </row>
    <row r="135" s="215" customFormat="1" ht="27" customHeight="1" spans="1:169">
      <c r="A135" s="337"/>
      <c r="B135" s="335"/>
      <c r="C135" s="338"/>
      <c r="D135" s="337" t="s">
        <v>16</v>
      </c>
      <c r="E135" s="342">
        <v>0.67</v>
      </c>
      <c r="F135" s="340"/>
      <c r="G135" s="341"/>
      <c r="H135" s="341"/>
      <c r="I135" s="341"/>
      <c r="J135" s="341" t="e">
        <f t="shared" si="157"/>
        <v>#DIV/0!</v>
      </c>
      <c r="K135" s="340"/>
      <c r="L135" s="341"/>
      <c r="M135" s="341"/>
      <c r="N135" s="341"/>
      <c r="O135" s="341" t="e">
        <f t="shared" si="158"/>
        <v>#DIV/0!</v>
      </c>
      <c r="P135" s="340"/>
      <c r="Q135" s="341"/>
      <c r="R135" s="341"/>
      <c r="S135" s="341"/>
      <c r="T135" s="341" t="e">
        <f t="shared" si="159"/>
        <v>#DIV/0!</v>
      </c>
      <c r="U135" s="340"/>
      <c r="V135" s="341"/>
      <c r="W135" s="341"/>
      <c r="X135" s="341"/>
      <c r="Y135" s="341" t="e">
        <f t="shared" si="160"/>
        <v>#DIV/0!</v>
      </c>
      <c r="Z135" s="340"/>
      <c r="AA135" s="341"/>
      <c r="AB135" s="341"/>
      <c r="AC135" s="341"/>
      <c r="AD135" s="341" t="e">
        <f t="shared" si="192"/>
        <v>#DIV/0!</v>
      </c>
      <c r="AE135" s="340"/>
      <c r="AF135" s="341"/>
      <c r="AG135" s="341"/>
      <c r="AH135" s="341"/>
      <c r="AI135" s="341" t="e">
        <f t="shared" si="161"/>
        <v>#DIV/0!</v>
      </c>
      <c r="AJ135" s="340"/>
      <c r="AK135" s="341"/>
      <c r="AL135" s="341"/>
      <c r="AM135" s="341"/>
      <c r="AN135" s="341" t="e">
        <f t="shared" si="162"/>
        <v>#DIV/0!</v>
      </c>
      <c r="AO135" s="340"/>
      <c r="AP135" s="341"/>
      <c r="AQ135" s="341"/>
      <c r="AR135" s="341"/>
      <c r="AS135" s="341" t="e">
        <f t="shared" si="194"/>
        <v>#DIV/0!</v>
      </c>
      <c r="AT135" s="340"/>
      <c r="AU135" s="341"/>
      <c r="AV135" s="341"/>
      <c r="AW135" s="341"/>
      <c r="AX135" s="341" t="e">
        <f t="shared" si="163"/>
        <v>#DIV/0!</v>
      </c>
      <c r="AY135" s="340"/>
      <c r="AZ135" s="341"/>
      <c r="BA135" s="341"/>
      <c r="BB135" s="341"/>
      <c r="BC135" s="341" t="e">
        <f t="shared" si="164"/>
        <v>#DIV/0!</v>
      </c>
      <c r="BD135" s="340"/>
      <c r="BE135" s="341"/>
      <c r="BF135" s="341"/>
      <c r="BG135" s="341"/>
      <c r="BH135" s="341" t="e">
        <f t="shared" si="165"/>
        <v>#DIV/0!</v>
      </c>
      <c r="BI135" s="340"/>
      <c r="BJ135" s="341"/>
      <c r="BK135" s="341"/>
      <c r="BL135" s="341"/>
      <c r="BM135" s="341" t="e">
        <f t="shared" si="166"/>
        <v>#DIV/0!</v>
      </c>
      <c r="BN135" s="340"/>
      <c r="BO135" s="341"/>
      <c r="BP135" s="341"/>
      <c r="BQ135" s="341"/>
      <c r="BR135" s="341" t="e">
        <f t="shared" si="167"/>
        <v>#DIV/0!</v>
      </c>
      <c r="BS135" s="340"/>
      <c r="BT135" s="341"/>
      <c r="BU135" s="341"/>
      <c r="BV135" s="341"/>
      <c r="BW135" s="341" t="e">
        <f t="shared" si="168"/>
        <v>#DIV/0!</v>
      </c>
      <c r="BX135" s="340"/>
      <c r="BY135" s="341"/>
      <c r="BZ135" s="341"/>
      <c r="CA135" s="341"/>
      <c r="CB135" s="341" t="e">
        <f t="shared" si="169"/>
        <v>#DIV/0!</v>
      </c>
      <c r="CC135" s="340"/>
      <c r="CD135" s="341"/>
      <c r="CE135" s="341"/>
      <c r="CF135" s="341"/>
      <c r="CG135" s="341" t="e">
        <f t="shared" si="170"/>
        <v>#DIV/0!</v>
      </c>
      <c r="CH135" s="340"/>
      <c r="CI135" s="341"/>
      <c r="CJ135" s="341"/>
      <c r="CK135" s="341"/>
      <c r="CL135" s="341" t="e">
        <f t="shared" si="171"/>
        <v>#DIV/0!</v>
      </c>
      <c r="CM135" s="340"/>
      <c r="CN135" s="341"/>
      <c r="CO135" s="341"/>
      <c r="CP135" s="341"/>
      <c r="CQ135" s="341" t="e">
        <f t="shared" si="172"/>
        <v>#DIV/0!</v>
      </c>
      <c r="CR135" s="340"/>
      <c r="CS135" s="341"/>
      <c r="CT135" s="341"/>
      <c r="CU135" s="341"/>
      <c r="CV135" s="341" t="e">
        <f t="shared" si="173"/>
        <v>#DIV/0!</v>
      </c>
      <c r="CW135" s="340"/>
      <c r="CX135" s="341"/>
      <c r="CY135" s="341"/>
      <c r="CZ135" s="341"/>
      <c r="DA135" s="341" t="e">
        <f t="shared" si="174"/>
        <v>#DIV/0!</v>
      </c>
      <c r="DB135" s="340"/>
      <c r="DC135" s="341"/>
      <c r="DD135" s="341"/>
      <c r="DE135" s="341"/>
      <c r="DF135" s="341" t="e">
        <f t="shared" si="175"/>
        <v>#DIV/0!</v>
      </c>
      <c r="DG135" s="340"/>
      <c r="DH135" s="341"/>
      <c r="DI135" s="341"/>
      <c r="DJ135" s="341"/>
      <c r="DK135" s="341" t="e">
        <f t="shared" si="176"/>
        <v>#DIV/0!</v>
      </c>
      <c r="DL135" s="340"/>
      <c r="DM135" s="341"/>
      <c r="DN135" s="341"/>
      <c r="DO135" s="341"/>
      <c r="DP135" s="341" t="e">
        <f t="shared" si="177"/>
        <v>#DIV/0!</v>
      </c>
      <c r="DQ135" s="340"/>
      <c r="DR135" s="341"/>
      <c r="DS135" s="341"/>
      <c r="DT135" s="341"/>
      <c r="DU135" s="341" t="e">
        <f t="shared" si="178"/>
        <v>#DIV/0!</v>
      </c>
      <c r="DV135" s="340"/>
      <c r="DW135" s="341"/>
      <c r="DX135" s="341"/>
      <c r="DY135" s="341"/>
      <c r="DZ135" s="341" t="e">
        <f t="shared" si="179"/>
        <v>#DIV/0!</v>
      </c>
      <c r="EA135" s="340"/>
      <c r="EB135" s="341"/>
      <c r="EC135" s="341"/>
      <c r="ED135" s="341"/>
      <c r="EE135" s="341" t="e">
        <f t="shared" si="180"/>
        <v>#DIV/0!</v>
      </c>
      <c r="EF135" s="340"/>
      <c r="EG135" s="341"/>
      <c r="EH135" s="341"/>
      <c r="EI135" s="341"/>
      <c r="EJ135" s="341" t="e">
        <f t="shared" si="181"/>
        <v>#DIV/0!</v>
      </c>
      <c r="EK135" s="340"/>
      <c r="EL135" s="341"/>
      <c r="EM135" s="341"/>
      <c r="EN135" s="341"/>
      <c r="EO135" s="341" t="e">
        <f t="shared" si="182"/>
        <v>#DIV/0!</v>
      </c>
      <c r="EP135" s="340"/>
      <c r="EQ135" s="341"/>
      <c r="ER135" s="341"/>
      <c r="ES135" s="341"/>
      <c r="ET135" s="341" t="e">
        <f t="shared" si="183"/>
        <v>#DIV/0!</v>
      </c>
      <c r="EU135" s="340"/>
      <c r="EV135" s="341"/>
      <c r="EW135" s="341"/>
      <c r="EX135" s="341"/>
      <c r="EY135" s="341" t="e">
        <f t="shared" si="184"/>
        <v>#DIV/0!</v>
      </c>
      <c r="EZ135" s="340"/>
      <c r="FA135" s="341"/>
      <c r="FB135" s="341"/>
      <c r="FC135" s="341"/>
      <c r="FD135" s="341" t="e">
        <f t="shared" si="185"/>
        <v>#DIV/0!</v>
      </c>
      <c r="FE135" s="341">
        <f t="shared" si="186"/>
        <v>0</v>
      </c>
      <c r="FF135" s="341"/>
      <c r="FG135" s="341">
        <f t="shared" si="195"/>
        <v>0</v>
      </c>
      <c r="FH135" s="343">
        <f t="shared" si="193"/>
        <v>0</v>
      </c>
      <c r="FI135" s="344" t="e">
        <f t="shared" si="188"/>
        <v>#DIV/0!</v>
      </c>
      <c r="FJ135" s="341">
        <f t="shared" si="190"/>
        <v>0</v>
      </c>
      <c r="FK135" s="347"/>
      <c r="FL135" s="348"/>
      <c r="FM135" s="352"/>
    </row>
    <row r="136" s="215" customFormat="1" ht="27" customHeight="1" spans="1:169">
      <c r="A136" s="337"/>
      <c r="B136" s="336"/>
      <c r="C136" s="338"/>
      <c r="D136" s="337" t="s">
        <v>17</v>
      </c>
      <c r="E136" s="342">
        <v>0.373</v>
      </c>
      <c r="F136" s="340"/>
      <c r="G136" s="341"/>
      <c r="H136" s="341"/>
      <c r="I136" s="341"/>
      <c r="J136" s="341" t="e">
        <f t="shared" si="157"/>
        <v>#DIV/0!</v>
      </c>
      <c r="K136" s="340"/>
      <c r="L136" s="341"/>
      <c r="M136" s="341"/>
      <c r="N136" s="341"/>
      <c r="O136" s="341" t="e">
        <f t="shared" si="158"/>
        <v>#DIV/0!</v>
      </c>
      <c r="P136" s="340"/>
      <c r="Q136" s="341"/>
      <c r="R136" s="341"/>
      <c r="S136" s="341"/>
      <c r="T136" s="341" t="e">
        <f t="shared" si="159"/>
        <v>#DIV/0!</v>
      </c>
      <c r="U136" s="340"/>
      <c r="V136" s="341"/>
      <c r="W136" s="341"/>
      <c r="X136" s="341"/>
      <c r="Y136" s="341" t="e">
        <f t="shared" si="160"/>
        <v>#DIV/0!</v>
      </c>
      <c r="Z136" s="340"/>
      <c r="AA136" s="341"/>
      <c r="AB136" s="341"/>
      <c r="AC136" s="341"/>
      <c r="AD136" s="341" t="e">
        <f t="shared" si="192"/>
        <v>#DIV/0!</v>
      </c>
      <c r="AE136" s="340"/>
      <c r="AF136" s="341"/>
      <c r="AG136" s="341"/>
      <c r="AH136" s="341"/>
      <c r="AI136" s="341" t="e">
        <f t="shared" si="161"/>
        <v>#DIV/0!</v>
      </c>
      <c r="AJ136" s="340"/>
      <c r="AK136" s="341"/>
      <c r="AL136" s="341"/>
      <c r="AM136" s="341"/>
      <c r="AN136" s="341" t="e">
        <f t="shared" si="162"/>
        <v>#DIV/0!</v>
      </c>
      <c r="AO136" s="340"/>
      <c r="AP136" s="341"/>
      <c r="AQ136" s="341"/>
      <c r="AR136" s="341"/>
      <c r="AS136" s="341" t="e">
        <f t="shared" si="194"/>
        <v>#DIV/0!</v>
      </c>
      <c r="AT136" s="340"/>
      <c r="AU136" s="341"/>
      <c r="AV136" s="341"/>
      <c r="AW136" s="341"/>
      <c r="AX136" s="341" t="e">
        <f t="shared" si="163"/>
        <v>#DIV/0!</v>
      </c>
      <c r="AY136" s="340"/>
      <c r="AZ136" s="341"/>
      <c r="BA136" s="341"/>
      <c r="BB136" s="341"/>
      <c r="BC136" s="341" t="e">
        <f t="shared" si="164"/>
        <v>#DIV/0!</v>
      </c>
      <c r="BD136" s="340"/>
      <c r="BE136" s="341"/>
      <c r="BF136" s="341"/>
      <c r="BG136" s="341"/>
      <c r="BH136" s="341" t="e">
        <f t="shared" si="165"/>
        <v>#DIV/0!</v>
      </c>
      <c r="BI136" s="340"/>
      <c r="BJ136" s="341"/>
      <c r="BK136" s="341"/>
      <c r="BL136" s="341"/>
      <c r="BM136" s="341" t="e">
        <f t="shared" si="166"/>
        <v>#DIV/0!</v>
      </c>
      <c r="BN136" s="340"/>
      <c r="BO136" s="341"/>
      <c r="BP136" s="341"/>
      <c r="BQ136" s="341"/>
      <c r="BR136" s="341" t="e">
        <f t="shared" si="167"/>
        <v>#DIV/0!</v>
      </c>
      <c r="BS136" s="340"/>
      <c r="BT136" s="341"/>
      <c r="BU136" s="341"/>
      <c r="BV136" s="341"/>
      <c r="BW136" s="341" t="e">
        <f t="shared" si="168"/>
        <v>#DIV/0!</v>
      </c>
      <c r="BX136" s="340"/>
      <c r="BY136" s="341"/>
      <c r="BZ136" s="341"/>
      <c r="CA136" s="341"/>
      <c r="CB136" s="341" t="e">
        <f t="shared" si="169"/>
        <v>#DIV/0!</v>
      </c>
      <c r="CC136" s="340"/>
      <c r="CD136" s="341"/>
      <c r="CE136" s="341"/>
      <c r="CF136" s="341"/>
      <c r="CG136" s="341" t="e">
        <f t="shared" si="170"/>
        <v>#DIV/0!</v>
      </c>
      <c r="CH136" s="340"/>
      <c r="CI136" s="341"/>
      <c r="CJ136" s="341"/>
      <c r="CK136" s="341"/>
      <c r="CL136" s="341" t="e">
        <f t="shared" si="171"/>
        <v>#DIV/0!</v>
      </c>
      <c r="CM136" s="340"/>
      <c r="CN136" s="341"/>
      <c r="CO136" s="341"/>
      <c r="CP136" s="341"/>
      <c r="CQ136" s="341" t="e">
        <f t="shared" si="172"/>
        <v>#DIV/0!</v>
      </c>
      <c r="CR136" s="340"/>
      <c r="CS136" s="341"/>
      <c r="CT136" s="341"/>
      <c r="CU136" s="341"/>
      <c r="CV136" s="341" t="e">
        <f t="shared" si="173"/>
        <v>#DIV/0!</v>
      </c>
      <c r="CW136" s="340"/>
      <c r="CX136" s="341"/>
      <c r="CY136" s="341"/>
      <c r="CZ136" s="341"/>
      <c r="DA136" s="341" t="e">
        <f t="shared" si="174"/>
        <v>#DIV/0!</v>
      </c>
      <c r="DB136" s="340"/>
      <c r="DC136" s="341"/>
      <c r="DD136" s="341"/>
      <c r="DE136" s="341"/>
      <c r="DF136" s="341" t="e">
        <f t="shared" si="175"/>
        <v>#DIV/0!</v>
      </c>
      <c r="DG136" s="340"/>
      <c r="DH136" s="341"/>
      <c r="DI136" s="341"/>
      <c r="DJ136" s="341"/>
      <c r="DK136" s="341" t="e">
        <f t="shared" si="176"/>
        <v>#DIV/0!</v>
      </c>
      <c r="DL136" s="340"/>
      <c r="DM136" s="341"/>
      <c r="DN136" s="341"/>
      <c r="DO136" s="341"/>
      <c r="DP136" s="341" t="e">
        <f t="shared" si="177"/>
        <v>#DIV/0!</v>
      </c>
      <c r="DQ136" s="340"/>
      <c r="DR136" s="341"/>
      <c r="DS136" s="341"/>
      <c r="DT136" s="341"/>
      <c r="DU136" s="341" t="e">
        <f t="shared" si="178"/>
        <v>#DIV/0!</v>
      </c>
      <c r="DV136" s="340"/>
      <c r="DW136" s="341"/>
      <c r="DX136" s="341"/>
      <c r="DY136" s="341"/>
      <c r="DZ136" s="341" t="e">
        <f t="shared" si="179"/>
        <v>#DIV/0!</v>
      </c>
      <c r="EA136" s="340"/>
      <c r="EB136" s="341"/>
      <c r="EC136" s="341"/>
      <c r="ED136" s="341"/>
      <c r="EE136" s="341" t="e">
        <f t="shared" si="180"/>
        <v>#DIV/0!</v>
      </c>
      <c r="EF136" s="340"/>
      <c r="EG136" s="341"/>
      <c r="EH136" s="341"/>
      <c r="EI136" s="341"/>
      <c r="EJ136" s="341" t="e">
        <f t="shared" si="181"/>
        <v>#DIV/0!</v>
      </c>
      <c r="EK136" s="340"/>
      <c r="EL136" s="341"/>
      <c r="EM136" s="341"/>
      <c r="EN136" s="341"/>
      <c r="EO136" s="341" t="e">
        <f t="shared" si="182"/>
        <v>#DIV/0!</v>
      </c>
      <c r="EP136" s="340"/>
      <c r="EQ136" s="341"/>
      <c r="ER136" s="341"/>
      <c r="ES136" s="341"/>
      <c r="ET136" s="341" t="e">
        <f t="shared" si="183"/>
        <v>#DIV/0!</v>
      </c>
      <c r="EU136" s="340"/>
      <c r="EV136" s="341"/>
      <c r="EW136" s="341"/>
      <c r="EX136" s="341"/>
      <c r="EY136" s="341" t="e">
        <f t="shared" si="184"/>
        <v>#DIV/0!</v>
      </c>
      <c r="EZ136" s="340"/>
      <c r="FA136" s="341"/>
      <c r="FB136" s="341"/>
      <c r="FC136" s="341"/>
      <c r="FD136" s="341" t="e">
        <f t="shared" si="185"/>
        <v>#DIV/0!</v>
      </c>
      <c r="FE136" s="341">
        <f t="shared" si="186"/>
        <v>0</v>
      </c>
      <c r="FF136" s="341"/>
      <c r="FG136" s="341">
        <f t="shared" si="195"/>
        <v>0</v>
      </c>
      <c r="FH136" s="343">
        <f t="shared" si="193"/>
        <v>0</v>
      </c>
      <c r="FI136" s="344" t="e">
        <f t="shared" si="188"/>
        <v>#DIV/0!</v>
      </c>
      <c r="FJ136" s="341">
        <f t="shared" si="190"/>
        <v>0</v>
      </c>
      <c r="FK136" s="349"/>
      <c r="FL136" s="350"/>
      <c r="FM136" s="354"/>
    </row>
    <row r="137" s="215" customFormat="1" ht="27" customHeight="1" spans="1:169">
      <c r="A137" s="337">
        <v>18</v>
      </c>
      <c r="B137" s="334" t="s">
        <v>57</v>
      </c>
      <c r="C137" s="338"/>
      <c r="D137" s="337" t="s">
        <v>8</v>
      </c>
      <c r="E137" s="339">
        <v>0.4</v>
      </c>
      <c r="F137" s="340"/>
      <c r="G137" s="340"/>
      <c r="H137" s="341"/>
      <c r="I137" s="341"/>
      <c r="J137" s="341" t="e">
        <f t="shared" si="157"/>
        <v>#DIV/0!</v>
      </c>
      <c r="K137" s="340"/>
      <c r="L137" s="340"/>
      <c r="M137" s="341"/>
      <c r="N137" s="341"/>
      <c r="O137" s="341" t="e">
        <f t="shared" si="158"/>
        <v>#DIV/0!</v>
      </c>
      <c r="P137" s="340"/>
      <c r="Q137" s="340"/>
      <c r="R137" s="341"/>
      <c r="S137" s="341"/>
      <c r="T137" s="341" t="e">
        <f t="shared" si="159"/>
        <v>#DIV/0!</v>
      </c>
      <c r="U137" s="340"/>
      <c r="V137" s="340"/>
      <c r="W137" s="341"/>
      <c r="X137" s="341"/>
      <c r="Y137" s="341" t="e">
        <f t="shared" si="160"/>
        <v>#DIV/0!</v>
      </c>
      <c r="Z137" s="340"/>
      <c r="AA137" s="340"/>
      <c r="AB137" s="341"/>
      <c r="AC137" s="341"/>
      <c r="AD137" s="341" t="e">
        <f t="shared" si="192"/>
        <v>#DIV/0!</v>
      </c>
      <c r="AE137" s="340"/>
      <c r="AF137" s="340"/>
      <c r="AG137" s="341"/>
      <c r="AH137" s="341"/>
      <c r="AI137" s="341" t="e">
        <f t="shared" si="161"/>
        <v>#DIV/0!</v>
      </c>
      <c r="AJ137" s="340"/>
      <c r="AK137" s="340"/>
      <c r="AL137" s="341"/>
      <c r="AM137" s="341"/>
      <c r="AN137" s="341" t="e">
        <f t="shared" si="162"/>
        <v>#DIV/0!</v>
      </c>
      <c r="AO137" s="340"/>
      <c r="AP137" s="340"/>
      <c r="AQ137" s="341"/>
      <c r="AR137" s="341"/>
      <c r="AS137" s="341" t="e">
        <f t="shared" si="194"/>
        <v>#DIV/0!</v>
      </c>
      <c r="AT137" s="340"/>
      <c r="AU137" s="340"/>
      <c r="AV137" s="341"/>
      <c r="AW137" s="341"/>
      <c r="AX137" s="341" t="e">
        <f t="shared" si="163"/>
        <v>#DIV/0!</v>
      </c>
      <c r="AY137" s="340"/>
      <c r="AZ137" s="340"/>
      <c r="BA137" s="341"/>
      <c r="BB137" s="341"/>
      <c r="BC137" s="341" t="e">
        <f t="shared" si="164"/>
        <v>#DIV/0!</v>
      </c>
      <c r="BD137" s="340"/>
      <c r="BE137" s="340"/>
      <c r="BF137" s="341"/>
      <c r="BG137" s="341"/>
      <c r="BH137" s="341" t="e">
        <f t="shared" si="165"/>
        <v>#DIV/0!</v>
      </c>
      <c r="BI137" s="340"/>
      <c r="BJ137" s="340"/>
      <c r="BK137" s="341"/>
      <c r="BL137" s="341"/>
      <c r="BM137" s="341" t="e">
        <f t="shared" si="166"/>
        <v>#DIV/0!</v>
      </c>
      <c r="BN137" s="340"/>
      <c r="BO137" s="340"/>
      <c r="BP137" s="341"/>
      <c r="BQ137" s="341"/>
      <c r="BR137" s="341" t="e">
        <f t="shared" si="167"/>
        <v>#DIV/0!</v>
      </c>
      <c r="BS137" s="340"/>
      <c r="BT137" s="340"/>
      <c r="BU137" s="341"/>
      <c r="BV137" s="341"/>
      <c r="BW137" s="341" t="e">
        <f t="shared" si="168"/>
        <v>#DIV/0!</v>
      </c>
      <c r="BX137" s="340"/>
      <c r="BY137" s="340"/>
      <c r="BZ137" s="341"/>
      <c r="CA137" s="341"/>
      <c r="CB137" s="341" t="e">
        <f t="shared" si="169"/>
        <v>#DIV/0!</v>
      </c>
      <c r="CC137" s="340"/>
      <c r="CD137" s="340"/>
      <c r="CE137" s="341"/>
      <c r="CF137" s="341"/>
      <c r="CG137" s="341" t="e">
        <f t="shared" si="170"/>
        <v>#DIV/0!</v>
      </c>
      <c r="CH137" s="340"/>
      <c r="CI137" s="340"/>
      <c r="CJ137" s="341"/>
      <c r="CK137" s="341"/>
      <c r="CL137" s="341" t="e">
        <f t="shared" si="171"/>
        <v>#DIV/0!</v>
      </c>
      <c r="CM137" s="340"/>
      <c r="CN137" s="340"/>
      <c r="CO137" s="341"/>
      <c r="CP137" s="341"/>
      <c r="CQ137" s="341" t="e">
        <f t="shared" si="172"/>
        <v>#DIV/0!</v>
      </c>
      <c r="CR137" s="340"/>
      <c r="CS137" s="340"/>
      <c r="CT137" s="341"/>
      <c r="CU137" s="341"/>
      <c r="CV137" s="341" t="e">
        <f t="shared" si="173"/>
        <v>#DIV/0!</v>
      </c>
      <c r="CW137" s="340"/>
      <c r="CX137" s="340"/>
      <c r="CY137" s="341"/>
      <c r="CZ137" s="341"/>
      <c r="DA137" s="341" t="e">
        <f t="shared" si="174"/>
        <v>#DIV/0!</v>
      </c>
      <c r="DB137" s="340"/>
      <c r="DC137" s="340"/>
      <c r="DD137" s="341"/>
      <c r="DE137" s="341"/>
      <c r="DF137" s="341" t="e">
        <f t="shared" si="175"/>
        <v>#DIV/0!</v>
      </c>
      <c r="DG137" s="340">
        <v>114</v>
      </c>
      <c r="DH137" s="340">
        <v>1</v>
      </c>
      <c r="DI137" s="341">
        <v>113</v>
      </c>
      <c r="DJ137" s="341"/>
      <c r="DK137" s="341">
        <f t="shared" si="176"/>
        <v>1</v>
      </c>
      <c r="DL137" s="340"/>
      <c r="DM137" s="340"/>
      <c r="DN137" s="341"/>
      <c r="DO137" s="341"/>
      <c r="DP137" s="341" t="e">
        <f t="shared" si="177"/>
        <v>#DIV/0!</v>
      </c>
      <c r="DQ137" s="340"/>
      <c r="DR137" s="340"/>
      <c r="DS137" s="341"/>
      <c r="DT137" s="341"/>
      <c r="DU137" s="341" t="e">
        <f t="shared" si="178"/>
        <v>#DIV/0!</v>
      </c>
      <c r="DV137" s="340"/>
      <c r="DW137" s="340"/>
      <c r="DX137" s="341"/>
      <c r="DY137" s="341"/>
      <c r="DZ137" s="341" t="e">
        <f t="shared" si="179"/>
        <v>#DIV/0!</v>
      </c>
      <c r="EA137" s="340"/>
      <c r="EB137" s="340"/>
      <c r="EC137" s="341"/>
      <c r="ED137" s="341"/>
      <c r="EE137" s="341" t="e">
        <f t="shared" si="180"/>
        <v>#DIV/0!</v>
      </c>
      <c r="EF137" s="340"/>
      <c r="EG137" s="340"/>
      <c r="EH137" s="341"/>
      <c r="EI137" s="341"/>
      <c r="EJ137" s="341" t="e">
        <f t="shared" si="181"/>
        <v>#DIV/0!</v>
      </c>
      <c r="EK137" s="340"/>
      <c r="EL137" s="340"/>
      <c r="EM137" s="341"/>
      <c r="EN137" s="341"/>
      <c r="EO137" s="341" t="e">
        <f t="shared" si="182"/>
        <v>#DIV/0!</v>
      </c>
      <c r="EP137" s="340"/>
      <c r="EQ137" s="340"/>
      <c r="ER137" s="341"/>
      <c r="ES137" s="341"/>
      <c r="ET137" s="341" t="e">
        <f t="shared" si="183"/>
        <v>#DIV/0!</v>
      </c>
      <c r="EU137" s="340"/>
      <c r="EV137" s="340"/>
      <c r="EW137" s="341">
        <v>211</v>
      </c>
      <c r="EX137" s="341"/>
      <c r="EY137" s="341">
        <f t="shared" si="184"/>
        <v>1</v>
      </c>
      <c r="EZ137" s="340"/>
      <c r="FA137" s="340"/>
      <c r="FB137" s="341"/>
      <c r="FC137" s="341"/>
      <c r="FD137" s="341" t="e">
        <f t="shared" si="185"/>
        <v>#DIV/0!</v>
      </c>
      <c r="FE137" s="341">
        <f t="shared" si="186"/>
        <v>114</v>
      </c>
      <c r="FF137" s="341"/>
      <c r="FG137" s="341">
        <f t="shared" si="195"/>
        <v>1</v>
      </c>
      <c r="FH137" s="343">
        <f t="shared" si="193"/>
        <v>324</v>
      </c>
      <c r="FI137" s="344">
        <f t="shared" si="188"/>
        <v>8.07756232686981</v>
      </c>
      <c r="FJ137" s="341">
        <f t="shared" si="190"/>
        <v>129.6</v>
      </c>
      <c r="FK137" s="345">
        <f>FJ137+FJ138+FJ139+FJ140+FJ141+FJ142+FJ143+FJ144+FJ145+FJ146</f>
        <v>569.263</v>
      </c>
      <c r="FL137" s="346">
        <f>(FH137+FH138+FH139+FH140+FH141+FH142+FH143+FH144+FH145+FH146-EW137-CY141-CY144)/(FE137+FE138+FE139+FE140+FE141+FE142+FE143+FE144+FE145+FE146)</f>
        <v>0.981631550513236</v>
      </c>
      <c r="FM137" s="351"/>
    </row>
    <row r="138" s="215" customFormat="1" ht="27" customHeight="1" spans="1:169">
      <c r="A138" s="337"/>
      <c r="B138" s="335"/>
      <c r="C138" s="338"/>
      <c r="D138" s="337" t="s">
        <v>9</v>
      </c>
      <c r="E138" s="342">
        <v>0.133</v>
      </c>
      <c r="F138" s="340"/>
      <c r="G138" s="340"/>
      <c r="H138" s="341"/>
      <c r="I138" s="341"/>
      <c r="J138" s="341" t="e">
        <f t="shared" si="157"/>
        <v>#DIV/0!</v>
      </c>
      <c r="K138" s="340"/>
      <c r="L138" s="340"/>
      <c r="M138" s="341"/>
      <c r="N138" s="341"/>
      <c r="O138" s="341" t="e">
        <f t="shared" si="158"/>
        <v>#DIV/0!</v>
      </c>
      <c r="P138" s="340"/>
      <c r="Q138" s="340"/>
      <c r="R138" s="341"/>
      <c r="S138" s="341"/>
      <c r="T138" s="341" t="e">
        <f t="shared" si="159"/>
        <v>#DIV/0!</v>
      </c>
      <c r="U138" s="340"/>
      <c r="V138" s="340"/>
      <c r="W138" s="341"/>
      <c r="X138" s="341"/>
      <c r="Y138" s="341" t="e">
        <f t="shared" si="160"/>
        <v>#DIV/0!</v>
      </c>
      <c r="Z138" s="340"/>
      <c r="AA138" s="340"/>
      <c r="AB138" s="341"/>
      <c r="AC138" s="341"/>
      <c r="AD138" s="341" t="e">
        <f t="shared" si="192"/>
        <v>#DIV/0!</v>
      </c>
      <c r="AE138" s="340"/>
      <c r="AF138" s="340"/>
      <c r="AG138" s="341"/>
      <c r="AH138" s="341"/>
      <c r="AI138" s="341" t="e">
        <f t="shared" si="161"/>
        <v>#DIV/0!</v>
      </c>
      <c r="AJ138" s="340"/>
      <c r="AK138" s="340"/>
      <c r="AL138" s="341"/>
      <c r="AM138" s="341"/>
      <c r="AN138" s="341" t="e">
        <f t="shared" si="162"/>
        <v>#DIV/0!</v>
      </c>
      <c r="AO138" s="340"/>
      <c r="AP138" s="340"/>
      <c r="AQ138" s="341"/>
      <c r="AR138" s="341"/>
      <c r="AS138" s="341" t="e">
        <f t="shared" si="194"/>
        <v>#DIV/0!</v>
      </c>
      <c r="AT138" s="340"/>
      <c r="AU138" s="340"/>
      <c r="AV138" s="341"/>
      <c r="AW138" s="341"/>
      <c r="AX138" s="341" t="e">
        <f t="shared" si="163"/>
        <v>#DIV/0!</v>
      </c>
      <c r="AY138" s="340"/>
      <c r="AZ138" s="340"/>
      <c r="BA138" s="341"/>
      <c r="BB138" s="341"/>
      <c r="BC138" s="341" t="e">
        <f t="shared" si="164"/>
        <v>#DIV/0!</v>
      </c>
      <c r="BD138" s="340"/>
      <c r="BE138" s="340"/>
      <c r="BF138" s="341"/>
      <c r="BG138" s="341"/>
      <c r="BH138" s="341" t="e">
        <f t="shared" si="165"/>
        <v>#DIV/0!</v>
      </c>
      <c r="BI138" s="340"/>
      <c r="BJ138" s="340"/>
      <c r="BK138" s="341"/>
      <c r="BL138" s="341"/>
      <c r="BM138" s="341" t="e">
        <f t="shared" si="166"/>
        <v>#DIV/0!</v>
      </c>
      <c r="BN138" s="340"/>
      <c r="BO138" s="340"/>
      <c r="BP138" s="341"/>
      <c r="BQ138" s="341"/>
      <c r="BR138" s="341" t="e">
        <f t="shared" si="167"/>
        <v>#DIV/0!</v>
      </c>
      <c r="BS138" s="340"/>
      <c r="BT138" s="340"/>
      <c r="BU138" s="341"/>
      <c r="BV138" s="341"/>
      <c r="BW138" s="341" t="e">
        <f t="shared" si="168"/>
        <v>#DIV/0!</v>
      </c>
      <c r="BX138" s="340"/>
      <c r="BY138" s="340"/>
      <c r="BZ138" s="341"/>
      <c r="CA138" s="341"/>
      <c r="CB138" s="341" t="e">
        <f t="shared" si="169"/>
        <v>#DIV/0!</v>
      </c>
      <c r="CC138" s="340"/>
      <c r="CD138" s="340"/>
      <c r="CE138" s="341"/>
      <c r="CF138" s="341"/>
      <c r="CG138" s="341" t="e">
        <f t="shared" si="170"/>
        <v>#DIV/0!</v>
      </c>
      <c r="CH138" s="340"/>
      <c r="CI138" s="340"/>
      <c r="CJ138" s="341"/>
      <c r="CK138" s="341"/>
      <c r="CL138" s="341" t="e">
        <f t="shared" si="171"/>
        <v>#DIV/0!</v>
      </c>
      <c r="CM138" s="340"/>
      <c r="CN138" s="340"/>
      <c r="CO138" s="341"/>
      <c r="CP138" s="341"/>
      <c r="CQ138" s="341" t="e">
        <f t="shared" si="172"/>
        <v>#DIV/0!</v>
      </c>
      <c r="CR138" s="340"/>
      <c r="CS138" s="340"/>
      <c r="CT138" s="341"/>
      <c r="CU138" s="341"/>
      <c r="CV138" s="341" t="e">
        <f t="shared" si="173"/>
        <v>#DIV/0!</v>
      </c>
      <c r="CW138" s="340"/>
      <c r="CX138" s="340"/>
      <c r="CY138" s="341"/>
      <c r="CZ138" s="341"/>
      <c r="DA138" s="341" t="e">
        <f t="shared" si="174"/>
        <v>#DIV/0!</v>
      </c>
      <c r="DB138" s="340"/>
      <c r="DC138" s="340"/>
      <c r="DD138" s="341"/>
      <c r="DE138" s="341"/>
      <c r="DF138" s="341" t="e">
        <f t="shared" si="175"/>
        <v>#DIV/0!</v>
      </c>
      <c r="DG138" s="340">
        <v>92</v>
      </c>
      <c r="DH138" s="340">
        <v>11</v>
      </c>
      <c r="DI138" s="341">
        <v>81</v>
      </c>
      <c r="DJ138" s="341"/>
      <c r="DK138" s="341">
        <f t="shared" si="176"/>
        <v>1</v>
      </c>
      <c r="DL138" s="340"/>
      <c r="DM138" s="340"/>
      <c r="DN138" s="341"/>
      <c r="DO138" s="341"/>
      <c r="DP138" s="341" t="e">
        <f t="shared" si="177"/>
        <v>#DIV/0!</v>
      </c>
      <c r="DQ138" s="340"/>
      <c r="DR138" s="340"/>
      <c r="DS138" s="341"/>
      <c r="DT138" s="341"/>
      <c r="DU138" s="341" t="e">
        <f t="shared" si="178"/>
        <v>#DIV/0!</v>
      </c>
      <c r="DV138" s="340"/>
      <c r="DW138" s="340"/>
      <c r="DX138" s="341"/>
      <c r="DY138" s="341"/>
      <c r="DZ138" s="341" t="e">
        <f t="shared" si="179"/>
        <v>#DIV/0!</v>
      </c>
      <c r="EA138" s="340"/>
      <c r="EB138" s="340"/>
      <c r="EC138" s="341"/>
      <c r="ED138" s="341"/>
      <c r="EE138" s="341" t="e">
        <f t="shared" si="180"/>
        <v>#DIV/0!</v>
      </c>
      <c r="EF138" s="340"/>
      <c r="EG138" s="340"/>
      <c r="EH138" s="341"/>
      <c r="EI138" s="341"/>
      <c r="EJ138" s="341" t="e">
        <f t="shared" si="181"/>
        <v>#DIV/0!</v>
      </c>
      <c r="EK138" s="340"/>
      <c r="EL138" s="340"/>
      <c r="EM138" s="341"/>
      <c r="EN138" s="341"/>
      <c r="EO138" s="341" t="e">
        <f t="shared" si="182"/>
        <v>#DIV/0!</v>
      </c>
      <c r="EP138" s="340"/>
      <c r="EQ138" s="340"/>
      <c r="ER138" s="341"/>
      <c r="ES138" s="341"/>
      <c r="ET138" s="341" t="e">
        <f t="shared" si="183"/>
        <v>#DIV/0!</v>
      </c>
      <c r="EU138" s="340"/>
      <c r="EV138" s="340"/>
      <c r="EW138" s="341"/>
      <c r="EX138" s="341"/>
      <c r="EY138" s="341" t="e">
        <f t="shared" si="184"/>
        <v>#DIV/0!</v>
      </c>
      <c r="EZ138" s="340"/>
      <c r="FA138" s="340"/>
      <c r="FB138" s="341"/>
      <c r="FC138" s="341"/>
      <c r="FD138" s="341" t="e">
        <f t="shared" si="185"/>
        <v>#DIV/0!</v>
      </c>
      <c r="FE138" s="341">
        <f t="shared" si="186"/>
        <v>92</v>
      </c>
      <c r="FF138" s="341"/>
      <c r="FG138" s="341">
        <f t="shared" si="195"/>
        <v>11</v>
      </c>
      <c r="FH138" s="343">
        <f t="shared" si="193"/>
        <v>81</v>
      </c>
      <c r="FI138" s="344">
        <f t="shared" si="188"/>
        <v>0.775165406427221</v>
      </c>
      <c r="FJ138" s="341">
        <f t="shared" si="190"/>
        <v>10.773</v>
      </c>
      <c r="FK138" s="347"/>
      <c r="FL138" s="348"/>
      <c r="FM138" s="352"/>
    </row>
    <row r="139" s="215" customFormat="1" ht="27" customHeight="1" spans="1:169">
      <c r="A139" s="337"/>
      <c r="B139" s="335"/>
      <c r="C139" s="338"/>
      <c r="D139" s="337" t="s">
        <v>10</v>
      </c>
      <c r="E139" s="342">
        <v>0.133</v>
      </c>
      <c r="F139" s="340"/>
      <c r="G139" s="277"/>
      <c r="H139" s="341"/>
      <c r="I139" s="341"/>
      <c r="J139" s="341" t="e">
        <f t="shared" si="157"/>
        <v>#DIV/0!</v>
      </c>
      <c r="K139" s="340"/>
      <c r="L139" s="341"/>
      <c r="M139" s="341"/>
      <c r="N139" s="341"/>
      <c r="O139" s="341" t="e">
        <f t="shared" si="158"/>
        <v>#DIV/0!</v>
      </c>
      <c r="P139" s="340"/>
      <c r="Q139" s="341"/>
      <c r="R139" s="341"/>
      <c r="S139" s="341"/>
      <c r="T139" s="341" t="e">
        <f t="shared" si="159"/>
        <v>#DIV/0!</v>
      </c>
      <c r="U139" s="340"/>
      <c r="V139" s="341"/>
      <c r="W139" s="341"/>
      <c r="X139" s="341"/>
      <c r="Y139" s="341" t="e">
        <f t="shared" si="160"/>
        <v>#DIV/0!</v>
      </c>
      <c r="Z139" s="340"/>
      <c r="AA139" s="341"/>
      <c r="AB139" s="341"/>
      <c r="AC139" s="341"/>
      <c r="AD139" s="341" t="e">
        <f t="shared" si="192"/>
        <v>#DIV/0!</v>
      </c>
      <c r="AE139" s="340"/>
      <c r="AF139" s="341"/>
      <c r="AG139" s="341"/>
      <c r="AH139" s="341"/>
      <c r="AI139" s="341" t="e">
        <f t="shared" si="161"/>
        <v>#DIV/0!</v>
      </c>
      <c r="AJ139" s="340"/>
      <c r="AK139" s="341"/>
      <c r="AL139" s="341"/>
      <c r="AM139" s="341"/>
      <c r="AN139" s="341" t="e">
        <f t="shared" si="162"/>
        <v>#DIV/0!</v>
      </c>
      <c r="AO139" s="340"/>
      <c r="AP139" s="341"/>
      <c r="AQ139" s="341"/>
      <c r="AR139" s="341"/>
      <c r="AS139" s="341" t="e">
        <f t="shared" si="194"/>
        <v>#DIV/0!</v>
      </c>
      <c r="AT139" s="340"/>
      <c r="AU139" s="341"/>
      <c r="AV139" s="341"/>
      <c r="AW139" s="341"/>
      <c r="AX139" s="341" t="e">
        <f t="shared" si="163"/>
        <v>#DIV/0!</v>
      </c>
      <c r="AY139" s="340"/>
      <c r="AZ139" s="341"/>
      <c r="BA139" s="341"/>
      <c r="BB139" s="341"/>
      <c r="BC139" s="341" t="e">
        <f t="shared" si="164"/>
        <v>#DIV/0!</v>
      </c>
      <c r="BD139" s="340"/>
      <c r="BE139" s="341"/>
      <c r="BF139" s="341"/>
      <c r="BG139" s="341"/>
      <c r="BH139" s="341" t="e">
        <f t="shared" si="165"/>
        <v>#DIV/0!</v>
      </c>
      <c r="BI139" s="340"/>
      <c r="BJ139" s="341"/>
      <c r="BK139" s="341"/>
      <c r="BL139" s="341"/>
      <c r="BM139" s="341" t="e">
        <f t="shared" si="166"/>
        <v>#DIV/0!</v>
      </c>
      <c r="BN139" s="340"/>
      <c r="BO139" s="341"/>
      <c r="BP139" s="341"/>
      <c r="BQ139" s="341"/>
      <c r="BR139" s="341" t="e">
        <f t="shared" si="167"/>
        <v>#DIV/0!</v>
      </c>
      <c r="BS139" s="340"/>
      <c r="BT139" s="341"/>
      <c r="BU139" s="341"/>
      <c r="BV139" s="341"/>
      <c r="BW139" s="341" t="e">
        <f t="shared" si="168"/>
        <v>#DIV/0!</v>
      </c>
      <c r="BX139" s="340"/>
      <c r="BY139" s="341"/>
      <c r="BZ139" s="341"/>
      <c r="CA139" s="341"/>
      <c r="CB139" s="341" t="e">
        <f t="shared" si="169"/>
        <v>#DIV/0!</v>
      </c>
      <c r="CC139" s="340"/>
      <c r="CD139" s="341"/>
      <c r="CE139" s="341"/>
      <c r="CF139" s="341"/>
      <c r="CG139" s="341" t="e">
        <f t="shared" si="170"/>
        <v>#DIV/0!</v>
      </c>
      <c r="CH139" s="340"/>
      <c r="CI139" s="341"/>
      <c r="CJ139" s="341"/>
      <c r="CK139" s="341"/>
      <c r="CL139" s="341" t="e">
        <f t="shared" si="171"/>
        <v>#DIV/0!</v>
      </c>
      <c r="CM139" s="340"/>
      <c r="CN139" s="341"/>
      <c r="CO139" s="341"/>
      <c r="CP139" s="341"/>
      <c r="CQ139" s="341" t="e">
        <f t="shared" si="172"/>
        <v>#DIV/0!</v>
      </c>
      <c r="CR139" s="340"/>
      <c r="CS139" s="341"/>
      <c r="CT139" s="341"/>
      <c r="CU139" s="341"/>
      <c r="CV139" s="341" t="e">
        <f t="shared" si="173"/>
        <v>#DIV/0!</v>
      </c>
      <c r="CW139" s="340"/>
      <c r="CX139" s="341"/>
      <c r="CY139" s="341"/>
      <c r="CZ139" s="341"/>
      <c r="DA139" s="341" t="e">
        <f t="shared" si="174"/>
        <v>#DIV/0!</v>
      </c>
      <c r="DB139" s="340"/>
      <c r="DC139" s="341"/>
      <c r="DD139" s="341"/>
      <c r="DE139" s="341"/>
      <c r="DF139" s="341" t="e">
        <f t="shared" si="175"/>
        <v>#DIV/0!</v>
      </c>
      <c r="DG139" s="340"/>
      <c r="DH139" s="341"/>
      <c r="DI139" s="341"/>
      <c r="DJ139" s="341"/>
      <c r="DK139" s="341" t="e">
        <f t="shared" si="176"/>
        <v>#DIV/0!</v>
      </c>
      <c r="DL139" s="340"/>
      <c r="DM139" s="341"/>
      <c r="DN139" s="341"/>
      <c r="DO139" s="341"/>
      <c r="DP139" s="341" t="e">
        <f t="shared" si="177"/>
        <v>#DIV/0!</v>
      </c>
      <c r="DQ139" s="340"/>
      <c r="DR139" s="341"/>
      <c r="DS139" s="341"/>
      <c r="DT139" s="341"/>
      <c r="DU139" s="341" t="e">
        <f t="shared" si="178"/>
        <v>#DIV/0!</v>
      </c>
      <c r="DV139" s="340"/>
      <c r="DW139" s="341"/>
      <c r="DX139" s="341"/>
      <c r="DY139" s="341"/>
      <c r="DZ139" s="341" t="e">
        <f t="shared" si="179"/>
        <v>#DIV/0!</v>
      </c>
      <c r="EA139" s="340"/>
      <c r="EB139" s="341"/>
      <c r="EC139" s="341"/>
      <c r="ED139" s="341"/>
      <c r="EE139" s="341" t="e">
        <f t="shared" si="180"/>
        <v>#DIV/0!</v>
      </c>
      <c r="EF139" s="340"/>
      <c r="EG139" s="341"/>
      <c r="EH139" s="341"/>
      <c r="EI139" s="341"/>
      <c r="EJ139" s="341" t="e">
        <f t="shared" si="181"/>
        <v>#DIV/0!</v>
      </c>
      <c r="EK139" s="340"/>
      <c r="EL139" s="341"/>
      <c r="EM139" s="341"/>
      <c r="EN139" s="341"/>
      <c r="EO139" s="341" t="e">
        <f t="shared" si="182"/>
        <v>#DIV/0!</v>
      </c>
      <c r="EP139" s="340"/>
      <c r="EQ139" s="341"/>
      <c r="ER139" s="341"/>
      <c r="ES139" s="341"/>
      <c r="ET139" s="341" t="e">
        <f t="shared" si="183"/>
        <v>#DIV/0!</v>
      </c>
      <c r="EU139" s="340"/>
      <c r="EV139" s="341"/>
      <c r="EW139" s="341"/>
      <c r="EX139" s="341"/>
      <c r="EY139" s="341" t="e">
        <f t="shared" si="184"/>
        <v>#DIV/0!</v>
      </c>
      <c r="EZ139" s="340"/>
      <c r="FA139" s="341"/>
      <c r="FB139" s="341"/>
      <c r="FC139" s="341"/>
      <c r="FD139" s="341" t="e">
        <f t="shared" si="185"/>
        <v>#DIV/0!</v>
      </c>
      <c r="FE139" s="341">
        <f t="shared" si="186"/>
        <v>0</v>
      </c>
      <c r="FF139" s="341"/>
      <c r="FG139" s="341" t="e">
        <f>FA139+EQ139+EL139+EG139+EB139+DW139+DR139+DM139+DH139+DC139+CX139+CS139+CN139+CI139+CD139+BY139+BT139+BO139+BJ139+BE139+AZ139+AU139+AP139+AK139+AF139+AA139+V139+Q139+L139+#REF!</f>
        <v>#REF!</v>
      </c>
      <c r="FH139" s="343">
        <f t="shared" si="193"/>
        <v>0</v>
      </c>
      <c r="FI139" s="344" t="e">
        <f t="shared" si="188"/>
        <v>#DIV/0!</v>
      </c>
      <c r="FJ139" s="341">
        <f t="shared" si="190"/>
        <v>0</v>
      </c>
      <c r="FK139" s="347"/>
      <c r="FL139" s="348"/>
      <c r="FM139" s="352"/>
    </row>
    <row r="140" s="215" customFormat="1" ht="27" customHeight="1" spans="1:169">
      <c r="A140" s="337"/>
      <c r="B140" s="335"/>
      <c r="C140" s="338"/>
      <c r="D140" s="337" t="s">
        <v>11</v>
      </c>
      <c r="E140" s="342">
        <v>0.23</v>
      </c>
      <c r="F140" s="340"/>
      <c r="G140" s="341"/>
      <c r="H140" s="341"/>
      <c r="I140" s="341"/>
      <c r="J140" s="341" t="e">
        <f t="shared" si="157"/>
        <v>#DIV/0!</v>
      </c>
      <c r="K140" s="340"/>
      <c r="L140" s="341"/>
      <c r="M140" s="341"/>
      <c r="N140" s="341"/>
      <c r="O140" s="341" t="e">
        <f t="shared" si="158"/>
        <v>#DIV/0!</v>
      </c>
      <c r="P140" s="340"/>
      <c r="Q140" s="341"/>
      <c r="R140" s="341"/>
      <c r="S140" s="341"/>
      <c r="T140" s="341" t="e">
        <f t="shared" si="159"/>
        <v>#DIV/0!</v>
      </c>
      <c r="U140" s="340"/>
      <c r="V140" s="341"/>
      <c r="W140" s="341"/>
      <c r="X140" s="341"/>
      <c r="Y140" s="341" t="e">
        <f t="shared" si="160"/>
        <v>#DIV/0!</v>
      </c>
      <c r="Z140" s="340"/>
      <c r="AA140" s="341"/>
      <c r="AB140" s="341"/>
      <c r="AC140" s="341"/>
      <c r="AD140" s="341" t="e">
        <f t="shared" si="192"/>
        <v>#DIV/0!</v>
      </c>
      <c r="AE140" s="340"/>
      <c r="AF140" s="341"/>
      <c r="AG140" s="341"/>
      <c r="AH140" s="341"/>
      <c r="AI140" s="341" t="e">
        <f t="shared" si="161"/>
        <v>#DIV/0!</v>
      </c>
      <c r="AJ140" s="340"/>
      <c r="AK140" s="341"/>
      <c r="AL140" s="341"/>
      <c r="AM140" s="341"/>
      <c r="AN140" s="341" t="e">
        <f t="shared" si="162"/>
        <v>#DIV/0!</v>
      </c>
      <c r="AO140" s="340"/>
      <c r="AP140" s="341"/>
      <c r="AQ140" s="341"/>
      <c r="AR140" s="341"/>
      <c r="AS140" s="341" t="e">
        <f t="shared" si="194"/>
        <v>#DIV/0!</v>
      </c>
      <c r="AT140" s="340"/>
      <c r="AU140" s="341"/>
      <c r="AV140" s="341"/>
      <c r="AW140" s="341"/>
      <c r="AX140" s="341" t="e">
        <f t="shared" si="163"/>
        <v>#DIV/0!</v>
      </c>
      <c r="AY140" s="340"/>
      <c r="AZ140" s="341"/>
      <c r="BA140" s="341"/>
      <c r="BB140" s="341"/>
      <c r="BC140" s="341" t="e">
        <f t="shared" si="164"/>
        <v>#DIV/0!</v>
      </c>
      <c r="BD140" s="340"/>
      <c r="BE140" s="341"/>
      <c r="BF140" s="341"/>
      <c r="BG140" s="341"/>
      <c r="BH140" s="341" t="e">
        <f t="shared" si="165"/>
        <v>#DIV/0!</v>
      </c>
      <c r="BI140" s="340"/>
      <c r="BJ140" s="341"/>
      <c r="BK140" s="341"/>
      <c r="BL140" s="341"/>
      <c r="BM140" s="341" t="e">
        <f t="shared" si="166"/>
        <v>#DIV/0!</v>
      </c>
      <c r="BN140" s="340"/>
      <c r="BO140" s="341"/>
      <c r="BP140" s="341"/>
      <c r="BQ140" s="341"/>
      <c r="BR140" s="341" t="e">
        <f t="shared" si="167"/>
        <v>#DIV/0!</v>
      </c>
      <c r="BS140" s="340"/>
      <c r="BT140" s="341"/>
      <c r="BU140" s="341"/>
      <c r="BV140" s="341"/>
      <c r="BW140" s="341" t="e">
        <f t="shared" si="168"/>
        <v>#DIV/0!</v>
      </c>
      <c r="BX140" s="340"/>
      <c r="BY140" s="341"/>
      <c r="BZ140" s="341"/>
      <c r="CA140" s="341"/>
      <c r="CB140" s="341" t="e">
        <f t="shared" si="169"/>
        <v>#DIV/0!</v>
      </c>
      <c r="CC140" s="340"/>
      <c r="CD140" s="341"/>
      <c r="CE140" s="341"/>
      <c r="CF140" s="341"/>
      <c r="CG140" s="341" t="e">
        <f t="shared" si="170"/>
        <v>#DIV/0!</v>
      </c>
      <c r="CH140" s="340"/>
      <c r="CI140" s="341"/>
      <c r="CJ140" s="341"/>
      <c r="CK140" s="341"/>
      <c r="CL140" s="341" t="e">
        <f t="shared" si="171"/>
        <v>#DIV/0!</v>
      </c>
      <c r="CM140" s="340"/>
      <c r="CN140" s="341"/>
      <c r="CO140" s="341"/>
      <c r="CP140" s="341"/>
      <c r="CQ140" s="341" t="e">
        <f t="shared" si="172"/>
        <v>#DIV/0!</v>
      </c>
      <c r="CR140" s="340"/>
      <c r="CS140" s="341"/>
      <c r="CT140" s="341"/>
      <c r="CU140" s="341"/>
      <c r="CV140" s="341" t="e">
        <f t="shared" si="173"/>
        <v>#DIV/0!</v>
      </c>
      <c r="CW140" s="340"/>
      <c r="CX140" s="341"/>
      <c r="CY140" s="341"/>
      <c r="CZ140" s="341"/>
      <c r="DA140" s="341" t="e">
        <f t="shared" si="174"/>
        <v>#DIV/0!</v>
      </c>
      <c r="DB140" s="340"/>
      <c r="DC140" s="341"/>
      <c r="DD140" s="341"/>
      <c r="DE140" s="341"/>
      <c r="DF140" s="341" t="e">
        <f t="shared" si="175"/>
        <v>#DIV/0!</v>
      </c>
      <c r="DG140" s="340"/>
      <c r="DH140" s="341"/>
      <c r="DI140" s="341"/>
      <c r="DJ140" s="341"/>
      <c r="DK140" s="341" t="e">
        <f t="shared" si="176"/>
        <v>#DIV/0!</v>
      </c>
      <c r="DL140" s="340">
        <v>130</v>
      </c>
      <c r="DM140" s="341">
        <v>1</v>
      </c>
      <c r="DN140" s="341">
        <v>124</v>
      </c>
      <c r="DO140" s="341">
        <v>5</v>
      </c>
      <c r="DP140" s="341">
        <f t="shared" si="177"/>
        <v>0.923982933717926</v>
      </c>
      <c r="DQ140" s="340"/>
      <c r="DR140" s="341"/>
      <c r="DS140" s="341"/>
      <c r="DT140" s="341"/>
      <c r="DU140" s="341" t="e">
        <f t="shared" si="178"/>
        <v>#DIV/0!</v>
      </c>
      <c r="DV140" s="340">
        <v>103</v>
      </c>
      <c r="DW140" s="341">
        <v>1</v>
      </c>
      <c r="DX140" s="341">
        <v>102</v>
      </c>
      <c r="DY140" s="341"/>
      <c r="DZ140" s="341">
        <f t="shared" si="179"/>
        <v>1</v>
      </c>
      <c r="EA140" s="340">
        <v>116</v>
      </c>
      <c r="EB140" s="341"/>
      <c r="EC140" s="341">
        <v>116</v>
      </c>
      <c r="ED140" s="341"/>
      <c r="EE140" s="341">
        <f t="shared" si="180"/>
        <v>1</v>
      </c>
      <c r="EF140" s="340">
        <v>201</v>
      </c>
      <c r="EG140" s="341">
        <v>2</v>
      </c>
      <c r="EH140" s="341">
        <v>199</v>
      </c>
      <c r="EI140" s="341"/>
      <c r="EJ140" s="341">
        <f t="shared" si="181"/>
        <v>1</v>
      </c>
      <c r="EK140" s="340">
        <v>201</v>
      </c>
      <c r="EL140" s="341"/>
      <c r="EM140" s="341">
        <v>201</v>
      </c>
      <c r="EN140" s="341"/>
      <c r="EO140" s="341">
        <f t="shared" si="182"/>
        <v>1</v>
      </c>
      <c r="EP140" s="340">
        <v>139</v>
      </c>
      <c r="EQ140" s="341"/>
      <c r="ER140" s="341">
        <v>139</v>
      </c>
      <c r="ES140" s="341"/>
      <c r="ET140" s="341">
        <f t="shared" si="183"/>
        <v>1</v>
      </c>
      <c r="EU140" s="340"/>
      <c r="EV140" s="341"/>
      <c r="EW140" s="341"/>
      <c r="EX140" s="341"/>
      <c r="EY140" s="341" t="e">
        <f t="shared" si="184"/>
        <v>#DIV/0!</v>
      </c>
      <c r="EZ140" s="340"/>
      <c r="FA140" s="341"/>
      <c r="FB140" s="341"/>
      <c r="FC140" s="341"/>
      <c r="FD140" s="341" t="e">
        <f t="shared" si="185"/>
        <v>#DIV/0!</v>
      </c>
      <c r="FE140" s="341">
        <f t="shared" si="186"/>
        <v>890</v>
      </c>
      <c r="FF140" s="341"/>
      <c r="FG140" s="341">
        <f t="shared" ref="FG140:FG148" si="196">FA140+EQ140+EL140+EG140+EB140+DW140+DR140+DM140+DH140+DC140+CX140+CS140+CN140+CI140+CD140+BY140+BT140+BO140+BJ140+BE140+AZ140+AU140+AP140+AK140+AF140+AA140+V140+Q140+L140+G140</f>
        <v>4</v>
      </c>
      <c r="FH140" s="343">
        <f t="shared" si="193"/>
        <v>881</v>
      </c>
      <c r="FI140" s="344">
        <f t="shared" si="188"/>
        <v>0.979877540714556</v>
      </c>
      <c r="FJ140" s="341">
        <f t="shared" si="190"/>
        <v>202.63</v>
      </c>
      <c r="FK140" s="347"/>
      <c r="FL140" s="348"/>
      <c r="FM140" s="352"/>
    </row>
    <row r="141" s="215" customFormat="1" ht="27" customHeight="1" spans="1:171">
      <c r="A141" s="337"/>
      <c r="B141" s="335"/>
      <c r="C141" s="338"/>
      <c r="D141" s="337" t="s">
        <v>12</v>
      </c>
      <c r="E141" s="342">
        <v>0.25</v>
      </c>
      <c r="F141" s="340"/>
      <c r="G141" s="341"/>
      <c r="H141" s="341"/>
      <c r="I141" s="341"/>
      <c r="J141" s="341" t="e">
        <f t="shared" si="157"/>
        <v>#DIV/0!</v>
      </c>
      <c r="K141" s="340"/>
      <c r="L141" s="341"/>
      <c r="M141" s="341"/>
      <c r="N141" s="341"/>
      <c r="O141" s="341" t="e">
        <f t="shared" si="158"/>
        <v>#DIV/0!</v>
      </c>
      <c r="P141" s="340"/>
      <c r="Q141" s="341"/>
      <c r="R141" s="341"/>
      <c r="S141" s="341"/>
      <c r="T141" s="341" t="e">
        <f t="shared" si="159"/>
        <v>#DIV/0!</v>
      </c>
      <c r="U141" s="340"/>
      <c r="V141" s="341"/>
      <c r="W141" s="341"/>
      <c r="X141" s="341"/>
      <c r="Y141" s="341" t="e">
        <f t="shared" si="160"/>
        <v>#DIV/0!</v>
      </c>
      <c r="Z141" s="340"/>
      <c r="AA141" s="341"/>
      <c r="AB141" s="341"/>
      <c r="AC141" s="341"/>
      <c r="AD141" s="341" t="e">
        <f t="shared" si="192"/>
        <v>#DIV/0!</v>
      </c>
      <c r="AE141" s="340"/>
      <c r="AF141" s="341"/>
      <c r="AG141" s="341"/>
      <c r="AH141" s="341"/>
      <c r="AI141" s="341" t="e">
        <f t="shared" si="161"/>
        <v>#DIV/0!</v>
      </c>
      <c r="AJ141" s="340"/>
      <c r="AK141" s="341"/>
      <c r="AL141" s="341"/>
      <c r="AM141" s="341"/>
      <c r="AN141" s="341" t="e">
        <f t="shared" si="162"/>
        <v>#DIV/0!</v>
      </c>
      <c r="AO141" s="340"/>
      <c r="AP141" s="341"/>
      <c r="AQ141" s="341"/>
      <c r="AR141" s="341"/>
      <c r="AS141" s="341" t="e">
        <f t="shared" si="194"/>
        <v>#DIV/0!</v>
      </c>
      <c r="AT141" s="340"/>
      <c r="AU141" s="341"/>
      <c r="AV141" s="341"/>
      <c r="AW141" s="341"/>
      <c r="AX141" s="341" t="e">
        <f t="shared" si="163"/>
        <v>#DIV/0!</v>
      </c>
      <c r="AY141" s="340"/>
      <c r="AZ141" s="341"/>
      <c r="BA141" s="341"/>
      <c r="BB141" s="341"/>
      <c r="BC141" s="341" t="e">
        <f t="shared" si="164"/>
        <v>#DIV/0!</v>
      </c>
      <c r="BD141" s="340"/>
      <c r="BE141" s="341"/>
      <c r="BF141" s="341"/>
      <c r="BG141" s="341"/>
      <c r="BH141" s="341" t="e">
        <f t="shared" si="165"/>
        <v>#DIV/0!</v>
      </c>
      <c r="BI141" s="340"/>
      <c r="BJ141" s="341"/>
      <c r="BK141" s="341"/>
      <c r="BL141" s="341"/>
      <c r="BM141" s="341" t="e">
        <f t="shared" si="166"/>
        <v>#DIV/0!</v>
      </c>
      <c r="BN141" s="340"/>
      <c r="BO141" s="341"/>
      <c r="BP141" s="341"/>
      <c r="BQ141" s="341"/>
      <c r="BR141" s="341" t="e">
        <f t="shared" si="167"/>
        <v>#DIV/0!</v>
      </c>
      <c r="BS141" s="340"/>
      <c r="BT141" s="341"/>
      <c r="BU141" s="341"/>
      <c r="BV141" s="341"/>
      <c r="BW141" s="341" t="e">
        <f t="shared" si="168"/>
        <v>#DIV/0!</v>
      </c>
      <c r="BX141" s="340"/>
      <c r="BY141" s="341"/>
      <c r="BZ141" s="341"/>
      <c r="CA141" s="341"/>
      <c r="CB141" s="341" t="e">
        <f t="shared" si="169"/>
        <v>#DIV/0!</v>
      </c>
      <c r="CC141" s="340"/>
      <c r="CD141" s="341"/>
      <c r="CE141" s="341"/>
      <c r="CF141" s="341"/>
      <c r="CG141" s="341" t="e">
        <f t="shared" si="170"/>
        <v>#DIV/0!</v>
      </c>
      <c r="CH141" s="340"/>
      <c r="CI141" s="341"/>
      <c r="CJ141" s="341"/>
      <c r="CK141" s="341"/>
      <c r="CL141" s="341" t="e">
        <f t="shared" si="171"/>
        <v>#DIV/0!</v>
      </c>
      <c r="CM141" s="340"/>
      <c r="CN141" s="341"/>
      <c r="CO141" s="341"/>
      <c r="CP141" s="341"/>
      <c r="CQ141" s="341" t="e">
        <f t="shared" si="172"/>
        <v>#DIV/0!</v>
      </c>
      <c r="CR141" s="340"/>
      <c r="CS141" s="341"/>
      <c r="CT141" s="341"/>
      <c r="CU141" s="341"/>
      <c r="CV141" s="341" t="e">
        <f t="shared" si="173"/>
        <v>#DIV/0!</v>
      </c>
      <c r="CW141" s="340"/>
      <c r="CX141" s="341"/>
      <c r="CY141" s="341">
        <v>21</v>
      </c>
      <c r="CZ141" s="341"/>
      <c r="DA141" s="341">
        <f t="shared" si="174"/>
        <v>1</v>
      </c>
      <c r="DB141" s="340"/>
      <c r="DC141" s="341"/>
      <c r="DD141" s="341"/>
      <c r="DE141" s="341"/>
      <c r="DF141" s="341" t="e">
        <f t="shared" si="175"/>
        <v>#DIV/0!</v>
      </c>
      <c r="DG141" s="340"/>
      <c r="DH141" s="341"/>
      <c r="DI141" s="341"/>
      <c r="DJ141" s="341"/>
      <c r="DK141" s="341" t="e">
        <f t="shared" si="176"/>
        <v>#DIV/0!</v>
      </c>
      <c r="DL141" s="340">
        <v>130</v>
      </c>
      <c r="DM141" s="341">
        <v>2</v>
      </c>
      <c r="DN141" s="341">
        <v>123</v>
      </c>
      <c r="DO141" s="341">
        <v>5</v>
      </c>
      <c r="DP141" s="341">
        <f t="shared" si="177"/>
        <v>0.92340087890625</v>
      </c>
      <c r="DQ141" s="340"/>
      <c r="DR141" s="341"/>
      <c r="DS141" s="341"/>
      <c r="DT141" s="341"/>
      <c r="DU141" s="341" t="e">
        <f t="shared" si="178"/>
        <v>#DIV/0!</v>
      </c>
      <c r="DV141" s="340">
        <v>103</v>
      </c>
      <c r="DW141" s="341">
        <v>3</v>
      </c>
      <c r="DX141" s="341">
        <v>100</v>
      </c>
      <c r="DY141" s="341"/>
      <c r="DZ141" s="341">
        <f t="shared" si="179"/>
        <v>1</v>
      </c>
      <c r="EA141" s="340">
        <v>116</v>
      </c>
      <c r="EB141" s="341"/>
      <c r="EC141" s="341">
        <v>116</v>
      </c>
      <c r="ED141" s="341"/>
      <c r="EE141" s="341">
        <f t="shared" si="180"/>
        <v>1</v>
      </c>
      <c r="EF141" s="340">
        <v>133</v>
      </c>
      <c r="EG141" s="341">
        <v>3</v>
      </c>
      <c r="EH141" s="341">
        <v>130</v>
      </c>
      <c r="EI141" s="341"/>
      <c r="EJ141" s="341">
        <f t="shared" si="181"/>
        <v>1</v>
      </c>
      <c r="EK141" s="340">
        <v>134</v>
      </c>
      <c r="EL141" s="341"/>
      <c r="EM141" s="341">
        <v>134</v>
      </c>
      <c r="EN141" s="341"/>
      <c r="EO141" s="341">
        <f t="shared" si="182"/>
        <v>1</v>
      </c>
      <c r="EP141" s="340">
        <v>139</v>
      </c>
      <c r="EQ141" s="341"/>
      <c r="ER141" s="341">
        <v>139</v>
      </c>
      <c r="ES141" s="341"/>
      <c r="ET141" s="341">
        <f t="shared" si="183"/>
        <v>1</v>
      </c>
      <c r="EU141" s="340"/>
      <c r="EV141" s="341"/>
      <c r="EW141" s="341"/>
      <c r="EX141" s="341"/>
      <c r="EY141" s="341" t="e">
        <f t="shared" si="184"/>
        <v>#DIV/0!</v>
      </c>
      <c r="EZ141" s="340"/>
      <c r="FA141" s="341"/>
      <c r="FB141" s="341"/>
      <c r="FC141" s="341"/>
      <c r="FD141" s="341" t="e">
        <f t="shared" si="185"/>
        <v>#DIV/0!</v>
      </c>
      <c r="FE141" s="341">
        <f t="shared" si="186"/>
        <v>755</v>
      </c>
      <c r="FF141" s="341"/>
      <c r="FG141" s="341">
        <f t="shared" si="196"/>
        <v>8</v>
      </c>
      <c r="FH141" s="343">
        <f t="shared" si="193"/>
        <v>763</v>
      </c>
      <c r="FI141" s="344">
        <f t="shared" si="188"/>
        <v>1.02130432875751</v>
      </c>
      <c r="FJ141" s="341">
        <f t="shared" si="190"/>
        <v>190.75</v>
      </c>
      <c r="FK141" s="347"/>
      <c r="FL141" s="348"/>
      <c r="FM141" s="352"/>
      <c r="FO141" s="353"/>
    </row>
    <row r="142" s="215" customFormat="1" ht="27" customHeight="1" spans="1:169">
      <c r="A142" s="337"/>
      <c r="B142" s="335"/>
      <c r="C142" s="338"/>
      <c r="D142" s="337" t="s">
        <v>52</v>
      </c>
      <c r="E142" s="342">
        <v>0.67</v>
      </c>
      <c r="F142" s="340"/>
      <c r="G142" s="341"/>
      <c r="H142" s="341"/>
      <c r="I142" s="341"/>
      <c r="J142" s="341" t="e">
        <f t="shared" si="157"/>
        <v>#DIV/0!</v>
      </c>
      <c r="K142" s="340"/>
      <c r="L142" s="341"/>
      <c r="M142" s="341"/>
      <c r="N142" s="341"/>
      <c r="O142" s="341" t="e">
        <f t="shared" si="158"/>
        <v>#DIV/0!</v>
      </c>
      <c r="P142" s="340"/>
      <c r="Q142" s="341"/>
      <c r="R142" s="341"/>
      <c r="S142" s="341"/>
      <c r="T142" s="341" t="e">
        <f t="shared" si="159"/>
        <v>#DIV/0!</v>
      </c>
      <c r="U142" s="340"/>
      <c r="V142" s="341"/>
      <c r="W142" s="341"/>
      <c r="X142" s="341"/>
      <c r="Y142" s="341" t="e">
        <f t="shared" si="160"/>
        <v>#DIV/0!</v>
      </c>
      <c r="Z142" s="340"/>
      <c r="AA142" s="341"/>
      <c r="AB142" s="341"/>
      <c r="AC142" s="341"/>
      <c r="AD142" s="341" t="e">
        <f t="shared" si="192"/>
        <v>#DIV/0!</v>
      </c>
      <c r="AE142" s="340"/>
      <c r="AF142" s="341"/>
      <c r="AG142" s="341"/>
      <c r="AH142" s="341"/>
      <c r="AI142" s="341" t="e">
        <f t="shared" si="161"/>
        <v>#DIV/0!</v>
      </c>
      <c r="AJ142" s="340"/>
      <c r="AK142" s="341"/>
      <c r="AL142" s="341"/>
      <c r="AM142" s="341"/>
      <c r="AN142" s="341" t="e">
        <f t="shared" si="162"/>
        <v>#DIV/0!</v>
      </c>
      <c r="AO142" s="340"/>
      <c r="AP142" s="341"/>
      <c r="AQ142" s="341"/>
      <c r="AR142" s="341"/>
      <c r="AS142" s="341" t="e">
        <f t="shared" si="194"/>
        <v>#DIV/0!</v>
      </c>
      <c r="AT142" s="340"/>
      <c r="AU142" s="341"/>
      <c r="AV142" s="341"/>
      <c r="AW142" s="341"/>
      <c r="AX142" s="341" t="e">
        <f t="shared" si="163"/>
        <v>#DIV/0!</v>
      </c>
      <c r="AY142" s="340"/>
      <c r="AZ142" s="341"/>
      <c r="BA142" s="341"/>
      <c r="BB142" s="341"/>
      <c r="BC142" s="341" t="e">
        <f t="shared" si="164"/>
        <v>#DIV/0!</v>
      </c>
      <c r="BD142" s="340"/>
      <c r="BE142" s="341"/>
      <c r="BF142" s="341"/>
      <c r="BG142" s="341"/>
      <c r="BH142" s="341" t="e">
        <f t="shared" si="165"/>
        <v>#DIV/0!</v>
      </c>
      <c r="BI142" s="340"/>
      <c r="BJ142" s="341"/>
      <c r="BK142" s="341"/>
      <c r="BL142" s="341"/>
      <c r="BM142" s="341" t="e">
        <f t="shared" si="166"/>
        <v>#DIV/0!</v>
      </c>
      <c r="BN142" s="340"/>
      <c r="BO142" s="341"/>
      <c r="BP142" s="341"/>
      <c r="BQ142" s="341"/>
      <c r="BR142" s="341" t="e">
        <f t="shared" si="167"/>
        <v>#DIV/0!</v>
      </c>
      <c r="BS142" s="340"/>
      <c r="BT142" s="341"/>
      <c r="BU142" s="341"/>
      <c r="BV142" s="341"/>
      <c r="BW142" s="341" t="e">
        <f t="shared" si="168"/>
        <v>#DIV/0!</v>
      </c>
      <c r="BX142" s="340"/>
      <c r="BY142" s="341"/>
      <c r="BZ142" s="341"/>
      <c r="CA142" s="341"/>
      <c r="CB142" s="341" t="e">
        <f t="shared" si="169"/>
        <v>#DIV/0!</v>
      </c>
      <c r="CC142" s="340"/>
      <c r="CD142" s="341"/>
      <c r="CE142" s="341"/>
      <c r="CF142" s="341"/>
      <c r="CG142" s="341" t="e">
        <f t="shared" si="170"/>
        <v>#DIV/0!</v>
      </c>
      <c r="CH142" s="340"/>
      <c r="CI142" s="341"/>
      <c r="CJ142" s="341"/>
      <c r="CK142" s="341"/>
      <c r="CL142" s="341" t="e">
        <f t="shared" si="171"/>
        <v>#DIV/0!</v>
      </c>
      <c r="CM142" s="340"/>
      <c r="CN142" s="341"/>
      <c r="CO142" s="341"/>
      <c r="CP142" s="341"/>
      <c r="CQ142" s="341" t="e">
        <f t="shared" si="172"/>
        <v>#DIV/0!</v>
      </c>
      <c r="CR142" s="340"/>
      <c r="CS142" s="341"/>
      <c r="CT142" s="341"/>
      <c r="CU142" s="341"/>
      <c r="CV142" s="341" t="e">
        <f t="shared" si="173"/>
        <v>#DIV/0!</v>
      </c>
      <c r="CW142" s="340"/>
      <c r="CX142" s="341"/>
      <c r="CY142" s="341"/>
      <c r="CZ142" s="341"/>
      <c r="DA142" s="341" t="e">
        <f t="shared" si="174"/>
        <v>#DIV/0!</v>
      </c>
      <c r="DB142" s="340"/>
      <c r="DC142" s="341"/>
      <c r="DD142" s="341"/>
      <c r="DE142" s="341"/>
      <c r="DF142" s="341" t="e">
        <f t="shared" si="175"/>
        <v>#DIV/0!</v>
      </c>
      <c r="DG142" s="340"/>
      <c r="DH142" s="341"/>
      <c r="DI142" s="341"/>
      <c r="DJ142" s="341"/>
      <c r="DK142" s="341" t="e">
        <f t="shared" si="176"/>
        <v>#DIV/0!</v>
      </c>
      <c r="DL142" s="340"/>
      <c r="DM142" s="341"/>
      <c r="DN142" s="341"/>
      <c r="DO142" s="341"/>
      <c r="DP142" s="341" t="e">
        <f t="shared" si="177"/>
        <v>#DIV/0!</v>
      </c>
      <c r="DQ142" s="340"/>
      <c r="DR142" s="341"/>
      <c r="DS142" s="341"/>
      <c r="DT142" s="341"/>
      <c r="DU142" s="341" t="e">
        <f t="shared" si="178"/>
        <v>#DIV/0!</v>
      </c>
      <c r="DV142" s="340"/>
      <c r="DW142" s="341"/>
      <c r="DX142" s="341"/>
      <c r="DY142" s="341"/>
      <c r="DZ142" s="341" t="e">
        <f t="shared" si="179"/>
        <v>#DIV/0!</v>
      </c>
      <c r="EA142" s="340"/>
      <c r="EB142" s="341"/>
      <c r="EC142" s="341"/>
      <c r="ED142" s="341"/>
      <c r="EE142" s="341" t="e">
        <f t="shared" si="180"/>
        <v>#DIV/0!</v>
      </c>
      <c r="EF142" s="340"/>
      <c r="EG142" s="341"/>
      <c r="EH142" s="341"/>
      <c r="EI142" s="341"/>
      <c r="EJ142" s="341" t="e">
        <f t="shared" si="181"/>
        <v>#DIV/0!</v>
      </c>
      <c r="EK142" s="340"/>
      <c r="EL142" s="341"/>
      <c r="EM142" s="341"/>
      <c r="EN142" s="341"/>
      <c r="EO142" s="341" t="e">
        <f t="shared" si="182"/>
        <v>#DIV/0!</v>
      </c>
      <c r="EP142" s="340"/>
      <c r="EQ142" s="341"/>
      <c r="ER142" s="341"/>
      <c r="ES142" s="341"/>
      <c r="ET142" s="341" t="e">
        <f t="shared" si="183"/>
        <v>#DIV/0!</v>
      </c>
      <c r="EU142" s="340"/>
      <c r="EV142" s="341"/>
      <c r="EW142" s="341"/>
      <c r="EX142" s="341"/>
      <c r="EY142" s="341" t="e">
        <f t="shared" si="184"/>
        <v>#DIV/0!</v>
      </c>
      <c r="EZ142" s="340"/>
      <c r="FA142" s="341"/>
      <c r="FB142" s="341"/>
      <c r="FC142" s="341"/>
      <c r="FD142" s="341" t="e">
        <f t="shared" si="185"/>
        <v>#DIV/0!</v>
      </c>
      <c r="FE142" s="341">
        <f t="shared" si="186"/>
        <v>0</v>
      </c>
      <c r="FF142" s="341"/>
      <c r="FG142" s="341">
        <f t="shared" si="196"/>
        <v>0</v>
      </c>
      <c r="FH142" s="343">
        <f t="shared" si="193"/>
        <v>0</v>
      </c>
      <c r="FI142" s="344" t="e">
        <f t="shared" si="188"/>
        <v>#DIV/0!</v>
      </c>
      <c r="FJ142" s="341">
        <f t="shared" si="190"/>
        <v>0</v>
      </c>
      <c r="FK142" s="347"/>
      <c r="FL142" s="348"/>
      <c r="FM142" s="352"/>
    </row>
    <row r="143" s="215" customFormat="1" ht="27" customHeight="1" spans="1:169">
      <c r="A143" s="337"/>
      <c r="B143" s="335"/>
      <c r="C143" s="338"/>
      <c r="D143" s="337" t="s">
        <v>14</v>
      </c>
      <c r="E143" s="342">
        <v>0.373</v>
      </c>
      <c r="F143" s="340"/>
      <c r="G143" s="341"/>
      <c r="H143" s="341"/>
      <c r="I143" s="341"/>
      <c r="J143" s="341" t="e">
        <f t="shared" si="157"/>
        <v>#DIV/0!</v>
      </c>
      <c r="K143" s="340"/>
      <c r="L143" s="341"/>
      <c r="M143" s="341"/>
      <c r="N143" s="341"/>
      <c r="O143" s="341" t="e">
        <f t="shared" si="158"/>
        <v>#DIV/0!</v>
      </c>
      <c r="P143" s="340"/>
      <c r="Q143" s="341"/>
      <c r="R143" s="341"/>
      <c r="S143" s="341"/>
      <c r="T143" s="341" t="e">
        <f t="shared" si="159"/>
        <v>#DIV/0!</v>
      </c>
      <c r="U143" s="340"/>
      <c r="V143" s="341"/>
      <c r="W143" s="341"/>
      <c r="X143" s="341"/>
      <c r="Y143" s="341" t="e">
        <f t="shared" si="160"/>
        <v>#DIV/0!</v>
      </c>
      <c r="Z143" s="340"/>
      <c r="AA143" s="341"/>
      <c r="AB143" s="341"/>
      <c r="AC143" s="341"/>
      <c r="AD143" s="341" t="e">
        <f t="shared" si="192"/>
        <v>#DIV/0!</v>
      </c>
      <c r="AE143" s="340"/>
      <c r="AF143" s="341"/>
      <c r="AG143" s="341"/>
      <c r="AH143" s="341"/>
      <c r="AI143" s="341" t="e">
        <f t="shared" si="161"/>
        <v>#DIV/0!</v>
      </c>
      <c r="AJ143" s="340"/>
      <c r="AK143" s="341"/>
      <c r="AL143" s="341"/>
      <c r="AM143" s="341"/>
      <c r="AN143" s="341" t="e">
        <f t="shared" si="162"/>
        <v>#DIV/0!</v>
      </c>
      <c r="AO143" s="340"/>
      <c r="AP143" s="341"/>
      <c r="AQ143" s="341"/>
      <c r="AR143" s="341"/>
      <c r="AS143" s="341" t="e">
        <f t="shared" si="194"/>
        <v>#DIV/0!</v>
      </c>
      <c r="AT143" s="340"/>
      <c r="AU143" s="341"/>
      <c r="AV143" s="341"/>
      <c r="AW143" s="341"/>
      <c r="AX143" s="341" t="e">
        <f t="shared" si="163"/>
        <v>#DIV/0!</v>
      </c>
      <c r="AY143" s="340"/>
      <c r="AZ143" s="341"/>
      <c r="BA143" s="341"/>
      <c r="BB143" s="341"/>
      <c r="BC143" s="341" t="e">
        <f t="shared" si="164"/>
        <v>#DIV/0!</v>
      </c>
      <c r="BD143" s="340"/>
      <c r="BE143" s="341"/>
      <c r="BF143" s="341"/>
      <c r="BG143" s="341"/>
      <c r="BH143" s="341" t="e">
        <f t="shared" si="165"/>
        <v>#DIV/0!</v>
      </c>
      <c r="BI143" s="340"/>
      <c r="BJ143" s="341"/>
      <c r="BK143" s="341"/>
      <c r="BL143" s="341"/>
      <c r="BM143" s="341" t="e">
        <f t="shared" si="166"/>
        <v>#DIV/0!</v>
      </c>
      <c r="BN143" s="340"/>
      <c r="BO143" s="341"/>
      <c r="BP143" s="341"/>
      <c r="BQ143" s="341"/>
      <c r="BR143" s="341" t="e">
        <f t="shared" si="167"/>
        <v>#DIV/0!</v>
      </c>
      <c r="BS143" s="340"/>
      <c r="BT143" s="341"/>
      <c r="BU143" s="341"/>
      <c r="BV143" s="341"/>
      <c r="BW143" s="341" t="e">
        <f t="shared" si="168"/>
        <v>#DIV/0!</v>
      </c>
      <c r="BX143" s="340"/>
      <c r="BY143" s="341"/>
      <c r="BZ143" s="341"/>
      <c r="CA143" s="341"/>
      <c r="CB143" s="341" t="e">
        <f t="shared" si="169"/>
        <v>#DIV/0!</v>
      </c>
      <c r="CC143" s="340"/>
      <c r="CD143" s="341"/>
      <c r="CE143" s="341"/>
      <c r="CF143" s="341"/>
      <c r="CG143" s="341" t="e">
        <f t="shared" si="170"/>
        <v>#DIV/0!</v>
      </c>
      <c r="CH143" s="340"/>
      <c r="CI143" s="341"/>
      <c r="CJ143" s="341"/>
      <c r="CK143" s="341"/>
      <c r="CL143" s="341" t="e">
        <f t="shared" si="171"/>
        <v>#DIV/0!</v>
      </c>
      <c r="CM143" s="340"/>
      <c r="CN143" s="341"/>
      <c r="CO143" s="341"/>
      <c r="CP143" s="341"/>
      <c r="CQ143" s="341" t="e">
        <f t="shared" si="172"/>
        <v>#DIV/0!</v>
      </c>
      <c r="CR143" s="340"/>
      <c r="CS143" s="341"/>
      <c r="CT143" s="341"/>
      <c r="CU143" s="341"/>
      <c r="CV143" s="341" t="e">
        <f t="shared" si="173"/>
        <v>#DIV/0!</v>
      </c>
      <c r="CW143" s="340"/>
      <c r="CX143" s="341"/>
      <c r="CY143" s="341"/>
      <c r="CZ143" s="341"/>
      <c r="DA143" s="341" t="e">
        <f t="shared" si="174"/>
        <v>#DIV/0!</v>
      </c>
      <c r="DB143" s="340"/>
      <c r="DC143" s="341"/>
      <c r="DD143" s="341"/>
      <c r="DE143" s="341"/>
      <c r="DF143" s="341" t="e">
        <f t="shared" si="175"/>
        <v>#DIV/0!</v>
      </c>
      <c r="DG143" s="340"/>
      <c r="DH143" s="341"/>
      <c r="DI143" s="341"/>
      <c r="DJ143" s="341"/>
      <c r="DK143" s="341" t="e">
        <f t="shared" si="176"/>
        <v>#DIV/0!</v>
      </c>
      <c r="DL143" s="340"/>
      <c r="DM143" s="341"/>
      <c r="DN143" s="341"/>
      <c r="DO143" s="341"/>
      <c r="DP143" s="341" t="e">
        <f t="shared" si="177"/>
        <v>#DIV/0!</v>
      </c>
      <c r="DQ143" s="340"/>
      <c r="DR143" s="341"/>
      <c r="DS143" s="341"/>
      <c r="DT143" s="341"/>
      <c r="DU143" s="341" t="e">
        <f t="shared" si="178"/>
        <v>#DIV/0!</v>
      </c>
      <c r="DV143" s="340"/>
      <c r="DW143" s="341"/>
      <c r="DX143" s="341"/>
      <c r="DY143" s="341"/>
      <c r="DZ143" s="341" t="e">
        <f t="shared" si="179"/>
        <v>#DIV/0!</v>
      </c>
      <c r="EA143" s="340"/>
      <c r="EB143" s="341"/>
      <c r="EC143" s="341"/>
      <c r="ED143" s="341"/>
      <c r="EE143" s="341" t="e">
        <f t="shared" si="180"/>
        <v>#DIV/0!</v>
      </c>
      <c r="EF143" s="340"/>
      <c r="EG143" s="341"/>
      <c r="EH143" s="341"/>
      <c r="EI143" s="341"/>
      <c r="EJ143" s="341" t="e">
        <f t="shared" si="181"/>
        <v>#DIV/0!</v>
      </c>
      <c r="EK143" s="340"/>
      <c r="EL143" s="341"/>
      <c r="EM143" s="341"/>
      <c r="EN143" s="341"/>
      <c r="EO143" s="341" t="e">
        <f t="shared" si="182"/>
        <v>#DIV/0!</v>
      </c>
      <c r="EP143" s="340"/>
      <c r="EQ143" s="341"/>
      <c r="ER143" s="341"/>
      <c r="ES143" s="341"/>
      <c r="ET143" s="341" t="e">
        <f t="shared" si="183"/>
        <v>#DIV/0!</v>
      </c>
      <c r="EU143" s="340"/>
      <c r="EV143" s="341"/>
      <c r="EW143" s="341"/>
      <c r="EX143" s="341"/>
      <c r="EY143" s="341" t="e">
        <f t="shared" si="184"/>
        <v>#DIV/0!</v>
      </c>
      <c r="EZ143" s="340"/>
      <c r="FA143" s="341"/>
      <c r="FB143" s="341"/>
      <c r="FC143" s="341"/>
      <c r="FD143" s="341" t="e">
        <f t="shared" si="185"/>
        <v>#DIV/0!</v>
      </c>
      <c r="FE143" s="341">
        <f t="shared" si="186"/>
        <v>0</v>
      </c>
      <c r="FF143" s="341"/>
      <c r="FG143" s="341">
        <f t="shared" si="196"/>
        <v>0</v>
      </c>
      <c r="FH143" s="343">
        <f t="shared" si="193"/>
        <v>0</v>
      </c>
      <c r="FI143" s="344" t="e">
        <f t="shared" si="188"/>
        <v>#DIV/0!</v>
      </c>
      <c r="FJ143" s="341">
        <f t="shared" si="190"/>
        <v>0</v>
      </c>
      <c r="FK143" s="347"/>
      <c r="FL143" s="348"/>
      <c r="FM143" s="352"/>
    </row>
    <row r="144" s="215" customFormat="1" ht="27" customHeight="1" spans="1:169">
      <c r="A144" s="337"/>
      <c r="B144" s="335"/>
      <c r="C144" s="338"/>
      <c r="D144" s="337" t="s">
        <v>15</v>
      </c>
      <c r="E144" s="342">
        <v>0.67</v>
      </c>
      <c r="F144" s="340"/>
      <c r="G144" s="341"/>
      <c r="H144" s="341"/>
      <c r="I144" s="341"/>
      <c r="J144" s="341" t="e">
        <f t="shared" si="157"/>
        <v>#DIV/0!</v>
      </c>
      <c r="K144" s="340"/>
      <c r="L144" s="341"/>
      <c r="M144" s="341"/>
      <c r="N144" s="341"/>
      <c r="O144" s="341" t="e">
        <f t="shared" si="158"/>
        <v>#DIV/0!</v>
      </c>
      <c r="P144" s="340"/>
      <c r="Q144" s="341"/>
      <c r="R144" s="341"/>
      <c r="S144" s="341"/>
      <c r="T144" s="341" t="e">
        <f t="shared" si="159"/>
        <v>#DIV/0!</v>
      </c>
      <c r="U144" s="340"/>
      <c r="V144" s="341"/>
      <c r="W144" s="341"/>
      <c r="X144" s="341"/>
      <c r="Y144" s="341" t="e">
        <f t="shared" si="160"/>
        <v>#DIV/0!</v>
      </c>
      <c r="Z144" s="340"/>
      <c r="AA144" s="341"/>
      <c r="AB144" s="341"/>
      <c r="AC144" s="341"/>
      <c r="AD144" s="341" t="e">
        <f t="shared" si="192"/>
        <v>#DIV/0!</v>
      </c>
      <c r="AE144" s="340"/>
      <c r="AF144" s="341"/>
      <c r="AG144" s="341"/>
      <c r="AH144" s="341"/>
      <c r="AI144" s="341" t="e">
        <f t="shared" si="161"/>
        <v>#DIV/0!</v>
      </c>
      <c r="AJ144" s="340"/>
      <c r="AK144" s="341"/>
      <c r="AL144" s="341"/>
      <c r="AM144" s="341"/>
      <c r="AN144" s="341" t="e">
        <f t="shared" si="162"/>
        <v>#DIV/0!</v>
      </c>
      <c r="AO144" s="340"/>
      <c r="AP144" s="341"/>
      <c r="AQ144" s="341"/>
      <c r="AR144" s="341"/>
      <c r="AS144" s="341" t="e">
        <f t="shared" si="194"/>
        <v>#DIV/0!</v>
      </c>
      <c r="AT144" s="340"/>
      <c r="AU144" s="341"/>
      <c r="AV144" s="341"/>
      <c r="AW144" s="341"/>
      <c r="AX144" s="341" t="e">
        <f t="shared" si="163"/>
        <v>#DIV/0!</v>
      </c>
      <c r="AY144" s="340"/>
      <c r="AZ144" s="341"/>
      <c r="BA144" s="341"/>
      <c r="BB144" s="341"/>
      <c r="BC144" s="341" t="e">
        <f t="shared" si="164"/>
        <v>#DIV/0!</v>
      </c>
      <c r="BD144" s="340"/>
      <c r="BE144" s="341"/>
      <c r="BF144" s="341"/>
      <c r="BG144" s="341"/>
      <c r="BH144" s="341" t="e">
        <f t="shared" si="165"/>
        <v>#DIV/0!</v>
      </c>
      <c r="BI144" s="340"/>
      <c r="BJ144" s="341"/>
      <c r="BK144" s="341"/>
      <c r="BL144" s="341"/>
      <c r="BM144" s="341" t="e">
        <f t="shared" si="166"/>
        <v>#DIV/0!</v>
      </c>
      <c r="BN144" s="340"/>
      <c r="BO144" s="341"/>
      <c r="BP144" s="341"/>
      <c r="BQ144" s="341"/>
      <c r="BR144" s="341" t="e">
        <f t="shared" si="167"/>
        <v>#DIV/0!</v>
      </c>
      <c r="BS144" s="340"/>
      <c r="BT144" s="341"/>
      <c r="BU144" s="341"/>
      <c r="BV144" s="341"/>
      <c r="BW144" s="341" t="e">
        <f t="shared" si="168"/>
        <v>#DIV/0!</v>
      </c>
      <c r="BX144" s="340"/>
      <c r="BY144" s="341"/>
      <c r="BZ144" s="341"/>
      <c r="CA144" s="341"/>
      <c r="CB144" s="341" t="e">
        <f t="shared" si="169"/>
        <v>#DIV/0!</v>
      </c>
      <c r="CC144" s="340"/>
      <c r="CD144" s="341"/>
      <c r="CE144" s="341"/>
      <c r="CF144" s="341"/>
      <c r="CG144" s="341" t="e">
        <f t="shared" si="170"/>
        <v>#DIV/0!</v>
      </c>
      <c r="CH144" s="340"/>
      <c r="CI144" s="341"/>
      <c r="CJ144" s="341"/>
      <c r="CK144" s="341"/>
      <c r="CL144" s="341" t="e">
        <f t="shared" si="171"/>
        <v>#DIV/0!</v>
      </c>
      <c r="CM144" s="340"/>
      <c r="CN144" s="341"/>
      <c r="CO144" s="341"/>
      <c r="CP144" s="341"/>
      <c r="CQ144" s="341" t="e">
        <f t="shared" si="172"/>
        <v>#DIV/0!</v>
      </c>
      <c r="CR144" s="340"/>
      <c r="CS144" s="341"/>
      <c r="CT144" s="341"/>
      <c r="CU144" s="341"/>
      <c r="CV144" s="341" t="e">
        <f t="shared" si="173"/>
        <v>#DIV/0!</v>
      </c>
      <c r="CW144" s="340"/>
      <c r="CX144" s="341"/>
      <c r="CY144" s="341">
        <v>53</v>
      </c>
      <c r="CZ144" s="341"/>
      <c r="DA144" s="341">
        <f t="shared" si="174"/>
        <v>1</v>
      </c>
      <c r="DB144" s="340"/>
      <c r="DC144" s="341"/>
      <c r="DD144" s="341"/>
      <c r="DE144" s="341"/>
      <c r="DF144" s="341" t="e">
        <f t="shared" si="175"/>
        <v>#DIV/0!</v>
      </c>
      <c r="DG144" s="340"/>
      <c r="DH144" s="341"/>
      <c r="DI144" s="341"/>
      <c r="DJ144" s="341"/>
      <c r="DK144" s="341" t="e">
        <f t="shared" si="176"/>
        <v>#DIV/0!</v>
      </c>
      <c r="DL144" s="340"/>
      <c r="DM144" s="341"/>
      <c r="DN144" s="341"/>
      <c r="DO144" s="341"/>
      <c r="DP144" s="341" t="e">
        <f t="shared" si="177"/>
        <v>#DIV/0!</v>
      </c>
      <c r="DQ144" s="340"/>
      <c r="DR144" s="341"/>
      <c r="DS144" s="341"/>
      <c r="DT144" s="341"/>
      <c r="DU144" s="341" t="e">
        <f t="shared" si="178"/>
        <v>#DIV/0!</v>
      </c>
      <c r="DV144" s="340"/>
      <c r="DW144" s="341"/>
      <c r="DX144" s="341"/>
      <c r="DY144" s="341"/>
      <c r="DZ144" s="341" t="e">
        <f t="shared" si="179"/>
        <v>#DIV/0!</v>
      </c>
      <c r="EA144" s="340"/>
      <c r="EB144" s="341"/>
      <c r="EC144" s="341"/>
      <c r="ED144" s="341"/>
      <c r="EE144" s="341" t="e">
        <f t="shared" si="180"/>
        <v>#DIV/0!</v>
      </c>
      <c r="EF144" s="340"/>
      <c r="EG144" s="341"/>
      <c r="EH144" s="341"/>
      <c r="EI144" s="341"/>
      <c r="EJ144" s="341" t="e">
        <f t="shared" si="181"/>
        <v>#DIV/0!</v>
      </c>
      <c r="EK144" s="340"/>
      <c r="EL144" s="341"/>
      <c r="EM144" s="341"/>
      <c r="EN144" s="341"/>
      <c r="EO144" s="341" t="e">
        <f t="shared" si="182"/>
        <v>#DIV/0!</v>
      </c>
      <c r="EP144" s="340"/>
      <c r="EQ144" s="341"/>
      <c r="ER144" s="341"/>
      <c r="ES144" s="341"/>
      <c r="ET144" s="341" t="e">
        <f t="shared" si="183"/>
        <v>#DIV/0!</v>
      </c>
      <c r="EU144" s="340"/>
      <c r="EV144" s="341"/>
      <c r="EW144" s="341"/>
      <c r="EX144" s="341"/>
      <c r="EY144" s="341" t="e">
        <f t="shared" si="184"/>
        <v>#DIV/0!</v>
      </c>
      <c r="EZ144" s="340"/>
      <c r="FA144" s="341"/>
      <c r="FB144" s="341"/>
      <c r="FC144" s="341"/>
      <c r="FD144" s="341" t="e">
        <f t="shared" si="185"/>
        <v>#DIV/0!</v>
      </c>
      <c r="FE144" s="341">
        <f t="shared" si="186"/>
        <v>0</v>
      </c>
      <c r="FF144" s="341"/>
      <c r="FG144" s="341">
        <f t="shared" si="196"/>
        <v>0</v>
      </c>
      <c r="FH144" s="343">
        <f t="shared" si="193"/>
        <v>53</v>
      </c>
      <c r="FI144" s="344" t="e">
        <f t="shared" si="188"/>
        <v>#DIV/0!</v>
      </c>
      <c r="FJ144" s="341">
        <f t="shared" si="190"/>
        <v>35.51</v>
      </c>
      <c r="FK144" s="347"/>
      <c r="FL144" s="348"/>
      <c r="FM144" s="352"/>
    </row>
    <row r="145" s="215" customFormat="1" ht="27" customHeight="1" spans="1:169">
      <c r="A145" s="337"/>
      <c r="B145" s="335"/>
      <c r="C145" s="338"/>
      <c r="D145" s="337" t="s">
        <v>16</v>
      </c>
      <c r="E145" s="342">
        <v>0.67</v>
      </c>
      <c r="F145" s="340"/>
      <c r="G145" s="341"/>
      <c r="H145" s="341"/>
      <c r="I145" s="341"/>
      <c r="J145" s="341" t="e">
        <f t="shared" si="157"/>
        <v>#DIV/0!</v>
      </c>
      <c r="K145" s="340"/>
      <c r="L145" s="341"/>
      <c r="M145" s="341"/>
      <c r="N145" s="341"/>
      <c r="O145" s="341" t="e">
        <f t="shared" si="158"/>
        <v>#DIV/0!</v>
      </c>
      <c r="P145" s="340"/>
      <c r="Q145" s="341"/>
      <c r="R145" s="341"/>
      <c r="S145" s="341"/>
      <c r="T145" s="341" t="e">
        <f t="shared" si="159"/>
        <v>#DIV/0!</v>
      </c>
      <c r="U145" s="340"/>
      <c r="V145" s="341"/>
      <c r="W145" s="341"/>
      <c r="X145" s="341"/>
      <c r="Y145" s="341" t="e">
        <f t="shared" si="160"/>
        <v>#DIV/0!</v>
      </c>
      <c r="Z145" s="340"/>
      <c r="AA145" s="341"/>
      <c r="AB145" s="341"/>
      <c r="AC145" s="341"/>
      <c r="AD145" s="341" t="e">
        <f t="shared" si="192"/>
        <v>#DIV/0!</v>
      </c>
      <c r="AE145" s="340"/>
      <c r="AF145" s="341"/>
      <c r="AG145" s="341"/>
      <c r="AH145" s="341"/>
      <c r="AI145" s="341" t="e">
        <f t="shared" si="161"/>
        <v>#DIV/0!</v>
      </c>
      <c r="AJ145" s="340"/>
      <c r="AK145" s="341"/>
      <c r="AL145" s="341"/>
      <c r="AM145" s="341"/>
      <c r="AN145" s="341" t="e">
        <f t="shared" si="162"/>
        <v>#DIV/0!</v>
      </c>
      <c r="AO145" s="340"/>
      <c r="AP145" s="341"/>
      <c r="AQ145" s="341"/>
      <c r="AR145" s="341"/>
      <c r="AS145" s="341" t="e">
        <f t="shared" si="194"/>
        <v>#DIV/0!</v>
      </c>
      <c r="AT145" s="340"/>
      <c r="AU145" s="341"/>
      <c r="AV145" s="341"/>
      <c r="AW145" s="341"/>
      <c r="AX145" s="341" t="e">
        <f t="shared" si="163"/>
        <v>#DIV/0!</v>
      </c>
      <c r="AY145" s="340"/>
      <c r="AZ145" s="341"/>
      <c r="BA145" s="341"/>
      <c r="BB145" s="341"/>
      <c r="BC145" s="341" t="e">
        <f t="shared" si="164"/>
        <v>#DIV/0!</v>
      </c>
      <c r="BD145" s="340"/>
      <c r="BE145" s="341"/>
      <c r="BF145" s="341"/>
      <c r="BG145" s="341"/>
      <c r="BH145" s="341" t="e">
        <f t="shared" si="165"/>
        <v>#DIV/0!</v>
      </c>
      <c r="BI145" s="340"/>
      <c r="BJ145" s="341"/>
      <c r="BK145" s="341"/>
      <c r="BL145" s="341"/>
      <c r="BM145" s="341" t="e">
        <f t="shared" si="166"/>
        <v>#DIV/0!</v>
      </c>
      <c r="BN145" s="340"/>
      <c r="BO145" s="341"/>
      <c r="BP145" s="341"/>
      <c r="BQ145" s="341"/>
      <c r="BR145" s="341" t="e">
        <f t="shared" si="167"/>
        <v>#DIV/0!</v>
      </c>
      <c r="BS145" s="340"/>
      <c r="BT145" s="341"/>
      <c r="BU145" s="341"/>
      <c r="BV145" s="341"/>
      <c r="BW145" s="341" t="e">
        <f t="shared" si="168"/>
        <v>#DIV/0!</v>
      </c>
      <c r="BX145" s="340"/>
      <c r="BY145" s="341"/>
      <c r="BZ145" s="341"/>
      <c r="CA145" s="341"/>
      <c r="CB145" s="341" t="e">
        <f t="shared" si="169"/>
        <v>#DIV/0!</v>
      </c>
      <c r="CC145" s="340"/>
      <c r="CD145" s="341"/>
      <c r="CE145" s="341"/>
      <c r="CF145" s="341"/>
      <c r="CG145" s="341" t="e">
        <f t="shared" si="170"/>
        <v>#DIV/0!</v>
      </c>
      <c r="CH145" s="340"/>
      <c r="CI145" s="341"/>
      <c r="CJ145" s="341"/>
      <c r="CK145" s="341"/>
      <c r="CL145" s="341" t="e">
        <f t="shared" si="171"/>
        <v>#DIV/0!</v>
      </c>
      <c r="CM145" s="340"/>
      <c r="CN145" s="341"/>
      <c r="CO145" s="341"/>
      <c r="CP145" s="341"/>
      <c r="CQ145" s="341" t="e">
        <f t="shared" si="172"/>
        <v>#DIV/0!</v>
      </c>
      <c r="CR145" s="340"/>
      <c r="CS145" s="341"/>
      <c r="CT145" s="341"/>
      <c r="CU145" s="341"/>
      <c r="CV145" s="341" t="e">
        <f t="shared" si="173"/>
        <v>#DIV/0!</v>
      </c>
      <c r="CW145" s="340"/>
      <c r="CX145" s="341"/>
      <c r="CY145" s="341"/>
      <c r="CZ145" s="341"/>
      <c r="DA145" s="341" t="e">
        <f t="shared" si="174"/>
        <v>#DIV/0!</v>
      </c>
      <c r="DB145" s="340"/>
      <c r="DC145" s="341"/>
      <c r="DD145" s="341"/>
      <c r="DE145" s="341"/>
      <c r="DF145" s="341" t="e">
        <f t="shared" si="175"/>
        <v>#DIV/0!</v>
      </c>
      <c r="DG145" s="340"/>
      <c r="DH145" s="341"/>
      <c r="DI145" s="341"/>
      <c r="DJ145" s="341"/>
      <c r="DK145" s="341" t="e">
        <f t="shared" si="176"/>
        <v>#DIV/0!</v>
      </c>
      <c r="DL145" s="340"/>
      <c r="DM145" s="341"/>
      <c r="DN145" s="341"/>
      <c r="DO145" s="341"/>
      <c r="DP145" s="341" t="e">
        <f t="shared" si="177"/>
        <v>#DIV/0!</v>
      </c>
      <c r="DQ145" s="340"/>
      <c r="DR145" s="341"/>
      <c r="DS145" s="341"/>
      <c r="DT145" s="341"/>
      <c r="DU145" s="341" t="e">
        <f t="shared" si="178"/>
        <v>#DIV/0!</v>
      </c>
      <c r="DV145" s="340"/>
      <c r="DW145" s="341"/>
      <c r="DX145" s="341"/>
      <c r="DY145" s="341"/>
      <c r="DZ145" s="341" t="e">
        <f t="shared" si="179"/>
        <v>#DIV/0!</v>
      </c>
      <c r="EA145" s="340"/>
      <c r="EB145" s="341"/>
      <c r="EC145" s="341"/>
      <c r="ED145" s="341"/>
      <c r="EE145" s="341" t="e">
        <f t="shared" si="180"/>
        <v>#DIV/0!</v>
      </c>
      <c r="EF145" s="340"/>
      <c r="EG145" s="341"/>
      <c r="EH145" s="341"/>
      <c r="EI145" s="341"/>
      <c r="EJ145" s="341" t="e">
        <f t="shared" si="181"/>
        <v>#DIV/0!</v>
      </c>
      <c r="EK145" s="340"/>
      <c r="EL145" s="341"/>
      <c r="EM145" s="341"/>
      <c r="EN145" s="341"/>
      <c r="EO145" s="341" t="e">
        <f t="shared" si="182"/>
        <v>#DIV/0!</v>
      </c>
      <c r="EP145" s="340"/>
      <c r="EQ145" s="341"/>
      <c r="ER145" s="341"/>
      <c r="ES145" s="341"/>
      <c r="ET145" s="341" t="e">
        <f t="shared" si="183"/>
        <v>#DIV/0!</v>
      </c>
      <c r="EU145" s="340"/>
      <c r="EV145" s="341"/>
      <c r="EW145" s="341"/>
      <c r="EX145" s="341"/>
      <c r="EY145" s="341" t="e">
        <f t="shared" si="184"/>
        <v>#DIV/0!</v>
      </c>
      <c r="EZ145" s="340"/>
      <c r="FA145" s="341"/>
      <c r="FB145" s="341"/>
      <c r="FC145" s="341"/>
      <c r="FD145" s="341" t="e">
        <f t="shared" si="185"/>
        <v>#DIV/0!</v>
      </c>
      <c r="FE145" s="341">
        <f t="shared" si="186"/>
        <v>0</v>
      </c>
      <c r="FF145" s="341"/>
      <c r="FG145" s="341">
        <f t="shared" si="196"/>
        <v>0</v>
      </c>
      <c r="FH145" s="343">
        <f t="shared" si="193"/>
        <v>0</v>
      </c>
      <c r="FI145" s="344" t="e">
        <f t="shared" si="188"/>
        <v>#DIV/0!</v>
      </c>
      <c r="FJ145" s="341">
        <f t="shared" si="190"/>
        <v>0</v>
      </c>
      <c r="FK145" s="347"/>
      <c r="FL145" s="348"/>
      <c r="FM145" s="352"/>
    </row>
    <row r="146" s="215" customFormat="1" ht="27" customHeight="1" spans="1:169">
      <c r="A146" s="337"/>
      <c r="B146" s="336"/>
      <c r="C146" s="338"/>
      <c r="D146" s="337" t="s">
        <v>17</v>
      </c>
      <c r="E146" s="342">
        <v>0.373</v>
      </c>
      <c r="F146" s="340"/>
      <c r="G146" s="341"/>
      <c r="H146" s="341"/>
      <c r="I146" s="341"/>
      <c r="J146" s="341" t="e">
        <f t="shared" si="157"/>
        <v>#DIV/0!</v>
      </c>
      <c r="K146" s="340"/>
      <c r="L146" s="341"/>
      <c r="M146" s="341"/>
      <c r="N146" s="341"/>
      <c r="O146" s="341" t="e">
        <f t="shared" si="158"/>
        <v>#DIV/0!</v>
      </c>
      <c r="P146" s="340"/>
      <c r="Q146" s="341"/>
      <c r="R146" s="341"/>
      <c r="S146" s="341"/>
      <c r="T146" s="341" t="e">
        <f t="shared" si="159"/>
        <v>#DIV/0!</v>
      </c>
      <c r="U146" s="340"/>
      <c r="V146" s="341"/>
      <c r="W146" s="341"/>
      <c r="X146" s="341"/>
      <c r="Y146" s="341" t="e">
        <f t="shared" si="160"/>
        <v>#DIV/0!</v>
      </c>
      <c r="Z146" s="340"/>
      <c r="AA146" s="341"/>
      <c r="AB146" s="341"/>
      <c r="AC146" s="341"/>
      <c r="AD146" s="341" t="e">
        <f t="shared" si="192"/>
        <v>#DIV/0!</v>
      </c>
      <c r="AE146" s="340"/>
      <c r="AF146" s="341"/>
      <c r="AG146" s="341"/>
      <c r="AH146" s="341"/>
      <c r="AI146" s="341" t="e">
        <f t="shared" si="161"/>
        <v>#DIV/0!</v>
      </c>
      <c r="AJ146" s="340"/>
      <c r="AK146" s="341"/>
      <c r="AL146" s="341"/>
      <c r="AM146" s="341"/>
      <c r="AN146" s="341" t="e">
        <f t="shared" si="162"/>
        <v>#DIV/0!</v>
      </c>
      <c r="AO146" s="340"/>
      <c r="AP146" s="341"/>
      <c r="AQ146" s="341"/>
      <c r="AR146" s="341"/>
      <c r="AS146" s="341" t="e">
        <f t="shared" si="194"/>
        <v>#DIV/0!</v>
      </c>
      <c r="AT146" s="340"/>
      <c r="AU146" s="341"/>
      <c r="AV146" s="341"/>
      <c r="AW146" s="341"/>
      <c r="AX146" s="341" t="e">
        <f t="shared" si="163"/>
        <v>#DIV/0!</v>
      </c>
      <c r="AY146" s="340"/>
      <c r="AZ146" s="341"/>
      <c r="BA146" s="341"/>
      <c r="BB146" s="341"/>
      <c r="BC146" s="341" t="e">
        <f t="shared" si="164"/>
        <v>#DIV/0!</v>
      </c>
      <c r="BD146" s="340"/>
      <c r="BE146" s="341"/>
      <c r="BF146" s="341"/>
      <c r="BG146" s="341"/>
      <c r="BH146" s="341" t="e">
        <f t="shared" si="165"/>
        <v>#DIV/0!</v>
      </c>
      <c r="BI146" s="340"/>
      <c r="BJ146" s="341"/>
      <c r="BK146" s="341"/>
      <c r="BL146" s="341"/>
      <c r="BM146" s="341" t="e">
        <f t="shared" si="166"/>
        <v>#DIV/0!</v>
      </c>
      <c r="BN146" s="340"/>
      <c r="BO146" s="341"/>
      <c r="BP146" s="341"/>
      <c r="BQ146" s="341"/>
      <c r="BR146" s="341" t="e">
        <f t="shared" si="167"/>
        <v>#DIV/0!</v>
      </c>
      <c r="BS146" s="340"/>
      <c r="BT146" s="341"/>
      <c r="BU146" s="341"/>
      <c r="BV146" s="341"/>
      <c r="BW146" s="341" t="e">
        <f t="shared" si="168"/>
        <v>#DIV/0!</v>
      </c>
      <c r="BX146" s="340"/>
      <c r="BY146" s="341"/>
      <c r="BZ146" s="341"/>
      <c r="CA146" s="341"/>
      <c r="CB146" s="341" t="e">
        <f t="shared" si="169"/>
        <v>#DIV/0!</v>
      </c>
      <c r="CC146" s="340"/>
      <c r="CD146" s="341"/>
      <c r="CE146" s="341"/>
      <c r="CF146" s="341"/>
      <c r="CG146" s="341" t="e">
        <f t="shared" si="170"/>
        <v>#DIV/0!</v>
      </c>
      <c r="CH146" s="340"/>
      <c r="CI146" s="341"/>
      <c r="CJ146" s="341"/>
      <c r="CK146" s="341"/>
      <c r="CL146" s="341" t="e">
        <f t="shared" si="171"/>
        <v>#DIV/0!</v>
      </c>
      <c r="CM146" s="340"/>
      <c r="CN146" s="341"/>
      <c r="CO146" s="341"/>
      <c r="CP146" s="341"/>
      <c r="CQ146" s="341" t="e">
        <f t="shared" si="172"/>
        <v>#DIV/0!</v>
      </c>
      <c r="CR146" s="340"/>
      <c r="CS146" s="341"/>
      <c r="CT146" s="341"/>
      <c r="CU146" s="341"/>
      <c r="CV146" s="341" t="e">
        <f t="shared" si="173"/>
        <v>#DIV/0!</v>
      </c>
      <c r="CW146" s="340"/>
      <c r="CX146" s="341"/>
      <c r="CY146" s="341"/>
      <c r="CZ146" s="341"/>
      <c r="DA146" s="341" t="e">
        <f t="shared" si="174"/>
        <v>#DIV/0!</v>
      </c>
      <c r="DB146" s="340"/>
      <c r="DC146" s="341"/>
      <c r="DD146" s="341"/>
      <c r="DE146" s="341"/>
      <c r="DF146" s="341" t="e">
        <f t="shared" si="175"/>
        <v>#DIV/0!</v>
      </c>
      <c r="DG146" s="340"/>
      <c r="DH146" s="341"/>
      <c r="DI146" s="341"/>
      <c r="DJ146" s="341"/>
      <c r="DK146" s="341" t="e">
        <f t="shared" si="176"/>
        <v>#DIV/0!</v>
      </c>
      <c r="DL146" s="340"/>
      <c r="DM146" s="341"/>
      <c r="DN146" s="341"/>
      <c r="DO146" s="341"/>
      <c r="DP146" s="341" t="e">
        <f t="shared" si="177"/>
        <v>#DIV/0!</v>
      </c>
      <c r="DQ146" s="340"/>
      <c r="DR146" s="341"/>
      <c r="DS146" s="341"/>
      <c r="DT146" s="341"/>
      <c r="DU146" s="341" t="e">
        <f t="shared" si="178"/>
        <v>#DIV/0!</v>
      </c>
      <c r="DV146" s="340"/>
      <c r="DW146" s="341"/>
      <c r="DX146" s="341"/>
      <c r="DY146" s="341"/>
      <c r="DZ146" s="341" t="e">
        <f t="shared" si="179"/>
        <v>#DIV/0!</v>
      </c>
      <c r="EA146" s="340"/>
      <c r="EB146" s="341"/>
      <c r="EC146" s="341"/>
      <c r="ED146" s="341"/>
      <c r="EE146" s="341" t="e">
        <f t="shared" si="180"/>
        <v>#DIV/0!</v>
      </c>
      <c r="EF146" s="340"/>
      <c r="EG146" s="341"/>
      <c r="EH146" s="341"/>
      <c r="EI146" s="341"/>
      <c r="EJ146" s="341" t="e">
        <f t="shared" si="181"/>
        <v>#DIV/0!</v>
      </c>
      <c r="EK146" s="340"/>
      <c r="EL146" s="341"/>
      <c r="EM146" s="341"/>
      <c r="EN146" s="341"/>
      <c r="EO146" s="341" t="e">
        <f t="shared" si="182"/>
        <v>#DIV/0!</v>
      </c>
      <c r="EP146" s="340"/>
      <c r="EQ146" s="341"/>
      <c r="ER146" s="341"/>
      <c r="ES146" s="341"/>
      <c r="ET146" s="341" t="e">
        <f t="shared" si="183"/>
        <v>#DIV/0!</v>
      </c>
      <c r="EU146" s="340"/>
      <c r="EV146" s="341"/>
      <c r="EW146" s="341"/>
      <c r="EX146" s="341"/>
      <c r="EY146" s="341" t="e">
        <f t="shared" si="184"/>
        <v>#DIV/0!</v>
      </c>
      <c r="EZ146" s="340"/>
      <c r="FA146" s="341"/>
      <c r="FB146" s="341"/>
      <c r="FC146" s="341"/>
      <c r="FD146" s="341" t="e">
        <f t="shared" si="185"/>
        <v>#DIV/0!</v>
      </c>
      <c r="FE146" s="341">
        <f t="shared" si="186"/>
        <v>0</v>
      </c>
      <c r="FF146" s="341"/>
      <c r="FG146" s="341">
        <f t="shared" si="196"/>
        <v>0</v>
      </c>
      <c r="FH146" s="343">
        <f t="shared" si="193"/>
        <v>0</v>
      </c>
      <c r="FI146" s="344" t="e">
        <f t="shared" si="188"/>
        <v>#DIV/0!</v>
      </c>
      <c r="FJ146" s="341">
        <f t="shared" si="190"/>
        <v>0</v>
      </c>
      <c r="FK146" s="349"/>
      <c r="FL146" s="350"/>
      <c r="FM146" s="354"/>
    </row>
    <row r="147" s="215" customFormat="1" ht="27" customHeight="1" spans="1:169">
      <c r="A147" s="337">
        <v>18</v>
      </c>
      <c r="B147" s="334" t="s">
        <v>58</v>
      </c>
      <c r="C147" s="338"/>
      <c r="D147" s="337" t="s">
        <v>8</v>
      </c>
      <c r="E147" s="339">
        <v>0.4</v>
      </c>
      <c r="F147" s="340"/>
      <c r="G147" s="340"/>
      <c r="H147" s="341"/>
      <c r="I147" s="341"/>
      <c r="J147" s="341" t="e">
        <f t="shared" si="157"/>
        <v>#DIV/0!</v>
      </c>
      <c r="K147" s="340"/>
      <c r="L147" s="340"/>
      <c r="M147" s="341"/>
      <c r="N147" s="341"/>
      <c r="O147" s="341" t="e">
        <f t="shared" si="158"/>
        <v>#DIV/0!</v>
      </c>
      <c r="P147" s="340"/>
      <c r="Q147" s="340"/>
      <c r="R147" s="341"/>
      <c r="S147" s="341"/>
      <c r="T147" s="341" t="e">
        <f t="shared" si="159"/>
        <v>#DIV/0!</v>
      </c>
      <c r="U147" s="340"/>
      <c r="V147" s="340"/>
      <c r="W147" s="341"/>
      <c r="X147" s="341"/>
      <c r="Y147" s="341" t="e">
        <f t="shared" si="160"/>
        <v>#DIV/0!</v>
      </c>
      <c r="Z147" s="340"/>
      <c r="AA147" s="340"/>
      <c r="AB147" s="341"/>
      <c r="AC147" s="341"/>
      <c r="AD147" s="341" t="e">
        <f t="shared" si="192"/>
        <v>#DIV/0!</v>
      </c>
      <c r="AE147" s="340"/>
      <c r="AF147" s="340"/>
      <c r="AG147" s="341"/>
      <c r="AH147" s="341"/>
      <c r="AI147" s="341" t="e">
        <f t="shared" si="161"/>
        <v>#DIV/0!</v>
      </c>
      <c r="AJ147" s="340"/>
      <c r="AK147" s="340"/>
      <c r="AL147" s="341"/>
      <c r="AM147" s="341"/>
      <c r="AN147" s="341" t="e">
        <f t="shared" si="162"/>
        <v>#DIV/0!</v>
      </c>
      <c r="AO147" s="340"/>
      <c r="AP147" s="340"/>
      <c r="AQ147" s="341"/>
      <c r="AR147" s="341"/>
      <c r="AS147" s="341" t="e">
        <f t="shared" si="194"/>
        <v>#DIV/0!</v>
      </c>
      <c r="AT147" s="340"/>
      <c r="AU147" s="340"/>
      <c r="AV147" s="341"/>
      <c r="AW147" s="341"/>
      <c r="AX147" s="341" t="e">
        <f t="shared" si="163"/>
        <v>#DIV/0!</v>
      </c>
      <c r="AY147" s="340"/>
      <c r="AZ147" s="340"/>
      <c r="BA147" s="341"/>
      <c r="BB147" s="341"/>
      <c r="BC147" s="341" t="e">
        <f t="shared" si="164"/>
        <v>#DIV/0!</v>
      </c>
      <c r="BD147" s="340"/>
      <c r="BE147" s="340"/>
      <c r="BF147" s="341"/>
      <c r="BG147" s="341"/>
      <c r="BH147" s="341" t="e">
        <f t="shared" si="165"/>
        <v>#DIV/0!</v>
      </c>
      <c r="BI147" s="340"/>
      <c r="BJ147" s="340"/>
      <c r="BK147" s="341"/>
      <c r="BL147" s="341"/>
      <c r="BM147" s="341" t="e">
        <f t="shared" si="166"/>
        <v>#DIV/0!</v>
      </c>
      <c r="BN147" s="340"/>
      <c r="BO147" s="340"/>
      <c r="BP147" s="341"/>
      <c r="BQ147" s="341"/>
      <c r="BR147" s="341" t="e">
        <f t="shared" si="167"/>
        <v>#DIV/0!</v>
      </c>
      <c r="BS147" s="340"/>
      <c r="BT147" s="340"/>
      <c r="BU147" s="341"/>
      <c r="BV147" s="341"/>
      <c r="BW147" s="341" t="e">
        <f t="shared" si="168"/>
        <v>#DIV/0!</v>
      </c>
      <c r="BX147" s="340"/>
      <c r="BY147" s="340"/>
      <c r="BZ147" s="341"/>
      <c r="CA147" s="341"/>
      <c r="CB147" s="341" t="e">
        <f t="shared" si="169"/>
        <v>#DIV/0!</v>
      </c>
      <c r="CC147" s="340"/>
      <c r="CD147" s="340"/>
      <c r="CE147" s="341"/>
      <c r="CF147" s="341"/>
      <c r="CG147" s="341" t="e">
        <f t="shared" si="170"/>
        <v>#DIV/0!</v>
      </c>
      <c r="CH147" s="340"/>
      <c r="CI147" s="340"/>
      <c r="CJ147" s="341"/>
      <c r="CK147" s="341"/>
      <c r="CL147" s="341" t="e">
        <f t="shared" si="171"/>
        <v>#DIV/0!</v>
      </c>
      <c r="CM147" s="340"/>
      <c r="CN147" s="340"/>
      <c r="CO147" s="341"/>
      <c r="CP147" s="341"/>
      <c r="CQ147" s="341" t="e">
        <f t="shared" si="172"/>
        <v>#DIV/0!</v>
      </c>
      <c r="CR147" s="340"/>
      <c r="CS147" s="340"/>
      <c r="CT147" s="341"/>
      <c r="CU147" s="341"/>
      <c r="CV147" s="341" t="e">
        <f t="shared" si="173"/>
        <v>#DIV/0!</v>
      </c>
      <c r="CW147" s="340"/>
      <c r="CX147" s="340"/>
      <c r="CY147" s="341"/>
      <c r="CZ147" s="341"/>
      <c r="DA147" s="341" t="e">
        <f t="shared" si="174"/>
        <v>#DIV/0!</v>
      </c>
      <c r="DB147" s="340"/>
      <c r="DC147" s="340"/>
      <c r="DD147" s="341"/>
      <c r="DE147" s="341"/>
      <c r="DF147" s="341" t="e">
        <f t="shared" si="175"/>
        <v>#DIV/0!</v>
      </c>
      <c r="DG147" s="340"/>
      <c r="DH147" s="340"/>
      <c r="DI147" s="341"/>
      <c r="DJ147" s="341"/>
      <c r="DK147" s="341" t="e">
        <f t="shared" si="176"/>
        <v>#DIV/0!</v>
      </c>
      <c r="DL147" s="340"/>
      <c r="DM147" s="340"/>
      <c r="DN147" s="341"/>
      <c r="DO147" s="341"/>
      <c r="DP147" s="341" t="e">
        <f t="shared" si="177"/>
        <v>#DIV/0!</v>
      </c>
      <c r="DQ147" s="340"/>
      <c r="DR147" s="340"/>
      <c r="DS147" s="341"/>
      <c r="DT147" s="341"/>
      <c r="DU147" s="341" t="e">
        <f t="shared" si="178"/>
        <v>#DIV/0!</v>
      </c>
      <c r="DV147" s="340"/>
      <c r="DW147" s="340"/>
      <c r="DX147" s="341"/>
      <c r="DY147" s="341"/>
      <c r="DZ147" s="341" t="e">
        <f t="shared" si="179"/>
        <v>#DIV/0!</v>
      </c>
      <c r="EA147" s="340"/>
      <c r="EB147" s="340"/>
      <c r="EC147" s="341"/>
      <c r="ED147" s="341"/>
      <c r="EE147" s="341" t="e">
        <f t="shared" si="180"/>
        <v>#DIV/0!</v>
      </c>
      <c r="EF147" s="340"/>
      <c r="EG147" s="340"/>
      <c r="EH147" s="341"/>
      <c r="EI147" s="341"/>
      <c r="EJ147" s="341" t="e">
        <f t="shared" si="181"/>
        <v>#DIV/0!</v>
      </c>
      <c r="EK147" s="340"/>
      <c r="EL147" s="340"/>
      <c r="EM147" s="341"/>
      <c r="EN147" s="341"/>
      <c r="EO147" s="341" t="e">
        <f t="shared" si="182"/>
        <v>#DIV/0!</v>
      </c>
      <c r="EP147" s="340"/>
      <c r="EQ147" s="340"/>
      <c r="ER147" s="341"/>
      <c r="ES147" s="341"/>
      <c r="ET147" s="341" t="e">
        <f t="shared" si="183"/>
        <v>#DIV/0!</v>
      </c>
      <c r="EU147" s="340"/>
      <c r="EV147" s="340"/>
      <c r="EW147" s="341">
        <v>97</v>
      </c>
      <c r="EX147" s="341"/>
      <c r="EY147" s="341">
        <f t="shared" si="184"/>
        <v>1</v>
      </c>
      <c r="EZ147" s="340"/>
      <c r="FA147" s="340"/>
      <c r="FB147" s="341"/>
      <c r="FC147" s="341"/>
      <c r="FD147" s="341" t="e">
        <f t="shared" si="185"/>
        <v>#DIV/0!</v>
      </c>
      <c r="FE147" s="341">
        <f t="shared" si="186"/>
        <v>0</v>
      </c>
      <c r="FF147" s="341"/>
      <c r="FG147" s="341">
        <f t="shared" si="196"/>
        <v>0</v>
      </c>
      <c r="FH147" s="343">
        <f t="shared" si="193"/>
        <v>97</v>
      </c>
      <c r="FI147" s="344" t="e">
        <f t="shared" si="188"/>
        <v>#DIV/0!</v>
      </c>
      <c r="FJ147" s="341">
        <f t="shared" si="190"/>
        <v>38.8</v>
      </c>
      <c r="FK147" s="345">
        <f>FJ147+FJ148+FJ149+FJ150+FJ151+FJ152+FJ153+FJ154+FJ155+FJ156</f>
        <v>793.476</v>
      </c>
      <c r="FL147" s="346">
        <f>(FH147+FH148+FH149+FH150+FH151+FH152+FH153+FH154+FH155+FH156)/(FE147+FE148+FE149+FE150+FE151+FE152+FE153+FE154+FE155+FE156)</f>
        <v>1.11078928312817</v>
      </c>
      <c r="FM147" s="351"/>
    </row>
    <row r="148" s="215" customFormat="1" ht="27" customHeight="1" spans="1:169">
      <c r="A148" s="337"/>
      <c r="B148" s="335"/>
      <c r="C148" s="338"/>
      <c r="D148" s="337" t="s">
        <v>9</v>
      </c>
      <c r="E148" s="342">
        <v>0.133</v>
      </c>
      <c r="F148" s="340"/>
      <c r="G148" s="340"/>
      <c r="H148" s="341"/>
      <c r="I148" s="341"/>
      <c r="J148" s="341" t="e">
        <f t="shared" si="157"/>
        <v>#DIV/0!</v>
      </c>
      <c r="K148" s="340"/>
      <c r="L148" s="340"/>
      <c r="M148" s="341"/>
      <c r="N148" s="341"/>
      <c r="O148" s="341" t="e">
        <f t="shared" si="158"/>
        <v>#DIV/0!</v>
      </c>
      <c r="P148" s="340"/>
      <c r="Q148" s="340"/>
      <c r="R148" s="341"/>
      <c r="S148" s="341"/>
      <c r="T148" s="341" t="e">
        <f t="shared" si="159"/>
        <v>#DIV/0!</v>
      </c>
      <c r="U148" s="340"/>
      <c r="V148" s="340"/>
      <c r="W148" s="341"/>
      <c r="X148" s="341"/>
      <c r="Y148" s="341" t="e">
        <f t="shared" si="160"/>
        <v>#DIV/0!</v>
      </c>
      <c r="Z148" s="340"/>
      <c r="AA148" s="340"/>
      <c r="AB148" s="341"/>
      <c r="AC148" s="341"/>
      <c r="AD148" s="341" t="e">
        <f t="shared" si="192"/>
        <v>#DIV/0!</v>
      </c>
      <c r="AE148" s="340"/>
      <c r="AF148" s="340"/>
      <c r="AG148" s="341"/>
      <c r="AH148" s="341"/>
      <c r="AI148" s="341" t="e">
        <f t="shared" si="161"/>
        <v>#DIV/0!</v>
      </c>
      <c r="AJ148" s="340"/>
      <c r="AK148" s="340"/>
      <c r="AL148" s="341"/>
      <c r="AM148" s="341"/>
      <c r="AN148" s="341" t="e">
        <f t="shared" si="162"/>
        <v>#DIV/0!</v>
      </c>
      <c r="AO148" s="340"/>
      <c r="AP148" s="340"/>
      <c r="AQ148" s="341"/>
      <c r="AR148" s="341"/>
      <c r="AS148" s="341" t="e">
        <f t="shared" si="194"/>
        <v>#DIV/0!</v>
      </c>
      <c r="AT148" s="340"/>
      <c r="AU148" s="340"/>
      <c r="AV148" s="341"/>
      <c r="AW148" s="341"/>
      <c r="AX148" s="341" t="e">
        <f t="shared" si="163"/>
        <v>#DIV/0!</v>
      </c>
      <c r="AY148" s="340"/>
      <c r="AZ148" s="340"/>
      <c r="BA148" s="341"/>
      <c r="BB148" s="341"/>
      <c r="BC148" s="341" t="e">
        <f t="shared" si="164"/>
        <v>#DIV/0!</v>
      </c>
      <c r="BD148" s="340"/>
      <c r="BE148" s="340"/>
      <c r="BF148" s="341"/>
      <c r="BG148" s="341"/>
      <c r="BH148" s="341" t="e">
        <f t="shared" si="165"/>
        <v>#DIV/0!</v>
      </c>
      <c r="BI148" s="340"/>
      <c r="BJ148" s="340"/>
      <c r="BK148" s="341"/>
      <c r="BL148" s="341"/>
      <c r="BM148" s="341" t="e">
        <f t="shared" si="166"/>
        <v>#DIV/0!</v>
      </c>
      <c r="BN148" s="340"/>
      <c r="BO148" s="340"/>
      <c r="BP148" s="341"/>
      <c r="BQ148" s="341"/>
      <c r="BR148" s="341" t="e">
        <f t="shared" si="167"/>
        <v>#DIV/0!</v>
      </c>
      <c r="BS148" s="340"/>
      <c r="BT148" s="340"/>
      <c r="BU148" s="341"/>
      <c r="BV148" s="341"/>
      <c r="BW148" s="341" t="e">
        <f t="shared" si="168"/>
        <v>#DIV/0!</v>
      </c>
      <c r="BX148" s="340"/>
      <c r="BY148" s="340"/>
      <c r="BZ148" s="341"/>
      <c r="CA148" s="341"/>
      <c r="CB148" s="341" t="e">
        <f t="shared" si="169"/>
        <v>#DIV/0!</v>
      </c>
      <c r="CC148" s="340"/>
      <c r="CD148" s="340"/>
      <c r="CE148" s="341"/>
      <c r="CF148" s="341"/>
      <c r="CG148" s="341" t="e">
        <f t="shared" si="170"/>
        <v>#DIV/0!</v>
      </c>
      <c r="CH148" s="340"/>
      <c r="CI148" s="340"/>
      <c r="CJ148" s="341"/>
      <c r="CK148" s="341"/>
      <c r="CL148" s="341" t="e">
        <f t="shared" si="171"/>
        <v>#DIV/0!</v>
      </c>
      <c r="CM148" s="340"/>
      <c r="CN148" s="340"/>
      <c r="CO148" s="341"/>
      <c r="CP148" s="341"/>
      <c r="CQ148" s="341" t="e">
        <f t="shared" si="172"/>
        <v>#DIV/0!</v>
      </c>
      <c r="CR148" s="340"/>
      <c r="CS148" s="340"/>
      <c r="CT148" s="341"/>
      <c r="CU148" s="341"/>
      <c r="CV148" s="341" t="e">
        <f t="shared" si="173"/>
        <v>#DIV/0!</v>
      </c>
      <c r="CW148" s="340"/>
      <c r="CX148" s="340"/>
      <c r="CY148" s="341"/>
      <c r="CZ148" s="341"/>
      <c r="DA148" s="341" t="e">
        <f t="shared" si="174"/>
        <v>#DIV/0!</v>
      </c>
      <c r="DB148" s="340"/>
      <c r="DC148" s="340"/>
      <c r="DD148" s="341"/>
      <c r="DE148" s="341"/>
      <c r="DF148" s="341" t="e">
        <f t="shared" si="175"/>
        <v>#DIV/0!</v>
      </c>
      <c r="DG148" s="340"/>
      <c r="DH148" s="340"/>
      <c r="DI148" s="341"/>
      <c r="DJ148" s="341"/>
      <c r="DK148" s="341" t="e">
        <f t="shared" si="176"/>
        <v>#DIV/0!</v>
      </c>
      <c r="DL148" s="340">
        <v>131</v>
      </c>
      <c r="DM148" s="340">
        <v>3</v>
      </c>
      <c r="DN148" s="341">
        <v>125</v>
      </c>
      <c r="DO148" s="341">
        <v>3</v>
      </c>
      <c r="DP148" s="341">
        <f t="shared" si="177"/>
        <v>0.95367431640625</v>
      </c>
      <c r="DQ148" s="340">
        <v>139</v>
      </c>
      <c r="DR148" s="340">
        <v>2</v>
      </c>
      <c r="DS148" s="341">
        <v>137</v>
      </c>
      <c r="DT148" s="341"/>
      <c r="DU148" s="341">
        <f t="shared" si="178"/>
        <v>1</v>
      </c>
      <c r="DV148" s="340">
        <v>99</v>
      </c>
      <c r="DW148" s="340">
        <v>4</v>
      </c>
      <c r="DX148" s="341">
        <v>95</v>
      </c>
      <c r="DY148" s="341"/>
      <c r="DZ148" s="341">
        <f t="shared" si="179"/>
        <v>1</v>
      </c>
      <c r="EA148" s="340">
        <v>224</v>
      </c>
      <c r="EB148" s="340">
        <v>5</v>
      </c>
      <c r="EC148" s="341">
        <v>219</v>
      </c>
      <c r="ED148" s="341"/>
      <c r="EE148" s="341">
        <f t="shared" si="180"/>
        <v>1</v>
      </c>
      <c r="EF148" s="340">
        <v>263</v>
      </c>
      <c r="EG148" s="340"/>
      <c r="EH148" s="341">
        <v>263</v>
      </c>
      <c r="EI148" s="341"/>
      <c r="EJ148" s="341">
        <f t="shared" si="181"/>
        <v>1</v>
      </c>
      <c r="EK148" s="340">
        <v>90</v>
      </c>
      <c r="EL148" s="340">
        <v>4</v>
      </c>
      <c r="EM148" s="341">
        <v>86</v>
      </c>
      <c r="EN148" s="341"/>
      <c r="EO148" s="341">
        <f t="shared" si="182"/>
        <v>1</v>
      </c>
      <c r="EP148" s="340">
        <v>412</v>
      </c>
      <c r="EQ148" s="340"/>
      <c r="ER148" s="341">
        <v>412</v>
      </c>
      <c r="ES148" s="341"/>
      <c r="ET148" s="341">
        <f t="shared" si="183"/>
        <v>1</v>
      </c>
      <c r="EU148" s="340"/>
      <c r="EV148" s="340"/>
      <c r="EW148" s="341">
        <v>375</v>
      </c>
      <c r="EX148" s="341"/>
      <c r="EY148" s="341">
        <f t="shared" si="184"/>
        <v>1</v>
      </c>
      <c r="EZ148" s="340"/>
      <c r="FA148" s="340"/>
      <c r="FB148" s="341"/>
      <c r="FC148" s="341"/>
      <c r="FD148" s="341" t="e">
        <f t="shared" si="185"/>
        <v>#DIV/0!</v>
      </c>
      <c r="FE148" s="341">
        <f t="shared" si="186"/>
        <v>1358</v>
      </c>
      <c r="FF148" s="341"/>
      <c r="FG148" s="341">
        <f t="shared" si="196"/>
        <v>18</v>
      </c>
      <c r="FH148" s="343">
        <f t="shared" si="193"/>
        <v>1712</v>
      </c>
      <c r="FI148" s="344">
        <f t="shared" si="188"/>
        <v>1.5893076754562</v>
      </c>
      <c r="FJ148" s="341">
        <f t="shared" si="190"/>
        <v>227.696</v>
      </c>
      <c r="FK148" s="347"/>
      <c r="FL148" s="348"/>
      <c r="FM148" s="352"/>
    </row>
    <row r="149" s="215" customFormat="1" ht="27" customHeight="1" spans="1:169">
      <c r="A149" s="337"/>
      <c r="B149" s="335"/>
      <c r="C149" s="338"/>
      <c r="D149" s="337" t="s">
        <v>10</v>
      </c>
      <c r="E149" s="342">
        <v>0.133</v>
      </c>
      <c r="F149" s="340"/>
      <c r="G149" s="277"/>
      <c r="H149" s="341"/>
      <c r="I149" s="341"/>
      <c r="J149" s="341" t="e">
        <f t="shared" si="157"/>
        <v>#DIV/0!</v>
      </c>
      <c r="K149" s="340"/>
      <c r="L149" s="341"/>
      <c r="M149" s="341"/>
      <c r="N149" s="341"/>
      <c r="O149" s="341" t="e">
        <f t="shared" si="158"/>
        <v>#DIV/0!</v>
      </c>
      <c r="P149" s="340"/>
      <c r="Q149" s="341"/>
      <c r="R149" s="341"/>
      <c r="S149" s="341"/>
      <c r="T149" s="341" t="e">
        <f t="shared" si="159"/>
        <v>#DIV/0!</v>
      </c>
      <c r="U149" s="340"/>
      <c r="V149" s="341"/>
      <c r="W149" s="341"/>
      <c r="X149" s="341"/>
      <c r="Y149" s="341" t="e">
        <f t="shared" si="160"/>
        <v>#DIV/0!</v>
      </c>
      <c r="Z149" s="340"/>
      <c r="AA149" s="341"/>
      <c r="AB149" s="341"/>
      <c r="AC149" s="341"/>
      <c r="AD149" s="341" t="e">
        <f t="shared" si="192"/>
        <v>#DIV/0!</v>
      </c>
      <c r="AE149" s="340"/>
      <c r="AF149" s="341"/>
      <c r="AG149" s="341"/>
      <c r="AH149" s="341"/>
      <c r="AI149" s="341" t="e">
        <f t="shared" si="161"/>
        <v>#DIV/0!</v>
      </c>
      <c r="AJ149" s="340"/>
      <c r="AK149" s="341"/>
      <c r="AL149" s="341"/>
      <c r="AM149" s="341"/>
      <c r="AN149" s="341" t="e">
        <f t="shared" si="162"/>
        <v>#DIV/0!</v>
      </c>
      <c r="AO149" s="340"/>
      <c r="AP149" s="341"/>
      <c r="AQ149" s="341"/>
      <c r="AR149" s="341"/>
      <c r="AS149" s="341" t="e">
        <f t="shared" si="194"/>
        <v>#DIV/0!</v>
      </c>
      <c r="AT149" s="340"/>
      <c r="AU149" s="341"/>
      <c r="AV149" s="341"/>
      <c r="AW149" s="341"/>
      <c r="AX149" s="341" t="e">
        <f t="shared" si="163"/>
        <v>#DIV/0!</v>
      </c>
      <c r="AY149" s="340"/>
      <c r="AZ149" s="341"/>
      <c r="BA149" s="341"/>
      <c r="BB149" s="341"/>
      <c r="BC149" s="341" t="e">
        <f t="shared" si="164"/>
        <v>#DIV/0!</v>
      </c>
      <c r="BD149" s="340"/>
      <c r="BE149" s="341"/>
      <c r="BF149" s="341"/>
      <c r="BG149" s="341"/>
      <c r="BH149" s="341" t="e">
        <f t="shared" si="165"/>
        <v>#DIV/0!</v>
      </c>
      <c r="BI149" s="340"/>
      <c r="BJ149" s="341"/>
      <c r="BK149" s="341"/>
      <c r="BL149" s="341"/>
      <c r="BM149" s="341" t="e">
        <f t="shared" si="166"/>
        <v>#DIV/0!</v>
      </c>
      <c r="BN149" s="340"/>
      <c r="BO149" s="341"/>
      <c r="BP149" s="341"/>
      <c r="BQ149" s="341"/>
      <c r="BR149" s="341" t="e">
        <f t="shared" si="167"/>
        <v>#DIV/0!</v>
      </c>
      <c r="BS149" s="340"/>
      <c r="BT149" s="341"/>
      <c r="BU149" s="341"/>
      <c r="BV149" s="341"/>
      <c r="BW149" s="341" t="e">
        <f t="shared" si="168"/>
        <v>#DIV/0!</v>
      </c>
      <c r="BX149" s="340"/>
      <c r="BY149" s="341"/>
      <c r="BZ149" s="341"/>
      <c r="CA149" s="341"/>
      <c r="CB149" s="341" t="e">
        <f t="shared" si="169"/>
        <v>#DIV/0!</v>
      </c>
      <c r="CC149" s="340"/>
      <c r="CD149" s="341"/>
      <c r="CE149" s="341"/>
      <c r="CF149" s="341"/>
      <c r="CG149" s="341" t="e">
        <f t="shared" si="170"/>
        <v>#DIV/0!</v>
      </c>
      <c r="CH149" s="340"/>
      <c r="CI149" s="341"/>
      <c r="CJ149" s="341"/>
      <c r="CK149" s="341"/>
      <c r="CL149" s="341" t="e">
        <f t="shared" si="171"/>
        <v>#DIV/0!</v>
      </c>
      <c r="CM149" s="340"/>
      <c r="CN149" s="341"/>
      <c r="CO149" s="341"/>
      <c r="CP149" s="341"/>
      <c r="CQ149" s="341" t="e">
        <f t="shared" si="172"/>
        <v>#DIV/0!</v>
      </c>
      <c r="CR149" s="340"/>
      <c r="CS149" s="341"/>
      <c r="CT149" s="341"/>
      <c r="CU149" s="341"/>
      <c r="CV149" s="341" t="e">
        <f t="shared" si="173"/>
        <v>#DIV/0!</v>
      </c>
      <c r="CW149" s="340"/>
      <c r="CX149" s="341"/>
      <c r="CY149" s="341"/>
      <c r="CZ149" s="341"/>
      <c r="DA149" s="341" t="e">
        <f t="shared" si="174"/>
        <v>#DIV/0!</v>
      </c>
      <c r="DB149" s="340"/>
      <c r="DC149" s="341"/>
      <c r="DD149" s="341"/>
      <c r="DE149" s="341"/>
      <c r="DF149" s="341" t="e">
        <f t="shared" si="175"/>
        <v>#DIV/0!</v>
      </c>
      <c r="DG149" s="340"/>
      <c r="DH149" s="341"/>
      <c r="DI149" s="341"/>
      <c r="DJ149" s="341"/>
      <c r="DK149" s="341" t="e">
        <f t="shared" si="176"/>
        <v>#DIV/0!</v>
      </c>
      <c r="DL149" s="340"/>
      <c r="DM149" s="341"/>
      <c r="DN149" s="341"/>
      <c r="DO149" s="341"/>
      <c r="DP149" s="341" t="e">
        <f t="shared" si="177"/>
        <v>#DIV/0!</v>
      </c>
      <c r="DQ149" s="340"/>
      <c r="DR149" s="341"/>
      <c r="DS149" s="341"/>
      <c r="DT149" s="341"/>
      <c r="DU149" s="341" t="e">
        <f t="shared" si="178"/>
        <v>#DIV/0!</v>
      </c>
      <c r="DV149" s="340"/>
      <c r="DW149" s="341"/>
      <c r="DX149" s="341"/>
      <c r="DY149" s="341"/>
      <c r="DZ149" s="341" t="e">
        <f t="shared" si="179"/>
        <v>#DIV/0!</v>
      </c>
      <c r="EA149" s="340"/>
      <c r="EB149" s="341"/>
      <c r="EC149" s="341"/>
      <c r="ED149" s="341"/>
      <c r="EE149" s="341" t="e">
        <f t="shared" si="180"/>
        <v>#DIV/0!</v>
      </c>
      <c r="EF149" s="340"/>
      <c r="EG149" s="341"/>
      <c r="EH149" s="341"/>
      <c r="EI149" s="341"/>
      <c r="EJ149" s="341" t="e">
        <f t="shared" si="181"/>
        <v>#DIV/0!</v>
      </c>
      <c r="EK149" s="340"/>
      <c r="EL149" s="341"/>
      <c r="EM149" s="341"/>
      <c r="EN149" s="341"/>
      <c r="EO149" s="341" t="e">
        <f t="shared" si="182"/>
        <v>#DIV/0!</v>
      </c>
      <c r="EP149" s="340"/>
      <c r="EQ149" s="341"/>
      <c r="ER149" s="341"/>
      <c r="ES149" s="341"/>
      <c r="ET149" s="341" t="e">
        <f t="shared" si="183"/>
        <v>#DIV/0!</v>
      </c>
      <c r="EU149" s="340"/>
      <c r="EV149" s="341"/>
      <c r="EW149" s="341"/>
      <c r="EX149" s="341"/>
      <c r="EY149" s="341" t="e">
        <f t="shared" si="184"/>
        <v>#DIV/0!</v>
      </c>
      <c r="EZ149" s="340"/>
      <c r="FA149" s="341"/>
      <c r="FB149" s="341"/>
      <c r="FC149" s="341"/>
      <c r="FD149" s="341" t="e">
        <f t="shared" si="185"/>
        <v>#DIV/0!</v>
      </c>
      <c r="FE149" s="341">
        <f t="shared" si="186"/>
        <v>0</v>
      </c>
      <c r="FF149" s="341"/>
      <c r="FG149" s="341" t="e">
        <f>FA149+EQ149+EL149+EG149+EB149+DW149+DR149+DM149+DH149+DC149+CX149+CS149+CN149+CI149+CD149+BY149+BT149+BO149+BJ149+BE149+AZ149+AU149+AP149+AK149+AF149+AA149+V149+Q149+L149+#REF!</f>
        <v>#REF!</v>
      </c>
      <c r="FH149" s="343">
        <f t="shared" si="193"/>
        <v>0</v>
      </c>
      <c r="FI149" s="344" t="e">
        <f t="shared" si="188"/>
        <v>#DIV/0!</v>
      </c>
      <c r="FJ149" s="341">
        <f t="shared" si="190"/>
        <v>0</v>
      </c>
      <c r="FK149" s="347"/>
      <c r="FL149" s="348"/>
      <c r="FM149" s="352"/>
    </row>
    <row r="150" s="215" customFormat="1" ht="27" customHeight="1" spans="1:169">
      <c r="A150" s="337"/>
      <c r="B150" s="335"/>
      <c r="C150" s="338"/>
      <c r="D150" s="337" t="s">
        <v>11</v>
      </c>
      <c r="E150" s="342">
        <v>0.23</v>
      </c>
      <c r="F150" s="340"/>
      <c r="G150" s="341"/>
      <c r="H150" s="341"/>
      <c r="I150" s="341"/>
      <c r="J150" s="341" t="e">
        <f t="shared" si="157"/>
        <v>#DIV/0!</v>
      </c>
      <c r="K150" s="340"/>
      <c r="L150" s="341"/>
      <c r="M150" s="341"/>
      <c r="N150" s="341"/>
      <c r="O150" s="341" t="e">
        <f t="shared" si="158"/>
        <v>#DIV/0!</v>
      </c>
      <c r="P150" s="340"/>
      <c r="Q150" s="341"/>
      <c r="R150" s="341"/>
      <c r="S150" s="341"/>
      <c r="T150" s="341" t="e">
        <f t="shared" si="159"/>
        <v>#DIV/0!</v>
      </c>
      <c r="U150" s="340"/>
      <c r="V150" s="341"/>
      <c r="W150" s="341"/>
      <c r="X150" s="341"/>
      <c r="Y150" s="341" t="e">
        <f t="shared" si="160"/>
        <v>#DIV/0!</v>
      </c>
      <c r="Z150" s="340"/>
      <c r="AA150" s="341"/>
      <c r="AB150" s="341"/>
      <c r="AC150" s="341"/>
      <c r="AD150" s="341" t="e">
        <f t="shared" si="192"/>
        <v>#DIV/0!</v>
      </c>
      <c r="AE150" s="340"/>
      <c r="AF150" s="341"/>
      <c r="AG150" s="341"/>
      <c r="AH150" s="341"/>
      <c r="AI150" s="341" t="e">
        <f t="shared" si="161"/>
        <v>#DIV/0!</v>
      </c>
      <c r="AJ150" s="340"/>
      <c r="AK150" s="341"/>
      <c r="AL150" s="341"/>
      <c r="AM150" s="341"/>
      <c r="AN150" s="341" t="e">
        <f t="shared" si="162"/>
        <v>#DIV/0!</v>
      </c>
      <c r="AO150" s="340"/>
      <c r="AP150" s="341"/>
      <c r="AQ150" s="341"/>
      <c r="AR150" s="341"/>
      <c r="AS150" s="341" t="e">
        <f t="shared" si="194"/>
        <v>#DIV/0!</v>
      </c>
      <c r="AT150" s="340"/>
      <c r="AU150" s="341"/>
      <c r="AV150" s="341"/>
      <c r="AW150" s="341"/>
      <c r="AX150" s="341" t="e">
        <f t="shared" si="163"/>
        <v>#DIV/0!</v>
      </c>
      <c r="AY150" s="340"/>
      <c r="AZ150" s="341"/>
      <c r="BA150" s="341"/>
      <c r="BB150" s="341"/>
      <c r="BC150" s="341" t="e">
        <f t="shared" si="164"/>
        <v>#DIV/0!</v>
      </c>
      <c r="BD150" s="340"/>
      <c r="BE150" s="341"/>
      <c r="BF150" s="341"/>
      <c r="BG150" s="341"/>
      <c r="BH150" s="341" t="e">
        <f t="shared" si="165"/>
        <v>#DIV/0!</v>
      </c>
      <c r="BI150" s="340"/>
      <c r="BJ150" s="341"/>
      <c r="BK150" s="341"/>
      <c r="BL150" s="341"/>
      <c r="BM150" s="341" t="e">
        <f t="shared" si="166"/>
        <v>#DIV/0!</v>
      </c>
      <c r="BN150" s="340"/>
      <c r="BO150" s="341"/>
      <c r="BP150" s="341"/>
      <c r="BQ150" s="341"/>
      <c r="BR150" s="341" t="e">
        <f t="shared" si="167"/>
        <v>#DIV/0!</v>
      </c>
      <c r="BS150" s="340"/>
      <c r="BT150" s="341"/>
      <c r="BU150" s="341"/>
      <c r="BV150" s="341"/>
      <c r="BW150" s="341" t="e">
        <f t="shared" si="168"/>
        <v>#DIV/0!</v>
      </c>
      <c r="BX150" s="340"/>
      <c r="BY150" s="341"/>
      <c r="BZ150" s="341"/>
      <c r="CA150" s="341"/>
      <c r="CB150" s="341" t="e">
        <f t="shared" si="169"/>
        <v>#DIV/0!</v>
      </c>
      <c r="CC150" s="340"/>
      <c r="CD150" s="341"/>
      <c r="CE150" s="341"/>
      <c r="CF150" s="341"/>
      <c r="CG150" s="341" t="e">
        <f t="shared" si="170"/>
        <v>#DIV/0!</v>
      </c>
      <c r="CH150" s="340"/>
      <c r="CI150" s="341"/>
      <c r="CJ150" s="341"/>
      <c r="CK150" s="341"/>
      <c r="CL150" s="341" t="e">
        <f t="shared" si="171"/>
        <v>#DIV/0!</v>
      </c>
      <c r="CM150" s="340"/>
      <c r="CN150" s="341"/>
      <c r="CO150" s="341"/>
      <c r="CP150" s="341"/>
      <c r="CQ150" s="341" t="e">
        <f t="shared" si="172"/>
        <v>#DIV/0!</v>
      </c>
      <c r="CR150" s="340"/>
      <c r="CS150" s="341"/>
      <c r="CT150" s="341"/>
      <c r="CU150" s="341"/>
      <c r="CV150" s="341" t="e">
        <f t="shared" si="173"/>
        <v>#DIV/0!</v>
      </c>
      <c r="CW150" s="340"/>
      <c r="CX150" s="341"/>
      <c r="CY150" s="341"/>
      <c r="CZ150" s="341"/>
      <c r="DA150" s="341" t="e">
        <f t="shared" si="174"/>
        <v>#DIV/0!</v>
      </c>
      <c r="DB150" s="340"/>
      <c r="DC150" s="341"/>
      <c r="DD150" s="341"/>
      <c r="DE150" s="341"/>
      <c r="DF150" s="341" t="e">
        <f t="shared" si="175"/>
        <v>#DIV/0!</v>
      </c>
      <c r="DG150" s="340"/>
      <c r="DH150" s="341"/>
      <c r="DI150" s="341"/>
      <c r="DJ150" s="341"/>
      <c r="DK150" s="341" t="e">
        <f t="shared" si="176"/>
        <v>#DIV/0!</v>
      </c>
      <c r="DL150" s="340"/>
      <c r="DM150" s="341"/>
      <c r="DN150" s="341"/>
      <c r="DO150" s="341"/>
      <c r="DP150" s="341" t="e">
        <f t="shared" si="177"/>
        <v>#DIV/0!</v>
      </c>
      <c r="DQ150" s="340">
        <v>67</v>
      </c>
      <c r="DR150" s="341"/>
      <c r="DS150" s="341">
        <v>67</v>
      </c>
      <c r="DT150" s="341"/>
      <c r="DU150" s="341">
        <f t="shared" si="178"/>
        <v>1</v>
      </c>
      <c r="DV150" s="340"/>
      <c r="DW150" s="341"/>
      <c r="DX150" s="341"/>
      <c r="DY150" s="341"/>
      <c r="DZ150" s="341" t="e">
        <f t="shared" si="179"/>
        <v>#DIV/0!</v>
      </c>
      <c r="EA150" s="340"/>
      <c r="EB150" s="341"/>
      <c r="EC150" s="341"/>
      <c r="ED150" s="341"/>
      <c r="EE150" s="341" t="e">
        <f t="shared" si="180"/>
        <v>#DIV/0!</v>
      </c>
      <c r="EF150" s="340"/>
      <c r="EG150" s="341"/>
      <c r="EH150" s="341"/>
      <c r="EI150" s="341"/>
      <c r="EJ150" s="341" t="e">
        <f t="shared" si="181"/>
        <v>#DIV/0!</v>
      </c>
      <c r="EK150" s="340"/>
      <c r="EL150" s="341"/>
      <c r="EM150" s="341"/>
      <c r="EN150" s="341"/>
      <c r="EO150" s="341" t="e">
        <f t="shared" si="182"/>
        <v>#DIV/0!</v>
      </c>
      <c r="EP150" s="340"/>
      <c r="EQ150" s="341"/>
      <c r="ER150" s="341"/>
      <c r="ES150" s="341"/>
      <c r="ET150" s="341" t="e">
        <f t="shared" si="183"/>
        <v>#DIV/0!</v>
      </c>
      <c r="EU150" s="340"/>
      <c r="EV150" s="341"/>
      <c r="EW150" s="341"/>
      <c r="EX150" s="341"/>
      <c r="EY150" s="341" t="e">
        <f t="shared" si="184"/>
        <v>#DIV/0!</v>
      </c>
      <c r="EZ150" s="340"/>
      <c r="FA150" s="341"/>
      <c r="FB150" s="341"/>
      <c r="FC150" s="341"/>
      <c r="FD150" s="341" t="e">
        <f t="shared" si="185"/>
        <v>#DIV/0!</v>
      </c>
      <c r="FE150" s="341">
        <f t="shared" si="186"/>
        <v>67</v>
      </c>
      <c r="FF150" s="341"/>
      <c r="FG150" s="341">
        <f t="shared" ref="FG150:FG156" si="197">FA150+EQ150+EL150+EG150+EB150+DW150+DR150+DM150+DH150+DC150+CX150+CS150+CN150+CI150+CD150+BY150+BT150+BO150+BJ150+BE150+AZ150+AU150+AP150+AK150+AF150+AA150+V150+Q150+L150+G150</f>
        <v>0</v>
      </c>
      <c r="FH150" s="343">
        <f t="shared" si="193"/>
        <v>67</v>
      </c>
      <c r="FI150" s="344">
        <f t="shared" si="188"/>
        <v>1</v>
      </c>
      <c r="FJ150" s="341">
        <f t="shared" si="190"/>
        <v>15.41</v>
      </c>
      <c r="FK150" s="347"/>
      <c r="FL150" s="348"/>
      <c r="FM150" s="352"/>
    </row>
    <row r="151" s="215" customFormat="1" ht="27" customHeight="1" spans="1:171">
      <c r="A151" s="337"/>
      <c r="B151" s="335"/>
      <c r="C151" s="338"/>
      <c r="D151" s="337" t="s">
        <v>12</v>
      </c>
      <c r="E151" s="342">
        <v>0.25</v>
      </c>
      <c r="F151" s="340"/>
      <c r="G151" s="341"/>
      <c r="H151" s="341"/>
      <c r="I151" s="341"/>
      <c r="J151" s="341" t="e">
        <f t="shared" si="157"/>
        <v>#DIV/0!</v>
      </c>
      <c r="K151" s="340"/>
      <c r="L151" s="341"/>
      <c r="M151" s="341"/>
      <c r="N151" s="341"/>
      <c r="O151" s="341" t="e">
        <f t="shared" si="158"/>
        <v>#DIV/0!</v>
      </c>
      <c r="P151" s="340"/>
      <c r="Q151" s="341"/>
      <c r="R151" s="341"/>
      <c r="S151" s="341"/>
      <c r="T151" s="341" t="e">
        <f t="shared" si="159"/>
        <v>#DIV/0!</v>
      </c>
      <c r="U151" s="340"/>
      <c r="V151" s="341"/>
      <c r="W151" s="341"/>
      <c r="X151" s="341"/>
      <c r="Y151" s="341" t="e">
        <f t="shared" si="160"/>
        <v>#DIV/0!</v>
      </c>
      <c r="Z151" s="340"/>
      <c r="AA151" s="341"/>
      <c r="AB151" s="341"/>
      <c r="AC151" s="341"/>
      <c r="AD151" s="341" t="e">
        <f t="shared" si="192"/>
        <v>#DIV/0!</v>
      </c>
      <c r="AE151" s="340"/>
      <c r="AF151" s="341"/>
      <c r="AG151" s="341"/>
      <c r="AH151" s="341"/>
      <c r="AI151" s="341" t="e">
        <f t="shared" si="161"/>
        <v>#DIV/0!</v>
      </c>
      <c r="AJ151" s="340"/>
      <c r="AK151" s="341"/>
      <c r="AL151" s="341"/>
      <c r="AM151" s="341"/>
      <c r="AN151" s="341" t="e">
        <f t="shared" si="162"/>
        <v>#DIV/0!</v>
      </c>
      <c r="AO151" s="340"/>
      <c r="AP151" s="341"/>
      <c r="AQ151" s="341"/>
      <c r="AR151" s="341"/>
      <c r="AS151" s="341" t="e">
        <f t="shared" si="194"/>
        <v>#DIV/0!</v>
      </c>
      <c r="AT151" s="340"/>
      <c r="AU151" s="341"/>
      <c r="AV151" s="341"/>
      <c r="AW151" s="341"/>
      <c r="AX151" s="341" t="e">
        <f t="shared" si="163"/>
        <v>#DIV/0!</v>
      </c>
      <c r="AY151" s="340"/>
      <c r="AZ151" s="341"/>
      <c r="BA151" s="341"/>
      <c r="BB151" s="341"/>
      <c r="BC151" s="341" t="e">
        <f t="shared" si="164"/>
        <v>#DIV/0!</v>
      </c>
      <c r="BD151" s="340"/>
      <c r="BE151" s="341"/>
      <c r="BF151" s="341"/>
      <c r="BG151" s="341"/>
      <c r="BH151" s="341" t="e">
        <f t="shared" si="165"/>
        <v>#DIV/0!</v>
      </c>
      <c r="BI151" s="340"/>
      <c r="BJ151" s="341"/>
      <c r="BK151" s="341"/>
      <c r="BL151" s="341"/>
      <c r="BM151" s="341" t="e">
        <f t="shared" si="166"/>
        <v>#DIV/0!</v>
      </c>
      <c r="BN151" s="340"/>
      <c r="BO151" s="341"/>
      <c r="BP151" s="341"/>
      <c r="BQ151" s="341"/>
      <c r="BR151" s="341" t="e">
        <f t="shared" si="167"/>
        <v>#DIV/0!</v>
      </c>
      <c r="BS151" s="340"/>
      <c r="BT151" s="341"/>
      <c r="BU151" s="341"/>
      <c r="BV151" s="341"/>
      <c r="BW151" s="341" t="e">
        <f t="shared" si="168"/>
        <v>#DIV/0!</v>
      </c>
      <c r="BX151" s="340"/>
      <c r="BY151" s="341"/>
      <c r="BZ151" s="341"/>
      <c r="CA151" s="341"/>
      <c r="CB151" s="341" t="e">
        <f t="shared" si="169"/>
        <v>#DIV/0!</v>
      </c>
      <c r="CC151" s="340"/>
      <c r="CD151" s="341"/>
      <c r="CE151" s="341"/>
      <c r="CF151" s="341"/>
      <c r="CG151" s="341" t="e">
        <f t="shared" si="170"/>
        <v>#DIV/0!</v>
      </c>
      <c r="CH151" s="340"/>
      <c r="CI151" s="341"/>
      <c r="CJ151" s="341"/>
      <c r="CK151" s="341"/>
      <c r="CL151" s="341" t="e">
        <f t="shared" si="171"/>
        <v>#DIV/0!</v>
      </c>
      <c r="CM151" s="340"/>
      <c r="CN151" s="341"/>
      <c r="CO151" s="341"/>
      <c r="CP151" s="341"/>
      <c r="CQ151" s="341" t="e">
        <f t="shared" si="172"/>
        <v>#DIV/0!</v>
      </c>
      <c r="CR151" s="340"/>
      <c r="CS151" s="341"/>
      <c r="CT151" s="341"/>
      <c r="CU151" s="341"/>
      <c r="CV151" s="341" t="e">
        <f t="shared" si="173"/>
        <v>#DIV/0!</v>
      </c>
      <c r="CW151" s="340"/>
      <c r="CX151" s="341"/>
      <c r="CY151" s="341"/>
      <c r="CZ151" s="341"/>
      <c r="DA151" s="341" t="e">
        <f t="shared" si="174"/>
        <v>#DIV/0!</v>
      </c>
      <c r="DB151" s="340"/>
      <c r="DC151" s="341"/>
      <c r="DD151" s="341"/>
      <c r="DE151" s="341"/>
      <c r="DF151" s="341" t="e">
        <f t="shared" si="175"/>
        <v>#DIV/0!</v>
      </c>
      <c r="DG151" s="340"/>
      <c r="DH151" s="341"/>
      <c r="DI151" s="341"/>
      <c r="DJ151" s="341"/>
      <c r="DK151" s="341" t="e">
        <f t="shared" si="176"/>
        <v>#DIV/0!</v>
      </c>
      <c r="DL151" s="340">
        <v>66</v>
      </c>
      <c r="DM151" s="341"/>
      <c r="DN151" s="341">
        <v>60</v>
      </c>
      <c r="DO151" s="341">
        <v>6</v>
      </c>
      <c r="DP151" s="341">
        <f t="shared" si="177"/>
        <v>0.826446280991736</v>
      </c>
      <c r="DQ151" s="340">
        <v>136</v>
      </c>
      <c r="DR151" s="341"/>
      <c r="DS151" s="341">
        <v>129</v>
      </c>
      <c r="DT151" s="341">
        <v>7</v>
      </c>
      <c r="DU151" s="341">
        <f t="shared" si="178"/>
        <v>0.899708044982699</v>
      </c>
      <c r="DV151" s="340">
        <v>52</v>
      </c>
      <c r="DW151" s="341"/>
      <c r="DX151" s="341">
        <v>52</v>
      </c>
      <c r="DY151" s="341"/>
      <c r="DZ151" s="341">
        <f t="shared" si="179"/>
        <v>1</v>
      </c>
      <c r="EA151" s="340">
        <v>58</v>
      </c>
      <c r="EB151" s="341"/>
      <c r="EC151" s="341">
        <v>58</v>
      </c>
      <c r="ED151" s="341"/>
      <c r="EE151" s="341">
        <f t="shared" si="180"/>
        <v>1</v>
      </c>
      <c r="EF151" s="340">
        <v>133</v>
      </c>
      <c r="EG151" s="341"/>
      <c r="EH151" s="341">
        <v>133</v>
      </c>
      <c r="EI151" s="341"/>
      <c r="EJ151" s="341">
        <f t="shared" si="181"/>
        <v>1</v>
      </c>
      <c r="EK151" s="340">
        <v>134</v>
      </c>
      <c r="EL151" s="341"/>
      <c r="EM151" s="341">
        <v>134</v>
      </c>
      <c r="EN151" s="341"/>
      <c r="EO151" s="341">
        <f t="shared" si="182"/>
        <v>1</v>
      </c>
      <c r="EP151" s="340">
        <v>69</v>
      </c>
      <c r="EQ151" s="341">
        <v>1</v>
      </c>
      <c r="ER151" s="341">
        <v>68</v>
      </c>
      <c r="ES151" s="341"/>
      <c r="ET151" s="341">
        <f t="shared" si="183"/>
        <v>1</v>
      </c>
      <c r="EU151" s="340"/>
      <c r="EV151" s="341"/>
      <c r="EW151" s="341"/>
      <c r="EX151" s="341"/>
      <c r="EY151" s="341" t="e">
        <f t="shared" si="184"/>
        <v>#DIV/0!</v>
      </c>
      <c r="EZ151" s="340"/>
      <c r="FA151" s="341"/>
      <c r="FB151" s="341"/>
      <c r="FC151" s="341"/>
      <c r="FD151" s="341" t="e">
        <f t="shared" si="185"/>
        <v>#DIV/0!</v>
      </c>
      <c r="FE151" s="341">
        <f t="shared" si="186"/>
        <v>648</v>
      </c>
      <c r="FF151" s="341"/>
      <c r="FG151" s="341">
        <f t="shared" si="197"/>
        <v>1</v>
      </c>
      <c r="FH151" s="343">
        <f t="shared" si="193"/>
        <v>634</v>
      </c>
      <c r="FI151" s="344">
        <f t="shared" si="188"/>
        <v>0.95725689681451</v>
      </c>
      <c r="FJ151" s="341">
        <f t="shared" si="190"/>
        <v>158.5</v>
      </c>
      <c r="FK151" s="347"/>
      <c r="FL151" s="348"/>
      <c r="FM151" s="352"/>
      <c r="FO151" s="353"/>
    </row>
    <row r="152" s="215" customFormat="1" ht="27" customHeight="1" spans="1:169">
      <c r="A152" s="337"/>
      <c r="B152" s="335"/>
      <c r="C152" s="338"/>
      <c r="D152" s="337" t="s">
        <v>52</v>
      </c>
      <c r="E152" s="342">
        <v>0.67</v>
      </c>
      <c r="F152" s="340"/>
      <c r="G152" s="341"/>
      <c r="H152" s="341"/>
      <c r="I152" s="341"/>
      <c r="J152" s="341" t="e">
        <f t="shared" si="157"/>
        <v>#DIV/0!</v>
      </c>
      <c r="K152" s="340"/>
      <c r="L152" s="341"/>
      <c r="M152" s="341"/>
      <c r="N152" s="341"/>
      <c r="O152" s="341" t="e">
        <f t="shared" si="158"/>
        <v>#DIV/0!</v>
      </c>
      <c r="P152" s="340"/>
      <c r="Q152" s="341"/>
      <c r="R152" s="341"/>
      <c r="S152" s="341"/>
      <c r="T152" s="341" t="e">
        <f t="shared" si="159"/>
        <v>#DIV/0!</v>
      </c>
      <c r="U152" s="340"/>
      <c r="V152" s="341"/>
      <c r="W152" s="341"/>
      <c r="X152" s="341"/>
      <c r="Y152" s="341" t="e">
        <f t="shared" si="160"/>
        <v>#DIV/0!</v>
      </c>
      <c r="Z152" s="340"/>
      <c r="AA152" s="341"/>
      <c r="AB152" s="341"/>
      <c r="AC152" s="341"/>
      <c r="AD152" s="341" t="e">
        <f t="shared" si="192"/>
        <v>#DIV/0!</v>
      </c>
      <c r="AE152" s="340"/>
      <c r="AF152" s="341"/>
      <c r="AG152" s="341"/>
      <c r="AH152" s="341"/>
      <c r="AI152" s="341" t="e">
        <f t="shared" si="161"/>
        <v>#DIV/0!</v>
      </c>
      <c r="AJ152" s="340"/>
      <c r="AK152" s="341"/>
      <c r="AL152" s="341"/>
      <c r="AM152" s="341"/>
      <c r="AN152" s="341" t="e">
        <f t="shared" si="162"/>
        <v>#DIV/0!</v>
      </c>
      <c r="AO152" s="340"/>
      <c r="AP152" s="341"/>
      <c r="AQ152" s="341"/>
      <c r="AR152" s="341"/>
      <c r="AS152" s="341" t="e">
        <f t="shared" si="194"/>
        <v>#DIV/0!</v>
      </c>
      <c r="AT152" s="340"/>
      <c r="AU152" s="341"/>
      <c r="AV152" s="341"/>
      <c r="AW152" s="341"/>
      <c r="AX152" s="341" t="e">
        <f t="shared" si="163"/>
        <v>#DIV/0!</v>
      </c>
      <c r="AY152" s="340"/>
      <c r="AZ152" s="341"/>
      <c r="BA152" s="341"/>
      <c r="BB152" s="341"/>
      <c r="BC152" s="341" t="e">
        <f t="shared" si="164"/>
        <v>#DIV/0!</v>
      </c>
      <c r="BD152" s="340"/>
      <c r="BE152" s="341"/>
      <c r="BF152" s="341"/>
      <c r="BG152" s="341"/>
      <c r="BH152" s="341" t="e">
        <f t="shared" si="165"/>
        <v>#DIV/0!</v>
      </c>
      <c r="BI152" s="340"/>
      <c r="BJ152" s="341"/>
      <c r="BK152" s="341"/>
      <c r="BL152" s="341"/>
      <c r="BM152" s="341" t="e">
        <f t="shared" si="166"/>
        <v>#DIV/0!</v>
      </c>
      <c r="BN152" s="340"/>
      <c r="BO152" s="341"/>
      <c r="BP152" s="341"/>
      <c r="BQ152" s="341"/>
      <c r="BR152" s="341" t="e">
        <f t="shared" si="167"/>
        <v>#DIV/0!</v>
      </c>
      <c r="BS152" s="340"/>
      <c r="BT152" s="341"/>
      <c r="BU152" s="341"/>
      <c r="BV152" s="341"/>
      <c r="BW152" s="341" t="e">
        <f t="shared" si="168"/>
        <v>#DIV/0!</v>
      </c>
      <c r="BX152" s="340"/>
      <c r="BY152" s="341"/>
      <c r="BZ152" s="341"/>
      <c r="CA152" s="341"/>
      <c r="CB152" s="341" t="e">
        <f t="shared" si="169"/>
        <v>#DIV/0!</v>
      </c>
      <c r="CC152" s="340"/>
      <c r="CD152" s="341"/>
      <c r="CE152" s="341"/>
      <c r="CF152" s="341"/>
      <c r="CG152" s="341" t="e">
        <f t="shared" si="170"/>
        <v>#DIV/0!</v>
      </c>
      <c r="CH152" s="340"/>
      <c r="CI152" s="341"/>
      <c r="CJ152" s="341"/>
      <c r="CK152" s="341"/>
      <c r="CL152" s="341" t="e">
        <f t="shared" si="171"/>
        <v>#DIV/0!</v>
      </c>
      <c r="CM152" s="340"/>
      <c r="CN152" s="341"/>
      <c r="CO152" s="341"/>
      <c r="CP152" s="341"/>
      <c r="CQ152" s="341" t="e">
        <f t="shared" si="172"/>
        <v>#DIV/0!</v>
      </c>
      <c r="CR152" s="340"/>
      <c r="CS152" s="341"/>
      <c r="CT152" s="341"/>
      <c r="CU152" s="341"/>
      <c r="CV152" s="341" t="e">
        <f t="shared" si="173"/>
        <v>#DIV/0!</v>
      </c>
      <c r="CW152" s="340"/>
      <c r="CX152" s="341"/>
      <c r="CY152" s="341"/>
      <c r="CZ152" s="341"/>
      <c r="DA152" s="341" t="e">
        <f t="shared" si="174"/>
        <v>#DIV/0!</v>
      </c>
      <c r="DB152" s="340"/>
      <c r="DC152" s="341"/>
      <c r="DD152" s="341"/>
      <c r="DE152" s="341"/>
      <c r="DF152" s="341" t="e">
        <f t="shared" si="175"/>
        <v>#DIV/0!</v>
      </c>
      <c r="DG152" s="340"/>
      <c r="DH152" s="341"/>
      <c r="DI152" s="341"/>
      <c r="DJ152" s="341"/>
      <c r="DK152" s="341" t="e">
        <f t="shared" si="176"/>
        <v>#DIV/0!</v>
      </c>
      <c r="DL152" s="340"/>
      <c r="DM152" s="341"/>
      <c r="DN152" s="341"/>
      <c r="DO152" s="341"/>
      <c r="DP152" s="341" t="e">
        <f t="shared" si="177"/>
        <v>#DIV/0!</v>
      </c>
      <c r="DQ152" s="340"/>
      <c r="DR152" s="341"/>
      <c r="DS152" s="341"/>
      <c r="DT152" s="341"/>
      <c r="DU152" s="341" t="e">
        <f t="shared" si="178"/>
        <v>#DIV/0!</v>
      </c>
      <c r="DV152" s="340"/>
      <c r="DW152" s="341"/>
      <c r="DX152" s="341"/>
      <c r="DY152" s="341"/>
      <c r="DZ152" s="341" t="e">
        <f t="shared" si="179"/>
        <v>#DIV/0!</v>
      </c>
      <c r="EA152" s="340"/>
      <c r="EB152" s="341"/>
      <c r="EC152" s="341"/>
      <c r="ED152" s="341"/>
      <c r="EE152" s="341" t="e">
        <f t="shared" si="180"/>
        <v>#DIV/0!</v>
      </c>
      <c r="EF152" s="340"/>
      <c r="EG152" s="341"/>
      <c r="EH152" s="341"/>
      <c r="EI152" s="341"/>
      <c r="EJ152" s="341" t="e">
        <f t="shared" si="181"/>
        <v>#DIV/0!</v>
      </c>
      <c r="EK152" s="340"/>
      <c r="EL152" s="341"/>
      <c r="EM152" s="341"/>
      <c r="EN152" s="341"/>
      <c r="EO152" s="341" t="e">
        <f t="shared" si="182"/>
        <v>#DIV/0!</v>
      </c>
      <c r="EP152" s="340"/>
      <c r="EQ152" s="341"/>
      <c r="ER152" s="341"/>
      <c r="ES152" s="341"/>
      <c r="ET152" s="341" t="e">
        <f t="shared" si="183"/>
        <v>#DIV/0!</v>
      </c>
      <c r="EU152" s="340"/>
      <c r="EV152" s="341"/>
      <c r="EW152" s="341"/>
      <c r="EX152" s="341"/>
      <c r="EY152" s="341" t="e">
        <f t="shared" si="184"/>
        <v>#DIV/0!</v>
      </c>
      <c r="EZ152" s="340"/>
      <c r="FA152" s="341"/>
      <c r="FB152" s="341"/>
      <c r="FC152" s="341"/>
      <c r="FD152" s="341" t="e">
        <f t="shared" si="185"/>
        <v>#DIV/0!</v>
      </c>
      <c r="FE152" s="341">
        <f t="shared" si="186"/>
        <v>0</v>
      </c>
      <c r="FF152" s="341"/>
      <c r="FG152" s="341">
        <f t="shared" si="197"/>
        <v>0</v>
      </c>
      <c r="FH152" s="343">
        <f t="shared" si="193"/>
        <v>0</v>
      </c>
      <c r="FI152" s="344" t="e">
        <f t="shared" si="188"/>
        <v>#DIV/0!</v>
      </c>
      <c r="FJ152" s="341">
        <f t="shared" si="190"/>
        <v>0</v>
      </c>
      <c r="FK152" s="347"/>
      <c r="FL152" s="348"/>
      <c r="FM152" s="352"/>
    </row>
    <row r="153" s="215" customFormat="1" ht="27" customHeight="1" spans="1:169">
      <c r="A153" s="337"/>
      <c r="B153" s="335"/>
      <c r="C153" s="338"/>
      <c r="D153" s="337" t="s">
        <v>14</v>
      </c>
      <c r="E153" s="342">
        <v>0.373</v>
      </c>
      <c r="F153" s="340"/>
      <c r="G153" s="341"/>
      <c r="H153" s="341"/>
      <c r="I153" s="341"/>
      <c r="J153" s="341" t="e">
        <f t="shared" si="157"/>
        <v>#DIV/0!</v>
      </c>
      <c r="K153" s="340"/>
      <c r="L153" s="341"/>
      <c r="M153" s="341"/>
      <c r="N153" s="341"/>
      <c r="O153" s="341" t="e">
        <f t="shared" si="158"/>
        <v>#DIV/0!</v>
      </c>
      <c r="P153" s="340"/>
      <c r="Q153" s="341"/>
      <c r="R153" s="341"/>
      <c r="S153" s="341"/>
      <c r="T153" s="341" t="e">
        <f t="shared" si="159"/>
        <v>#DIV/0!</v>
      </c>
      <c r="U153" s="340"/>
      <c r="V153" s="341"/>
      <c r="W153" s="341"/>
      <c r="X153" s="341"/>
      <c r="Y153" s="341" t="e">
        <f t="shared" si="160"/>
        <v>#DIV/0!</v>
      </c>
      <c r="Z153" s="340"/>
      <c r="AA153" s="341"/>
      <c r="AB153" s="341"/>
      <c r="AC153" s="341"/>
      <c r="AD153" s="341" t="e">
        <f t="shared" si="192"/>
        <v>#DIV/0!</v>
      </c>
      <c r="AE153" s="340"/>
      <c r="AF153" s="341"/>
      <c r="AG153" s="341"/>
      <c r="AH153" s="341"/>
      <c r="AI153" s="341" t="e">
        <f t="shared" si="161"/>
        <v>#DIV/0!</v>
      </c>
      <c r="AJ153" s="340"/>
      <c r="AK153" s="341"/>
      <c r="AL153" s="341"/>
      <c r="AM153" s="341"/>
      <c r="AN153" s="341" t="e">
        <f t="shared" si="162"/>
        <v>#DIV/0!</v>
      </c>
      <c r="AO153" s="340"/>
      <c r="AP153" s="341"/>
      <c r="AQ153" s="341"/>
      <c r="AR153" s="341"/>
      <c r="AS153" s="341" t="e">
        <f t="shared" si="194"/>
        <v>#DIV/0!</v>
      </c>
      <c r="AT153" s="340"/>
      <c r="AU153" s="341"/>
      <c r="AV153" s="341"/>
      <c r="AW153" s="341"/>
      <c r="AX153" s="341" t="e">
        <f t="shared" si="163"/>
        <v>#DIV/0!</v>
      </c>
      <c r="AY153" s="340"/>
      <c r="AZ153" s="341"/>
      <c r="BA153" s="341"/>
      <c r="BB153" s="341"/>
      <c r="BC153" s="341" t="e">
        <f t="shared" si="164"/>
        <v>#DIV/0!</v>
      </c>
      <c r="BD153" s="340"/>
      <c r="BE153" s="341"/>
      <c r="BF153" s="341"/>
      <c r="BG153" s="341"/>
      <c r="BH153" s="341" t="e">
        <f t="shared" si="165"/>
        <v>#DIV/0!</v>
      </c>
      <c r="BI153" s="340"/>
      <c r="BJ153" s="341"/>
      <c r="BK153" s="341"/>
      <c r="BL153" s="341"/>
      <c r="BM153" s="341" t="e">
        <f t="shared" si="166"/>
        <v>#DIV/0!</v>
      </c>
      <c r="BN153" s="340"/>
      <c r="BO153" s="341"/>
      <c r="BP153" s="341"/>
      <c r="BQ153" s="341"/>
      <c r="BR153" s="341" t="e">
        <f t="shared" si="167"/>
        <v>#DIV/0!</v>
      </c>
      <c r="BS153" s="340"/>
      <c r="BT153" s="341"/>
      <c r="BU153" s="341"/>
      <c r="BV153" s="341"/>
      <c r="BW153" s="341" t="e">
        <f t="shared" si="168"/>
        <v>#DIV/0!</v>
      </c>
      <c r="BX153" s="340"/>
      <c r="BY153" s="341"/>
      <c r="BZ153" s="341"/>
      <c r="CA153" s="341"/>
      <c r="CB153" s="341" t="e">
        <f t="shared" si="169"/>
        <v>#DIV/0!</v>
      </c>
      <c r="CC153" s="340"/>
      <c r="CD153" s="341"/>
      <c r="CE153" s="341"/>
      <c r="CF153" s="341"/>
      <c r="CG153" s="341" t="e">
        <f t="shared" si="170"/>
        <v>#DIV/0!</v>
      </c>
      <c r="CH153" s="340"/>
      <c r="CI153" s="341"/>
      <c r="CJ153" s="341"/>
      <c r="CK153" s="341"/>
      <c r="CL153" s="341" t="e">
        <f t="shared" si="171"/>
        <v>#DIV/0!</v>
      </c>
      <c r="CM153" s="340"/>
      <c r="CN153" s="341"/>
      <c r="CO153" s="341"/>
      <c r="CP153" s="341"/>
      <c r="CQ153" s="341" t="e">
        <f t="shared" si="172"/>
        <v>#DIV/0!</v>
      </c>
      <c r="CR153" s="340"/>
      <c r="CS153" s="341"/>
      <c r="CT153" s="341"/>
      <c r="CU153" s="341"/>
      <c r="CV153" s="341" t="e">
        <f t="shared" si="173"/>
        <v>#DIV/0!</v>
      </c>
      <c r="CW153" s="340"/>
      <c r="CX153" s="341"/>
      <c r="CY153" s="341"/>
      <c r="CZ153" s="341"/>
      <c r="DA153" s="341" t="e">
        <f t="shared" si="174"/>
        <v>#DIV/0!</v>
      </c>
      <c r="DB153" s="340">
        <v>121</v>
      </c>
      <c r="DC153" s="341">
        <v>1</v>
      </c>
      <c r="DD153" s="341">
        <v>70</v>
      </c>
      <c r="DE153" s="341">
        <v>50</v>
      </c>
      <c r="DF153" s="341">
        <f t="shared" si="175"/>
        <v>0.340277777777778</v>
      </c>
      <c r="DG153" s="340"/>
      <c r="DH153" s="341"/>
      <c r="DI153" s="341"/>
      <c r="DJ153" s="341"/>
      <c r="DK153" s="341" t="e">
        <f t="shared" si="176"/>
        <v>#DIV/0!</v>
      </c>
      <c r="DL153" s="340"/>
      <c r="DM153" s="341"/>
      <c r="DN153" s="341"/>
      <c r="DO153" s="341"/>
      <c r="DP153" s="341" t="e">
        <f t="shared" si="177"/>
        <v>#DIV/0!</v>
      </c>
      <c r="DQ153" s="340"/>
      <c r="DR153" s="341"/>
      <c r="DS153" s="341"/>
      <c r="DT153" s="341"/>
      <c r="DU153" s="341" t="e">
        <f t="shared" si="178"/>
        <v>#DIV/0!</v>
      </c>
      <c r="DV153" s="340"/>
      <c r="DW153" s="341"/>
      <c r="DX153" s="341"/>
      <c r="DY153" s="341"/>
      <c r="DZ153" s="341" t="e">
        <f t="shared" si="179"/>
        <v>#DIV/0!</v>
      </c>
      <c r="EA153" s="340"/>
      <c r="EB153" s="341"/>
      <c r="EC153" s="341"/>
      <c r="ED153" s="341"/>
      <c r="EE153" s="341" t="e">
        <f t="shared" si="180"/>
        <v>#DIV/0!</v>
      </c>
      <c r="EF153" s="340"/>
      <c r="EG153" s="341"/>
      <c r="EH153" s="341"/>
      <c r="EI153" s="341"/>
      <c r="EJ153" s="341" t="e">
        <f t="shared" si="181"/>
        <v>#DIV/0!</v>
      </c>
      <c r="EK153" s="340"/>
      <c r="EL153" s="341"/>
      <c r="EM153" s="341"/>
      <c r="EN153" s="341"/>
      <c r="EO153" s="341" t="e">
        <f t="shared" si="182"/>
        <v>#DIV/0!</v>
      </c>
      <c r="EP153" s="340"/>
      <c r="EQ153" s="341"/>
      <c r="ER153" s="341"/>
      <c r="ES153" s="341"/>
      <c r="ET153" s="341" t="e">
        <f t="shared" si="183"/>
        <v>#DIV/0!</v>
      </c>
      <c r="EU153" s="340"/>
      <c r="EV153" s="341"/>
      <c r="EW153" s="341"/>
      <c r="EX153" s="341"/>
      <c r="EY153" s="341" t="e">
        <f t="shared" si="184"/>
        <v>#DIV/0!</v>
      </c>
      <c r="EZ153" s="340"/>
      <c r="FA153" s="341"/>
      <c r="FB153" s="341"/>
      <c r="FC153" s="341"/>
      <c r="FD153" s="341" t="e">
        <f t="shared" si="185"/>
        <v>#DIV/0!</v>
      </c>
      <c r="FE153" s="341">
        <f t="shared" si="186"/>
        <v>121</v>
      </c>
      <c r="FF153" s="341"/>
      <c r="FG153" s="341">
        <f t="shared" si="197"/>
        <v>1</v>
      </c>
      <c r="FH153" s="343">
        <f t="shared" si="193"/>
        <v>70</v>
      </c>
      <c r="FI153" s="344">
        <f t="shared" si="188"/>
        <v>0.334676593128885</v>
      </c>
      <c r="FJ153" s="341">
        <f t="shared" si="190"/>
        <v>26.11</v>
      </c>
      <c r="FK153" s="347"/>
      <c r="FL153" s="348"/>
      <c r="FM153" s="352"/>
    </row>
    <row r="154" s="215" customFormat="1" ht="27" customHeight="1" spans="1:169">
      <c r="A154" s="337"/>
      <c r="B154" s="335"/>
      <c r="C154" s="338"/>
      <c r="D154" s="337" t="s">
        <v>15</v>
      </c>
      <c r="E154" s="342">
        <v>0.67</v>
      </c>
      <c r="F154" s="340"/>
      <c r="G154" s="341"/>
      <c r="H154" s="341"/>
      <c r="I154" s="341"/>
      <c r="J154" s="341" t="e">
        <f t="shared" si="157"/>
        <v>#DIV/0!</v>
      </c>
      <c r="K154" s="340"/>
      <c r="L154" s="341"/>
      <c r="M154" s="341"/>
      <c r="N154" s="341"/>
      <c r="O154" s="341" t="e">
        <f t="shared" si="158"/>
        <v>#DIV/0!</v>
      </c>
      <c r="P154" s="340"/>
      <c r="Q154" s="341"/>
      <c r="R154" s="341"/>
      <c r="S154" s="341"/>
      <c r="T154" s="341" t="e">
        <f t="shared" si="159"/>
        <v>#DIV/0!</v>
      </c>
      <c r="U154" s="340"/>
      <c r="V154" s="341"/>
      <c r="W154" s="341"/>
      <c r="X154" s="341"/>
      <c r="Y154" s="341" t="e">
        <f t="shared" si="160"/>
        <v>#DIV/0!</v>
      </c>
      <c r="Z154" s="340"/>
      <c r="AA154" s="341"/>
      <c r="AB154" s="341"/>
      <c r="AC154" s="341"/>
      <c r="AD154" s="341" t="e">
        <f t="shared" si="192"/>
        <v>#DIV/0!</v>
      </c>
      <c r="AE154" s="340"/>
      <c r="AF154" s="341"/>
      <c r="AG154" s="341"/>
      <c r="AH154" s="341"/>
      <c r="AI154" s="341" t="e">
        <f t="shared" si="161"/>
        <v>#DIV/0!</v>
      </c>
      <c r="AJ154" s="340"/>
      <c r="AK154" s="341"/>
      <c r="AL154" s="341"/>
      <c r="AM154" s="341"/>
      <c r="AN154" s="341" t="e">
        <f t="shared" si="162"/>
        <v>#DIV/0!</v>
      </c>
      <c r="AO154" s="340"/>
      <c r="AP154" s="341"/>
      <c r="AQ154" s="341"/>
      <c r="AR154" s="341"/>
      <c r="AS154" s="341" t="e">
        <f t="shared" si="194"/>
        <v>#DIV/0!</v>
      </c>
      <c r="AT154" s="340"/>
      <c r="AU154" s="341"/>
      <c r="AV154" s="341"/>
      <c r="AW154" s="341"/>
      <c r="AX154" s="341" t="e">
        <f t="shared" si="163"/>
        <v>#DIV/0!</v>
      </c>
      <c r="AY154" s="340"/>
      <c r="AZ154" s="341"/>
      <c r="BA154" s="341"/>
      <c r="BB154" s="341"/>
      <c r="BC154" s="341" t="e">
        <f t="shared" si="164"/>
        <v>#DIV/0!</v>
      </c>
      <c r="BD154" s="340"/>
      <c r="BE154" s="341"/>
      <c r="BF154" s="341"/>
      <c r="BG154" s="341"/>
      <c r="BH154" s="341" t="e">
        <f t="shared" si="165"/>
        <v>#DIV/0!</v>
      </c>
      <c r="BI154" s="340"/>
      <c r="BJ154" s="341"/>
      <c r="BK154" s="341"/>
      <c r="BL154" s="341"/>
      <c r="BM154" s="341" t="e">
        <f t="shared" si="166"/>
        <v>#DIV/0!</v>
      </c>
      <c r="BN154" s="340"/>
      <c r="BO154" s="341"/>
      <c r="BP154" s="341"/>
      <c r="BQ154" s="341"/>
      <c r="BR154" s="341" t="e">
        <f t="shared" si="167"/>
        <v>#DIV/0!</v>
      </c>
      <c r="BS154" s="340"/>
      <c r="BT154" s="341"/>
      <c r="BU154" s="341"/>
      <c r="BV154" s="341"/>
      <c r="BW154" s="341" t="e">
        <f t="shared" si="168"/>
        <v>#DIV/0!</v>
      </c>
      <c r="BX154" s="340"/>
      <c r="BY154" s="341"/>
      <c r="BZ154" s="341"/>
      <c r="CA154" s="341"/>
      <c r="CB154" s="341" t="e">
        <f t="shared" si="169"/>
        <v>#DIV/0!</v>
      </c>
      <c r="CC154" s="340"/>
      <c r="CD154" s="341"/>
      <c r="CE154" s="341"/>
      <c r="CF154" s="341"/>
      <c r="CG154" s="341" t="e">
        <f t="shared" si="170"/>
        <v>#DIV/0!</v>
      </c>
      <c r="CH154" s="340">
        <v>59</v>
      </c>
      <c r="CI154" s="341"/>
      <c r="CJ154" s="341">
        <v>55</v>
      </c>
      <c r="CK154" s="341">
        <v>4</v>
      </c>
      <c r="CL154" s="341">
        <f t="shared" si="171"/>
        <v>0.869003160011491</v>
      </c>
      <c r="CM154" s="340">
        <v>67</v>
      </c>
      <c r="CN154" s="341"/>
      <c r="CO154" s="341">
        <v>60</v>
      </c>
      <c r="CP154" s="341">
        <v>7</v>
      </c>
      <c r="CQ154" s="341">
        <f t="shared" si="172"/>
        <v>0.801960347516151</v>
      </c>
      <c r="CR154" s="340">
        <v>38</v>
      </c>
      <c r="CS154" s="341"/>
      <c r="CT154" s="341">
        <v>38</v>
      </c>
      <c r="CU154" s="341"/>
      <c r="CV154" s="341">
        <f t="shared" si="173"/>
        <v>1</v>
      </c>
      <c r="CW154" s="340"/>
      <c r="CX154" s="341"/>
      <c r="CY154" s="341"/>
      <c r="CZ154" s="341"/>
      <c r="DA154" s="341" t="e">
        <f t="shared" si="174"/>
        <v>#DIV/0!</v>
      </c>
      <c r="DB154" s="340">
        <v>122</v>
      </c>
      <c r="DC154" s="341">
        <v>2</v>
      </c>
      <c r="DD154" s="341">
        <v>80</v>
      </c>
      <c r="DE154" s="341">
        <v>40</v>
      </c>
      <c r="DF154" s="341">
        <f t="shared" si="175"/>
        <v>0.444444444444444</v>
      </c>
      <c r="DG154" s="340">
        <v>109</v>
      </c>
      <c r="DH154" s="341">
        <v>1</v>
      </c>
      <c r="DI154" s="341">
        <v>89</v>
      </c>
      <c r="DJ154" s="341">
        <v>19</v>
      </c>
      <c r="DK154" s="341">
        <f t="shared" si="176"/>
        <v>0.679098079561043</v>
      </c>
      <c r="DL154" s="340"/>
      <c r="DM154" s="341"/>
      <c r="DN154" s="341"/>
      <c r="DO154" s="341"/>
      <c r="DP154" s="341" t="e">
        <f t="shared" si="177"/>
        <v>#DIV/0!</v>
      </c>
      <c r="DQ154" s="340"/>
      <c r="DR154" s="341"/>
      <c r="DS154" s="341"/>
      <c r="DT154" s="341"/>
      <c r="DU154" s="341" t="e">
        <f t="shared" si="178"/>
        <v>#DIV/0!</v>
      </c>
      <c r="DV154" s="340"/>
      <c r="DW154" s="341"/>
      <c r="DX154" s="341"/>
      <c r="DY154" s="341"/>
      <c r="DZ154" s="341" t="e">
        <f t="shared" si="179"/>
        <v>#DIV/0!</v>
      </c>
      <c r="EA154" s="340"/>
      <c r="EB154" s="341"/>
      <c r="EC154" s="341"/>
      <c r="ED154" s="341"/>
      <c r="EE154" s="341" t="e">
        <f t="shared" si="180"/>
        <v>#DIV/0!</v>
      </c>
      <c r="EF154" s="340"/>
      <c r="EG154" s="341"/>
      <c r="EH154" s="341"/>
      <c r="EI154" s="341"/>
      <c r="EJ154" s="341" t="e">
        <f t="shared" si="181"/>
        <v>#DIV/0!</v>
      </c>
      <c r="EK154" s="340"/>
      <c r="EL154" s="341"/>
      <c r="EM154" s="341"/>
      <c r="EN154" s="341"/>
      <c r="EO154" s="341" t="e">
        <f t="shared" si="182"/>
        <v>#DIV/0!</v>
      </c>
      <c r="EP154" s="340"/>
      <c r="EQ154" s="341"/>
      <c r="ER154" s="341"/>
      <c r="ES154" s="341"/>
      <c r="ET154" s="341" t="e">
        <f t="shared" si="183"/>
        <v>#DIV/0!</v>
      </c>
      <c r="EU154" s="340"/>
      <c r="EV154" s="341"/>
      <c r="EW154" s="341"/>
      <c r="EX154" s="341"/>
      <c r="EY154" s="341" t="e">
        <f t="shared" si="184"/>
        <v>#DIV/0!</v>
      </c>
      <c r="EZ154" s="340"/>
      <c r="FA154" s="341"/>
      <c r="FB154" s="341"/>
      <c r="FC154" s="341"/>
      <c r="FD154" s="341" t="e">
        <f t="shared" si="185"/>
        <v>#DIV/0!</v>
      </c>
      <c r="FE154" s="341">
        <f t="shared" si="186"/>
        <v>395</v>
      </c>
      <c r="FF154" s="341"/>
      <c r="FG154" s="341">
        <f t="shared" si="197"/>
        <v>3</v>
      </c>
      <c r="FH154" s="343">
        <f t="shared" si="193"/>
        <v>322</v>
      </c>
      <c r="FI154" s="344">
        <f t="shared" si="188"/>
        <v>0.664534529722801</v>
      </c>
      <c r="FJ154" s="341">
        <f t="shared" si="190"/>
        <v>215.74</v>
      </c>
      <c r="FK154" s="347"/>
      <c r="FL154" s="348"/>
      <c r="FM154" s="352"/>
    </row>
    <row r="155" s="215" customFormat="1" ht="27" customHeight="1" spans="1:169">
      <c r="A155" s="337"/>
      <c r="B155" s="335"/>
      <c r="C155" s="338"/>
      <c r="D155" s="337" t="s">
        <v>16</v>
      </c>
      <c r="E155" s="342">
        <v>0.67</v>
      </c>
      <c r="F155" s="340"/>
      <c r="G155" s="341"/>
      <c r="H155" s="341"/>
      <c r="I155" s="341"/>
      <c r="J155" s="341" t="e">
        <f t="shared" si="157"/>
        <v>#DIV/0!</v>
      </c>
      <c r="K155" s="340"/>
      <c r="L155" s="341"/>
      <c r="M155" s="341"/>
      <c r="N155" s="341"/>
      <c r="O155" s="341" t="e">
        <f t="shared" si="158"/>
        <v>#DIV/0!</v>
      </c>
      <c r="P155" s="340"/>
      <c r="Q155" s="341"/>
      <c r="R155" s="341"/>
      <c r="S155" s="341"/>
      <c r="T155" s="341" t="e">
        <f t="shared" si="159"/>
        <v>#DIV/0!</v>
      </c>
      <c r="U155" s="340"/>
      <c r="V155" s="341"/>
      <c r="W155" s="341"/>
      <c r="X155" s="341"/>
      <c r="Y155" s="341" t="e">
        <f t="shared" si="160"/>
        <v>#DIV/0!</v>
      </c>
      <c r="Z155" s="340"/>
      <c r="AA155" s="341"/>
      <c r="AB155" s="341"/>
      <c r="AC155" s="341"/>
      <c r="AD155" s="341" t="e">
        <f t="shared" si="192"/>
        <v>#DIV/0!</v>
      </c>
      <c r="AE155" s="340"/>
      <c r="AF155" s="341"/>
      <c r="AG155" s="341"/>
      <c r="AH155" s="341"/>
      <c r="AI155" s="341" t="e">
        <f t="shared" si="161"/>
        <v>#DIV/0!</v>
      </c>
      <c r="AJ155" s="340"/>
      <c r="AK155" s="341"/>
      <c r="AL155" s="341"/>
      <c r="AM155" s="341"/>
      <c r="AN155" s="341" t="e">
        <f t="shared" si="162"/>
        <v>#DIV/0!</v>
      </c>
      <c r="AO155" s="340"/>
      <c r="AP155" s="341"/>
      <c r="AQ155" s="341"/>
      <c r="AR155" s="341"/>
      <c r="AS155" s="341" t="e">
        <f t="shared" si="194"/>
        <v>#DIV/0!</v>
      </c>
      <c r="AT155" s="340"/>
      <c r="AU155" s="341"/>
      <c r="AV155" s="341"/>
      <c r="AW155" s="341"/>
      <c r="AX155" s="341" t="e">
        <f t="shared" si="163"/>
        <v>#DIV/0!</v>
      </c>
      <c r="AY155" s="340"/>
      <c r="AZ155" s="341"/>
      <c r="BA155" s="341"/>
      <c r="BB155" s="341"/>
      <c r="BC155" s="341" t="e">
        <f t="shared" si="164"/>
        <v>#DIV/0!</v>
      </c>
      <c r="BD155" s="340"/>
      <c r="BE155" s="341"/>
      <c r="BF155" s="341"/>
      <c r="BG155" s="341"/>
      <c r="BH155" s="341" t="e">
        <f t="shared" si="165"/>
        <v>#DIV/0!</v>
      </c>
      <c r="BI155" s="340"/>
      <c r="BJ155" s="341"/>
      <c r="BK155" s="341"/>
      <c r="BL155" s="341"/>
      <c r="BM155" s="341" t="e">
        <f t="shared" si="166"/>
        <v>#DIV/0!</v>
      </c>
      <c r="BN155" s="340"/>
      <c r="BO155" s="341"/>
      <c r="BP155" s="341"/>
      <c r="BQ155" s="341"/>
      <c r="BR155" s="341" t="e">
        <f t="shared" si="167"/>
        <v>#DIV/0!</v>
      </c>
      <c r="BS155" s="340"/>
      <c r="BT155" s="341"/>
      <c r="BU155" s="341"/>
      <c r="BV155" s="341"/>
      <c r="BW155" s="341" t="e">
        <f t="shared" si="168"/>
        <v>#DIV/0!</v>
      </c>
      <c r="BX155" s="340"/>
      <c r="BY155" s="341"/>
      <c r="BZ155" s="341"/>
      <c r="CA155" s="341"/>
      <c r="CB155" s="341" t="e">
        <f t="shared" si="169"/>
        <v>#DIV/0!</v>
      </c>
      <c r="CC155" s="340"/>
      <c r="CD155" s="341"/>
      <c r="CE155" s="341"/>
      <c r="CF155" s="341"/>
      <c r="CG155" s="341" t="e">
        <f t="shared" si="170"/>
        <v>#DIV/0!</v>
      </c>
      <c r="CH155" s="340">
        <v>57</v>
      </c>
      <c r="CI155" s="341"/>
      <c r="CJ155" s="341">
        <v>55</v>
      </c>
      <c r="CK155" s="341">
        <v>2</v>
      </c>
      <c r="CL155" s="341">
        <f t="shared" si="171"/>
        <v>0.931055709449061</v>
      </c>
      <c r="CM155" s="340">
        <v>67</v>
      </c>
      <c r="CN155" s="341"/>
      <c r="CO155" s="341">
        <v>62</v>
      </c>
      <c r="CP155" s="341">
        <v>5</v>
      </c>
      <c r="CQ155" s="341">
        <f t="shared" si="172"/>
        <v>0.85631543773669</v>
      </c>
      <c r="CR155" s="340">
        <v>49</v>
      </c>
      <c r="CS155" s="341"/>
      <c r="CT155" s="341">
        <v>49</v>
      </c>
      <c r="CU155" s="341"/>
      <c r="CV155" s="341">
        <f t="shared" si="173"/>
        <v>1</v>
      </c>
      <c r="CW155" s="340"/>
      <c r="CX155" s="341"/>
      <c r="CY155" s="341"/>
      <c r="CZ155" s="341"/>
      <c r="DA155" s="341" t="e">
        <f t="shared" si="174"/>
        <v>#DIV/0!</v>
      </c>
      <c r="DB155" s="340"/>
      <c r="DC155" s="341"/>
      <c r="DD155" s="341"/>
      <c r="DE155" s="341"/>
      <c r="DF155" s="341" t="e">
        <f t="shared" si="175"/>
        <v>#DIV/0!</v>
      </c>
      <c r="DG155" s="340"/>
      <c r="DH155" s="341"/>
      <c r="DI155" s="341"/>
      <c r="DJ155" s="341"/>
      <c r="DK155" s="341" t="e">
        <f t="shared" si="176"/>
        <v>#DIV/0!</v>
      </c>
      <c r="DL155" s="340"/>
      <c r="DM155" s="341"/>
      <c r="DN155" s="341"/>
      <c r="DO155" s="341"/>
      <c r="DP155" s="341" t="e">
        <f t="shared" si="177"/>
        <v>#DIV/0!</v>
      </c>
      <c r="DQ155" s="340"/>
      <c r="DR155" s="341"/>
      <c r="DS155" s="341"/>
      <c r="DT155" s="341"/>
      <c r="DU155" s="341" t="e">
        <f t="shared" si="178"/>
        <v>#DIV/0!</v>
      </c>
      <c r="DV155" s="340"/>
      <c r="DW155" s="341"/>
      <c r="DX155" s="341"/>
      <c r="DY155" s="341"/>
      <c r="DZ155" s="341" t="e">
        <f t="shared" si="179"/>
        <v>#DIV/0!</v>
      </c>
      <c r="EA155" s="340"/>
      <c r="EB155" s="341"/>
      <c r="EC155" s="341"/>
      <c r="ED155" s="341"/>
      <c r="EE155" s="341" t="e">
        <f t="shared" si="180"/>
        <v>#DIV/0!</v>
      </c>
      <c r="EF155" s="340"/>
      <c r="EG155" s="341"/>
      <c r="EH155" s="341"/>
      <c r="EI155" s="341"/>
      <c r="EJ155" s="341" t="e">
        <f t="shared" si="181"/>
        <v>#DIV/0!</v>
      </c>
      <c r="EK155" s="340"/>
      <c r="EL155" s="341"/>
      <c r="EM155" s="341"/>
      <c r="EN155" s="341"/>
      <c r="EO155" s="341" t="e">
        <f t="shared" si="182"/>
        <v>#DIV/0!</v>
      </c>
      <c r="EP155" s="340"/>
      <c r="EQ155" s="341"/>
      <c r="ER155" s="341"/>
      <c r="ES155" s="341"/>
      <c r="ET155" s="341" t="e">
        <f t="shared" si="183"/>
        <v>#DIV/0!</v>
      </c>
      <c r="EU155" s="340"/>
      <c r="EV155" s="341"/>
      <c r="EW155" s="341"/>
      <c r="EX155" s="341"/>
      <c r="EY155" s="341" t="e">
        <f t="shared" si="184"/>
        <v>#DIV/0!</v>
      </c>
      <c r="EZ155" s="340"/>
      <c r="FA155" s="341"/>
      <c r="FB155" s="341"/>
      <c r="FC155" s="341"/>
      <c r="FD155" s="341" t="e">
        <f t="shared" si="185"/>
        <v>#DIV/0!</v>
      </c>
      <c r="FE155" s="341">
        <f t="shared" si="186"/>
        <v>173</v>
      </c>
      <c r="FF155" s="341"/>
      <c r="FG155" s="341">
        <f t="shared" si="197"/>
        <v>0</v>
      </c>
      <c r="FH155" s="343">
        <f t="shared" si="193"/>
        <v>166</v>
      </c>
      <c r="FI155" s="344">
        <f t="shared" si="188"/>
        <v>0.920712352567744</v>
      </c>
      <c r="FJ155" s="341">
        <f t="shared" si="190"/>
        <v>111.22</v>
      </c>
      <c r="FK155" s="347"/>
      <c r="FL155" s="348"/>
      <c r="FM155" s="352"/>
    </row>
    <row r="156" s="215" customFormat="1" ht="27" customHeight="1" spans="1:169">
      <c r="A156" s="337"/>
      <c r="B156" s="336"/>
      <c r="C156" s="338"/>
      <c r="D156" s="337" t="s">
        <v>17</v>
      </c>
      <c r="E156" s="342">
        <v>0.373</v>
      </c>
      <c r="F156" s="340"/>
      <c r="G156" s="341"/>
      <c r="H156" s="341"/>
      <c r="I156" s="341"/>
      <c r="J156" s="341" t="e">
        <f t="shared" si="157"/>
        <v>#DIV/0!</v>
      </c>
      <c r="K156" s="340"/>
      <c r="L156" s="341"/>
      <c r="M156" s="341"/>
      <c r="N156" s="341"/>
      <c r="O156" s="341" t="e">
        <f t="shared" si="158"/>
        <v>#DIV/0!</v>
      </c>
      <c r="P156" s="340"/>
      <c r="Q156" s="341"/>
      <c r="R156" s="341"/>
      <c r="S156" s="341"/>
      <c r="T156" s="341" t="e">
        <f t="shared" si="159"/>
        <v>#DIV/0!</v>
      </c>
      <c r="U156" s="340"/>
      <c r="V156" s="341"/>
      <c r="W156" s="341"/>
      <c r="X156" s="341"/>
      <c r="Y156" s="341" t="e">
        <f t="shared" si="160"/>
        <v>#DIV/0!</v>
      </c>
      <c r="Z156" s="340"/>
      <c r="AA156" s="341"/>
      <c r="AB156" s="341"/>
      <c r="AC156" s="341"/>
      <c r="AD156" s="341" t="e">
        <f t="shared" si="192"/>
        <v>#DIV/0!</v>
      </c>
      <c r="AE156" s="340"/>
      <c r="AF156" s="341"/>
      <c r="AG156" s="341"/>
      <c r="AH156" s="341"/>
      <c r="AI156" s="341" t="e">
        <f t="shared" si="161"/>
        <v>#DIV/0!</v>
      </c>
      <c r="AJ156" s="340"/>
      <c r="AK156" s="341"/>
      <c r="AL156" s="341"/>
      <c r="AM156" s="341"/>
      <c r="AN156" s="341" t="e">
        <f t="shared" si="162"/>
        <v>#DIV/0!</v>
      </c>
      <c r="AO156" s="340"/>
      <c r="AP156" s="341"/>
      <c r="AQ156" s="341"/>
      <c r="AR156" s="341"/>
      <c r="AS156" s="341" t="e">
        <f t="shared" si="194"/>
        <v>#DIV/0!</v>
      </c>
      <c r="AT156" s="340"/>
      <c r="AU156" s="341"/>
      <c r="AV156" s="341"/>
      <c r="AW156" s="341"/>
      <c r="AX156" s="341" t="e">
        <f t="shared" si="163"/>
        <v>#DIV/0!</v>
      </c>
      <c r="AY156" s="340"/>
      <c r="AZ156" s="341"/>
      <c r="BA156" s="341"/>
      <c r="BB156" s="341"/>
      <c r="BC156" s="341" t="e">
        <f t="shared" si="164"/>
        <v>#DIV/0!</v>
      </c>
      <c r="BD156" s="340"/>
      <c r="BE156" s="341"/>
      <c r="BF156" s="341"/>
      <c r="BG156" s="341"/>
      <c r="BH156" s="341" t="e">
        <f t="shared" si="165"/>
        <v>#DIV/0!</v>
      </c>
      <c r="BI156" s="340"/>
      <c r="BJ156" s="341"/>
      <c r="BK156" s="341"/>
      <c r="BL156" s="341"/>
      <c r="BM156" s="341" t="e">
        <f t="shared" si="166"/>
        <v>#DIV/0!</v>
      </c>
      <c r="BN156" s="340"/>
      <c r="BO156" s="341"/>
      <c r="BP156" s="341"/>
      <c r="BQ156" s="341"/>
      <c r="BR156" s="341" t="e">
        <f t="shared" si="167"/>
        <v>#DIV/0!</v>
      </c>
      <c r="BS156" s="340"/>
      <c r="BT156" s="341"/>
      <c r="BU156" s="341"/>
      <c r="BV156" s="341"/>
      <c r="BW156" s="341" t="e">
        <f t="shared" si="168"/>
        <v>#DIV/0!</v>
      </c>
      <c r="BX156" s="340"/>
      <c r="BY156" s="341"/>
      <c r="BZ156" s="341"/>
      <c r="CA156" s="341"/>
      <c r="CB156" s="341" t="e">
        <f t="shared" si="169"/>
        <v>#DIV/0!</v>
      </c>
      <c r="CC156" s="340"/>
      <c r="CD156" s="341"/>
      <c r="CE156" s="341"/>
      <c r="CF156" s="341"/>
      <c r="CG156" s="341" t="e">
        <f t="shared" si="170"/>
        <v>#DIV/0!</v>
      </c>
      <c r="CH156" s="340"/>
      <c r="CI156" s="341"/>
      <c r="CJ156" s="341"/>
      <c r="CK156" s="341"/>
      <c r="CL156" s="341" t="e">
        <f t="shared" si="171"/>
        <v>#DIV/0!</v>
      </c>
      <c r="CM156" s="340"/>
      <c r="CN156" s="341"/>
      <c r="CO156" s="341"/>
      <c r="CP156" s="341"/>
      <c r="CQ156" s="341" t="e">
        <f t="shared" si="172"/>
        <v>#DIV/0!</v>
      </c>
      <c r="CR156" s="340"/>
      <c r="CS156" s="341"/>
      <c r="CT156" s="341"/>
      <c r="CU156" s="341"/>
      <c r="CV156" s="341" t="e">
        <f t="shared" si="173"/>
        <v>#DIV/0!</v>
      </c>
      <c r="CW156" s="340"/>
      <c r="CX156" s="341"/>
      <c r="CY156" s="341"/>
      <c r="CZ156" s="341"/>
      <c r="DA156" s="341" t="e">
        <f t="shared" si="174"/>
        <v>#DIV/0!</v>
      </c>
      <c r="DB156" s="340"/>
      <c r="DC156" s="341"/>
      <c r="DD156" s="341"/>
      <c r="DE156" s="341"/>
      <c r="DF156" s="341" t="e">
        <f t="shared" si="175"/>
        <v>#DIV/0!</v>
      </c>
      <c r="DG156" s="340"/>
      <c r="DH156" s="341"/>
      <c r="DI156" s="341"/>
      <c r="DJ156" s="341"/>
      <c r="DK156" s="341" t="e">
        <f t="shared" si="176"/>
        <v>#DIV/0!</v>
      </c>
      <c r="DL156" s="340"/>
      <c r="DM156" s="341"/>
      <c r="DN156" s="341"/>
      <c r="DO156" s="341"/>
      <c r="DP156" s="341" t="e">
        <f t="shared" si="177"/>
        <v>#DIV/0!</v>
      </c>
      <c r="DQ156" s="340"/>
      <c r="DR156" s="341"/>
      <c r="DS156" s="341"/>
      <c r="DT156" s="341"/>
      <c r="DU156" s="341" t="e">
        <f t="shared" si="178"/>
        <v>#DIV/0!</v>
      </c>
      <c r="DV156" s="340"/>
      <c r="DW156" s="341"/>
      <c r="DX156" s="341"/>
      <c r="DY156" s="341"/>
      <c r="DZ156" s="341" t="e">
        <f t="shared" si="179"/>
        <v>#DIV/0!</v>
      </c>
      <c r="EA156" s="340"/>
      <c r="EB156" s="341"/>
      <c r="EC156" s="341"/>
      <c r="ED156" s="341"/>
      <c r="EE156" s="341" t="e">
        <f t="shared" si="180"/>
        <v>#DIV/0!</v>
      </c>
      <c r="EF156" s="340"/>
      <c r="EG156" s="341"/>
      <c r="EH156" s="341"/>
      <c r="EI156" s="341"/>
      <c r="EJ156" s="341" t="e">
        <f t="shared" si="181"/>
        <v>#DIV/0!</v>
      </c>
      <c r="EK156" s="340"/>
      <c r="EL156" s="341"/>
      <c r="EM156" s="341"/>
      <c r="EN156" s="341"/>
      <c r="EO156" s="341" t="e">
        <f t="shared" si="182"/>
        <v>#DIV/0!</v>
      </c>
      <c r="EP156" s="340"/>
      <c r="EQ156" s="341"/>
      <c r="ER156" s="341"/>
      <c r="ES156" s="341"/>
      <c r="ET156" s="341" t="e">
        <f t="shared" si="183"/>
        <v>#DIV/0!</v>
      </c>
      <c r="EU156" s="340"/>
      <c r="EV156" s="341"/>
      <c r="EW156" s="341"/>
      <c r="EX156" s="341"/>
      <c r="EY156" s="341" t="e">
        <f t="shared" si="184"/>
        <v>#DIV/0!</v>
      </c>
      <c r="EZ156" s="340"/>
      <c r="FA156" s="341"/>
      <c r="FB156" s="341"/>
      <c r="FC156" s="341"/>
      <c r="FD156" s="341" t="e">
        <f t="shared" si="185"/>
        <v>#DIV/0!</v>
      </c>
      <c r="FE156" s="341">
        <f t="shared" si="186"/>
        <v>0</v>
      </c>
      <c r="FF156" s="341"/>
      <c r="FG156" s="341">
        <f t="shared" si="197"/>
        <v>0</v>
      </c>
      <c r="FH156" s="343">
        <f t="shared" si="193"/>
        <v>0</v>
      </c>
      <c r="FI156" s="344" t="e">
        <f t="shared" si="188"/>
        <v>#DIV/0!</v>
      </c>
      <c r="FJ156" s="341">
        <f t="shared" si="190"/>
        <v>0</v>
      </c>
      <c r="FK156" s="349"/>
      <c r="FL156" s="350"/>
      <c r="FM156" s="354"/>
    </row>
    <row r="159" spans="114:114">
      <c r="DJ159" s="216" t="s">
        <v>59</v>
      </c>
    </row>
  </sheetData>
  <mergeCells count="101">
    <mergeCell ref="A1:FK1"/>
    <mergeCell ref="F3:FD3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DV4:DZ4"/>
    <mergeCell ref="EA4:EE4"/>
    <mergeCell ref="EF4:EJ4"/>
    <mergeCell ref="EK4:EO4"/>
    <mergeCell ref="EP4:ET4"/>
    <mergeCell ref="EU4:EY4"/>
    <mergeCell ref="EZ4:FD4"/>
    <mergeCell ref="FL5:FM5"/>
    <mergeCell ref="FN47:FO47"/>
    <mergeCell ref="FN57:FO57"/>
    <mergeCell ref="A3:A5"/>
    <mergeCell ref="A6:A15"/>
    <mergeCell ref="A16:A25"/>
    <mergeCell ref="A26:A35"/>
    <mergeCell ref="A37:A46"/>
    <mergeCell ref="A47:A56"/>
    <mergeCell ref="A57:A66"/>
    <mergeCell ref="A67:A76"/>
    <mergeCell ref="A77:A86"/>
    <mergeCell ref="A87:A96"/>
    <mergeCell ref="A97:A106"/>
    <mergeCell ref="A107:A116"/>
    <mergeCell ref="A117:A126"/>
    <mergeCell ref="A127:A136"/>
    <mergeCell ref="A137:A146"/>
    <mergeCell ref="A147:A156"/>
    <mergeCell ref="B3:B5"/>
    <mergeCell ref="B6:B15"/>
    <mergeCell ref="B16:B25"/>
    <mergeCell ref="B26:B35"/>
    <mergeCell ref="B37:B46"/>
    <mergeCell ref="B47:B56"/>
    <mergeCell ref="B57:B66"/>
    <mergeCell ref="B67:B76"/>
    <mergeCell ref="B77:B86"/>
    <mergeCell ref="B87:B96"/>
    <mergeCell ref="B97:B106"/>
    <mergeCell ref="B107:B116"/>
    <mergeCell ref="B117:B126"/>
    <mergeCell ref="B127:B136"/>
    <mergeCell ref="B137:B146"/>
    <mergeCell ref="B147:B156"/>
    <mergeCell ref="C3:C5"/>
    <mergeCell ref="D3:D5"/>
    <mergeCell ref="E3:E5"/>
    <mergeCell ref="FK6:FK15"/>
    <mergeCell ref="FK16:FK25"/>
    <mergeCell ref="FK26:FK35"/>
    <mergeCell ref="FK37:FK46"/>
    <mergeCell ref="FK47:FK56"/>
    <mergeCell ref="FK57:FK66"/>
    <mergeCell ref="FK67:FK76"/>
    <mergeCell ref="FK77:FK86"/>
    <mergeCell ref="FK87:FK96"/>
    <mergeCell ref="FK97:FK106"/>
    <mergeCell ref="FK107:FK116"/>
    <mergeCell ref="FK117:FK126"/>
    <mergeCell ref="FK127:FK136"/>
    <mergeCell ref="FK137:FK146"/>
    <mergeCell ref="FK147:FK156"/>
    <mergeCell ref="FL57:FM66"/>
    <mergeCell ref="FL26:FM35"/>
    <mergeCell ref="FL16:FM25"/>
    <mergeCell ref="FL47:FM56"/>
    <mergeCell ref="FL37:FM46"/>
    <mergeCell ref="FL67:FM76"/>
    <mergeCell ref="FL77:FM86"/>
    <mergeCell ref="FL87:FM96"/>
    <mergeCell ref="FL97:FM106"/>
    <mergeCell ref="FL107:FM116"/>
    <mergeCell ref="FL117:FM126"/>
    <mergeCell ref="FL6:FM15"/>
    <mergeCell ref="FL127:FM136"/>
    <mergeCell ref="FL137:FM146"/>
    <mergeCell ref="FL147:FM156"/>
  </mergeCells>
  <pageMargins left="0.75" right="0.75" top="1" bottom="1" header="0.5" footer="0.5"/>
  <pageSetup paperSize="9" orientation="portrait"/>
  <headerFooter/>
  <rowBreaks count="1" manualBreakCount="1">
    <brk id="121" max="16383" man="1"/>
  </rowBreaks>
  <colBreaks count="1" manualBreakCount="1">
    <brk id="92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81"/>
  <sheetViews>
    <sheetView workbookViewId="0">
      <pane xSplit="5" ySplit="4" topLeftCell="F5" activePane="bottomRight" state="frozen"/>
      <selection/>
      <selection pane="topRight"/>
      <selection pane="bottomLeft"/>
      <selection pane="bottomRight" activeCell="C15" sqref="C15"/>
    </sheetView>
  </sheetViews>
  <sheetFormatPr defaultColWidth="9" defaultRowHeight="14.4"/>
  <cols>
    <col min="1" max="1" width="6.37962962962963" style="86" customWidth="1"/>
    <col min="2" max="2" width="23.5" style="86" customWidth="1"/>
    <col min="3" max="3" width="57.5" style="86" customWidth="1"/>
    <col min="4" max="4" width="12.1296296296296" style="86" customWidth="1"/>
    <col min="5" max="5" width="10.5" style="86" customWidth="1"/>
    <col min="6" max="6" width="8.25" style="86" customWidth="1"/>
    <col min="7" max="7" width="7.5" style="86" customWidth="1"/>
    <col min="8" max="8" width="9.62962962962963" style="86" customWidth="1"/>
    <col min="9" max="10" width="7.87962962962963" style="86" customWidth="1"/>
    <col min="11" max="11" width="8.37962962962963" style="86" customWidth="1"/>
    <col min="12" max="12" width="7.75" style="86" customWidth="1"/>
    <col min="13" max="13" width="8.87962962962963" style="86" customWidth="1"/>
    <col min="14" max="14" width="7.75" style="86" customWidth="1"/>
    <col min="15" max="15" width="7.25" style="86" customWidth="1"/>
    <col min="16" max="16" width="7.87962962962963" style="86" customWidth="1"/>
    <col min="17" max="17" width="7.75" style="86" customWidth="1"/>
    <col min="18" max="18" width="9.25" style="86" customWidth="1"/>
    <col min="19" max="19" width="7.75" style="86" customWidth="1"/>
    <col min="20" max="20" width="7.5" style="86" customWidth="1"/>
    <col min="21" max="21" width="7.25" style="86" customWidth="1"/>
    <col min="22" max="22" width="7.12962962962963" style="86" customWidth="1"/>
    <col min="23" max="23" width="7.5" style="86" customWidth="1"/>
    <col min="24" max="24" width="9.25" style="86" customWidth="1"/>
    <col min="25" max="25" width="7.5" style="86" customWidth="1"/>
    <col min="26" max="26" width="8.25" style="86" customWidth="1"/>
    <col min="27" max="27" width="8" style="86" customWidth="1"/>
    <col min="28" max="28" width="8.87962962962963" style="86" customWidth="1"/>
    <col min="29" max="30" width="7.75" style="86" customWidth="1"/>
    <col min="31" max="31" width="9" style="86" customWidth="1"/>
    <col min="32" max="32" width="7.12962962962963" style="86" customWidth="1"/>
    <col min="33" max="34" width="7.75" style="86" customWidth="1"/>
    <col min="35" max="35" width="8.5" style="86" customWidth="1"/>
    <col min="36" max="36" width="7.62962962962963" style="86" customWidth="1"/>
    <col min="37" max="37" width="10.8796296296296" style="86" customWidth="1"/>
    <col min="38" max="38" width="10.5" style="86" customWidth="1"/>
    <col min="39" max="39" width="8.12962962962963" style="86" customWidth="1"/>
    <col min="40" max="16384" width="9" style="86"/>
  </cols>
  <sheetData>
    <row r="1" ht="27" customHeight="1" spans="1:38">
      <c r="A1" s="87"/>
      <c r="B1" s="88"/>
      <c r="C1" s="89"/>
      <c r="D1" s="90" t="s">
        <v>60</v>
      </c>
      <c r="E1" s="91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125"/>
      <c r="Y1" s="127" t="s">
        <v>61</v>
      </c>
      <c r="Z1" s="128"/>
      <c r="AA1" s="106" t="s">
        <v>62</v>
      </c>
      <c r="AB1" s="106"/>
      <c r="AC1" s="106"/>
      <c r="AD1" s="129" t="s">
        <v>63</v>
      </c>
      <c r="AE1" s="130"/>
      <c r="AF1" s="131"/>
      <c r="AG1" s="106" t="s">
        <v>64</v>
      </c>
      <c r="AH1" s="106"/>
      <c r="AI1" s="106"/>
      <c r="AJ1" s="106"/>
      <c r="AK1" s="106"/>
      <c r="AL1" s="106"/>
    </row>
    <row r="2" ht="30" customHeight="1" spans="1:39">
      <c r="A2" s="93"/>
      <c r="B2" s="94"/>
      <c r="C2" s="95"/>
      <c r="D2" s="96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126"/>
      <c r="Y2" s="132"/>
      <c r="Z2" s="133"/>
      <c r="AA2" s="134" t="s">
        <v>65</v>
      </c>
      <c r="AB2" s="134"/>
      <c r="AC2" s="134"/>
      <c r="AD2" s="134"/>
      <c r="AE2" s="134"/>
      <c r="AF2" s="134"/>
      <c r="AG2" s="129"/>
      <c r="AH2" s="130"/>
      <c r="AI2" s="130"/>
      <c r="AJ2" s="130"/>
      <c r="AK2" s="130"/>
      <c r="AL2" s="131"/>
      <c r="AM2" s="137"/>
    </row>
    <row r="3" ht="30" customHeight="1" spans="1:38">
      <c r="A3" s="98" t="s">
        <v>66</v>
      </c>
      <c r="B3" s="99"/>
      <c r="C3" s="99"/>
      <c r="D3" s="99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</row>
    <row r="4" ht="20.1" customHeight="1" spans="1:39">
      <c r="A4" s="101" t="s">
        <v>67</v>
      </c>
      <c r="B4" s="101"/>
      <c r="C4" s="102" t="s">
        <v>40</v>
      </c>
      <c r="D4" s="102"/>
      <c r="E4" s="103" t="s">
        <v>6</v>
      </c>
      <c r="F4" s="104" t="s">
        <v>68</v>
      </c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138"/>
      <c r="AK4" s="139" t="s">
        <v>5</v>
      </c>
      <c r="AL4" s="140" t="s">
        <v>69</v>
      </c>
      <c r="AM4" s="141"/>
    </row>
    <row r="5" ht="20.1" customHeight="1" spans="1:39">
      <c r="A5" s="105"/>
      <c r="B5" s="105"/>
      <c r="C5" s="106"/>
      <c r="D5" s="106"/>
      <c r="E5" s="107"/>
      <c r="F5" s="23">
        <v>1</v>
      </c>
      <c r="G5" s="23">
        <v>2</v>
      </c>
      <c r="H5" s="23">
        <v>3</v>
      </c>
      <c r="I5" s="23">
        <v>4</v>
      </c>
      <c r="J5" s="23">
        <v>5</v>
      </c>
      <c r="K5" s="23">
        <v>6</v>
      </c>
      <c r="L5" s="23">
        <v>7</v>
      </c>
      <c r="M5" s="23">
        <v>8</v>
      </c>
      <c r="N5" s="23">
        <v>9</v>
      </c>
      <c r="O5" s="23">
        <v>10</v>
      </c>
      <c r="P5" s="23">
        <v>11</v>
      </c>
      <c r="Q5" s="23">
        <v>12</v>
      </c>
      <c r="R5" s="23">
        <v>13</v>
      </c>
      <c r="S5" s="23">
        <v>14</v>
      </c>
      <c r="T5" s="23">
        <v>15</v>
      </c>
      <c r="U5" s="23">
        <v>16</v>
      </c>
      <c r="V5" s="23">
        <v>17</v>
      </c>
      <c r="W5" s="23">
        <v>18</v>
      </c>
      <c r="X5" s="23">
        <f>19</f>
        <v>19</v>
      </c>
      <c r="Y5" s="23">
        <v>20</v>
      </c>
      <c r="Z5" s="23">
        <v>21</v>
      </c>
      <c r="AA5" s="23">
        <v>22</v>
      </c>
      <c r="AB5" s="23">
        <v>23</v>
      </c>
      <c r="AC5" s="23">
        <v>24</v>
      </c>
      <c r="AD5" s="23">
        <v>25</v>
      </c>
      <c r="AE5" s="23">
        <v>26</v>
      </c>
      <c r="AF5" s="23">
        <v>27</v>
      </c>
      <c r="AG5" s="23">
        <v>28</v>
      </c>
      <c r="AH5" s="23">
        <v>29</v>
      </c>
      <c r="AI5" s="23">
        <v>30</v>
      </c>
      <c r="AJ5" s="142">
        <v>31</v>
      </c>
      <c r="AK5" s="143"/>
      <c r="AL5" s="144"/>
      <c r="AM5" s="141"/>
    </row>
    <row r="6" ht="24.95" customHeight="1" spans="1:39">
      <c r="A6" s="23">
        <v>1</v>
      </c>
      <c r="B6" s="108" t="s">
        <v>70</v>
      </c>
      <c r="C6" s="109" t="s">
        <v>71</v>
      </c>
      <c r="D6" s="23" t="s">
        <v>72</v>
      </c>
      <c r="E6" s="23">
        <v>0.25</v>
      </c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4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35"/>
      <c r="AE6" s="136"/>
      <c r="AF6" s="136"/>
      <c r="AG6" s="136"/>
      <c r="AH6" s="136"/>
      <c r="AI6" s="136"/>
      <c r="AJ6" s="136"/>
      <c r="AK6" s="145">
        <f>F6+G6+H6+I6+J6+K6+L6+M6+N6+O6+P6+Q6+R6+S6+T6+U6+V6+W6+X6+Y6+Z6+AA6+AB6+AC6+AD6+AE6+AF6+AG6+AH6+AI6+AJ6</f>
        <v>0</v>
      </c>
      <c r="AL6" s="146">
        <f t="shared" ref="AL6:AL69" si="0">AK6*E6</f>
        <v>0</v>
      </c>
      <c r="AM6" s="147" t="s">
        <v>73</v>
      </c>
    </row>
    <row r="7" ht="24.95" customHeight="1" spans="1:39">
      <c r="A7" s="23">
        <v>2</v>
      </c>
      <c r="B7" s="108" t="s">
        <v>74</v>
      </c>
      <c r="C7" s="111" t="s">
        <v>75</v>
      </c>
      <c r="D7" s="23" t="s">
        <v>72</v>
      </c>
      <c r="E7" s="23">
        <v>0.25</v>
      </c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4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35"/>
      <c r="AE7" s="136"/>
      <c r="AF7" s="136"/>
      <c r="AG7" s="136"/>
      <c r="AH7" s="136"/>
      <c r="AI7" s="136"/>
      <c r="AJ7" s="136"/>
      <c r="AK7" s="145">
        <f t="shared" ref="AK7:AK69" si="1">F7+G7+H7+I7+J7+K7+L7+M7+N7+O7+P7+Q7+R7+S7+T7+U7+V7+W7+X7+Y7+Z7+AA7+AB7+AC7+AD7+AE7+AF7+AG7+AH7+AI7+AJ7</f>
        <v>0</v>
      </c>
      <c r="AL7" s="146">
        <f t="shared" si="0"/>
        <v>0</v>
      </c>
      <c r="AM7" s="147"/>
    </row>
    <row r="8" ht="24.95" customHeight="1" spans="1:39">
      <c r="A8" s="23">
        <v>3</v>
      </c>
      <c r="B8" s="108" t="s">
        <v>76</v>
      </c>
      <c r="C8" s="111" t="s">
        <v>77</v>
      </c>
      <c r="D8" s="23" t="s">
        <v>72</v>
      </c>
      <c r="E8" s="23">
        <v>0.23</v>
      </c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4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35"/>
      <c r="AE8" s="136"/>
      <c r="AF8" s="136"/>
      <c r="AG8" s="136"/>
      <c r="AH8" s="136"/>
      <c r="AI8" s="136"/>
      <c r="AJ8" s="136"/>
      <c r="AK8" s="145">
        <f t="shared" si="1"/>
        <v>0</v>
      </c>
      <c r="AL8" s="146">
        <f t="shared" si="0"/>
        <v>0</v>
      </c>
      <c r="AM8" s="148"/>
    </row>
    <row r="9" ht="24.95" customHeight="1" spans="1:39">
      <c r="A9" s="23">
        <v>4</v>
      </c>
      <c r="B9" s="108" t="s">
        <v>78</v>
      </c>
      <c r="C9" s="111" t="s">
        <v>79</v>
      </c>
      <c r="D9" s="23" t="s">
        <v>72</v>
      </c>
      <c r="E9" s="23">
        <v>0.23</v>
      </c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4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35"/>
      <c r="AE9" s="136"/>
      <c r="AF9" s="136"/>
      <c r="AG9" s="136"/>
      <c r="AH9" s="136"/>
      <c r="AI9" s="136"/>
      <c r="AJ9" s="136"/>
      <c r="AK9" s="145">
        <f t="shared" si="1"/>
        <v>0</v>
      </c>
      <c r="AL9" s="146">
        <f t="shared" si="0"/>
        <v>0</v>
      </c>
      <c r="AM9" s="148"/>
    </row>
    <row r="10" ht="24.95" customHeight="1" spans="1:39">
      <c r="A10" s="23">
        <v>5</v>
      </c>
      <c r="B10" s="112" t="s">
        <v>80</v>
      </c>
      <c r="C10" s="113" t="s">
        <v>81</v>
      </c>
      <c r="D10" s="23" t="s">
        <v>72</v>
      </c>
      <c r="E10" s="23">
        <v>0.25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4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35"/>
      <c r="AE10" s="136"/>
      <c r="AF10" s="136"/>
      <c r="AG10" s="136"/>
      <c r="AH10" s="136"/>
      <c r="AI10" s="110"/>
      <c r="AJ10" s="110"/>
      <c r="AK10" s="145">
        <f t="shared" si="1"/>
        <v>0</v>
      </c>
      <c r="AL10" s="146">
        <f t="shared" si="0"/>
        <v>0</v>
      </c>
      <c r="AM10" s="148"/>
    </row>
    <row r="11" ht="24.95" customHeight="1" spans="1:39">
      <c r="A11" s="23">
        <v>6</v>
      </c>
      <c r="B11" s="112" t="s">
        <v>82</v>
      </c>
      <c r="C11" s="113" t="s">
        <v>83</v>
      </c>
      <c r="D11" s="23" t="s">
        <v>72</v>
      </c>
      <c r="E11" s="23">
        <v>0.25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4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35"/>
      <c r="AE11" s="136"/>
      <c r="AF11" s="136"/>
      <c r="AG11" s="136"/>
      <c r="AH11" s="136"/>
      <c r="AI11" s="110"/>
      <c r="AJ11" s="110"/>
      <c r="AK11" s="145">
        <f t="shared" si="1"/>
        <v>0</v>
      </c>
      <c r="AL11" s="146">
        <f t="shared" si="0"/>
        <v>0</v>
      </c>
      <c r="AM11" s="148"/>
    </row>
    <row r="12" ht="24.95" customHeight="1" spans="1:39">
      <c r="A12" s="23">
        <v>7</v>
      </c>
      <c r="B12" s="112" t="s">
        <v>84</v>
      </c>
      <c r="C12" s="113" t="s">
        <v>85</v>
      </c>
      <c r="D12" s="23" t="s">
        <v>72</v>
      </c>
      <c r="E12" s="23">
        <v>0.23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4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35"/>
      <c r="AE12" s="136"/>
      <c r="AF12" s="136"/>
      <c r="AG12" s="136"/>
      <c r="AH12" s="136"/>
      <c r="AI12" s="110"/>
      <c r="AJ12" s="110"/>
      <c r="AK12" s="145">
        <f t="shared" si="1"/>
        <v>0</v>
      </c>
      <c r="AL12" s="146">
        <f t="shared" si="0"/>
        <v>0</v>
      </c>
      <c r="AM12" s="148"/>
    </row>
    <row r="13" ht="24.95" customHeight="1" spans="1:39">
      <c r="A13" s="23">
        <v>8</v>
      </c>
      <c r="B13" s="112" t="s">
        <v>86</v>
      </c>
      <c r="C13" s="113" t="s">
        <v>87</v>
      </c>
      <c r="D13" s="23" t="s">
        <v>72</v>
      </c>
      <c r="E13" s="23">
        <v>0.23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4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35"/>
      <c r="AE13" s="136"/>
      <c r="AF13" s="136"/>
      <c r="AG13" s="136"/>
      <c r="AH13" s="136"/>
      <c r="AI13" s="110"/>
      <c r="AJ13" s="110"/>
      <c r="AK13" s="145">
        <f t="shared" si="1"/>
        <v>0</v>
      </c>
      <c r="AL13" s="146">
        <f t="shared" si="0"/>
        <v>0</v>
      </c>
      <c r="AM13" s="148"/>
    </row>
    <row r="14" ht="24.95" customHeight="1" spans="1:39">
      <c r="A14" s="23">
        <v>9</v>
      </c>
      <c r="B14" s="112" t="s">
        <v>88</v>
      </c>
      <c r="C14" s="113" t="s">
        <v>89</v>
      </c>
      <c r="D14" s="23" t="s">
        <v>72</v>
      </c>
      <c r="E14" s="23">
        <v>0.4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4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35"/>
      <c r="AE14" s="136"/>
      <c r="AF14" s="136"/>
      <c r="AG14" s="136"/>
      <c r="AH14" s="136"/>
      <c r="AI14" s="136"/>
      <c r="AJ14" s="136"/>
      <c r="AK14" s="145">
        <f t="shared" si="1"/>
        <v>0</v>
      </c>
      <c r="AL14" s="146">
        <f t="shared" si="0"/>
        <v>0</v>
      </c>
      <c r="AM14" s="148"/>
    </row>
    <row r="15" ht="24.95" customHeight="1" spans="1:39">
      <c r="A15" s="23">
        <v>10</v>
      </c>
      <c r="B15" s="108" t="s">
        <v>90</v>
      </c>
      <c r="C15" s="111" t="s">
        <v>91</v>
      </c>
      <c r="D15" s="23" t="s">
        <v>72</v>
      </c>
      <c r="E15" s="23">
        <v>0.4</v>
      </c>
      <c r="F15" s="110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36"/>
      <c r="AE15" s="136"/>
      <c r="AF15" s="136"/>
      <c r="AG15" s="136"/>
      <c r="AH15" s="136"/>
      <c r="AI15" s="136"/>
      <c r="AJ15" s="136"/>
      <c r="AK15" s="145">
        <f t="shared" si="1"/>
        <v>0</v>
      </c>
      <c r="AL15" s="146">
        <f t="shared" si="0"/>
        <v>0</v>
      </c>
      <c r="AM15" s="148"/>
    </row>
    <row r="16" ht="24.95" customHeight="1" spans="1:39">
      <c r="A16" s="23">
        <v>11</v>
      </c>
      <c r="B16" s="112" t="s">
        <v>92</v>
      </c>
      <c r="C16" s="113" t="s">
        <v>93</v>
      </c>
      <c r="D16" s="23" t="s">
        <v>72</v>
      </c>
      <c r="E16" s="23">
        <v>0.133</v>
      </c>
      <c r="F16" s="110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36"/>
      <c r="AJ16" s="136"/>
      <c r="AK16" s="145">
        <f t="shared" si="1"/>
        <v>0</v>
      </c>
      <c r="AL16" s="146">
        <f t="shared" si="0"/>
        <v>0</v>
      </c>
      <c r="AM16" s="148"/>
    </row>
    <row r="17" ht="24.95" customHeight="1" spans="1:39">
      <c r="A17" s="23">
        <v>12</v>
      </c>
      <c r="B17" s="108" t="s">
        <v>94</v>
      </c>
      <c r="C17" s="111" t="s">
        <v>95</v>
      </c>
      <c r="D17" s="23" t="s">
        <v>72</v>
      </c>
      <c r="E17" s="23">
        <v>0.133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4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35"/>
      <c r="AE17" s="136"/>
      <c r="AF17" s="110"/>
      <c r="AG17" s="136"/>
      <c r="AH17" s="136"/>
      <c r="AI17" s="136"/>
      <c r="AJ17" s="136"/>
      <c r="AK17" s="145">
        <f t="shared" si="1"/>
        <v>0</v>
      </c>
      <c r="AL17" s="146">
        <f t="shared" si="0"/>
        <v>0</v>
      </c>
      <c r="AM17" s="148"/>
    </row>
    <row r="18" ht="24.95" customHeight="1" spans="1:39">
      <c r="A18" s="23">
        <v>13</v>
      </c>
      <c r="B18" s="108" t="s">
        <v>96</v>
      </c>
      <c r="C18" s="111" t="s">
        <v>97</v>
      </c>
      <c r="D18" s="23" t="s">
        <v>72</v>
      </c>
      <c r="E18" s="23">
        <v>0.4</v>
      </c>
      <c r="F18" s="110"/>
      <c r="G18" s="110"/>
      <c r="H18" s="110"/>
      <c r="I18" s="110"/>
      <c r="J18" s="110"/>
      <c r="K18" s="110"/>
      <c r="L18" s="114"/>
      <c r="M18" s="110"/>
      <c r="N18" s="110"/>
      <c r="O18" s="110"/>
      <c r="P18" s="114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35"/>
      <c r="AE18" s="136"/>
      <c r="AF18" s="136"/>
      <c r="AG18" s="136"/>
      <c r="AH18" s="136"/>
      <c r="AI18" s="136"/>
      <c r="AJ18" s="136"/>
      <c r="AK18" s="145">
        <f t="shared" si="1"/>
        <v>0</v>
      </c>
      <c r="AL18" s="146">
        <f t="shared" si="0"/>
        <v>0</v>
      </c>
      <c r="AM18" s="148"/>
    </row>
    <row r="19" ht="24.95" customHeight="1" spans="1:39">
      <c r="A19" s="23">
        <v>13</v>
      </c>
      <c r="B19" s="108" t="s">
        <v>98</v>
      </c>
      <c r="C19" s="111" t="s">
        <v>99</v>
      </c>
      <c r="D19" s="23" t="s">
        <v>72</v>
      </c>
      <c r="E19" s="23">
        <v>0.4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14"/>
      <c r="P19" s="114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35"/>
      <c r="AE19" s="136"/>
      <c r="AF19" s="136"/>
      <c r="AG19" s="136"/>
      <c r="AH19" s="136"/>
      <c r="AI19" s="136"/>
      <c r="AJ19" s="136"/>
      <c r="AK19" s="145">
        <f t="shared" si="1"/>
        <v>0</v>
      </c>
      <c r="AL19" s="146">
        <f t="shared" si="0"/>
        <v>0</v>
      </c>
      <c r="AM19" s="148"/>
    </row>
    <row r="20" ht="24.95" customHeight="1" spans="1:39">
      <c r="A20" s="23">
        <v>13</v>
      </c>
      <c r="B20" s="108" t="s">
        <v>100</v>
      </c>
      <c r="C20" s="111" t="s">
        <v>101</v>
      </c>
      <c r="D20" s="23" t="s">
        <v>72</v>
      </c>
      <c r="E20" s="23">
        <v>0.133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4"/>
      <c r="P20" s="114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35"/>
      <c r="AE20" s="136"/>
      <c r="AF20" s="136"/>
      <c r="AG20" s="136"/>
      <c r="AH20" s="136"/>
      <c r="AI20" s="136"/>
      <c r="AJ20" s="136"/>
      <c r="AK20" s="145">
        <f t="shared" si="1"/>
        <v>0</v>
      </c>
      <c r="AL20" s="146">
        <f t="shared" si="0"/>
        <v>0</v>
      </c>
      <c r="AM20" s="148"/>
    </row>
    <row r="21" ht="24.95" customHeight="1" spans="1:39">
      <c r="A21" s="23">
        <v>13</v>
      </c>
      <c r="B21" s="108" t="s">
        <v>102</v>
      </c>
      <c r="C21" s="111" t="s">
        <v>103</v>
      </c>
      <c r="D21" s="23" t="s">
        <v>72</v>
      </c>
      <c r="E21" s="23">
        <v>0.133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4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35"/>
      <c r="AE21" s="136"/>
      <c r="AF21" s="136"/>
      <c r="AG21" s="136"/>
      <c r="AH21" s="136"/>
      <c r="AI21" s="136"/>
      <c r="AJ21" s="136"/>
      <c r="AK21" s="145">
        <f t="shared" si="1"/>
        <v>0</v>
      </c>
      <c r="AL21" s="146">
        <f t="shared" si="0"/>
        <v>0</v>
      </c>
      <c r="AM21" s="148"/>
    </row>
    <row r="22" ht="24.95" customHeight="1" spans="1:39">
      <c r="A22" s="23">
        <v>13</v>
      </c>
      <c r="B22" s="112" t="s">
        <v>104</v>
      </c>
      <c r="C22" s="113" t="s">
        <v>105</v>
      </c>
      <c r="D22" s="23" t="s">
        <v>72</v>
      </c>
      <c r="E22" s="23">
        <v>0.4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45">
        <f t="shared" si="1"/>
        <v>0</v>
      </c>
      <c r="AL22" s="146">
        <f t="shared" si="0"/>
        <v>0</v>
      </c>
      <c r="AM22" s="148"/>
    </row>
    <row r="23" ht="24.95" customHeight="1" spans="1:39">
      <c r="A23" s="23">
        <v>13</v>
      </c>
      <c r="B23" s="112" t="s">
        <v>106</v>
      </c>
      <c r="C23" s="113" t="s">
        <v>107</v>
      </c>
      <c r="D23" s="23" t="s">
        <v>72</v>
      </c>
      <c r="E23" s="23">
        <v>0.4</v>
      </c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45">
        <f t="shared" si="1"/>
        <v>0</v>
      </c>
      <c r="AL23" s="146">
        <f t="shared" si="0"/>
        <v>0</v>
      </c>
      <c r="AM23" s="148"/>
    </row>
    <row r="24" ht="24.95" customHeight="1" spans="1:39">
      <c r="A24" s="23">
        <v>13</v>
      </c>
      <c r="B24" s="112" t="s">
        <v>108</v>
      </c>
      <c r="C24" s="113" t="s">
        <v>109</v>
      </c>
      <c r="D24" s="23" t="s">
        <v>72</v>
      </c>
      <c r="E24" s="23">
        <v>0.133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45">
        <f t="shared" si="1"/>
        <v>0</v>
      </c>
      <c r="AL24" s="146">
        <f t="shared" si="0"/>
        <v>0</v>
      </c>
      <c r="AM24" s="148"/>
    </row>
    <row r="25" ht="24.95" customHeight="1" spans="1:39">
      <c r="A25" s="23">
        <v>13</v>
      </c>
      <c r="B25" s="112" t="s">
        <v>110</v>
      </c>
      <c r="C25" s="113" t="s">
        <v>111</v>
      </c>
      <c r="D25" s="23" t="s">
        <v>72</v>
      </c>
      <c r="E25" s="23">
        <v>0.133</v>
      </c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45">
        <f t="shared" si="1"/>
        <v>0</v>
      </c>
      <c r="AL25" s="146">
        <f t="shared" si="0"/>
        <v>0</v>
      </c>
      <c r="AM25" s="148"/>
    </row>
    <row r="26" ht="24.95" customHeight="1" spans="1:39">
      <c r="A26" s="23">
        <v>13</v>
      </c>
      <c r="B26" s="112" t="s">
        <v>112</v>
      </c>
      <c r="C26" s="113" t="s">
        <v>113</v>
      </c>
      <c r="D26" s="23" t="s">
        <v>72</v>
      </c>
      <c r="E26" s="23">
        <v>0.25</v>
      </c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4"/>
      <c r="R26" s="114"/>
      <c r="S26" s="114"/>
      <c r="T26" s="114"/>
      <c r="U26" s="114"/>
      <c r="V26" s="110"/>
      <c r="W26" s="110"/>
      <c r="X26" s="110"/>
      <c r="Y26" s="110"/>
      <c r="Z26" s="110"/>
      <c r="AA26" s="110"/>
      <c r="AB26" s="110"/>
      <c r="AC26" s="110"/>
      <c r="AD26" s="135"/>
      <c r="AE26" s="135"/>
      <c r="AF26" s="136"/>
      <c r="AG26" s="136"/>
      <c r="AH26" s="135"/>
      <c r="AI26" s="135"/>
      <c r="AJ26" s="135"/>
      <c r="AK26" s="145">
        <f t="shared" si="1"/>
        <v>0</v>
      </c>
      <c r="AL26" s="146">
        <f t="shared" si="0"/>
        <v>0</v>
      </c>
      <c r="AM26" s="148"/>
    </row>
    <row r="27" ht="24.95" customHeight="1" spans="1:39">
      <c r="A27" s="23">
        <v>13</v>
      </c>
      <c r="B27" s="108" t="s">
        <v>114</v>
      </c>
      <c r="C27" s="111" t="s">
        <v>115</v>
      </c>
      <c r="D27" s="23" t="s">
        <v>72</v>
      </c>
      <c r="E27" s="23">
        <v>0.25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35"/>
      <c r="AI27" s="135"/>
      <c r="AJ27" s="135"/>
      <c r="AK27" s="145">
        <f t="shared" si="1"/>
        <v>0</v>
      </c>
      <c r="AL27" s="146">
        <f t="shared" si="0"/>
        <v>0</v>
      </c>
      <c r="AM27" s="148"/>
    </row>
    <row r="28" ht="24.95" customHeight="1" spans="1:39">
      <c r="A28" s="23">
        <v>13</v>
      </c>
      <c r="B28" s="112" t="s">
        <v>116</v>
      </c>
      <c r="C28" s="113" t="s">
        <v>117</v>
      </c>
      <c r="D28" s="23" t="s">
        <v>72</v>
      </c>
      <c r="E28" s="23">
        <v>0.23</v>
      </c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4"/>
      <c r="R28" s="114"/>
      <c r="S28" s="114"/>
      <c r="T28" s="114"/>
      <c r="U28" s="114"/>
      <c r="V28" s="110"/>
      <c r="W28" s="110"/>
      <c r="X28" s="110"/>
      <c r="Y28" s="110"/>
      <c r="Z28" s="110"/>
      <c r="AA28" s="110"/>
      <c r="AB28" s="110"/>
      <c r="AC28" s="110"/>
      <c r="AD28" s="135"/>
      <c r="AE28" s="135"/>
      <c r="AF28" s="136"/>
      <c r="AG28" s="136"/>
      <c r="AH28" s="135"/>
      <c r="AI28" s="135"/>
      <c r="AJ28" s="135"/>
      <c r="AK28" s="145">
        <f t="shared" si="1"/>
        <v>0</v>
      </c>
      <c r="AL28" s="146">
        <f t="shared" si="0"/>
        <v>0</v>
      </c>
      <c r="AM28" s="148"/>
    </row>
    <row r="29" ht="24.95" customHeight="1" spans="1:39">
      <c r="A29" s="23">
        <v>13</v>
      </c>
      <c r="B29" s="108" t="s">
        <v>118</v>
      </c>
      <c r="C29" s="111" t="s">
        <v>119</v>
      </c>
      <c r="D29" s="23" t="s">
        <v>72</v>
      </c>
      <c r="E29" s="23">
        <v>0.67</v>
      </c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4"/>
      <c r="R29" s="114"/>
      <c r="S29" s="114"/>
      <c r="T29" s="114"/>
      <c r="U29" s="114"/>
      <c r="V29" s="110"/>
      <c r="W29" s="110"/>
      <c r="X29" s="110"/>
      <c r="Y29" s="110"/>
      <c r="Z29" s="110"/>
      <c r="AA29" s="110"/>
      <c r="AB29" s="110"/>
      <c r="AC29" s="110"/>
      <c r="AD29" s="135"/>
      <c r="AE29" s="135"/>
      <c r="AF29" s="136"/>
      <c r="AG29" s="136"/>
      <c r="AH29" s="135"/>
      <c r="AI29" s="135"/>
      <c r="AJ29" s="135"/>
      <c r="AK29" s="145">
        <f t="shared" si="1"/>
        <v>0</v>
      </c>
      <c r="AL29" s="146">
        <f t="shared" si="0"/>
        <v>0</v>
      </c>
      <c r="AM29" s="148"/>
    </row>
    <row r="30" ht="24.95" customHeight="1" spans="1:39">
      <c r="A30" s="23">
        <v>13</v>
      </c>
      <c r="B30" s="115"/>
      <c r="C30" s="116" t="s">
        <v>120</v>
      </c>
      <c r="D30" s="23" t="s">
        <v>72</v>
      </c>
      <c r="E30" s="23">
        <v>0.4</v>
      </c>
      <c r="F30" s="110"/>
      <c r="G30" s="110"/>
      <c r="H30" s="110"/>
      <c r="I30" s="114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45">
        <f t="shared" si="1"/>
        <v>0</v>
      </c>
      <c r="AL30" s="146">
        <f t="shared" si="0"/>
        <v>0</v>
      </c>
      <c r="AM30" s="148"/>
    </row>
    <row r="31" ht="24.95" customHeight="1" spans="1:39">
      <c r="A31" s="23">
        <v>13</v>
      </c>
      <c r="B31" s="117" t="s">
        <v>121</v>
      </c>
      <c r="C31" s="116" t="s">
        <v>122</v>
      </c>
      <c r="D31" s="23" t="s">
        <v>72</v>
      </c>
      <c r="E31" s="23">
        <v>0.67</v>
      </c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35"/>
      <c r="AE31" s="135"/>
      <c r="AF31" s="135"/>
      <c r="AG31" s="149"/>
      <c r="AH31" s="149"/>
      <c r="AI31" s="135"/>
      <c r="AJ31" s="110"/>
      <c r="AK31" s="145">
        <f t="shared" si="1"/>
        <v>0</v>
      </c>
      <c r="AL31" s="146">
        <f t="shared" si="0"/>
        <v>0</v>
      </c>
      <c r="AM31" s="148"/>
    </row>
    <row r="32" ht="24.95" customHeight="1" spans="1:39">
      <c r="A32" s="23">
        <v>13</v>
      </c>
      <c r="B32" s="117" t="s">
        <v>123</v>
      </c>
      <c r="C32" s="116" t="s">
        <v>124</v>
      </c>
      <c r="D32" s="23" t="s">
        <v>72</v>
      </c>
      <c r="E32" s="23">
        <v>0.67</v>
      </c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35"/>
      <c r="AE32" s="135"/>
      <c r="AF32" s="135"/>
      <c r="AG32" s="149"/>
      <c r="AH32" s="149"/>
      <c r="AI32" s="135"/>
      <c r="AJ32" s="110"/>
      <c r="AK32" s="145">
        <f t="shared" si="1"/>
        <v>0</v>
      </c>
      <c r="AL32" s="146">
        <f t="shared" si="0"/>
        <v>0</v>
      </c>
      <c r="AM32" s="148"/>
    </row>
    <row r="33" ht="24.95" customHeight="1" spans="1:39">
      <c r="A33" s="23">
        <v>13</v>
      </c>
      <c r="B33" s="117" t="s">
        <v>125</v>
      </c>
      <c r="C33" s="116" t="s">
        <v>126</v>
      </c>
      <c r="D33" s="23" t="s">
        <v>72</v>
      </c>
      <c r="E33" s="23">
        <v>0.133</v>
      </c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35"/>
      <c r="AJ33" s="110"/>
      <c r="AK33" s="145">
        <v>0</v>
      </c>
      <c r="AL33" s="146">
        <f t="shared" si="0"/>
        <v>0</v>
      </c>
      <c r="AM33" s="148"/>
    </row>
    <row r="34" ht="24.95" customHeight="1" spans="1:39">
      <c r="A34" s="23">
        <v>13</v>
      </c>
      <c r="B34" s="117" t="s">
        <v>127</v>
      </c>
      <c r="C34" s="116" t="s">
        <v>128</v>
      </c>
      <c r="D34" s="23" t="s">
        <v>72</v>
      </c>
      <c r="E34" s="23">
        <v>0.4</v>
      </c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35"/>
      <c r="AJ34" s="110"/>
      <c r="AK34" s="145">
        <f t="shared" si="1"/>
        <v>0</v>
      </c>
      <c r="AL34" s="146">
        <f t="shared" si="0"/>
        <v>0</v>
      </c>
      <c r="AM34" s="148"/>
    </row>
    <row r="35" ht="24.95" customHeight="1" spans="1:39">
      <c r="A35" s="23">
        <v>13</v>
      </c>
      <c r="B35" s="117" t="s">
        <v>129</v>
      </c>
      <c r="C35" s="116" t="s">
        <v>130</v>
      </c>
      <c r="D35" s="23" t="s">
        <v>72</v>
      </c>
      <c r="E35" s="23">
        <v>0.4</v>
      </c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45">
        <f t="shared" si="1"/>
        <v>0</v>
      </c>
      <c r="AL35" s="146">
        <f t="shared" si="0"/>
        <v>0</v>
      </c>
      <c r="AM35" s="148"/>
    </row>
    <row r="36" ht="24.95" customHeight="1" spans="1:39">
      <c r="A36" s="23">
        <v>13</v>
      </c>
      <c r="B36" s="117" t="s">
        <v>131</v>
      </c>
      <c r="C36" s="116" t="s">
        <v>132</v>
      </c>
      <c r="D36" s="23" t="s">
        <v>72</v>
      </c>
      <c r="E36" s="23">
        <v>0.133</v>
      </c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45">
        <f>F36+G36+H36+I36+K36+L36+M36+J36+N36+O36+P36+Q36+R36+S36+T36+U36+V36+W36+X36+Y36+Z36+AA36+AB36+AC36+AD36+AE36+AF36+AG36+AH36+AI36+AJ36</f>
        <v>0</v>
      </c>
      <c r="AL36" s="146">
        <f t="shared" si="0"/>
        <v>0</v>
      </c>
      <c r="AM36" s="148"/>
    </row>
    <row r="37" ht="24.95" customHeight="1" spans="1:39">
      <c r="A37" s="23">
        <v>13</v>
      </c>
      <c r="B37" s="118" t="s">
        <v>133</v>
      </c>
      <c r="C37" s="119" t="s">
        <v>134</v>
      </c>
      <c r="D37" s="23" t="s">
        <v>72</v>
      </c>
      <c r="E37" s="23">
        <v>0.133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45">
        <f t="shared" si="1"/>
        <v>0</v>
      </c>
      <c r="AL37" s="146">
        <f t="shared" si="0"/>
        <v>0</v>
      </c>
      <c r="AM37" s="148"/>
    </row>
    <row r="38" ht="24.95" customHeight="1" spans="1:39">
      <c r="A38" s="23">
        <v>13</v>
      </c>
      <c r="B38" s="118" t="s">
        <v>135</v>
      </c>
      <c r="C38" s="119" t="s">
        <v>136</v>
      </c>
      <c r="D38" s="23" t="s">
        <v>72</v>
      </c>
      <c r="E38" s="23">
        <v>0.25</v>
      </c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45">
        <f t="shared" si="1"/>
        <v>0</v>
      </c>
      <c r="AL38" s="146">
        <f t="shared" si="0"/>
        <v>0</v>
      </c>
      <c r="AM38" s="148"/>
    </row>
    <row r="39" ht="24.95" customHeight="1" spans="1:39">
      <c r="A39" s="23">
        <v>13</v>
      </c>
      <c r="B39" s="118" t="s">
        <v>137</v>
      </c>
      <c r="C39" s="119" t="s">
        <v>138</v>
      </c>
      <c r="D39" s="23" t="s">
        <v>72</v>
      </c>
      <c r="E39" s="23">
        <v>0.25</v>
      </c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45">
        <f t="shared" si="1"/>
        <v>0</v>
      </c>
      <c r="AL39" s="146">
        <f t="shared" si="0"/>
        <v>0</v>
      </c>
      <c r="AM39" s="148"/>
    </row>
    <row r="40" ht="24.95" customHeight="1" spans="1:39">
      <c r="A40" s="23">
        <v>13</v>
      </c>
      <c r="B40" s="118" t="s">
        <v>139</v>
      </c>
      <c r="C40" s="119" t="s">
        <v>140</v>
      </c>
      <c r="D40" s="23" t="s">
        <v>72</v>
      </c>
      <c r="E40" s="23">
        <v>0.23</v>
      </c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45">
        <f t="shared" si="1"/>
        <v>0</v>
      </c>
      <c r="AL40" s="146">
        <f t="shared" si="0"/>
        <v>0</v>
      </c>
      <c r="AM40" s="148"/>
    </row>
    <row r="41" ht="24.95" customHeight="1" spans="1:39">
      <c r="A41" s="23">
        <v>13</v>
      </c>
      <c r="B41" s="118" t="s">
        <v>141</v>
      </c>
      <c r="C41" s="119" t="s">
        <v>142</v>
      </c>
      <c r="D41" s="23" t="s">
        <v>72</v>
      </c>
      <c r="E41" s="23">
        <v>0.373</v>
      </c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45">
        <f t="shared" si="1"/>
        <v>0</v>
      </c>
      <c r="AL41" s="146">
        <f t="shared" si="0"/>
        <v>0</v>
      </c>
      <c r="AM41" s="148"/>
    </row>
    <row r="42" ht="24.95" customHeight="1" spans="1:39">
      <c r="A42" s="23">
        <v>13</v>
      </c>
      <c r="B42" s="117" t="s">
        <v>143</v>
      </c>
      <c r="C42" s="116" t="s">
        <v>144</v>
      </c>
      <c r="D42" s="23" t="s">
        <v>72</v>
      </c>
      <c r="E42" s="23">
        <v>0.373</v>
      </c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  <c r="AF42" s="110"/>
      <c r="AG42" s="110"/>
      <c r="AH42" s="110"/>
      <c r="AI42" s="136"/>
      <c r="AJ42" s="110"/>
      <c r="AK42" s="145">
        <f t="shared" si="1"/>
        <v>0</v>
      </c>
      <c r="AL42" s="146">
        <f t="shared" si="0"/>
        <v>0</v>
      </c>
      <c r="AM42" s="148"/>
    </row>
    <row r="43" ht="24.95" customHeight="1" spans="1:39">
      <c r="A43" s="23">
        <v>13</v>
      </c>
      <c r="B43" s="118" t="s">
        <v>145</v>
      </c>
      <c r="C43" s="119" t="s">
        <v>146</v>
      </c>
      <c r="D43" s="23" t="s">
        <v>72</v>
      </c>
      <c r="E43" s="23">
        <v>0.373</v>
      </c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36"/>
      <c r="AJ43" s="110"/>
      <c r="AK43" s="145">
        <f t="shared" si="1"/>
        <v>0</v>
      </c>
      <c r="AL43" s="146">
        <f t="shared" si="0"/>
        <v>0</v>
      </c>
      <c r="AM43" s="148"/>
    </row>
    <row r="44" ht="24.95" customHeight="1" spans="1:39">
      <c r="A44" s="23">
        <v>13</v>
      </c>
      <c r="B44" s="117" t="s">
        <v>147</v>
      </c>
      <c r="C44" s="116" t="s">
        <v>148</v>
      </c>
      <c r="D44" s="23" t="s">
        <v>72</v>
      </c>
      <c r="E44" s="23">
        <v>0.373</v>
      </c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35"/>
      <c r="AI44" s="136"/>
      <c r="AJ44" s="110"/>
      <c r="AK44" s="145">
        <f t="shared" si="1"/>
        <v>0</v>
      </c>
      <c r="AL44" s="146">
        <f t="shared" si="0"/>
        <v>0</v>
      </c>
      <c r="AM44" s="148"/>
    </row>
    <row r="45" ht="24.95" customHeight="1" spans="1:39">
      <c r="A45" s="23">
        <v>13</v>
      </c>
      <c r="B45" s="120"/>
      <c r="C45" s="120"/>
      <c r="D45" s="23" t="s">
        <v>72</v>
      </c>
      <c r="E45" s="23">
        <v>0.4</v>
      </c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45">
        <f t="shared" si="1"/>
        <v>0</v>
      </c>
      <c r="AL45" s="146">
        <f t="shared" si="0"/>
        <v>0</v>
      </c>
      <c r="AM45" s="148"/>
    </row>
    <row r="46" ht="24.95" customHeight="1" spans="1:39">
      <c r="A46" s="23">
        <v>13</v>
      </c>
      <c r="B46" s="120"/>
      <c r="C46" s="120" t="s">
        <v>149</v>
      </c>
      <c r="D46" s="23" t="s">
        <v>72</v>
      </c>
      <c r="E46" s="23">
        <v>0.4</v>
      </c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45">
        <f>SUM(F46:AJ46)</f>
        <v>0</v>
      </c>
      <c r="AL46" s="146">
        <f t="shared" si="0"/>
        <v>0</v>
      </c>
      <c r="AM46" s="148"/>
    </row>
    <row r="47" ht="24.95" customHeight="1" spans="1:39">
      <c r="A47" s="23">
        <v>13</v>
      </c>
      <c r="B47" s="120"/>
      <c r="C47" s="120" t="s">
        <v>150</v>
      </c>
      <c r="D47" s="23" t="s">
        <v>72</v>
      </c>
      <c r="E47" s="23">
        <v>0.133</v>
      </c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45">
        <f t="shared" si="1"/>
        <v>0</v>
      </c>
      <c r="AL47" s="146">
        <f t="shared" si="0"/>
        <v>0</v>
      </c>
      <c r="AM47" s="148"/>
    </row>
    <row r="48" ht="24.95" customHeight="1" spans="1:39">
      <c r="A48" s="23"/>
      <c r="B48" s="120"/>
      <c r="C48" s="120" t="s">
        <v>151</v>
      </c>
      <c r="D48" s="23" t="s">
        <v>72</v>
      </c>
      <c r="E48" s="23">
        <v>0.133</v>
      </c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45">
        <f t="shared" si="1"/>
        <v>0</v>
      </c>
      <c r="AL48" s="146">
        <f t="shared" si="0"/>
        <v>0</v>
      </c>
      <c r="AM48" s="148"/>
    </row>
    <row r="49" ht="24.95" customHeight="1" spans="1:39">
      <c r="A49" s="23"/>
      <c r="B49" s="120"/>
      <c r="C49" s="120" t="s">
        <v>152</v>
      </c>
      <c r="D49" s="23" t="s">
        <v>72</v>
      </c>
      <c r="E49" s="23">
        <v>0.4</v>
      </c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45">
        <f t="shared" si="1"/>
        <v>0</v>
      </c>
      <c r="AL49" s="146">
        <f t="shared" si="0"/>
        <v>0</v>
      </c>
      <c r="AM49" s="148"/>
    </row>
    <row r="50" ht="24.95" customHeight="1" spans="1:39">
      <c r="A50" s="23"/>
      <c r="B50" s="120"/>
      <c r="C50" s="120" t="s">
        <v>153</v>
      </c>
      <c r="D50" s="23" t="s">
        <v>72</v>
      </c>
      <c r="E50" s="23">
        <v>0.4</v>
      </c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45">
        <f t="shared" si="1"/>
        <v>0</v>
      </c>
      <c r="AL50" s="146">
        <f t="shared" si="0"/>
        <v>0</v>
      </c>
      <c r="AM50" s="148"/>
    </row>
    <row r="51" ht="24.95" customHeight="1" spans="1:39">
      <c r="A51" s="23"/>
      <c r="B51" s="120"/>
      <c r="C51" s="120" t="s">
        <v>154</v>
      </c>
      <c r="D51" s="23" t="s">
        <v>72</v>
      </c>
      <c r="E51" s="23">
        <v>0.133</v>
      </c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45">
        <f t="shared" si="1"/>
        <v>0</v>
      </c>
      <c r="AL51" s="146">
        <f t="shared" si="0"/>
        <v>0</v>
      </c>
      <c r="AM51" s="148"/>
    </row>
    <row r="52" ht="24.95" customHeight="1" spans="1:39">
      <c r="A52" s="23">
        <v>23</v>
      </c>
      <c r="B52" s="121"/>
      <c r="C52" s="120" t="s">
        <v>155</v>
      </c>
      <c r="D52" s="23" t="s">
        <v>72</v>
      </c>
      <c r="E52" s="23">
        <v>0.133</v>
      </c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45">
        <f t="shared" si="1"/>
        <v>0</v>
      </c>
      <c r="AL52" s="146">
        <f t="shared" si="0"/>
        <v>0</v>
      </c>
      <c r="AM52" s="148"/>
    </row>
    <row r="53" ht="24.95" customHeight="1" spans="1:39">
      <c r="A53" s="23">
        <v>24</v>
      </c>
      <c r="B53" s="207"/>
      <c r="C53" s="120" t="s">
        <v>156</v>
      </c>
      <c r="D53" s="23" t="s">
        <v>72</v>
      </c>
      <c r="E53" s="23">
        <v>0.25</v>
      </c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45">
        <f t="shared" si="1"/>
        <v>0</v>
      </c>
      <c r="AL53" s="146">
        <f t="shared" si="0"/>
        <v>0</v>
      </c>
      <c r="AM53" s="148"/>
    </row>
    <row r="54" ht="24.95" customHeight="1" spans="1:39">
      <c r="A54" s="23">
        <v>25</v>
      </c>
      <c r="B54" s="121"/>
      <c r="C54" s="120" t="s">
        <v>157</v>
      </c>
      <c r="D54" s="23" t="s">
        <v>72</v>
      </c>
      <c r="E54" s="23">
        <v>0.25</v>
      </c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45">
        <f t="shared" si="1"/>
        <v>0</v>
      </c>
      <c r="AL54" s="146">
        <f t="shared" si="0"/>
        <v>0</v>
      </c>
      <c r="AM54" s="148"/>
    </row>
    <row r="55" ht="24.95" customHeight="1" spans="1:39">
      <c r="A55" s="23">
        <v>26</v>
      </c>
      <c r="B55" s="121"/>
      <c r="C55" s="120"/>
      <c r="D55" s="23" t="s">
        <v>72</v>
      </c>
      <c r="E55" s="23">
        <v>0.23</v>
      </c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45">
        <f t="shared" si="1"/>
        <v>0</v>
      </c>
      <c r="AL55" s="146">
        <f t="shared" si="0"/>
        <v>0</v>
      </c>
      <c r="AM55" s="148"/>
    </row>
    <row r="56" ht="24.95" customHeight="1" spans="1:39">
      <c r="A56" s="23">
        <v>27</v>
      </c>
      <c r="B56" s="123" t="s">
        <v>147</v>
      </c>
      <c r="C56" s="116" t="s">
        <v>148</v>
      </c>
      <c r="D56" s="23" t="s">
        <v>72</v>
      </c>
      <c r="E56" s="23">
        <v>0.373</v>
      </c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45">
        <f t="shared" si="1"/>
        <v>0</v>
      </c>
      <c r="AL56" s="146">
        <f t="shared" si="0"/>
        <v>0</v>
      </c>
      <c r="AM56" s="148"/>
    </row>
    <row r="57" ht="24.95" customHeight="1" spans="1:39">
      <c r="A57" s="23"/>
      <c r="B57" s="123"/>
      <c r="C57" s="120"/>
      <c r="D57" s="23" t="s">
        <v>72</v>
      </c>
      <c r="E57" s="23">
        <v>0.373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45">
        <f t="shared" si="1"/>
        <v>0</v>
      </c>
      <c r="AL57" s="146">
        <f t="shared" si="0"/>
        <v>0</v>
      </c>
      <c r="AM57" s="148"/>
    </row>
    <row r="58" ht="24.95" customHeight="1" spans="1:39">
      <c r="A58" s="23"/>
      <c r="B58" s="123"/>
      <c r="C58" s="120" t="s">
        <v>158</v>
      </c>
      <c r="D58" s="23" t="s">
        <v>72</v>
      </c>
      <c r="E58" s="23">
        <v>0.373</v>
      </c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45">
        <f t="shared" si="1"/>
        <v>0</v>
      </c>
      <c r="AL58" s="146">
        <f t="shared" si="0"/>
        <v>0</v>
      </c>
      <c r="AM58" s="148"/>
    </row>
    <row r="59" ht="24.95" customHeight="1" spans="1:39">
      <c r="A59" s="23"/>
      <c r="B59" s="123"/>
      <c r="C59" s="120" t="s">
        <v>159</v>
      </c>
      <c r="D59" s="23" t="s">
        <v>72</v>
      </c>
      <c r="E59" s="23">
        <v>0.373</v>
      </c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45">
        <f t="shared" si="1"/>
        <v>0</v>
      </c>
      <c r="AL59" s="146">
        <f t="shared" si="0"/>
        <v>0</v>
      </c>
      <c r="AM59" s="148"/>
    </row>
    <row r="60" ht="24.95" customHeight="1" spans="1:39">
      <c r="A60" s="23">
        <v>28</v>
      </c>
      <c r="B60" s="123" t="s">
        <v>160</v>
      </c>
      <c r="C60" s="124" t="s">
        <v>161</v>
      </c>
      <c r="D60" s="23" t="s">
        <v>72</v>
      </c>
      <c r="E60" s="23">
        <v>0.133</v>
      </c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45">
        <f t="shared" si="1"/>
        <v>0</v>
      </c>
      <c r="AL60" s="146">
        <f t="shared" si="0"/>
        <v>0</v>
      </c>
      <c r="AM60" s="148"/>
    </row>
    <row r="61" ht="24.95" customHeight="1" spans="1:39">
      <c r="A61" s="23">
        <v>29</v>
      </c>
      <c r="B61" s="123" t="s">
        <v>162</v>
      </c>
      <c r="C61" s="124" t="s">
        <v>163</v>
      </c>
      <c r="D61" s="23" t="s">
        <v>72</v>
      </c>
      <c r="E61" s="23">
        <v>0.133</v>
      </c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45">
        <f t="shared" si="1"/>
        <v>0</v>
      </c>
      <c r="AL61" s="146">
        <f t="shared" si="0"/>
        <v>0</v>
      </c>
      <c r="AM61" s="148"/>
    </row>
    <row r="62" ht="24.95" customHeight="1" spans="1:39">
      <c r="A62" s="23">
        <v>30</v>
      </c>
      <c r="B62" s="123" t="s">
        <v>164</v>
      </c>
      <c r="C62" s="124" t="s">
        <v>165</v>
      </c>
      <c r="D62" s="23" t="s">
        <v>72</v>
      </c>
      <c r="E62" s="23">
        <v>0.373</v>
      </c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45">
        <f t="shared" si="1"/>
        <v>0</v>
      </c>
      <c r="AL62" s="146">
        <f t="shared" si="0"/>
        <v>0</v>
      </c>
      <c r="AM62" s="148"/>
    </row>
    <row r="63" ht="24.95" customHeight="1" spans="1:39">
      <c r="A63" s="23">
        <v>31</v>
      </c>
      <c r="B63" s="123" t="s">
        <v>166</v>
      </c>
      <c r="C63" s="124" t="s">
        <v>167</v>
      </c>
      <c r="D63" s="23" t="s">
        <v>72</v>
      </c>
      <c r="E63" s="23">
        <v>0.373</v>
      </c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45">
        <f t="shared" si="1"/>
        <v>0</v>
      </c>
      <c r="AL63" s="146">
        <f t="shared" si="0"/>
        <v>0</v>
      </c>
      <c r="AM63" s="148"/>
    </row>
    <row r="64" ht="24.95" customHeight="1" spans="1:39">
      <c r="A64" s="23">
        <v>32</v>
      </c>
      <c r="B64" s="123" t="s">
        <v>168</v>
      </c>
      <c r="C64" s="124" t="s">
        <v>153</v>
      </c>
      <c r="D64" s="23" t="s">
        <v>72</v>
      </c>
      <c r="E64" s="23">
        <v>0.373</v>
      </c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45">
        <f t="shared" si="1"/>
        <v>0</v>
      </c>
      <c r="AL64" s="146">
        <f t="shared" si="0"/>
        <v>0</v>
      </c>
      <c r="AM64" s="148"/>
    </row>
    <row r="65" ht="24.95" customHeight="1" spans="1:39">
      <c r="A65" s="23">
        <v>33</v>
      </c>
      <c r="B65" s="123" t="s">
        <v>169</v>
      </c>
      <c r="C65" s="124" t="s">
        <v>170</v>
      </c>
      <c r="D65" s="23" t="s">
        <v>72</v>
      </c>
      <c r="E65" s="23">
        <v>0.373</v>
      </c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45">
        <f t="shared" si="1"/>
        <v>0</v>
      </c>
      <c r="AL65" s="146">
        <f t="shared" si="0"/>
        <v>0</v>
      </c>
      <c r="AM65" s="148"/>
    </row>
    <row r="66" ht="24.95" customHeight="1" spans="1:39">
      <c r="A66" s="23">
        <v>34</v>
      </c>
      <c r="B66" s="123" t="s">
        <v>171</v>
      </c>
      <c r="C66" s="124" t="s">
        <v>172</v>
      </c>
      <c r="D66" s="23" t="s">
        <v>72</v>
      </c>
      <c r="E66" s="23">
        <v>0.373</v>
      </c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45">
        <f t="shared" si="1"/>
        <v>0</v>
      </c>
      <c r="AL66" s="146">
        <f t="shared" si="0"/>
        <v>0</v>
      </c>
      <c r="AM66" s="177"/>
    </row>
    <row r="67" ht="24.95" customHeight="1" spans="1:39">
      <c r="A67" s="23">
        <v>35</v>
      </c>
      <c r="B67" s="123" t="s">
        <v>173</v>
      </c>
      <c r="C67" s="124" t="s">
        <v>174</v>
      </c>
      <c r="D67" s="23" t="s">
        <v>72</v>
      </c>
      <c r="E67" s="23">
        <v>0.373</v>
      </c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45">
        <f t="shared" si="1"/>
        <v>0</v>
      </c>
      <c r="AL67" s="146">
        <f t="shared" si="0"/>
        <v>0</v>
      </c>
      <c r="AM67" s="177"/>
    </row>
    <row r="68" ht="24.95" customHeight="1" spans="1:39">
      <c r="A68" s="23">
        <v>36</v>
      </c>
      <c r="B68" s="123"/>
      <c r="C68" s="124" t="s">
        <v>175</v>
      </c>
      <c r="D68" s="23" t="s">
        <v>72</v>
      </c>
      <c r="E68" s="23">
        <v>0.373</v>
      </c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45">
        <f t="shared" si="1"/>
        <v>0</v>
      </c>
      <c r="AL68" s="146">
        <f t="shared" si="0"/>
        <v>0</v>
      </c>
      <c r="AM68" s="177"/>
    </row>
    <row r="69" ht="24.95" customHeight="1" spans="1:39">
      <c r="A69" s="23">
        <v>37</v>
      </c>
      <c r="B69" s="123"/>
      <c r="C69" s="124" t="s">
        <v>176</v>
      </c>
      <c r="D69" s="23" t="s">
        <v>72</v>
      </c>
      <c r="E69" s="23">
        <v>0.373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0">
        <v>0</v>
      </c>
      <c r="P69" s="110">
        <v>0</v>
      </c>
      <c r="Q69" s="110">
        <v>0</v>
      </c>
      <c r="R69" s="110">
        <v>0</v>
      </c>
      <c r="S69" s="110">
        <v>0</v>
      </c>
      <c r="T69" s="110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10">
        <v>0</v>
      </c>
      <c r="AD69" s="110">
        <v>0</v>
      </c>
      <c r="AE69" s="110">
        <v>0</v>
      </c>
      <c r="AF69" s="110">
        <v>0</v>
      </c>
      <c r="AG69" s="110">
        <v>0</v>
      </c>
      <c r="AH69" s="110">
        <v>0</v>
      </c>
      <c r="AI69" s="110">
        <v>0</v>
      </c>
      <c r="AJ69" s="110">
        <v>0</v>
      </c>
      <c r="AK69" s="145">
        <f t="shared" si="1"/>
        <v>0</v>
      </c>
      <c r="AL69" s="146">
        <f t="shared" si="0"/>
        <v>0</v>
      </c>
      <c r="AM69" s="177"/>
    </row>
    <row r="70" ht="24.95" customHeight="1" spans="1:39">
      <c r="A70" s="150" t="s">
        <v>5</v>
      </c>
      <c r="B70" s="152"/>
      <c r="C70" s="152"/>
      <c r="D70" s="153"/>
      <c r="E70" s="154"/>
      <c r="F70" s="154">
        <f>F6+F7+F8+F9+F10+F11+F12+F13+F14+F15+F16+F17+F18+F19+F20+F21+F22+F23+F24+F25+F26+F27+F28+F29+F30+F31+F32+F33+F34+F35+F36+F37+F38+F39+F40+F41+F42+F43+F44+F45+F46+F47+F48+F49+F50+F51+F52+F53+F54+F55+F56+F60+F61+F62+F63+F64+F65+F66+F67+F68+F69</f>
        <v>0</v>
      </c>
      <c r="G70" s="154">
        <f>G6+G7+G8+G9+G10+G11+G12+G13+G14+G15+G16+G17+G18+G19+G20+G21+G22+G23+G24+G25+G26+G27+G28+G29+G30+G31+G32+G33+G34+G35+G36+G37+G38+G39+G40+G41+G42+G43+G44+G45+G46+G47+G48+G49+G50+G51+G52+G53+G54+G55+G56+G60+G61+G62+G63+G64+G65+G66+G67+G68+G69</f>
        <v>0</v>
      </c>
      <c r="H70" s="154">
        <f>H6+H7+H8+H9+H10+H11+H12+H13+H14+H15+H16+H17+H18+H19+H20+H21+H22+H23+H24+H25+H26+H27+H28+H29+H30+H31+H32+H33+H34+H35+H36+H37+H38+H39+H40+H41+H42+H43+H44+H45+H46+H47+H48+H49+H50+H51+H52+H53+H54+H55+H56+H60+H61+H62+H63+H64+H65+H66+H67+H68+H69</f>
        <v>0</v>
      </c>
      <c r="I70" s="154">
        <f>I6+I7+I8+I9+I10+I11+I12+I13+I14+I15+I16+I17+I18+I19+I20+I21+I22+I23+I24+I25+I26+I27+I28+I29+I30+I31+I32+I33+I34+I35+I36+I37+I38+I39+I40+I41+I42+I43+I44+I45+I46+I47+I48+I49+I50+I51+I52+I53+I54+I55+I56+I60+I61+I62+I63+I64+I65+I66+I67+I68+I69</f>
        <v>0</v>
      </c>
      <c r="J70" s="154">
        <f>J6+J7+J8+J9+J10+J11+J12+J13+J14+J15+J16+J17+J18+J19+J20+J21+J22+J23+J24+J25+J26+J27+J28+J29+J30+J31+J32+J33+J34+J35+K36+J37+J38+J39+J40+J41+J42+J43+J44+J45+J46+J47+J48+J49+J50+J51+J52+J53+J54+J55+J56+J60+J61+J62+J63+J64+J65+J66+J67+J68+J69</f>
        <v>0</v>
      </c>
      <c r="K70" s="154">
        <f>K6+K7+K8+K9+K10+K11+K12+K13+K14+K15+K16+K17+K18+K19+K20+K21+K22+K23+K24+K25+K26+K27+K28+K29+K30+K31+K32+K33+K34+K35+L36+K37+K38+K39+K40+K41+K42+K43+K44+K45+K46+K47+K48+K49+K50+K51+K52+K53+K54+K55+K56+K60+K61+K62+K63+K64+K65+K66+K67+K68+K69</f>
        <v>0</v>
      </c>
      <c r="L70" s="154">
        <f>L6+L7+L8+L9+L10+L11+L12+L13+L14+L15+L16+L17+L18+L19+L20+L21+L22+L23+L24+L25+L26+L27+L28+L29+L30+L31+L32+L33+L34+L35+M36+L37+L38+L39+L40+L41+L42+L43+L44+L45+L46+L47+L48+L49+L50+L51+L52+L53+L54+L55+L56+L60+L61+L62+L63+L64+L65+L66+L67+L68+L69</f>
        <v>0</v>
      </c>
      <c r="M70" s="154">
        <f>M6+M7+M8+M9+M10+M11+M12+M13+M14+M15+M16+M17+M18+M19+M20+M21+M22+M23+M24+M25+M26+M27+M28+M29+M30+M31+M32+M33+M34+M35+N36+M37+M38+M39+M40+M41+M42+M43+M44+M45+M46+M47+M48+M49+M50+M51+M52+M53+M54+M55+M56+M60+M61+M62+M63+M64+M65+M66+M67+M68+M69</f>
        <v>0</v>
      </c>
      <c r="N70" s="154">
        <f>N6+N7+N8+N9+N10+N11+N12+N13+N14+N15+N16+N17+N18+N19+N20+N21+N22+N23+N24+N25+N26+N27+N28+N29+N30+N31+N32+N33+N34+N35+N36+N37+N38+N39+N40+N41+N42+N43+N44+N45+N46+N47+N48+N49+N50+N51+N52+N53+N54+N55+N56+N60+N61+N62+N63+N64+N65+N66+N67+N68+N69</f>
        <v>0</v>
      </c>
      <c r="O70" s="154">
        <f t="shared" ref="O70:AL70" si="2">O6+O7+O8+O9+O10+O11+O12+O13+O14+O15+O16+O17+O18+O19+O20+O21+O22+O23+O24+O25+O26+O27+O28+O29+O30+O31+O32+O33+O34+O35+O36+O37+O38+O39+O40+O41+O42+O43+O44+O45+O46+O47+O48+O49+O50+O51+O52+O53+O54+O55+O56+O60+O61+O62+O63+O64+O65+O66+O67+O68+O69</f>
        <v>0</v>
      </c>
      <c r="P70" s="154">
        <f t="shared" si="2"/>
        <v>0</v>
      </c>
      <c r="Q70" s="154">
        <f t="shared" si="2"/>
        <v>0</v>
      </c>
      <c r="R70" s="154">
        <f t="shared" si="2"/>
        <v>0</v>
      </c>
      <c r="S70" s="154">
        <f t="shared" si="2"/>
        <v>0</v>
      </c>
      <c r="T70" s="154">
        <f t="shared" si="2"/>
        <v>0</v>
      </c>
      <c r="U70" s="154">
        <f t="shared" si="2"/>
        <v>0</v>
      </c>
      <c r="V70" s="154">
        <f t="shared" si="2"/>
        <v>0</v>
      </c>
      <c r="W70" s="154">
        <f t="shared" si="2"/>
        <v>0</v>
      </c>
      <c r="X70" s="154">
        <f t="shared" si="2"/>
        <v>0</v>
      </c>
      <c r="Y70" s="154">
        <f t="shared" si="2"/>
        <v>0</v>
      </c>
      <c r="Z70" s="154">
        <f t="shared" si="2"/>
        <v>0</v>
      </c>
      <c r="AA70" s="154">
        <f t="shared" si="2"/>
        <v>0</v>
      </c>
      <c r="AB70" s="154">
        <f t="shared" si="2"/>
        <v>0</v>
      </c>
      <c r="AC70" s="154">
        <f t="shared" si="2"/>
        <v>0</v>
      </c>
      <c r="AD70" s="154">
        <f t="shared" si="2"/>
        <v>0</v>
      </c>
      <c r="AE70" s="154">
        <f t="shared" si="2"/>
        <v>0</v>
      </c>
      <c r="AF70" s="154">
        <f>AF6+AF7+AF8+AF9+AF10+AF11+AF12+AF13+AF14+AF15+AF16+AF17+AF18+AF19+AF20+AF21+AF22+AF23+AF24+AF25+AF26+AF27+AF28+AF29+AF30+AF31+AF32+AG33+AF34+AF35+AF36+AF37+AF38+AF39+AF40+AF41+AF42+AF43+AF44+AF45+AF46+AF47+AF48+AF49+AF50+AF51+AF52+AF53+AF54+AF55+AF56+AF60+AF61+AF62+AF63+AF64+AF65+AF66+AF67+AF68+AF69</f>
        <v>0</v>
      </c>
      <c r="AG70" s="154">
        <f>AG6+AG7+AG8+AG9+AG10+AG11+AG12+AG13+AG14+AG15+AG16+AG17+AG18+AG19+AG20+AG21+AG22+AG23+AG24+AG25+AG26+AG27+AG28+AG29+AG30+AG31+AG32+AH33+AG34+AG35+AG36+AG37+AG38+AG39+AG40+AG41+AG42+AG43+AG44+AG45+AG46+AG47+AG48+AG49+AG50+AG51+AG52+AG53+AG54+AG55+AG56+AG60+AG61+AG62+AG63+AG64+AG65+AG66+AG67+AG68+AG69</f>
        <v>0</v>
      </c>
      <c r="AH70" s="154">
        <f t="shared" si="2"/>
        <v>0</v>
      </c>
      <c r="AI70" s="154">
        <f t="shared" si="2"/>
        <v>0</v>
      </c>
      <c r="AJ70" s="154">
        <f t="shared" si="2"/>
        <v>0</v>
      </c>
      <c r="AK70" s="154">
        <f t="shared" si="2"/>
        <v>0</v>
      </c>
      <c r="AL70" s="154">
        <f t="shared" si="2"/>
        <v>0</v>
      </c>
      <c r="AM70" s="141"/>
    </row>
    <row r="71" ht="24.95" hidden="1" customHeight="1" spans="1:38">
      <c r="A71" s="155"/>
      <c r="B71" s="155"/>
      <c r="C71" s="155"/>
      <c r="D71" s="155"/>
      <c r="E71" s="156"/>
      <c r="F71" s="110"/>
      <c r="G71" s="110"/>
      <c r="H71" s="110"/>
      <c r="I71" s="110">
        <v>2</v>
      </c>
      <c r="J71" s="110"/>
      <c r="K71" s="110">
        <v>43</v>
      </c>
      <c r="L71" s="110">
        <v>55</v>
      </c>
      <c r="M71" s="114"/>
      <c r="N71" s="114">
        <v>60</v>
      </c>
      <c r="O71" s="158"/>
      <c r="P71" s="158"/>
      <c r="Q71" s="158"/>
      <c r="R71" s="141"/>
      <c r="S71" s="175" t="s">
        <v>177</v>
      </c>
      <c r="T71" s="175"/>
      <c r="U71" s="158"/>
      <c r="V71" s="110"/>
      <c r="W71" s="158"/>
      <c r="X71" s="158"/>
      <c r="Y71" s="110">
        <v>5</v>
      </c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5"/>
      <c r="AL71" s="155"/>
    </row>
    <row r="72" ht="12" hidden="1" customHeight="1" spans="1:38">
      <c r="A72" s="155"/>
      <c r="B72" s="155"/>
      <c r="C72" s="155"/>
      <c r="D72" s="155"/>
      <c r="E72" s="157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5"/>
      <c r="AL72" s="155"/>
    </row>
    <row r="73" s="85" customFormat="1" ht="20.1" hidden="1" customHeight="1" spans="1:38">
      <c r="A73" s="159" t="s">
        <v>67</v>
      </c>
      <c r="B73" s="159"/>
      <c r="C73" s="160" t="s">
        <v>40</v>
      </c>
      <c r="D73" s="160"/>
      <c r="E73" s="157"/>
      <c r="F73" s="161" t="s">
        <v>178</v>
      </c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60"/>
      <c r="AK73" s="160" t="s">
        <v>5</v>
      </c>
      <c r="AL73" s="160"/>
    </row>
    <row r="74" s="85" customFormat="1" ht="20.1" hidden="1" customHeight="1" spans="1:38">
      <c r="A74" s="159"/>
      <c r="B74" s="159"/>
      <c r="C74" s="160"/>
      <c r="D74" s="160"/>
      <c r="E74" s="162"/>
      <c r="F74" s="100">
        <v>1</v>
      </c>
      <c r="G74" s="100">
        <v>2</v>
      </c>
      <c r="H74" s="100">
        <v>3</v>
      </c>
      <c r="I74" s="100">
        <v>4</v>
      </c>
      <c r="J74" s="100">
        <v>5</v>
      </c>
      <c r="K74" s="100">
        <v>6</v>
      </c>
      <c r="L74" s="100">
        <v>7</v>
      </c>
      <c r="M74" s="100">
        <v>8</v>
      </c>
      <c r="N74" s="100">
        <v>9</v>
      </c>
      <c r="O74" s="100">
        <v>10</v>
      </c>
      <c r="P74" s="100">
        <v>11</v>
      </c>
      <c r="Q74" s="100">
        <v>12</v>
      </c>
      <c r="R74" s="100">
        <v>13</v>
      </c>
      <c r="S74" s="100">
        <v>14</v>
      </c>
      <c r="T74" s="100">
        <v>15</v>
      </c>
      <c r="U74" s="100">
        <v>16</v>
      </c>
      <c r="V74" s="100">
        <v>17</v>
      </c>
      <c r="W74" s="100">
        <v>18</v>
      </c>
      <c r="X74" s="100">
        <v>19</v>
      </c>
      <c r="Y74" s="100">
        <v>20</v>
      </c>
      <c r="Z74" s="100">
        <v>21</v>
      </c>
      <c r="AA74" s="100">
        <v>22</v>
      </c>
      <c r="AB74" s="100">
        <v>23</v>
      </c>
      <c r="AC74" s="100">
        <v>24</v>
      </c>
      <c r="AD74" s="100">
        <v>25</v>
      </c>
      <c r="AE74" s="100">
        <v>26</v>
      </c>
      <c r="AF74" s="100">
        <v>27</v>
      </c>
      <c r="AG74" s="100">
        <v>28</v>
      </c>
      <c r="AH74" s="100">
        <v>29</v>
      </c>
      <c r="AI74" s="100">
        <v>30</v>
      </c>
      <c r="AJ74" s="160">
        <v>31</v>
      </c>
      <c r="AK74" s="160"/>
      <c r="AL74" s="160"/>
    </row>
    <row r="75" ht="24.95" hidden="1" customHeight="1" spans="1:39">
      <c r="A75" s="162">
        <v>2</v>
      </c>
      <c r="B75" s="162"/>
      <c r="C75" s="162" t="s">
        <v>179</v>
      </c>
      <c r="D75" s="162" t="s">
        <v>180</v>
      </c>
      <c r="E75" s="162"/>
      <c r="F75" s="163"/>
      <c r="G75" s="164">
        <f>1+2</f>
        <v>3</v>
      </c>
      <c r="H75" s="164">
        <f t="shared" ref="H75:H79" si="3">1</f>
        <v>1</v>
      </c>
      <c r="I75" s="164">
        <v>2</v>
      </c>
      <c r="J75" s="164"/>
      <c r="K75" s="164"/>
      <c r="L75" s="164"/>
      <c r="M75" s="164">
        <v>8</v>
      </c>
      <c r="N75" s="164">
        <v>1</v>
      </c>
      <c r="O75" s="164">
        <v>5</v>
      </c>
      <c r="P75" s="164">
        <f>6</f>
        <v>6</v>
      </c>
      <c r="Q75" s="164">
        <v>2</v>
      </c>
      <c r="R75" s="164"/>
      <c r="S75" s="164">
        <f>2+5</f>
        <v>7</v>
      </c>
      <c r="T75" s="164">
        <f>2+5+1</f>
        <v>8</v>
      </c>
      <c r="U75" s="164">
        <v>9</v>
      </c>
      <c r="V75" s="164">
        <f>1+16</f>
        <v>17</v>
      </c>
      <c r="W75" s="164"/>
      <c r="X75" s="164">
        <f>1+1</f>
        <v>2</v>
      </c>
      <c r="Y75" s="164"/>
      <c r="Z75" s="164">
        <v>1</v>
      </c>
      <c r="AA75" s="164">
        <v>2</v>
      </c>
      <c r="AB75" s="164">
        <f>48+3</f>
        <v>51</v>
      </c>
      <c r="AC75" s="164">
        <f>24</f>
        <v>24</v>
      </c>
      <c r="AD75" s="164">
        <v>2</v>
      </c>
      <c r="AE75" s="164"/>
      <c r="AF75" s="164"/>
      <c r="AG75" s="164">
        <v>2</v>
      </c>
      <c r="AH75" s="163"/>
      <c r="AI75" s="163">
        <v>1</v>
      </c>
      <c r="AJ75" s="162"/>
      <c r="AK75" s="162">
        <f t="shared" ref="AK75:AK94" si="4">F75+G75+H75+I75+J75+K75+L75+M75+N75+O75+P75+Q75+R75+S75+T75+U75+V75+W75+X75+Y75+Z75+AA75+AB75+AC75+AD75+AE75+AF75+AG75+AH75+AI75+AJ75</f>
        <v>154</v>
      </c>
      <c r="AL75" s="162"/>
      <c r="AM75" s="179"/>
    </row>
    <row r="76" ht="24.95" hidden="1" customHeight="1" spans="1:39">
      <c r="A76" s="162"/>
      <c r="B76" s="162"/>
      <c r="C76" s="162" t="s">
        <v>181</v>
      </c>
      <c r="D76" s="162" t="s">
        <v>180</v>
      </c>
      <c r="E76" s="162"/>
      <c r="F76" s="163">
        <f>34+44</f>
        <v>78</v>
      </c>
      <c r="G76" s="164">
        <f>5</f>
        <v>5</v>
      </c>
      <c r="H76" s="164">
        <f>6+300</f>
        <v>306</v>
      </c>
      <c r="I76" s="164">
        <v>85</v>
      </c>
      <c r="J76" s="164">
        <f>15+38+16</f>
        <v>69</v>
      </c>
      <c r="K76" s="164">
        <f>118+1</f>
        <v>119</v>
      </c>
      <c r="L76" s="164">
        <v>45</v>
      </c>
      <c r="M76" s="164">
        <v>36</v>
      </c>
      <c r="N76" s="164">
        <v>30</v>
      </c>
      <c r="O76" s="164">
        <v>24</v>
      </c>
      <c r="P76" s="164">
        <f>38+8</f>
        <v>46</v>
      </c>
      <c r="Q76" s="164">
        <f>13+8</f>
        <v>21</v>
      </c>
      <c r="R76" s="164">
        <v>1</v>
      </c>
      <c r="S76" s="164">
        <f>2</f>
        <v>2</v>
      </c>
      <c r="T76" s="164">
        <f>1+1</f>
        <v>2</v>
      </c>
      <c r="U76" s="164">
        <v>4</v>
      </c>
      <c r="V76" s="164">
        <f>2+4</f>
        <v>6</v>
      </c>
      <c r="W76" s="164"/>
      <c r="X76" s="164">
        <f>4+4</f>
        <v>8</v>
      </c>
      <c r="Y76" s="164">
        <v>7</v>
      </c>
      <c r="Z76" s="164">
        <f>4+2</f>
        <v>6</v>
      </c>
      <c r="AA76" s="164"/>
      <c r="AB76" s="164"/>
      <c r="AC76" s="164">
        <f>7</f>
        <v>7</v>
      </c>
      <c r="AD76" s="164">
        <f>103+37</f>
        <v>140</v>
      </c>
      <c r="AE76" s="164">
        <f>16+12+12+14</f>
        <v>54</v>
      </c>
      <c r="AF76" s="164">
        <v>15</v>
      </c>
      <c r="AG76" s="164">
        <v>139</v>
      </c>
      <c r="AH76" s="163">
        <f>30+27+60+60+52+48+60+18</f>
        <v>355</v>
      </c>
      <c r="AI76" s="163">
        <f>14+48+34</f>
        <v>96</v>
      </c>
      <c r="AJ76" s="162"/>
      <c r="AK76" s="162">
        <f t="shared" si="4"/>
        <v>1706</v>
      </c>
      <c r="AL76" s="162"/>
      <c r="AM76" s="179"/>
    </row>
    <row r="77" ht="24.95" hidden="1" customHeight="1" spans="1:39">
      <c r="A77" s="100">
        <v>3</v>
      </c>
      <c r="B77" s="100"/>
      <c r="C77" s="165" t="s">
        <v>153</v>
      </c>
      <c r="D77" s="100" t="s">
        <v>180</v>
      </c>
      <c r="E77" s="162"/>
      <c r="F77" s="166">
        <v>2</v>
      </c>
      <c r="G77" s="154">
        <v>1</v>
      </c>
      <c r="H77" s="154">
        <f t="shared" si="3"/>
        <v>1</v>
      </c>
      <c r="I77" s="154">
        <v>32</v>
      </c>
      <c r="J77" s="154"/>
      <c r="K77" s="154">
        <f>20+1</f>
        <v>21</v>
      </c>
      <c r="L77" s="154">
        <v>2</v>
      </c>
      <c r="M77" s="154">
        <v>1</v>
      </c>
      <c r="N77" s="154">
        <v>1</v>
      </c>
      <c r="O77" s="154">
        <v>5</v>
      </c>
      <c r="P77" s="154">
        <f>28</f>
        <v>28</v>
      </c>
      <c r="Q77" s="154">
        <f>17</f>
        <v>17</v>
      </c>
      <c r="R77" s="154">
        <v>1</v>
      </c>
      <c r="S77" s="154">
        <f>6+1</f>
        <v>7</v>
      </c>
      <c r="T77" s="154">
        <f>0</f>
        <v>0</v>
      </c>
      <c r="U77" s="154"/>
      <c r="V77" s="154">
        <f>1</f>
        <v>1</v>
      </c>
      <c r="W77" s="154"/>
      <c r="X77" s="154">
        <f>15+1</f>
        <v>16</v>
      </c>
      <c r="Y77" s="154">
        <v>1</v>
      </c>
      <c r="Z77" s="154">
        <f>2</f>
        <v>2</v>
      </c>
      <c r="AA77" s="154">
        <v>27</v>
      </c>
      <c r="AB77" s="154">
        <f>17</f>
        <v>17</v>
      </c>
      <c r="AC77" s="154"/>
      <c r="AD77" s="154">
        <f>1</f>
        <v>1</v>
      </c>
      <c r="AE77" s="154">
        <f>3+1+1</f>
        <v>5</v>
      </c>
      <c r="AF77" s="154">
        <v>3</v>
      </c>
      <c r="AG77" s="154">
        <f>6</f>
        <v>6</v>
      </c>
      <c r="AH77" s="166">
        <f>2+4</f>
        <v>6</v>
      </c>
      <c r="AI77" s="166">
        <v>1</v>
      </c>
      <c r="AJ77" s="100"/>
      <c r="AK77" s="162">
        <f t="shared" si="4"/>
        <v>205</v>
      </c>
      <c r="AL77" s="162"/>
      <c r="AM77" s="180"/>
    </row>
    <row r="78" ht="24.95" hidden="1" customHeight="1" spans="1:39">
      <c r="A78" s="100">
        <v>4</v>
      </c>
      <c r="B78" s="100"/>
      <c r="C78" s="167" t="s">
        <v>182</v>
      </c>
      <c r="D78" s="100" t="s">
        <v>180</v>
      </c>
      <c r="E78" s="162"/>
      <c r="F78" s="166">
        <v>5</v>
      </c>
      <c r="G78" s="154">
        <f>3+23</f>
        <v>26</v>
      </c>
      <c r="H78" s="154">
        <f>3+3</f>
        <v>6</v>
      </c>
      <c r="I78" s="154">
        <v>21</v>
      </c>
      <c r="J78" s="154">
        <f>4</f>
        <v>4</v>
      </c>
      <c r="K78" s="154">
        <f>27+12</f>
        <v>39</v>
      </c>
      <c r="L78" s="154">
        <v>1</v>
      </c>
      <c r="M78" s="154">
        <v>12</v>
      </c>
      <c r="N78" s="154">
        <v>13</v>
      </c>
      <c r="O78" s="154">
        <f>18+6</f>
        <v>24</v>
      </c>
      <c r="P78" s="154">
        <f>41</f>
        <v>41</v>
      </c>
      <c r="Q78" s="154">
        <f>5</f>
        <v>5</v>
      </c>
      <c r="R78" s="154">
        <v>7</v>
      </c>
      <c r="S78" s="154">
        <f>8+8</f>
        <v>16</v>
      </c>
      <c r="T78" s="154">
        <f>4+5+7</f>
        <v>16</v>
      </c>
      <c r="U78" s="154">
        <v>25</v>
      </c>
      <c r="V78" s="154">
        <f>3+5</f>
        <v>8</v>
      </c>
      <c r="W78" s="154"/>
      <c r="X78" s="154">
        <f>4+4</f>
        <v>8</v>
      </c>
      <c r="Y78" s="154">
        <v>5</v>
      </c>
      <c r="Z78" s="154">
        <f>1</f>
        <v>1</v>
      </c>
      <c r="AA78" s="154">
        <v>4</v>
      </c>
      <c r="AB78" s="154">
        <f>14</f>
        <v>14</v>
      </c>
      <c r="AC78" s="154">
        <f>4</f>
        <v>4</v>
      </c>
      <c r="AD78" s="154">
        <f>1+3</f>
        <v>4</v>
      </c>
      <c r="AE78" s="154">
        <f>8+1+2</f>
        <v>11</v>
      </c>
      <c r="AF78" s="154">
        <v>7</v>
      </c>
      <c r="AG78" s="154">
        <f>8+7</f>
        <v>15</v>
      </c>
      <c r="AH78" s="166">
        <f>8+8</f>
        <v>16</v>
      </c>
      <c r="AI78" s="166">
        <v>18</v>
      </c>
      <c r="AJ78" s="100"/>
      <c r="AK78" s="162">
        <f t="shared" si="4"/>
        <v>376</v>
      </c>
      <c r="AL78" s="162"/>
      <c r="AM78" s="180"/>
    </row>
    <row r="79" ht="24.95" hidden="1" customHeight="1" spans="1:39">
      <c r="A79" s="100">
        <v>5</v>
      </c>
      <c r="B79" s="100"/>
      <c r="C79" s="100" t="s">
        <v>183</v>
      </c>
      <c r="D79" s="100" t="s">
        <v>180</v>
      </c>
      <c r="E79" s="162"/>
      <c r="F79" s="166">
        <f>1+3</f>
        <v>4</v>
      </c>
      <c r="G79" s="154">
        <f>1+5</f>
        <v>6</v>
      </c>
      <c r="H79" s="154">
        <f t="shared" si="3"/>
        <v>1</v>
      </c>
      <c r="I79" s="154">
        <v>16</v>
      </c>
      <c r="J79" s="154">
        <f>1+1</f>
        <v>2</v>
      </c>
      <c r="K79" s="154">
        <f>2+19</f>
        <v>21</v>
      </c>
      <c r="L79" s="154">
        <v>2</v>
      </c>
      <c r="M79" s="154">
        <v>7</v>
      </c>
      <c r="N79" s="154">
        <v>1</v>
      </c>
      <c r="O79" s="154">
        <v>1</v>
      </c>
      <c r="P79" s="154">
        <f>8+4</f>
        <v>12</v>
      </c>
      <c r="Q79" s="154">
        <f>9+1</f>
        <v>10</v>
      </c>
      <c r="R79" s="154">
        <v>6</v>
      </c>
      <c r="S79" s="154">
        <f>6</f>
        <v>6</v>
      </c>
      <c r="T79" s="154"/>
      <c r="U79" s="154">
        <v>1</v>
      </c>
      <c r="V79" s="154">
        <f>2+8</f>
        <v>10</v>
      </c>
      <c r="W79" s="154"/>
      <c r="X79" s="154">
        <f>6+4</f>
        <v>10</v>
      </c>
      <c r="Y79" s="154">
        <v>3</v>
      </c>
      <c r="Z79" s="154">
        <f>1</f>
        <v>1</v>
      </c>
      <c r="AA79" s="154">
        <v>3</v>
      </c>
      <c r="AB79" s="154">
        <f>2+6</f>
        <v>8</v>
      </c>
      <c r="AC79" s="154">
        <f>2</f>
        <v>2</v>
      </c>
      <c r="AD79" s="154">
        <f>1+1</f>
        <v>2</v>
      </c>
      <c r="AE79" s="154">
        <f>12+1</f>
        <v>13</v>
      </c>
      <c r="AF79" s="154">
        <v>2</v>
      </c>
      <c r="AG79" s="154"/>
      <c r="AH79" s="166">
        <v>1</v>
      </c>
      <c r="AI79" s="166">
        <v>5</v>
      </c>
      <c r="AJ79" s="100"/>
      <c r="AK79" s="162">
        <f t="shared" si="4"/>
        <v>156</v>
      </c>
      <c r="AL79" s="162"/>
      <c r="AM79" s="180"/>
    </row>
    <row r="80" ht="24.95" hidden="1" customHeight="1" spans="1:39">
      <c r="A80" s="100">
        <v>6</v>
      </c>
      <c r="B80" s="100"/>
      <c r="C80" s="100" t="s">
        <v>184</v>
      </c>
      <c r="D80" s="100" t="s">
        <v>180</v>
      </c>
      <c r="E80" s="162"/>
      <c r="F80" s="166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  <c r="S80" s="154"/>
      <c r="T80" s="154"/>
      <c r="U80" s="154"/>
      <c r="V80" s="154"/>
      <c r="W80" s="154"/>
      <c r="X80" s="154"/>
      <c r="Y80" s="154"/>
      <c r="Z80" s="154"/>
      <c r="AA80" s="154"/>
      <c r="AB80" s="154"/>
      <c r="AC80" s="154"/>
      <c r="AD80" s="154"/>
      <c r="AE80" s="154"/>
      <c r="AF80" s="154"/>
      <c r="AG80" s="154"/>
      <c r="AH80" s="166"/>
      <c r="AI80" s="166"/>
      <c r="AJ80" s="100"/>
      <c r="AK80" s="162">
        <f t="shared" si="4"/>
        <v>0</v>
      </c>
      <c r="AL80" s="162"/>
      <c r="AM80" s="180"/>
    </row>
    <row r="81" ht="24.95" hidden="1" customHeight="1" spans="1:39">
      <c r="A81" s="100">
        <v>7</v>
      </c>
      <c r="B81" s="100"/>
      <c r="C81" s="100" t="s">
        <v>185</v>
      </c>
      <c r="D81" s="100" t="s">
        <v>180</v>
      </c>
      <c r="E81" s="162"/>
      <c r="F81" s="166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66"/>
      <c r="AI81" s="166"/>
      <c r="AJ81" s="100"/>
      <c r="AK81" s="162">
        <f t="shared" si="4"/>
        <v>0</v>
      </c>
      <c r="AL81" s="162"/>
      <c r="AM81" s="180"/>
    </row>
    <row r="82" ht="24.95" hidden="1" customHeight="1" spans="1:39">
      <c r="A82" s="100">
        <v>8</v>
      </c>
      <c r="B82" s="100"/>
      <c r="C82" s="100" t="s">
        <v>186</v>
      </c>
      <c r="D82" s="100" t="s">
        <v>180</v>
      </c>
      <c r="E82" s="162"/>
      <c r="F82" s="166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4"/>
      <c r="X82" s="154"/>
      <c r="Y82" s="154"/>
      <c r="Z82" s="154"/>
      <c r="AA82" s="154"/>
      <c r="AB82" s="154"/>
      <c r="AC82" s="154"/>
      <c r="AD82" s="154"/>
      <c r="AE82" s="154"/>
      <c r="AF82" s="154"/>
      <c r="AG82" s="154"/>
      <c r="AH82" s="166"/>
      <c r="AI82" s="166"/>
      <c r="AJ82" s="100"/>
      <c r="AK82" s="162">
        <f t="shared" si="4"/>
        <v>0</v>
      </c>
      <c r="AL82" s="162"/>
      <c r="AM82" s="180"/>
    </row>
    <row r="83" ht="24.95" hidden="1" customHeight="1" spans="1:39">
      <c r="A83" s="100">
        <v>9</v>
      </c>
      <c r="B83" s="100"/>
      <c r="C83" s="100" t="s">
        <v>187</v>
      </c>
      <c r="D83" s="100" t="s">
        <v>180</v>
      </c>
      <c r="E83" s="162"/>
      <c r="F83" s="166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66"/>
      <c r="AI83" s="166"/>
      <c r="AJ83" s="100"/>
      <c r="AK83" s="162">
        <f t="shared" si="4"/>
        <v>0</v>
      </c>
      <c r="AL83" s="162"/>
      <c r="AM83" s="180"/>
    </row>
    <row r="84" ht="24.95" hidden="1" customHeight="1" spans="1:39">
      <c r="A84" s="100">
        <v>10</v>
      </c>
      <c r="B84" s="100"/>
      <c r="C84" s="100" t="s">
        <v>188</v>
      </c>
      <c r="D84" s="100" t="s">
        <v>180</v>
      </c>
      <c r="E84" s="162"/>
      <c r="F84" s="166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4"/>
      <c r="X84" s="154"/>
      <c r="Y84" s="154"/>
      <c r="Z84" s="154"/>
      <c r="AA84" s="154"/>
      <c r="AB84" s="154"/>
      <c r="AC84" s="154"/>
      <c r="AD84" s="154"/>
      <c r="AE84" s="154"/>
      <c r="AF84" s="154"/>
      <c r="AG84" s="154"/>
      <c r="AH84" s="166"/>
      <c r="AI84" s="166"/>
      <c r="AJ84" s="100"/>
      <c r="AK84" s="162">
        <f t="shared" si="4"/>
        <v>0</v>
      </c>
      <c r="AL84" s="162"/>
      <c r="AM84" s="180"/>
    </row>
    <row r="85" ht="24.95" hidden="1" customHeight="1" spans="1:39">
      <c r="A85" s="100">
        <v>11</v>
      </c>
      <c r="B85" s="100"/>
      <c r="C85" s="100" t="s">
        <v>189</v>
      </c>
      <c r="D85" s="100" t="s">
        <v>180</v>
      </c>
      <c r="E85" s="162"/>
      <c r="F85" s="166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54"/>
      <c r="AA85" s="154"/>
      <c r="AB85" s="154"/>
      <c r="AC85" s="154"/>
      <c r="AD85" s="154"/>
      <c r="AE85" s="154"/>
      <c r="AF85" s="154"/>
      <c r="AG85" s="154"/>
      <c r="AH85" s="166"/>
      <c r="AI85" s="166"/>
      <c r="AJ85" s="100"/>
      <c r="AK85" s="162">
        <f t="shared" si="4"/>
        <v>0</v>
      </c>
      <c r="AL85" s="162"/>
      <c r="AM85" s="180"/>
    </row>
    <row r="86" ht="24.95" hidden="1" customHeight="1" spans="1:39">
      <c r="A86" s="100">
        <v>12</v>
      </c>
      <c r="B86" s="100"/>
      <c r="C86" s="100" t="s">
        <v>190</v>
      </c>
      <c r="D86" s="100" t="s">
        <v>180</v>
      </c>
      <c r="E86" s="162"/>
      <c r="F86" s="166"/>
      <c r="G86" s="154"/>
      <c r="H86" s="154"/>
      <c r="I86" s="154"/>
      <c r="J86" s="154"/>
      <c r="K86" s="154"/>
      <c r="L86" s="154"/>
      <c r="M86" s="154"/>
      <c r="N86" s="154"/>
      <c r="O86" s="154"/>
      <c r="P86" s="154"/>
      <c r="Q86" s="154"/>
      <c r="R86" s="154"/>
      <c r="S86" s="154"/>
      <c r="T86" s="154"/>
      <c r="U86" s="154"/>
      <c r="V86" s="154"/>
      <c r="W86" s="154"/>
      <c r="X86" s="154"/>
      <c r="Y86" s="154"/>
      <c r="Z86" s="154"/>
      <c r="AA86" s="154"/>
      <c r="AB86" s="154"/>
      <c r="AC86" s="154"/>
      <c r="AD86" s="154"/>
      <c r="AE86" s="154"/>
      <c r="AF86" s="154"/>
      <c r="AG86" s="154"/>
      <c r="AH86" s="166"/>
      <c r="AI86" s="166"/>
      <c r="AJ86" s="100"/>
      <c r="AK86" s="162">
        <f t="shared" si="4"/>
        <v>0</v>
      </c>
      <c r="AL86" s="162"/>
      <c r="AM86" s="180"/>
    </row>
    <row r="87" ht="24.95" hidden="1" customHeight="1" spans="1:39">
      <c r="A87" s="100">
        <v>13</v>
      </c>
      <c r="B87" s="99"/>
      <c r="C87" s="99" t="s">
        <v>191</v>
      </c>
      <c r="D87" s="100" t="s">
        <v>180</v>
      </c>
      <c r="E87" s="162"/>
      <c r="F87" s="166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66"/>
      <c r="AI87" s="166"/>
      <c r="AJ87" s="100"/>
      <c r="AK87" s="162">
        <f t="shared" si="4"/>
        <v>0</v>
      </c>
      <c r="AL87" s="162"/>
      <c r="AM87" s="180"/>
    </row>
    <row r="88" ht="24.95" hidden="1" customHeight="1" spans="1:39">
      <c r="A88" s="100">
        <v>14</v>
      </c>
      <c r="B88" s="99"/>
      <c r="C88" s="99" t="s">
        <v>192</v>
      </c>
      <c r="D88" s="100" t="s">
        <v>180</v>
      </c>
      <c r="E88" s="162"/>
      <c r="F88" s="166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66"/>
      <c r="AI88" s="166"/>
      <c r="AJ88" s="100"/>
      <c r="AK88" s="162">
        <f t="shared" si="4"/>
        <v>0</v>
      </c>
      <c r="AL88" s="162"/>
      <c r="AM88" s="180"/>
    </row>
    <row r="89" ht="24.95" hidden="1" customHeight="1" spans="1:39">
      <c r="A89" s="100">
        <v>15</v>
      </c>
      <c r="B89" s="99"/>
      <c r="C89" s="99" t="s">
        <v>193</v>
      </c>
      <c r="D89" s="100" t="s">
        <v>180</v>
      </c>
      <c r="E89" s="162"/>
      <c r="F89" s="166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66"/>
      <c r="AI89" s="166"/>
      <c r="AJ89" s="100"/>
      <c r="AK89" s="162">
        <f t="shared" si="4"/>
        <v>0</v>
      </c>
      <c r="AL89" s="162"/>
      <c r="AM89" s="180"/>
    </row>
    <row r="90" ht="24.95" hidden="1" customHeight="1" spans="1:39">
      <c r="A90" s="100">
        <v>16</v>
      </c>
      <c r="B90" s="100"/>
      <c r="C90" s="165" t="s">
        <v>194</v>
      </c>
      <c r="D90" s="100" t="s">
        <v>180</v>
      </c>
      <c r="E90" s="162"/>
      <c r="F90" s="166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66"/>
      <c r="AI90" s="166"/>
      <c r="AJ90" s="100"/>
      <c r="AK90" s="162">
        <f t="shared" si="4"/>
        <v>0</v>
      </c>
      <c r="AL90" s="162"/>
      <c r="AM90" s="180"/>
    </row>
    <row r="91" ht="24.95" hidden="1" customHeight="1" spans="1:39">
      <c r="A91" s="100">
        <v>17</v>
      </c>
      <c r="B91" s="99"/>
      <c r="C91" s="99" t="s">
        <v>54</v>
      </c>
      <c r="D91" s="100" t="s">
        <v>180</v>
      </c>
      <c r="E91" s="162"/>
      <c r="F91" s="166"/>
      <c r="G91" s="154"/>
      <c r="H91" s="154"/>
      <c r="I91" s="154"/>
      <c r="J91" s="154"/>
      <c r="K91" s="154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66"/>
      <c r="AI91" s="166"/>
      <c r="AJ91" s="100"/>
      <c r="AK91" s="162">
        <f t="shared" si="4"/>
        <v>0</v>
      </c>
      <c r="AL91" s="162"/>
      <c r="AM91" s="180"/>
    </row>
    <row r="92" ht="24.95" hidden="1" customHeight="1" spans="1:39">
      <c r="A92" s="100">
        <v>18</v>
      </c>
      <c r="B92" s="99"/>
      <c r="C92" s="99" t="s">
        <v>195</v>
      </c>
      <c r="D92" s="100" t="s">
        <v>180</v>
      </c>
      <c r="E92" s="162"/>
      <c r="F92" s="166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66"/>
      <c r="AI92" s="166"/>
      <c r="AJ92" s="100"/>
      <c r="AK92" s="162">
        <f t="shared" si="4"/>
        <v>0</v>
      </c>
      <c r="AL92" s="162"/>
      <c r="AM92" s="180"/>
    </row>
    <row r="93" ht="24.95" hidden="1" customHeight="1" spans="1:39">
      <c r="A93" s="100">
        <v>19</v>
      </c>
      <c r="B93" s="99"/>
      <c r="C93" s="99" t="s">
        <v>176</v>
      </c>
      <c r="D93" s="100" t="s">
        <v>180</v>
      </c>
      <c r="E93" s="168"/>
      <c r="F93" s="166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66"/>
      <c r="AI93" s="166"/>
      <c r="AJ93" s="100"/>
      <c r="AK93" s="162">
        <f t="shared" si="4"/>
        <v>0</v>
      </c>
      <c r="AL93" s="162"/>
      <c r="AM93" s="180"/>
    </row>
    <row r="94" ht="24.95" hidden="1" customHeight="1" spans="1:38">
      <c r="A94" s="98" t="s">
        <v>5</v>
      </c>
      <c r="B94" s="99"/>
      <c r="C94" s="99"/>
      <c r="D94" s="168"/>
      <c r="E94" s="169"/>
      <c r="F94" s="166">
        <f t="shared" ref="F94:AJ94" si="5">F75+F76+F77+F78+F79+F80+F81+F82+F83+F84+F85+F86+F87+F88+F89+F90+F91+F92+F93</f>
        <v>89</v>
      </c>
      <c r="G94" s="166">
        <f t="shared" si="5"/>
        <v>41</v>
      </c>
      <c r="H94" s="166">
        <f t="shared" si="5"/>
        <v>315</v>
      </c>
      <c r="I94" s="166">
        <f t="shared" si="5"/>
        <v>156</v>
      </c>
      <c r="J94" s="166">
        <f t="shared" si="5"/>
        <v>75</v>
      </c>
      <c r="K94" s="166">
        <f t="shared" si="5"/>
        <v>200</v>
      </c>
      <c r="L94" s="166">
        <f t="shared" si="5"/>
        <v>50</v>
      </c>
      <c r="M94" s="166">
        <f t="shared" si="5"/>
        <v>64</v>
      </c>
      <c r="N94" s="166">
        <f t="shared" si="5"/>
        <v>46</v>
      </c>
      <c r="O94" s="166">
        <f t="shared" si="5"/>
        <v>59</v>
      </c>
      <c r="P94" s="166">
        <f t="shared" si="5"/>
        <v>133</v>
      </c>
      <c r="Q94" s="166">
        <f t="shared" si="5"/>
        <v>55</v>
      </c>
      <c r="R94" s="166">
        <f t="shared" si="5"/>
        <v>15</v>
      </c>
      <c r="S94" s="166">
        <f t="shared" si="5"/>
        <v>38</v>
      </c>
      <c r="T94" s="166">
        <f t="shared" si="5"/>
        <v>26</v>
      </c>
      <c r="U94" s="166">
        <f t="shared" si="5"/>
        <v>39</v>
      </c>
      <c r="V94" s="166">
        <f t="shared" si="5"/>
        <v>42</v>
      </c>
      <c r="W94" s="166">
        <f t="shared" si="5"/>
        <v>0</v>
      </c>
      <c r="X94" s="166">
        <f t="shared" si="5"/>
        <v>44</v>
      </c>
      <c r="Y94" s="166">
        <f t="shared" si="5"/>
        <v>16</v>
      </c>
      <c r="Z94" s="166">
        <f t="shared" si="5"/>
        <v>11</v>
      </c>
      <c r="AA94" s="166">
        <f t="shared" si="5"/>
        <v>36</v>
      </c>
      <c r="AB94" s="166">
        <f t="shared" si="5"/>
        <v>90</v>
      </c>
      <c r="AC94" s="166">
        <f t="shared" si="5"/>
        <v>37</v>
      </c>
      <c r="AD94" s="166">
        <f t="shared" si="5"/>
        <v>149</v>
      </c>
      <c r="AE94" s="166">
        <f t="shared" si="5"/>
        <v>83</v>
      </c>
      <c r="AF94" s="166">
        <f t="shared" si="5"/>
        <v>27</v>
      </c>
      <c r="AG94" s="166">
        <f t="shared" si="5"/>
        <v>162</v>
      </c>
      <c r="AH94" s="166">
        <f t="shared" si="5"/>
        <v>378</v>
      </c>
      <c r="AI94" s="166">
        <f t="shared" si="5"/>
        <v>121</v>
      </c>
      <c r="AJ94" s="166">
        <f t="shared" si="5"/>
        <v>0</v>
      </c>
      <c r="AK94" s="100">
        <f t="shared" si="4"/>
        <v>2597</v>
      </c>
      <c r="AL94" s="155"/>
    </row>
    <row r="95" ht="32.1" hidden="1" customHeight="1" spans="1:38">
      <c r="A95" s="170"/>
      <c r="B95" s="170"/>
      <c r="C95" s="170"/>
      <c r="D95" s="170"/>
      <c r="E95" s="171"/>
      <c r="F95" s="170"/>
      <c r="G95" s="170"/>
      <c r="H95" s="170"/>
      <c r="I95" s="170"/>
      <c r="J95" s="170"/>
      <c r="K95" s="170"/>
      <c r="L95" s="170"/>
      <c r="M95" s="170"/>
      <c r="N95" s="170"/>
      <c r="O95" s="170" t="s">
        <v>196</v>
      </c>
      <c r="P95" s="173" t="s">
        <v>197</v>
      </c>
      <c r="Q95" s="173"/>
      <c r="R95" s="170"/>
      <c r="S95" s="170" t="s">
        <v>198</v>
      </c>
      <c r="T95" s="141" t="s">
        <v>199</v>
      </c>
      <c r="U95" s="141"/>
      <c r="V95" s="141"/>
      <c r="W95" s="141"/>
      <c r="X95" s="141"/>
      <c r="Y95" s="170"/>
      <c r="Z95" s="170"/>
      <c r="AA95" s="170"/>
      <c r="AB95" s="170"/>
      <c r="AC95" s="170"/>
      <c r="AD95" s="170"/>
      <c r="AE95" s="170"/>
      <c r="AF95" s="170"/>
      <c r="AG95" s="170"/>
      <c r="AH95" s="170"/>
      <c r="AI95" s="170"/>
      <c r="AJ95" s="170"/>
      <c r="AK95" s="170"/>
      <c r="AL95" s="170"/>
    </row>
    <row r="96" s="85" customFormat="1" ht="20.1" hidden="1" customHeight="1" spans="1:38">
      <c r="A96" s="159" t="s">
        <v>67</v>
      </c>
      <c r="B96" s="159"/>
      <c r="C96" s="160" t="s">
        <v>40</v>
      </c>
      <c r="D96" s="160"/>
      <c r="E96" s="157"/>
      <c r="F96" s="161" t="s">
        <v>178</v>
      </c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60"/>
      <c r="AK96" s="160" t="s">
        <v>5</v>
      </c>
      <c r="AL96" s="160"/>
    </row>
    <row r="97" s="85" customFormat="1" ht="20.1" hidden="1" customHeight="1" spans="1:38">
      <c r="A97" s="159"/>
      <c r="B97" s="159"/>
      <c r="C97" s="160"/>
      <c r="D97" s="160"/>
      <c r="E97" s="157"/>
      <c r="F97" s="100">
        <v>1</v>
      </c>
      <c r="G97" s="100">
        <v>2</v>
      </c>
      <c r="H97" s="100">
        <v>3</v>
      </c>
      <c r="I97" s="100">
        <v>4</v>
      </c>
      <c r="J97" s="100">
        <v>5</v>
      </c>
      <c r="K97" s="100">
        <v>6</v>
      </c>
      <c r="L97" s="100">
        <v>7</v>
      </c>
      <c r="M97" s="100">
        <v>8</v>
      </c>
      <c r="N97" s="100">
        <v>9</v>
      </c>
      <c r="O97" s="100">
        <v>10</v>
      </c>
      <c r="P97" s="100">
        <v>11</v>
      </c>
      <c r="Q97" s="100">
        <v>12</v>
      </c>
      <c r="R97" s="100">
        <v>13</v>
      </c>
      <c r="S97" s="100">
        <v>14</v>
      </c>
      <c r="T97" s="100">
        <v>15</v>
      </c>
      <c r="U97" s="100">
        <v>16</v>
      </c>
      <c r="V97" s="100">
        <v>17</v>
      </c>
      <c r="W97" s="100">
        <v>18</v>
      </c>
      <c r="X97" s="100">
        <v>19</v>
      </c>
      <c r="Y97" s="100">
        <v>20</v>
      </c>
      <c r="Z97" s="100">
        <v>21</v>
      </c>
      <c r="AA97" s="100">
        <v>22</v>
      </c>
      <c r="AB97" s="100">
        <v>23</v>
      </c>
      <c r="AC97" s="100">
        <v>24</v>
      </c>
      <c r="AD97" s="100">
        <v>25</v>
      </c>
      <c r="AE97" s="100">
        <v>26</v>
      </c>
      <c r="AF97" s="100">
        <v>27</v>
      </c>
      <c r="AG97" s="100">
        <v>28</v>
      </c>
      <c r="AH97" s="100">
        <v>29</v>
      </c>
      <c r="AI97" s="100">
        <v>30</v>
      </c>
      <c r="AJ97" s="160">
        <v>31</v>
      </c>
      <c r="AK97" s="160"/>
      <c r="AL97" s="160"/>
    </row>
    <row r="98" ht="24.95" hidden="1" customHeight="1" spans="1:38">
      <c r="A98" s="100">
        <v>1</v>
      </c>
      <c r="B98" s="100"/>
      <c r="C98" s="100" t="s">
        <v>181</v>
      </c>
      <c r="D98" s="100" t="s">
        <v>200</v>
      </c>
      <c r="E98" s="162"/>
      <c r="F98" s="172" t="e">
        <f>F6-#REF!-#REF!-#REF!</f>
        <v>#REF!</v>
      </c>
      <c r="G98" s="172" t="e">
        <f>G6-#REF!-#REF!-#REF!</f>
        <v>#REF!</v>
      </c>
      <c r="H98" s="172" t="e">
        <f>H6-#REF!-#REF!-#REF!</f>
        <v>#REF!</v>
      </c>
      <c r="I98" s="172" t="e">
        <f>I6-#REF!-#REF!-#REF!</f>
        <v>#REF!</v>
      </c>
      <c r="J98" s="172" t="e">
        <f>J6-#REF!-#REF!-#REF!</f>
        <v>#REF!</v>
      </c>
      <c r="K98" s="172" t="e">
        <f>K6-#REF!-#REF!-#REF!</f>
        <v>#REF!</v>
      </c>
      <c r="L98" s="172" t="e">
        <f>L6-#REF!-#REF!-#REF!</f>
        <v>#REF!</v>
      </c>
      <c r="M98" s="172" t="e">
        <f>M6-#REF!-#REF!-#REF!</f>
        <v>#REF!</v>
      </c>
      <c r="N98" s="172" t="e">
        <f>N6-#REF!-#REF!-#REF!</f>
        <v>#REF!</v>
      </c>
      <c r="O98" s="172" t="e">
        <f>O6-#REF!-#REF!-#REF!</f>
        <v>#REF!</v>
      </c>
      <c r="P98" s="172" t="e">
        <f>P6-#REF!-#REF!-#REF!</f>
        <v>#REF!</v>
      </c>
      <c r="Q98" s="172" t="e">
        <f>Q6-#REF!-#REF!-#REF!</f>
        <v>#REF!</v>
      </c>
      <c r="R98" s="172" t="e">
        <f>R6-#REF!-#REF!-#REF!</f>
        <v>#REF!</v>
      </c>
      <c r="S98" s="172" t="e">
        <f>S6-#REF!-#REF!-#REF!</f>
        <v>#REF!</v>
      </c>
      <c r="T98" s="172" t="e">
        <f>T6-#REF!-#REF!-#REF!</f>
        <v>#REF!</v>
      </c>
      <c r="U98" s="172" t="e">
        <f>U6-#REF!-#REF!-#REF!</f>
        <v>#REF!</v>
      </c>
      <c r="V98" s="172" t="e">
        <f>V6-#REF!-#REF!-#REF!</f>
        <v>#REF!</v>
      </c>
      <c r="W98" s="172" t="e">
        <f>W6-#REF!-#REF!-#REF!</f>
        <v>#REF!</v>
      </c>
      <c r="X98" s="172" t="e">
        <f>X6-#REF!-#REF!-#REF!</f>
        <v>#REF!</v>
      </c>
      <c r="Y98" s="172" t="e">
        <f>Y6-#REF!-#REF!-#REF!</f>
        <v>#REF!</v>
      </c>
      <c r="Z98" s="172" t="e">
        <f>Z6-#REF!-#REF!-#REF!</f>
        <v>#REF!</v>
      </c>
      <c r="AA98" s="172" t="e">
        <f>AA6-#REF!-#REF!-#REF!</f>
        <v>#REF!</v>
      </c>
      <c r="AB98" s="172" t="e">
        <f>AB6-#REF!-#REF!-#REF!</f>
        <v>#REF!</v>
      </c>
      <c r="AC98" s="172" t="e">
        <f>AC6-#REF!-#REF!-#REF!</f>
        <v>#REF!</v>
      </c>
      <c r="AD98" s="172" t="e">
        <f>AD6-#REF!-#REF!-#REF!</f>
        <v>#REF!</v>
      </c>
      <c r="AE98" s="172" t="e">
        <f>AE6-#REF!-#REF!-#REF!</f>
        <v>#REF!</v>
      </c>
      <c r="AF98" s="172" t="e">
        <f>AF6-#REF!-#REF!-#REF!</f>
        <v>#REF!</v>
      </c>
      <c r="AG98" s="172" t="e">
        <f>AG6-#REF!-#REF!-#REF!</f>
        <v>#REF!</v>
      </c>
      <c r="AH98" s="172" t="e">
        <f>AH6-#REF!-#REF!-#REF!</f>
        <v>#REF!</v>
      </c>
      <c r="AI98" s="172" t="e">
        <f>AI6-#REF!-#REF!-#REF!</f>
        <v>#REF!</v>
      </c>
      <c r="AJ98" s="181" t="e">
        <f>AJ6-#REF!-#REF!</f>
        <v>#REF!</v>
      </c>
      <c r="AK98" s="100" t="e">
        <f t="shared" ref="AK98:AK117" si="6">F98+G98+H98+I98+J98+K98+L98+M98+N98+O98+P98+Q98+R98+S98+T98+U98+V98+W98+X98+Y98+Z98+AA98+AB98+AC98+AD98+AE98+AF98+AG98+AH98+AI98+AJ98</f>
        <v>#REF!</v>
      </c>
      <c r="AL98" s="155"/>
    </row>
    <row r="99" ht="24.95" hidden="1" customHeight="1" spans="1:38">
      <c r="A99" s="100">
        <v>2</v>
      </c>
      <c r="B99" s="100"/>
      <c r="C99" s="100" t="s">
        <v>179</v>
      </c>
      <c r="D99" s="100" t="s">
        <v>200</v>
      </c>
      <c r="E99" s="162"/>
      <c r="F99" s="172" t="e">
        <f>F9-#REF!-#REF!-#REF!</f>
        <v>#REF!</v>
      </c>
      <c r="G99" s="172" t="e">
        <f>G9-#REF!-#REF!-#REF!</f>
        <v>#REF!</v>
      </c>
      <c r="H99" s="172" t="e">
        <f>H9-#REF!-#REF!-#REF!</f>
        <v>#REF!</v>
      </c>
      <c r="I99" s="172" t="e">
        <f>I9-#REF!-#REF!-#REF!</f>
        <v>#REF!</v>
      </c>
      <c r="J99" s="172" t="e">
        <f>J9-#REF!-#REF!-#REF!</f>
        <v>#REF!</v>
      </c>
      <c r="K99" s="172" t="e">
        <f>K9-#REF!-#REF!-#REF!</f>
        <v>#REF!</v>
      </c>
      <c r="L99" s="172" t="e">
        <f>L9-#REF!-#REF!-#REF!</f>
        <v>#REF!</v>
      </c>
      <c r="M99" s="172" t="e">
        <f>M9-#REF!-#REF!-#REF!</f>
        <v>#REF!</v>
      </c>
      <c r="N99" s="172" t="e">
        <f>N9-#REF!-#REF!-#REF!</f>
        <v>#REF!</v>
      </c>
      <c r="O99" s="172" t="e">
        <f>O9-#REF!-#REF!-#REF!</f>
        <v>#REF!</v>
      </c>
      <c r="P99" s="172" t="e">
        <f>P9-#REF!-#REF!-#REF!</f>
        <v>#REF!</v>
      </c>
      <c r="Q99" s="172" t="e">
        <f>Q9-#REF!-#REF!-#REF!</f>
        <v>#REF!</v>
      </c>
      <c r="R99" s="172" t="e">
        <f>R9-#REF!-#REF!-#REF!</f>
        <v>#REF!</v>
      </c>
      <c r="S99" s="172" t="e">
        <f>S9-#REF!-#REF!-#REF!</f>
        <v>#REF!</v>
      </c>
      <c r="T99" s="172" t="e">
        <f>T9-#REF!-#REF!-#REF!</f>
        <v>#REF!</v>
      </c>
      <c r="U99" s="172" t="e">
        <f>U9-#REF!-#REF!-#REF!</f>
        <v>#REF!</v>
      </c>
      <c r="V99" s="172" t="e">
        <f>V9-#REF!-#REF!-#REF!</f>
        <v>#REF!</v>
      </c>
      <c r="W99" s="172" t="e">
        <f>W9-#REF!-#REF!-#REF!</f>
        <v>#REF!</v>
      </c>
      <c r="X99" s="172" t="e">
        <f>X9-#REF!-#REF!-#REF!</f>
        <v>#REF!</v>
      </c>
      <c r="Y99" s="172" t="e">
        <f>Y9-#REF!-#REF!-#REF!</f>
        <v>#REF!</v>
      </c>
      <c r="Z99" s="172" t="e">
        <f>Z9-#REF!-#REF!-#REF!</f>
        <v>#REF!</v>
      </c>
      <c r="AA99" s="172" t="e">
        <f>AA9-#REF!-#REF!-#REF!</f>
        <v>#REF!</v>
      </c>
      <c r="AB99" s="172" t="e">
        <f>AB9-#REF!-#REF!-#REF!</f>
        <v>#REF!</v>
      </c>
      <c r="AC99" s="172" t="e">
        <f>AC9-#REF!-#REF!-#REF!</f>
        <v>#REF!</v>
      </c>
      <c r="AD99" s="172" t="e">
        <f>AD9-#REF!-#REF!-#REF!</f>
        <v>#REF!</v>
      </c>
      <c r="AE99" s="172" t="e">
        <f>AE9-#REF!-#REF!-#REF!</f>
        <v>#REF!</v>
      </c>
      <c r="AF99" s="172" t="e">
        <f>AF9-#REF!-#REF!-#REF!</f>
        <v>#REF!</v>
      </c>
      <c r="AG99" s="172" t="e">
        <f>AG9-#REF!-#REF!-#REF!</f>
        <v>#REF!</v>
      </c>
      <c r="AH99" s="172" t="e">
        <f>AH9-#REF!-#REF!-#REF!</f>
        <v>#REF!</v>
      </c>
      <c r="AI99" s="172" t="e">
        <f>AI9-#REF!-#REF!-#REF!</f>
        <v>#REF!</v>
      </c>
      <c r="AJ99" s="172" t="e">
        <f>AJ9-#REF!-#REF!</f>
        <v>#REF!</v>
      </c>
      <c r="AK99" s="100" t="e">
        <f t="shared" si="6"/>
        <v>#REF!</v>
      </c>
      <c r="AL99" s="155"/>
    </row>
    <row r="100" ht="24.95" hidden="1" customHeight="1" spans="1:39">
      <c r="A100" s="100">
        <v>3</v>
      </c>
      <c r="B100" s="100"/>
      <c r="C100" s="165" t="s">
        <v>153</v>
      </c>
      <c r="D100" s="100" t="s">
        <v>200</v>
      </c>
      <c r="E100" s="162"/>
      <c r="F100" s="172" t="e">
        <f>F10-#REF!-#REF!-#REF!</f>
        <v>#REF!</v>
      </c>
      <c r="G100" s="172" t="e">
        <f>G10-#REF!-#REF!-#REF!</f>
        <v>#REF!</v>
      </c>
      <c r="H100" s="172" t="e">
        <f>H10-#REF!-#REF!-#REF!</f>
        <v>#REF!</v>
      </c>
      <c r="I100" s="172" t="e">
        <f>I10-#REF!-#REF!-#REF!</f>
        <v>#REF!</v>
      </c>
      <c r="J100" s="172" t="e">
        <f>J10-#REF!-#REF!-#REF!</f>
        <v>#REF!</v>
      </c>
      <c r="K100" s="172" t="e">
        <f>K10-#REF!-#REF!-#REF!</f>
        <v>#REF!</v>
      </c>
      <c r="L100" s="172" t="e">
        <f>L10-#REF!-#REF!-#REF!</f>
        <v>#REF!</v>
      </c>
      <c r="M100" s="172" t="e">
        <f>M10-#REF!-#REF!-#REF!</f>
        <v>#REF!</v>
      </c>
      <c r="N100" s="172" t="e">
        <f>N10-#REF!-#REF!-#REF!</f>
        <v>#REF!</v>
      </c>
      <c r="O100" s="172" t="e">
        <f>O10-#REF!-#REF!-#REF!</f>
        <v>#REF!</v>
      </c>
      <c r="P100" s="172" t="e">
        <f>P10-#REF!-#REF!-#REF!</f>
        <v>#REF!</v>
      </c>
      <c r="Q100" s="172" t="e">
        <f>Q10-#REF!-#REF!-#REF!</f>
        <v>#REF!</v>
      </c>
      <c r="R100" s="172" t="e">
        <f>R10-#REF!-#REF!-#REF!</f>
        <v>#REF!</v>
      </c>
      <c r="S100" s="172" t="e">
        <f>S10-#REF!-#REF!-#REF!</f>
        <v>#REF!</v>
      </c>
      <c r="T100" s="172" t="e">
        <f>T10-#REF!-#REF!-#REF!</f>
        <v>#REF!</v>
      </c>
      <c r="U100" s="172" t="e">
        <f>U10-#REF!-#REF!-#REF!</f>
        <v>#REF!</v>
      </c>
      <c r="V100" s="172" t="e">
        <f>V10-#REF!-#REF!-#REF!</f>
        <v>#REF!</v>
      </c>
      <c r="W100" s="172" t="e">
        <f>W10-#REF!-#REF!-#REF!</f>
        <v>#REF!</v>
      </c>
      <c r="X100" s="172" t="e">
        <f>X10-#REF!-#REF!-#REF!</f>
        <v>#REF!</v>
      </c>
      <c r="Y100" s="172" t="e">
        <f>Y10-#REF!-#REF!-#REF!</f>
        <v>#REF!</v>
      </c>
      <c r="Z100" s="172" t="e">
        <f>Z10-#REF!-#REF!-#REF!</f>
        <v>#REF!</v>
      </c>
      <c r="AA100" s="172" t="e">
        <f>AA10-#REF!-#REF!-#REF!</f>
        <v>#REF!</v>
      </c>
      <c r="AB100" s="172" t="e">
        <f>AB10-#REF!-#REF!-#REF!</f>
        <v>#REF!</v>
      </c>
      <c r="AC100" s="172" t="e">
        <f>AC10-#REF!-#REF!-#REF!</f>
        <v>#REF!</v>
      </c>
      <c r="AD100" s="172" t="e">
        <f>AD10-#REF!-#REF!-#REF!</f>
        <v>#REF!</v>
      </c>
      <c r="AE100" s="172" t="e">
        <f>AE10-#REF!-#REF!-#REF!</f>
        <v>#REF!</v>
      </c>
      <c r="AF100" s="172" t="e">
        <f>AF10-#REF!-#REF!-#REF!</f>
        <v>#REF!</v>
      </c>
      <c r="AG100" s="172" t="e">
        <f>AG10-#REF!-#REF!-#REF!</f>
        <v>#REF!</v>
      </c>
      <c r="AH100" s="172" t="e">
        <f>AH10-#REF!-#REF!-#REF!</f>
        <v>#REF!</v>
      </c>
      <c r="AI100" s="172" t="e">
        <f>AI10-#REF!-#REF!-#REF!</f>
        <v>#REF!</v>
      </c>
      <c r="AJ100" s="172" t="e">
        <f>AJ10-#REF!-#REF!</f>
        <v>#REF!</v>
      </c>
      <c r="AK100" s="100" t="e">
        <f t="shared" si="6"/>
        <v>#REF!</v>
      </c>
      <c r="AL100" s="100"/>
      <c r="AM100" s="180" t="s">
        <v>201</v>
      </c>
    </row>
    <row r="101" ht="24.95" hidden="1" customHeight="1" spans="1:39">
      <c r="A101" s="100">
        <v>4</v>
      </c>
      <c r="B101" s="100"/>
      <c r="C101" s="167" t="s">
        <v>182</v>
      </c>
      <c r="D101" s="100" t="s">
        <v>200</v>
      </c>
      <c r="E101" s="162"/>
      <c r="F101" s="172" t="e">
        <f>F11-#REF!-#REF!-#REF!</f>
        <v>#REF!</v>
      </c>
      <c r="G101" s="172" t="e">
        <f>G11-#REF!-#REF!-#REF!</f>
        <v>#REF!</v>
      </c>
      <c r="H101" s="172" t="e">
        <f>H11-#REF!-#REF!-#REF!</f>
        <v>#REF!</v>
      </c>
      <c r="I101" s="172" t="e">
        <f>I11-#REF!-#REF!-#REF!</f>
        <v>#REF!</v>
      </c>
      <c r="J101" s="172" t="e">
        <f>J11-#REF!-#REF!-#REF!</f>
        <v>#REF!</v>
      </c>
      <c r="K101" s="172" t="e">
        <f>K11-#REF!-#REF!-#REF!</f>
        <v>#REF!</v>
      </c>
      <c r="L101" s="172" t="e">
        <f>L11-#REF!-#REF!-#REF!</f>
        <v>#REF!</v>
      </c>
      <c r="M101" s="172" t="e">
        <f>M11-#REF!-#REF!-#REF!</f>
        <v>#REF!</v>
      </c>
      <c r="N101" s="172" t="e">
        <f>N11-#REF!-#REF!-#REF!</f>
        <v>#REF!</v>
      </c>
      <c r="O101" s="172" t="e">
        <f>O11-#REF!-#REF!-#REF!</f>
        <v>#REF!</v>
      </c>
      <c r="P101" s="172" t="e">
        <f>P11-#REF!-#REF!-#REF!</f>
        <v>#REF!</v>
      </c>
      <c r="Q101" s="172" t="e">
        <f>Q11-#REF!-#REF!-#REF!</f>
        <v>#REF!</v>
      </c>
      <c r="R101" s="172" t="e">
        <f>R11-#REF!-#REF!-#REF!</f>
        <v>#REF!</v>
      </c>
      <c r="S101" s="172" t="e">
        <f>S11-#REF!-#REF!-#REF!</f>
        <v>#REF!</v>
      </c>
      <c r="T101" s="172" t="e">
        <f>T11-#REF!-#REF!-#REF!</f>
        <v>#REF!</v>
      </c>
      <c r="U101" s="172" t="e">
        <f>U11-#REF!-#REF!-#REF!</f>
        <v>#REF!</v>
      </c>
      <c r="V101" s="172" t="e">
        <f>V11-#REF!-#REF!-#REF!</f>
        <v>#REF!</v>
      </c>
      <c r="W101" s="172" t="e">
        <f>W11-#REF!-#REF!-#REF!</f>
        <v>#REF!</v>
      </c>
      <c r="X101" s="172" t="e">
        <f>X11-#REF!-#REF!-#REF!</f>
        <v>#REF!</v>
      </c>
      <c r="Y101" s="172" t="e">
        <f>Y11-#REF!-#REF!-#REF!</f>
        <v>#REF!</v>
      </c>
      <c r="Z101" s="172" t="e">
        <f>Z11-#REF!-#REF!-#REF!</f>
        <v>#REF!</v>
      </c>
      <c r="AA101" s="172" t="e">
        <f>AA11-#REF!-#REF!-#REF!</f>
        <v>#REF!</v>
      </c>
      <c r="AB101" s="172" t="e">
        <f>AB11-#REF!-#REF!-#REF!</f>
        <v>#REF!</v>
      </c>
      <c r="AC101" s="172" t="e">
        <f>AC11-#REF!-#REF!-#REF!</f>
        <v>#REF!</v>
      </c>
      <c r="AD101" s="172" t="e">
        <f>AD11-#REF!-#REF!-#REF!</f>
        <v>#REF!</v>
      </c>
      <c r="AE101" s="172" t="e">
        <f>AE11-#REF!-#REF!-#REF!</f>
        <v>#REF!</v>
      </c>
      <c r="AF101" s="172" t="e">
        <f>AF11-#REF!-#REF!-#REF!</f>
        <v>#REF!</v>
      </c>
      <c r="AG101" s="172" t="e">
        <f>AG11-#REF!-#REF!-#REF!</f>
        <v>#REF!</v>
      </c>
      <c r="AH101" s="172" t="e">
        <f>AH11-#REF!-#REF!-#REF!</f>
        <v>#REF!</v>
      </c>
      <c r="AI101" s="172" t="e">
        <f>AI11-#REF!-#REF!-#REF!</f>
        <v>#REF!</v>
      </c>
      <c r="AJ101" s="172" t="e">
        <f>AJ11-#REF!-#REF!</f>
        <v>#REF!</v>
      </c>
      <c r="AK101" s="100" t="e">
        <f t="shared" si="6"/>
        <v>#REF!</v>
      </c>
      <c r="AL101" s="100"/>
      <c r="AM101" s="180"/>
    </row>
    <row r="102" ht="24.95" hidden="1" customHeight="1" spans="1:39">
      <c r="A102" s="100">
        <v>5</v>
      </c>
      <c r="B102" s="100"/>
      <c r="C102" s="100" t="s">
        <v>183</v>
      </c>
      <c r="D102" s="100" t="s">
        <v>200</v>
      </c>
      <c r="E102" s="162"/>
      <c r="F102" s="172" t="e">
        <f>F12-#REF!-#REF!-#REF!</f>
        <v>#REF!</v>
      </c>
      <c r="G102" s="172" t="e">
        <f>G12-#REF!-#REF!-#REF!</f>
        <v>#REF!</v>
      </c>
      <c r="H102" s="172" t="e">
        <f>H12-#REF!-#REF!-#REF!</f>
        <v>#REF!</v>
      </c>
      <c r="I102" s="172" t="e">
        <f>I12-#REF!-#REF!-#REF!</f>
        <v>#REF!</v>
      </c>
      <c r="J102" s="172" t="e">
        <f>J12-#REF!-#REF!-#REF!</f>
        <v>#REF!</v>
      </c>
      <c r="K102" s="172" t="e">
        <f>K12-#REF!-#REF!-#REF!</f>
        <v>#REF!</v>
      </c>
      <c r="L102" s="172" t="e">
        <f>L12-#REF!-#REF!-#REF!</f>
        <v>#REF!</v>
      </c>
      <c r="M102" s="172" t="e">
        <f>M12-#REF!-#REF!-#REF!</f>
        <v>#REF!</v>
      </c>
      <c r="N102" s="172" t="e">
        <f>N12-#REF!-#REF!-#REF!</f>
        <v>#REF!</v>
      </c>
      <c r="O102" s="172" t="e">
        <f>O12-#REF!-#REF!-#REF!</f>
        <v>#REF!</v>
      </c>
      <c r="P102" s="172" t="e">
        <f>P12-#REF!-#REF!-#REF!</f>
        <v>#REF!</v>
      </c>
      <c r="Q102" s="172" t="e">
        <f>Q12-#REF!-#REF!-#REF!</f>
        <v>#REF!</v>
      </c>
      <c r="R102" s="172" t="e">
        <f>R12-#REF!-#REF!-#REF!</f>
        <v>#REF!</v>
      </c>
      <c r="S102" s="172" t="e">
        <f>S12-#REF!-#REF!-#REF!</f>
        <v>#REF!</v>
      </c>
      <c r="T102" s="172" t="e">
        <f>T12-#REF!-#REF!-#REF!</f>
        <v>#REF!</v>
      </c>
      <c r="U102" s="172" t="e">
        <f>U12-#REF!-#REF!-#REF!</f>
        <v>#REF!</v>
      </c>
      <c r="V102" s="172" t="e">
        <f>V12-#REF!-#REF!-#REF!</f>
        <v>#REF!</v>
      </c>
      <c r="W102" s="172" t="e">
        <f>W12-#REF!-#REF!-#REF!</f>
        <v>#REF!</v>
      </c>
      <c r="X102" s="172" t="e">
        <f>X12-#REF!-#REF!-#REF!</f>
        <v>#REF!</v>
      </c>
      <c r="Y102" s="172" t="e">
        <f>Y12-#REF!-#REF!-#REF!</f>
        <v>#REF!</v>
      </c>
      <c r="Z102" s="172" t="e">
        <f>Z12-#REF!-#REF!-#REF!</f>
        <v>#REF!</v>
      </c>
      <c r="AA102" s="172" t="e">
        <f>AA12-#REF!-#REF!-#REF!</f>
        <v>#REF!</v>
      </c>
      <c r="AB102" s="172" t="e">
        <f>AB12-#REF!-#REF!-#REF!</f>
        <v>#REF!</v>
      </c>
      <c r="AC102" s="172" t="e">
        <f>AC12-#REF!-#REF!-#REF!</f>
        <v>#REF!</v>
      </c>
      <c r="AD102" s="172" t="e">
        <f>AD12-#REF!-#REF!-#REF!</f>
        <v>#REF!</v>
      </c>
      <c r="AE102" s="172" t="e">
        <f>AE12-#REF!-#REF!-#REF!</f>
        <v>#REF!</v>
      </c>
      <c r="AF102" s="172" t="e">
        <f>AF12-#REF!-#REF!-#REF!</f>
        <v>#REF!</v>
      </c>
      <c r="AG102" s="172" t="e">
        <f>AG12-#REF!-#REF!-#REF!</f>
        <v>#REF!</v>
      </c>
      <c r="AH102" s="172" t="e">
        <f>AH12-#REF!-#REF!-#REF!</f>
        <v>#REF!</v>
      </c>
      <c r="AI102" s="172" t="e">
        <f>AI12-#REF!-#REF!-#REF!</f>
        <v>#REF!</v>
      </c>
      <c r="AJ102" s="172" t="e">
        <f>AJ12-#REF!-#REF!</f>
        <v>#REF!</v>
      </c>
      <c r="AK102" s="100" t="e">
        <f t="shared" si="6"/>
        <v>#REF!</v>
      </c>
      <c r="AL102" s="100"/>
      <c r="AM102" s="180"/>
    </row>
    <row r="103" ht="24.95" hidden="1" customHeight="1" spans="1:39">
      <c r="A103" s="100">
        <v>6</v>
      </c>
      <c r="B103" s="100"/>
      <c r="C103" s="100" t="s">
        <v>184</v>
      </c>
      <c r="D103" s="100" t="s">
        <v>200</v>
      </c>
      <c r="E103" s="162"/>
      <c r="F103" s="172" t="e">
        <f>F13-#REF!-#REF!-#REF!</f>
        <v>#REF!</v>
      </c>
      <c r="G103" s="172" t="e">
        <f>G13-#REF!-#REF!-#REF!</f>
        <v>#REF!</v>
      </c>
      <c r="H103" s="172" t="e">
        <f>H13-#REF!-#REF!-#REF!</f>
        <v>#REF!</v>
      </c>
      <c r="I103" s="172" t="e">
        <f>I13-#REF!-#REF!-#REF!</f>
        <v>#REF!</v>
      </c>
      <c r="J103" s="172" t="e">
        <f>J13-#REF!-#REF!-#REF!</f>
        <v>#REF!</v>
      </c>
      <c r="K103" s="172" t="e">
        <f>K13-#REF!-#REF!-#REF!</f>
        <v>#REF!</v>
      </c>
      <c r="L103" s="172" t="e">
        <f>L13-#REF!-#REF!-#REF!</f>
        <v>#REF!</v>
      </c>
      <c r="M103" s="172" t="e">
        <f>M13-#REF!-#REF!-#REF!</f>
        <v>#REF!</v>
      </c>
      <c r="N103" s="172" t="e">
        <f>N13-#REF!-#REF!-#REF!</f>
        <v>#REF!</v>
      </c>
      <c r="O103" s="172" t="e">
        <f>O13-#REF!-#REF!-#REF!</f>
        <v>#REF!</v>
      </c>
      <c r="P103" s="172" t="e">
        <f>P13-#REF!-#REF!-#REF!</f>
        <v>#REF!</v>
      </c>
      <c r="Q103" s="172" t="e">
        <f>Q13-#REF!-#REF!-#REF!</f>
        <v>#REF!</v>
      </c>
      <c r="R103" s="172" t="e">
        <f>R13-#REF!-#REF!-#REF!</f>
        <v>#REF!</v>
      </c>
      <c r="S103" s="172" t="e">
        <f>S13-#REF!-#REF!-#REF!</f>
        <v>#REF!</v>
      </c>
      <c r="T103" s="172" t="e">
        <f>T13-#REF!-#REF!-#REF!</f>
        <v>#REF!</v>
      </c>
      <c r="U103" s="172" t="e">
        <f>U13-#REF!-#REF!-#REF!</f>
        <v>#REF!</v>
      </c>
      <c r="V103" s="172" t="e">
        <f>V13-#REF!-#REF!-#REF!</f>
        <v>#REF!</v>
      </c>
      <c r="W103" s="172" t="e">
        <f>W13-#REF!-#REF!-#REF!</f>
        <v>#REF!</v>
      </c>
      <c r="X103" s="172" t="e">
        <f>X13-#REF!-#REF!-#REF!</f>
        <v>#REF!</v>
      </c>
      <c r="Y103" s="172" t="e">
        <f>Y13-#REF!-#REF!-#REF!</f>
        <v>#REF!</v>
      </c>
      <c r="Z103" s="172" t="e">
        <f>Z13-#REF!-#REF!-#REF!</f>
        <v>#REF!</v>
      </c>
      <c r="AA103" s="172" t="e">
        <f>AA13-#REF!-#REF!-#REF!</f>
        <v>#REF!</v>
      </c>
      <c r="AB103" s="172" t="e">
        <f>AB13-#REF!-#REF!-#REF!</f>
        <v>#REF!</v>
      </c>
      <c r="AC103" s="172" t="e">
        <f>AC13-#REF!-#REF!-#REF!</f>
        <v>#REF!</v>
      </c>
      <c r="AD103" s="172" t="e">
        <f>AD13-#REF!-#REF!-#REF!</f>
        <v>#REF!</v>
      </c>
      <c r="AE103" s="172" t="e">
        <f>AE13-#REF!-#REF!-#REF!</f>
        <v>#REF!</v>
      </c>
      <c r="AF103" s="172" t="e">
        <f>AF13-#REF!-#REF!-#REF!</f>
        <v>#REF!</v>
      </c>
      <c r="AG103" s="172" t="e">
        <f>AG13-#REF!-#REF!-#REF!</f>
        <v>#REF!</v>
      </c>
      <c r="AH103" s="172" t="e">
        <f>AH13-#REF!-#REF!-#REF!</f>
        <v>#REF!</v>
      </c>
      <c r="AI103" s="172" t="e">
        <f>AI13-#REF!-#REF!-#REF!</f>
        <v>#REF!</v>
      </c>
      <c r="AJ103" s="172" t="e">
        <f>#REF!-#REF!</f>
        <v>#REF!</v>
      </c>
      <c r="AK103" s="100" t="e">
        <f t="shared" si="6"/>
        <v>#REF!</v>
      </c>
      <c r="AL103" s="100"/>
      <c r="AM103" s="180"/>
    </row>
    <row r="104" ht="24.95" hidden="1" customHeight="1" spans="1:39">
      <c r="A104" s="100">
        <v>7</v>
      </c>
      <c r="B104" s="100"/>
      <c r="C104" s="100" t="s">
        <v>185</v>
      </c>
      <c r="D104" s="100" t="s">
        <v>200</v>
      </c>
      <c r="E104" s="162"/>
      <c r="F104" s="172" t="e">
        <f>F14-#REF!-#REF!-#REF!</f>
        <v>#REF!</v>
      </c>
      <c r="G104" s="172" t="e">
        <f>G14-#REF!-#REF!-#REF!</f>
        <v>#REF!</v>
      </c>
      <c r="H104" s="172" t="e">
        <f>H14-#REF!-#REF!-#REF!</f>
        <v>#REF!</v>
      </c>
      <c r="I104" s="172" t="e">
        <f>I14-#REF!-#REF!-#REF!</f>
        <v>#REF!</v>
      </c>
      <c r="J104" s="172" t="e">
        <f>J14-#REF!-#REF!-#REF!</f>
        <v>#REF!</v>
      </c>
      <c r="K104" s="172" t="e">
        <f>K14-#REF!-#REF!-#REF!</f>
        <v>#REF!</v>
      </c>
      <c r="L104" s="172" t="e">
        <f>L14-#REF!-#REF!-#REF!</f>
        <v>#REF!</v>
      </c>
      <c r="M104" s="172" t="e">
        <f>M14-#REF!-#REF!-#REF!</f>
        <v>#REF!</v>
      </c>
      <c r="N104" s="172" t="e">
        <f>N14-#REF!-#REF!-#REF!</f>
        <v>#REF!</v>
      </c>
      <c r="O104" s="172" t="e">
        <f>O14-#REF!-#REF!-#REF!</f>
        <v>#REF!</v>
      </c>
      <c r="P104" s="172" t="e">
        <f>P14-#REF!-#REF!-#REF!</f>
        <v>#REF!</v>
      </c>
      <c r="Q104" s="172" t="e">
        <f>Q14-#REF!-#REF!-#REF!</f>
        <v>#REF!</v>
      </c>
      <c r="R104" s="172" t="e">
        <f>R14-#REF!-#REF!-#REF!</f>
        <v>#REF!</v>
      </c>
      <c r="S104" s="172" t="e">
        <f>S14-#REF!-#REF!-#REF!</f>
        <v>#REF!</v>
      </c>
      <c r="T104" s="172" t="e">
        <f>T14-#REF!-#REF!-#REF!</f>
        <v>#REF!</v>
      </c>
      <c r="U104" s="172" t="e">
        <f>U14-#REF!-#REF!-#REF!</f>
        <v>#REF!</v>
      </c>
      <c r="V104" s="172" t="e">
        <f>V14-#REF!-#REF!-#REF!</f>
        <v>#REF!</v>
      </c>
      <c r="W104" s="172" t="e">
        <f>W14-#REF!-#REF!-#REF!</f>
        <v>#REF!</v>
      </c>
      <c r="X104" s="172" t="e">
        <f>X14-#REF!-#REF!-#REF!</f>
        <v>#REF!</v>
      </c>
      <c r="Y104" s="172" t="e">
        <f>Y14-#REF!-#REF!-#REF!</f>
        <v>#REF!</v>
      </c>
      <c r="Z104" s="172" t="e">
        <f>Z14-#REF!-#REF!-#REF!</f>
        <v>#REF!</v>
      </c>
      <c r="AA104" s="172" t="e">
        <f>AA14-#REF!-#REF!-#REF!</f>
        <v>#REF!</v>
      </c>
      <c r="AB104" s="172" t="e">
        <f>AB14-#REF!-#REF!-#REF!</f>
        <v>#REF!</v>
      </c>
      <c r="AC104" s="172" t="e">
        <f>AC14-#REF!-#REF!-#REF!</f>
        <v>#REF!</v>
      </c>
      <c r="AD104" s="172" t="e">
        <f>AD14-#REF!-#REF!-#REF!</f>
        <v>#REF!</v>
      </c>
      <c r="AE104" s="172" t="e">
        <f>AE14-#REF!-#REF!-#REF!</f>
        <v>#REF!</v>
      </c>
      <c r="AF104" s="172" t="e">
        <f>AF14-#REF!-#REF!-#REF!</f>
        <v>#REF!</v>
      </c>
      <c r="AG104" s="172" t="e">
        <f>AG14-#REF!-#REF!-#REF!</f>
        <v>#REF!</v>
      </c>
      <c r="AH104" s="172" t="e">
        <f>AH14-#REF!-#REF!-#REF!</f>
        <v>#REF!</v>
      </c>
      <c r="AI104" s="172" t="e">
        <f>AI14-#REF!-#REF!-#REF!</f>
        <v>#REF!</v>
      </c>
      <c r="AJ104" s="172" t="e">
        <f>AJ14-#REF!-#REF!</f>
        <v>#REF!</v>
      </c>
      <c r="AK104" s="100" t="e">
        <f t="shared" si="6"/>
        <v>#REF!</v>
      </c>
      <c r="AL104" s="100"/>
      <c r="AM104" s="180"/>
    </row>
    <row r="105" ht="24.95" hidden="1" customHeight="1" spans="1:39">
      <c r="A105" s="100">
        <v>8</v>
      </c>
      <c r="B105" s="100"/>
      <c r="C105" s="100" t="s">
        <v>186</v>
      </c>
      <c r="D105" s="100" t="s">
        <v>200</v>
      </c>
      <c r="E105" s="162"/>
      <c r="F105" s="172" t="e">
        <f>F15-#REF!-#REF!-#REF!</f>
        <v>#REF!</v>
      </c>
      <c r="G105" s="172" t="e">
        <f>G15-#REF!-#REF!-#REF!</f>
        <v>#REF!</v>
      </c>
      <c r="H105" s="172" t="e">
        <f>H15-#REF!-#REF!-#REF!</f>
        <v>#REF!</v>
      </c>
      <c r="I105" s="172" t="e">
        <f>I15-#REF!-#REF!-#REF!</f>
        <v>#REF!</v>
      </c>
      <c r="J105" s="172" t="e">
        <f>J15-#REF!-#REF!-#REF!</f>
        <v>#REF!</v>
      </c>
      <c r="K105" s="172" t="e">
        <f>K15-#REF!-#REF!-#REF!</f>
        <v>#REF!</v>
      </c>
      <c r="L105" s="172" t="e">
        <f>L15-#REF!-#REF!-#REF!</f>
        <v>#REF!</v>
      </c>
      <c r="M105" s="172" t="e">
        <f>M15-#REF!-#REF!-#REF!</f>
        <v>#REF!</v>
      </c>
      <c r="N105" s="172" t="e">
        <f>N15-#REF!-#REF!-#REF!</f>
        <v>#REF!</v>
      </c>
      <c r="O105" s="172" t="e">
        <f>O15-#REF!-#REF!-#REF!</f>
        <v>#REF!</v>
      </c>
      <c r="P105" s="172" t="e">
        <f>P15-#REF!-#REF!-#REF!</f>
        <v>#REF!</v>
      </c>
      <c r="Q105" s="172" t="e">
        <f>Q15-#REF!-#REF!-#REF!</f>
        <v>#REF!</v>
      </c>
      <c r="R105" s="172" t="e">
        <f>R15-#REF!-#REF!-#REF!</f>
        <v>#REF!</v>
      </c>
      <c r="S105" s="172" t="e">
        <f>S15-#REF!-#REF!-#REF!</f>
        <v>#REF!</v>
      </c>
      <c r="T105" s="172" t="e">
        <f>T15-#REF!-#REF!-#REF!</f>
        <v>#REF!</v>
      </c>
      <c r="U105" s="172" t="e">
        <f>U15-#REF!-#REF!-#REF!</f>
        <v>#REF!</v>
      </c>
      <c r="V105" s="172" t="e">
        <f>V15-#REF!-#REF!-#REF!</f>
        <v>#REF!</v>
      </c>
      <c r="W105" s="172" t="e">
        <f>W15-#REF!-#REF!-#REF!</f>
        <v>#REF!</v>
      </c>
      <c r="X105" s="172" t="e">
        <f>X15-#REF!-#REF!-#REF!</f>
        <v>#REF!</v>
      </c>
      <c r="Y105" s="172" t="e">
        <f>Y15-#REF!-#REF!-#REF!</f>
        <v>#REF!</v>
      </c>
      <c r="Z105" s="172" t="e">
        <f>Z15-#REF!-#REF!-#REF!</f>
        <v>#REF!</v>
      </c>
      <c r="AA105" s="172" t="e">
        <f>AA15-#REF!-#REF!-#REF!</f>
        <v>#REF!</v>
      </c>
      <c r="AB105" s="172" t="e">
        <f>AB15-#REF!-#REF!-#REF!</f>
        <v>#REF!</v>
      </c>
      <c r="AC105" s="172" t="e">
        <f>AC15-#REF!-#REF!-#REF!</f>
        <v>#REF!</v>
      </c>
      <c r="AD105" s="172" t="e">
        <f>AD15-#REF!-#REF!-#REF!</f>
        <v>#REF!</v>
      </c>
      <c r="AE105" s="172" t="e">
        <f>AE15-#REF!-#REF!-#REF!</f>
        <v>#REF!</v>
      </c>
      <c r="AF105" s="172" t="e">
        <f>AF15-#REF!-#REF!-#REF!</f>
        <v>#REF!</v>
      </c>
      <c r="AG105" s="172" t="e">
        <f>AG15-#REF!-#REF!-#REF!</f>
        <v>#REF!</v>
      </c>
      <c r="AH105" s="172" t="e">
        <f>AH15-#REF!-#REF!-#REF!</f>
        <v>#REF!</v>
      </c>
      <c r="AI105" s="172" t="e">
        <f>AI15-#REF!-#REF!-#REF!</f>
        <v>#REF!</v>
      </c>
      <c r="AJ105" s="172" t="e">
        <f>AJ15-#REF!-#REF!</f>
        <v>#REF!</v>
      </c>
      <c r="AK105" s="100" t="e">
        <f t="shared" si="6"/>
        <v>#REF!</v>
      </c>
      <c r="AL105" s="100"/>
      <c r="AM105" s="180"/>
    </row>
    <row r="106" ht="24.95" hidden="1" customHeight="1" spans="1:39">
      <c r="A106" s="100">
        <v>9</v>
      </c>
      <c r="B106" s="100"/>
      <c r="C106" s="100" t="s">
        <v>187</v>
      </c>
      <c r="D106" s="100" t="s">
        <v>200</v>
      </c>
      <c r="E106" s="162"/>
      <c r="F106" s="172" t="e">
        <f>F16-#REF!-#REF!-#REF!</f>
        <v>#REF!</v>
      </c>
      <c r="G106" s="172" t="e">
        <f>G16-#REF!-#REF!-#REF!</f>
        <v>#REF!</v>
      </c>
      <c r="H106" s="172" t="e">
        <f>H16-#REF!-#REF!-#REF!</f>
        <v>#REF!</v>
      </c>
      <c r="I106" s="172" t="e">
        <f>I16-#REF!-#REF!-#REF!</f>
        <v>#REF!</v>
      </c>
      <c r="J106" s="172" t="e">
        <f>J16-#REF!-#REF!-#REF!</f>
        <v>#REF!</v>
      </c>
      <c r="K106" s="172" t="e">
        <f>K16-#REF!-#REF!-#REF!</f>
        <v>#REF!</v>
      </c>
      <c r="L106" s="172" t="e">
        <f>L16-#REF!-#REF!-#REF!</f>
        <v>#REF!</v>
      </c>
      <c r="M106" s="172" t="e">
        <f>M16-#REF!-#REF!-#REF!</f>
        <v>#REF!</v>
      </c>
      <c r="N106" s="172" t="e">
        <f>N16-#REF!-#REF!-#REF!</f>
        <v>#REF!</v>
      </c>
      <c r="O106" s="172" t="e">
        <f>O16-#REF!-#REF!-#REF!</f>
        <v>#REF!</v>
      </c>
      <c r="P106" s="172" t="e">
        <f>P16-#REF!-#REF!-#REF!</f>
        <v>#REF!</v>
      </c>
      <c r="Q106" s="172" t="e">
        <f>Q16-#REF!-#REF!-#REF!</f>
        <v>#REF!</v>
      </c>
      <c r="R106" s="172" t="e">
        <f>R16-#REF!-#REF!-#REF!</f>
        <v>#REF!</v>
      </c>
      <c r="S106" s="172" t="e">
        <f>S16-#REF!-#REF!-#REF!</f>
        <v>#REF!</v>
      </c>
      <c r="T106" s="172" t="e">
        <f>T16-#REF!-#REF!-#REF!</f>
        <v>#REF!</v>
      </c>
      <c r="U106" s="172" t="e">
        <f>U16-#REF!-#REF!-#REF!</f>
        <v>#REF!</v>
      </c>
      <c r="V106" s="172" t="e">
        <f>V16-#REF!-#REF!-#REF!</f>
        <v>#REF!</v>
      </c>
      <c r="W106" s="172" t="e">
        <f>W16-#REF!-#REF!-#REF!</f>
        <v>#REF!</v>
      </c>
      <c r="X106" s="172" t="e">
        <f>X16-#REF!-#REF!-#REF!</f>
        <v>#REF!</v>
      </c>
      <c r="Y106" s="172" t="e">
        <f>Y16-#REF!-#REF!-#REF!</f>
        <v>#REF!</v>
      </c>
      <c r="Z106" s="172" t="e">
        <f>Z16-#REF!-#REF!-#REF!</f>
        <v>#REF!</v>
      </c>
      <c r="AA106" s="172" t="e">
        <f>AA16-#REF!-#REF!-#REF!</f>
        <v>#REF!</v>
      </c>
      <c r="AB106" s="172" t="e">
        <f>AB16-#REF!-#REF!-#REF!</f>
        <v>#REF!</v>
      </c>
      <c r="AC106" s="172" t="e">
        <f>AC16-#REF!-#REF!-#REF!</f>
        <v>#REF!</v>
      </c>
      <c r="AD106" s="172" t="e">
        <f>AD16-#REF!-#REF!-#REF!</f>
        <v>#REF!</v>
      </c>
      <c r="AE106" s="172" t="e">
        <f>AE16-#REF!-#REF!-#REF!</f>
        <v>#REF!</v>
      </c>
      <c r="AF106" s="172" t="e">
        <f>AF16-#REF!-#REF!-#REF!</f>
        <v>#REF!</v>
      </c>
      <c r="AG106" s="172" t="e">
        <f>AG16-#REF!-#REF!-#REF!</f>
        <v>#REF!</v>
      </c>
      <c r="AH106" s="172" t="e">
        <f>AH16-#REF!-#REF!-#REF!</f>
        <v>#REF!</v>
      </c>
      <c r="AI106" s="172" t="e">
        <f>AI16-#REF!-#REF!-#REF!</f>
        <v>#REF!</v>
      </c>
      <c r="AJ106" s="172" t="e">
        <f>AJ16-#REF!-#REF!</f>
        <v>#REF!</v>
      </c>
      <c r="AK106" s="100" t="e">
        <f t="shared" si="6"/>
        <v>#REF!</v>
      </c>
      <c r="AL106" s="100"/>
      <c r="AM106" s="180"/>
    </row>
    <row r="107" ht="24.95" hidden="1" customHeight="1" spans="1:39">
      <c r="A107" s="100">
        <v>10</v>
      </c>
      <c r="B107" s="100"/>
      <c r="C107" s="100" t="s">
        <v>188</v>
      </c>
      <c r="D107" s="100" t="s">
        <v>200</v>
      </c>
      <c r="E107" s="162"/>
      <c r="F107" s="172" t="e">
        <f>F17-#REF!-#REF!-#REF!</f>
        <v>#REF!</v>
      </c>
      <c r="G107" s="172" t="e">
        <f>G17-#REF!-#REF!-#REF!</f>
        <v>#REF!</v>
      </c>
      <c r="H107" s="172" t="e">
        <f>H17-#REF!-#REF!-#REF!</f>
        <v>#REF!</v>
      </c>
      <c r="I107" s="172" t="e">
        <f>I17-#REF!-#REF!-#REF!</f>
        <v>#REF!</v>
      </c>
      <c r="J107" s="172" t="e">
        <f>J17-#REF!-#REF!-#REF!</f>
        <v>#REF!</v>
      </c>
      <c r="K107" s="172" t="e">
        <f>K17-#REF!-#REF!-#REF!</f>
        <v>#REF!</v>
      </c>
      <c r="L107" s="172" t="e">
        <f>L17-#REF!-#REF!-#REF!</f>
        <v>#REF!</v>
      </c>
      <c r="M107" s="172" t="e">
        <f>M17-#REF!-#REF!-#REF!</f>
        <v>#REF!</v>
      </c>
      <c r="N107" s="172" t="e">
        <f>N17-#REF!-#REF!-#REF!</f>
        <v>#REF!</v>
      </c>
      <c r="O107" s="172" t="e">
        <f>O17-#REF!-#REF!-#REF!</f>
        <v>#REF!</v>
      </c>
      <c r="P107" s="172" t="e">
        <f>P17-#REF!-#REF!-#REF!</f>
        <v>#REF!</v>
      </c>
      <c r="Q107" s="172" t="e">
        <f>Q17-#REF!-#REF!-#REF!</f>
        <v>#REF!</v>
      </c>
      <c r="R107" s="172" t="e">
        <f>R17-#REF!-#REF!-#REF!</f>
        <v>#REF!</v>
      </c>
      <c r="S107" s="172" t="e">
        <f>S17-#REF!-#REF!-#REF!</f>
        <v>#REF!</v>
      </c>
      <c r="T107" s="172" t="e">
        <f>T17-#REF!-#REF!-#REF!</f>
        <v>#REF!</v>
      </c>
      <c r="U107" s="172" t="e">
        <f>U17-#REF!-#REF!-#REF!</f>
        <v>#REF!</v>
      </c>
      <c r="V107" s="172" t="e">
        <f>V17-#REF!-#REF!-#REF!</f>
        <v>#REF!</v>
      </c>
      <c r="W107" s="172" t="e">
        <f>W17-#REF!-#REF!-#REF!</f>
        <v>#REF!</v>
      </c>
      <c r="X107" s="172" t="e">
        <f>X17-#REF!-#REF!-#REF!</f>
        <v>#REF!</v>
      </c>
      <c r="Y107" s="172" t="e">
        <f>Y17-#REF!-#REF!-#REF!</f>
        <v>#REF!</v>
      </c>
      <c r="Z107" s="172" t="e">
        <f>Z17-#REF!-#REF!-#REF!</f>
        <v>#REF!</v>
      </c>
      <c r="AA107" s="172" t="e">
        <f>AA17-#REF!-#REF!-#REF!</f>
        <v>#REF!</v>
      </c>
      <c r="AB107" s="172" t="e">
        <f>AB17-#REF!-#REF!-#REF!</f>
        <v>#REF!</v>
      </c>
      <c r="AC107" s="172" t="e">
        <f>AC17-#REF!-#REF!-#REF!</f>
        <v>#REF!</v>
      </c>
      <c r="AD107" s="172" t="e">
        <f>AD17-#REF!-#REF!-#REF!</f>
        <v>#REF!</v>
      </c>
      <c r="AE107" s="172" t="e">
        <f>AE17-#REF!-#REF!-#REF!</f>
        <v>#REF!</v>
      </c>
      <c r="AF107" s="172" t="e">
        <f>AF17-#REF!-#REF!-#REF!</f>
        <v>#REF!</v>
      </c>
      <c r="AG107" s="172" t="e">
        <f>AG17-#REF!-#REF!-#REF!</f>
        <v>#REF!</v>
      </c>
      <c r="AH107" s="172" t="e">
        <f>AH17-#REF!-#REF!-#REF!</f>
        <v>#REF!</v>
      </c>
      <c r="AI107" s="172" t="e">
        <f>AI17-#REF!-#REF!-#REF!</f>
        <v>#REF!</v>
      </c>
      <c r="AJ107" s="172" t="e">
        <f>AJ17-#REF!-#REF!</f>
        <v>#REF!</v>
      </c>
      <c r="AK107" s="100" t="e">
        <f t="shared" si="6"/>
        <v>#REF!</v>
      </c>
      <c r="AL107" s="100"/>
      <c r="AM107" s="180"/>
    </row>
    <row r="108" ht="24.95" hidden="1" customHeight="1" spans="1:39">
      <c r="A108" s="100">
        <v>11</v>
      </c>
      <c r="B108" s="100"/>
      <c r="C108" s="100" t="s">
        <v>189</v>
      </c>
      <c r="D108" s="100" t="s">
        <v>200</v>
      </c>
      <c r="E108" s="162"/>
      <c r="F108" s="172" t="e">
        <f>F18-#REF!-#REF!-#REF!</f>
        <v>#REF!</v>
      </c>
      <c r="G108" s="172" t="e">
        <f>G18-#REF!-#REF!-#REF!</f>
        <v>#REF!</v>
      </c>
      <c r="H108" s="172" t="e">
        <f>H18-#REF!-#REF!-#REF!</f>
        <v>#REF!</v>
      </c>
      <c r="I108" s="172" t="e">
        <f>I18-#REF!-#REF!-#REF!</f>
        <v>#REF!</v>
      </c>
      <c r="J108" s="172" t="e">
        <f>J18-#REF!-#REF!-#REF!</f>
        <v>#REF!</v>
      </c>
      <c r="K108" s="172" t="e">
        <f>K18-#REF!-#REF!-#REF!</f>
        <v>#REF!</v>
      </c>
      <c r="L108" s="172" t="e">
        <f>L18-#REF!-#REF!-#REF!</f>
        <v>#REF!</v>
      </c>
      <c r="M108" s="172" t="e">
        <f>M18-#REF!-#REF!-#REF!</f>
        <v>#REF!</v>
      </c>
      <c r="N108" s="172" t="e">
        <f>N18-#REF!-#REF!-#REF!</f>
        <v>#REF!</v>
      </c>
      <c r="O108" s="172" t="e">
        <f>O18-#REF!-#REF!-#REF!</f>
        <v>#REF!</v>
      </c>
      <c r="P108" s="172" t="e">
        <f>P18-#REF!-#REF!-#REF!</f>
        <v>#REF!</v>
      </c>
      <c r="Q108" s="172" t="e">
        <f>Q18-#REF!-#REF!-#REF!</f>
        <v>#REF!</v>
      </c>
      <c r="R108" s="172" t="e">
        <f>R18-#REF!-#REF!-#REF!</f>
        <v>#REF!</v>
      </c>
      <c r="S108" s="172" t="e">
        <f>S18-#REF!-#REF!-#REF!</f>
        <v>#REF!</v>
      </c>
      <c r="T108" s="172" t="e">
        <f>T18-#REF!-#REF!-#REF!</f>
        <v>#REF!</v>
      </c>
      <c r="U108" s="172" t="e">
        <f>U18-#REF!-#REF!-#REF!</f>
        <v>#REF!</v>
      </c>
      <c r="V108" s="172" t="e">
        <f>V18-#REF!-#REF!-#REF!</f>
        <v>#REF!</v>
      </c>
      <c r="W108" s="172" t="e">
        <f>W18-#REF!-#REF!-#REF!</f>
        <v>#REF!</v>
      </c>
      <c r="X108" s="172" t="e">
        <f>X18-#REF!-#REF!-#REF!</f>
        <v>#REF!</v>
      </c>
      <c r="Y108" s="172" t="e">
        <f>Y18-#REF!-#REF!-#REF!</f>
        <v>#REF!</v>
      </c>
      <c r="Z108" s="172" t="e">
        <f>Z18-#REF!-#REF!-#REF!</f>
        <v>#REF!</v>
      </c>
      <c r="AA108" s="172" t="e">
        <f>AA18-#REF!-#REF!-#REF!</f>
        <v>#REF!</v>
      </c>
      <c r="AB108" s="172" t="e">
        <f>AB18-#REF!-#REF!-#REF!</f>
        <v>#REF!</v>
      </c>
      <c r="AC108" s="172" t="e">
        <f>AC18-#REF!-#REF!-#REF!</f>
        <v>#REF!</v>
      </c>
      <c r="AD108" s="172" t="e">
        <f>AD18-#REF!-#REF!-#REF!</f>
        <v>#REF!</v>
      </c>
      <c r="AE108" s="172" t="e">
        <f>AE18-#REF!-#REF!-#REF!</f>
        <v>#REF!</v>
      </c>
      <c r="AF108" s="172" t="e">
        <f>AF18-#REF!-#REF!-#REF!</f>
        <v>#REF!</v>
      </c>
      <c r="AG108" s="172" t="e">
        <f>AG18-#REF!-#REF!-#REF!</f>
        <v>#REF!</v>
      </c>
      <c r="AH108" s="172" t="e">
        <f>AH18-#REF!-#REF!-#REF!</f>
        <v>#REF!</v>
      </c>
      <c r="AI108" s="172" t="e">
        <f>AI18-#REF!-#REF!-#REF!</f>
        <v>#REF!</v>
      </c>
      <c r="AJ108" s="172" t="e">
        <f>AJ18-#REF!-#REF!</f>
        <v>#REF!</v>
      </c>
      <c r="AK108" s="100" t="e">
        <f t="shared" si="6"/>
        <v>#REF!</v>
      </c>
      <c r="AL108" s="100"/>
      <c r="AM108" s="180"/>
    </row>
    <row r="109" ht="24.95" hidden="1" customHeight="1" spans="1:39">
      <c r="A109" s="100">
        <v>12</v>
      </c>
      <c r="B109" s="100"/>
      <c r="C109" s="100" t="s">
        <v>190</v>
      </c>
      <c r="D109" s="100" t="s">
        <v>200</v>
      </c>
      <c r="E109" s="162"/>
      <c r="F109" s="172" t="e">
        <f>F22-#REF!-#REF!-#REF!</f>
        <v>#REF!</v>
      </c>
      <c r="G109" s="172" t="e">
        <f>G22-#REF!-#REF!-#REF!</f>
        <v>#REF!</v>
      </c>
      <c r="H109" s="172">
        <v>3</v>
      </c>
      <c r="I109" s="172" t="e">
        <f>I22-#REF!-#REF!-#REF!</f>
        <v>#REF!</v>
      </c>
      <c r="J109" s="172" t="e">
        <f>J22-#REF!-#REF!-#REF!</f>
        <v>#REF!</v>
      </c>
      <c r="K109" s="172" t="e">
        <f>K22-#REF!-#REF!-#REF!</f>
        <v>#REF!</v>
      </c>
      <c r="L109" s="172" t="e">
        <f>L22-#REF!-#REF!-#REF!</f>
        <v>#REF!</v>
      </c>
      <c r="M109" s="172" t="e">
        <f>M22-#REF!-#REF!-#REF!</f>
        <v>#REF!</v>
      </c>
      <c r="N109" s="172" t="e">
        <f>N22-#REF!-#REF!-#REF!</f>
        <v>#REF!</v>
      </c>
      <c r="O109" s="172" t="e">
        <f>O22-#REF!-#REF!-#REF!</f>
        <v>#REF!</v>
      </c>
      <c r="P109" s="172" t="e">
        <f>P22-#REF!-#REF!-#REF!</f>
        <v>#REF!</v>
      </c>
      <c r="Q109" s="172" t="e">
        <f>Q22-#REF!-#REF!-#REF!</f>
        <v>#REF!</v>
      </c>
      <c r="R109" s="172" t="e">
        <f>R22-#REF!-#REF!-#REF!</f>
        <v>#REF!</v>
      </c>
      <c r="S109" s="172" t="e">
        <f>S22-#REF!-#REF!-#REF!</f>
        <v>#REF!</v>
      </c>
      <c r="T109" s="172" t="e">
        <f>T22-#REF!-#REF!-#REF!</f>
        <v>#REF!</v>
      </c>
      <c r="U109" s="172" t="e">
        <f>U22-#REF!-#REF!-#REF!</f>
        <v>#REF!</v>
      </c>
      <c r="V109" s="172" t="e">
        <f>V22-#REF!-#REF!-#REF!</f>
        <v>#REF!</v>
      </c>
      <c r="W109" s="172" t="e">
        <f>W22-#REF!-#REF!-#REF!</f>
        <v>#REF!</v>
      </c>
      <c r="X109" s="172" t="e">
        <f>X22-#REF!-#REF!-#REF!</f>
        <v>#REF!</v>
      </c>
      <c r="Y109" s="172" t="e">
        <f>Y22-#REF!-#REF!-#REF!</f>
        <v>#REF!</v>
      </c>
      <c r="Z109" s="172" t="e">
        <f>Z22-#REF!-#REF!-#REF!</f>
        <v>#REF!</v>
      </c>
      <c r="AA109" s="172" t="e">
        <f>AA22-#REF!-#REF!-#REF!</f>
        <v>#REF!</v>
      </c>
      <c r="AB109" s="172" t="e">
        <f>AB22-#REF!-#REF!-#REF!</f>
        <v>#REF!</v>
      </c>
      <c r="AC109" s="172" t="e">
        <f>AC22-#REF!-#REF!-#REF!</f>
        <v>#REF!</v>
      </c>
      <c r="AD109" s="172" t="e">
        <f>AD22-#REF!-#REF!-#REF!</f>
        <v>#REF!</v>
      </c>
      <c r="AE109" s="172" t="e">
        <f>AE22-#REF!-#REF!-#REF!</f>
        <v>#REF!</v>
      </c>
      <c r="AF109" s="172" t="e">
        <f>AF22-#REF!-#REF!-#REF!</f>
        <v>#REF!</v>
      </c>
      <c r="AG109" s="172" t="e">
        <f>AG22-#REF!-#REF!-#REF!</f>
        <v>#REF!</v>
      </c>
      <c r="AH109" s="172" t="e">
        <f>AH22-#REF!-#REF!-#REF!</f>
        <v>#REF!</v>
      </c>
      <c r="AI109" s="172" t="e">
        <f>AI22-#REF!-#REF!-#REF!</f>
        <v>#REF!</v>
      </c>
      <c r="AJ109" s="172" t="e">
        <f>AJ22-#REF!-#REF!</f>
        <v>#REF!</v>
      </c>
      <c r="AK109" s="100" t="e">
        <f t="shared" si="6"/>
        <v>#REF!</v>
      </c>
      <c r="AL109" s="100"/>
      <c r="AM109" s="180"/>
    </row>
    <row r="110" ht="24.95" hidden="1" customHeight="1" spans="1:39">
      <c r="A110" s="100">
        <v>13</v>
      </c>
      <c r="B110" s="99"/>
      <c r="C110" s="99" t="s">
        <v>191</v>
      </c>
      <c r="D110" s="100" t="s">
        <v>200</v>
      </c>
      <c r="E110" s="162"/>
      <c r="F110" s="172" t="e">
        <f>F23-#REF!-#REF!-#REF!</f>
        <v>#REF!</v>
      </c>
      <c r="G110" s="172" t="e">
        <f>G23-#REF!-#REF!-#REF!</f>
        <v>#REF!</v>
      </c>
      <c r="H110" s="172" t="e">
        <f>H23-#REF!-#REF!-#REF!</f>
        <v>#REF!</v>
      </c>
      <c r="I110" s="172" t="e">
        <f>I23-#REF!-#REF!-#REF!</f>
        <v>#REF!</v>
      </c>
      <c r="J110" s="172" t="e">
        <f>J23-#REF!-#REF!-#REF!</f>
        <v>#REF!</v>
      </c>
      <c r="K110" s="172" t="e">
        <f>K23-#REF!-#REF!-#REF!</f>
        <v>#REF!</v>
      </c>
      <c r="L110" s="172" t="e">
        <f>L23-#REF!-#REF!-#REF!</f>
        <v>#REF!</v>
      </c>
      <c r="M110" s="172" t="e">
        <f>M23-#REF!-#REF!-#REF!</f>
        <v>#REF!</v>
      </c>
      <c r="N110" s="172" t="e">
        <f>N23-#REF!-#REF!-#REF!</f>
        <v>#REF!</v>
      </c>
      <c r="O110" s="172" t="e">
        <f>O23-#REF!-#REF!-#REF!</f>
        <v>#REF!</v>
      </c>
      <c r="P110" s="172" t="e">
        <f>P23-#REF!-#REF!-#REF!</f>
        <v>#REF!</v>
      </c>
      <c r="Q110" s="172" t="e">
        <f>Q23-#REF!-#REF!-#REF!</f>
        <v>#REF!</v>
      </c>
      <c r="R110" s="172" t="e">
        <f>R23-#REF!-#REF!-#REF!</f>
        <v>#REF!</v>
      </c>
      <c r="S110" s="172" t="e">
        <f>S23-#REF!-#REF!-#REF!</f>
        <v>#REF!</v>
      </c>
      <c r="T110" s="172" t="e">
        <f>T23-#REF!-#REF!-#REF!</f>
        <v>#REF!</v>
      </c>
      <c r="U110" s="172" t="e">
        <f>U23-#REF!-#REF!-#REF!</f>
        <v>#REF!</v>
      </c>
      <c r="V110" s="172" t="e">
        <f>V23-#REF!-#REF!-#REF!</f>
        <v>#REF!</v>
      </c>
      <c r="W110" s="172" t="e">
        <f>W23-#REF!-#REF!-#REF!</f>
        <v>#REF!</v>
      </c>
      <c r="X110" s="172" t="e">
        <f>X23-#REF!-#REF!-#REF!</f>
        <v>#REF!</v>
      </c>
      <c r="Y110" s="172" t="e">
        <f>Y23-#REF!-#REF!-#REF!</f>
        <v>#REF!</v>
      </c>
      <c r="Z110" s="172" t="e">
        <f>Z23-#REF!-#REF!-#REF!</f>
        <v>#REF!</v>
      </c>
      <c r="AA110" s="172" t="e">
        <f>AA23-#REF!-#REF!-#REF!</f>
        <v>#REF!</v>
      </c>
      <c r="AB110" s="172" t="e">
        <f>AB23-#REF!-#REF!-#REF!</f>
        <v>#REF!</v>
      </c>
      <c r="AC110" s="172" t="e">
        <f>AC23-#REF!-#REF!-#REF!</f>
        <v>#REF!</v>
      </c>
      <c r="AD110" s="172" t="e">
        <f>AD23-#REF!-#REF!-#REF!</f>
        <v>#REF!</v>
      </c>
      <c r="AE110" s="172" t="e">
        <f>AE23-#REF!-#REF!-#REF!</f>
        <v>#REF!</v>
      </c>
      <c r="AF110" s="172" t="e">
        <f>AF23-#REF!-#REF!-#REF!</f>
        <v>#REF!</v>
      </c>
      <c r="AG110" s="172" t="e">
        <f>AG24-#REF!-#REF!-#REF!</f>
        <v>#REF!</v>
      </c>
      <c r="AH110" s="172" t="e">
        <f>AH23-#REF!-#REF!-#REF!</f>
        <v>#REF!</v>
      </c>
      <c r="AI110" s="172" t="e">
        <f>AI23-#REF!-#REF!-#REF!</f>
        <v>#REF!</v>
      </c>
      <c r="AJ110" s="172" t="e">
        <f>AJ23-#REF!-#REF!</f>
        <v>#REF!</v>
      </c>
      <c r="AK110" s="100" t="e">
        <f t="shared" si="6"/>
        <v>#REF!</v>
      </c>
      <c r="AL110" s="100"/>
      <c r="AM110" s="180"/>
    </row>
    <row r="111" ht="24.95" hidden="1" customHeight="1" spans="1:39">
      <c r="A111" s="100">
        <v>14</v>
      </c>
      <c r="B111" s="99"/>
      <c r="C111" s="99" t="s">
        <v>192</v>
      </c>
      <c r="D111" s="100" t="s">
        <v>200</v>
      </c>
      <c r="E111" s="162"/>
      <c r="F111" s="172" t="e">
        <f>F24-#REF!-#REF!-#REF!</f>
        <v>#REF!</v>
      </c>
      <c r="G111" s="172" t="e">
        <f>G24-#REF!-#REF!-#REF!</f>
        <v>#REF!</v>
      </c>
      <c r="H111" s="172" t="e">
        <f>H24-#REF!-#REF!-#REF!</f>
        <v>#REF!</v>
      </c>
      <c r="I111" s="172" t="e">
        <f>I24-#REF!-#REF!-#REF!</f>
        <v>#REF!</v>
      </c>
      <c r="J111" s="172" t="e">
        <f>J24-#REF!-#REF!-#REF!</f>
        <v>#REF!</v>
      </c>
      <c r="K111" s="172" t="e">
        <f>K24-#REF!-#REF!-#REF!</f>
        <v>#REF!</v>
      </c>
      <c r="L111" s="172" t="e">
        <f>L24-#REF!-#REF!-#REF!</f>
        <v>#REF!</v>
      </c>
      <c r="M111" s="172" t="e">
        <f>M24-#REF!-#REF!-#REF!</f>
        <v>#REF!</v>
      </c>
      <c r="N111" s="172" t="e">
        <f>N24-#REF!-#REF!-#REF!</f>
        <v>#REF!</v>
      </c>
      <c r="O111" s="172" t="e">
        <f>O24-#REF!-#REF!-#REF!</f>
        <v>#REF!</v>
      </c>
      <c r="P111" s="172" t="e">
        <f>P24-#REF!-#REF!-#REF!</f>
        <v>#REF!</v>
      </c>
      <c r="Q111" s="172" t="e">
        <f>Q24-#REF!-#REF!-#REF!</f>
        <v>#REF!</v>
      </c>
      <c r="R111" s="172" t="e">
        <f>R62-#REF!-#REF!-#REF!</f>
        <v>#REF!</v>
      </c>
      <c r="S111" s="172" t="e">
        <f>S24-#REF!-#REF!-#REF!</f>
        <v>#REF!</v>
      </c>
      <c r="T111" s="172" t="e">
        <f>T24-#REF!-#REF!-#REF!</f>
        <v>#REF!</v>
      </c>
      <c r="U111" s="172" t="e">
        <f>U24-#REF!-#REF!-#REF!</f>
        <v>#REF!</v>
      </c>
      <c r="V111" s="172" t="e">
        <f>V24-#REF!-#REF!-#REF!</f>
        <v>#REF!</v>
      </c>
      <c r="W111" s="172" t="e">
        <f>W24-#REF!-#REF!-#REF!</f>
        <v>#REF!</v>
      </c>
      <c r="X111" s="172" t="e">
        <f>X24-#REF!-#REF!-#REF!</f>
        <v>#REF!</v>
      </c>
      <c r="Y111" s="172" t="e">
        <f>Y24-#REF!-#REF!-#REF!</f>
        <v>#REF!</v>
      </c>
      <c r="Z111" s="172" t="e">
        <f>Z24-#REF!-#REF!-#REF!</f>
        <v>#REF!</v>
      </c>
      <c r="AA111" s="172" t="e">
        <f>AA24-#REF!-#REF!-#REF!</f>
        <v>#REF!</v>
      </c>
      <c r="AB111" s="172" t="e">
        <f>AB24-#REF!-#REF!-#REF!</f>
        <v>#REF!</v>
      </c>
      <c r="AC111" s="172" t="e">
        <f>AC24-#REF!-#REF!-#REF!</f>
        <v>#REF!</v>
      </c>
      <c r="AD111" s="172" t="e">
        <f>AD24-#REF!-#REF!-#REF!</f>
        <v>#REF!</v>
      </c>
      <c r="AE111" s="172" t="e">
        <f>AE24-#REF!-#REF!-#REF!</f>
        <v>#REF!</v>
      </c>
      <c r="AF111" s="172" t="e">
        <f>AF24-#REF!-#REF!-#REF!</f>
        <v>#REF!</v>
      </c>
      <c r="AG111" s="172" t="e">
        <f>#REF!-#REF!-#REF!-#REF!</f>
        <v>#REF!</v>
      </c>
      <c r="AH111" s="172" t="e">
        <f>AH24-#REF!-#REF!-#REF!</f>
        <v>#REF!</v>
      </c>
      <c r="AI111" s="172" t="e">
        <f>AI24-#REF!-#REF!-#REF!</f>
        <v>#REF!</v>
      </c>
      <c r="AJ111" s="172" t="e">
        <f>AJ24-#REF!-#REF!</f>
        <v>#REF!</v>
      </c>
      <c r="AK111" s="100" t="e">
        <f t="shared" si="6"/>
        <v>#REF!</v>
      </c>
      <c r="AL111" s="100"/>
      <c r="AM111" s="180"/>
    </row>
    <row r="112" ht="24.95" hidden="1" customHeight="1" spans="1:39">
      <c r="A112" s="100">
        <v>15</v>
      </c>
      <c r="B112" s="99"/>
      <c r="C112" s="99" t="s">
        <v>193</v>
      </c>
      <c r="D112" s="100" t="s">
        <v>200</v>
      </c>
      <c r="E112" s="162"/>
      <c r="F112" s="172" t="e">
        <f>F62-#REF!-#REF!-#REF!</f>
        <v>#REF!</v>
      </c>
      <c r="G112" s="172" t="e">
        <f>G62-#REF!-#REF!-#REF!</f>
        <v>#REF!</v>
      </c>
      <c r="H112" s="172" t="e">
        <f>H62-#REF!-#REF!-#REF!</f>
        <v>#REF!</v>
      </c>
      <c r="I112" s="172" t="e">
        <f>I62-#REF!-#REF!-#REF!</f>
        <v>#REF!</v>
      </c>
      <c r="J112" s="172" t="e">
        <f>J62-#REF!-#REF!-#REF!</f>
        <v>#REF!</v>
      </c>
      <c r="K112" s="172" t="e">
        <f>K62-#REF!-#REF!-#REF!</f>
        <v>#REF!</v>
      </c>
      <c r="L112" s="172" t="e">
        <f>L62-#REF!-#REF!-#REF!</f>
        <v>#REF!</v>
      </c>
      <c r="M112" s="172" t="e">
        <f>M62-#REF!-#REF!-#REF!</f>
        <v>#REF!</v>
      </c>
      <c r="N112" s="172" t="e">
        <f>N62-#REF!-#REF!-#REF!</f>
        <v>#REF!</v>
      </c>
      <c r="O112" s="172" t="e">
        <f>O62-#REF!-#REF!-#REF!</f>
        <v>#REF!</v>
      </c>
      <c r="P112" s="172" t="e">
        <f>P62-#REF!-#REF!-#REF!</f>
        <v>#REF!</v>
      </c>
      <c r="Q112" s="172" t="e">
        <f>Q62-#REF!-#REF!-#REF!</f>
        <v>#REF!</v>
      </c>
      <c r="R112" s="172" t="e">
        <f>#REF!-#REF!-#REF!-#REF!</f>
        <v>#REF!</v>
      </c>
      <c r="S112" s="172" t="e">
        <f>S62-#REF!-#REF!-#REF!</f>
        <v>#REF!</v>
      </c>
      <c r="T112" s="172" t="e">
        <f>T62-#REF!-#REF!-#REF!</f>
        <v>#REF!</v>
      </c>
      <c r="U112" s="172" t="e">
        <f>U62-#REF!-#REF!-#REF!</f>
        <v>#REF!</v>
      </c>
      <c r="V112" s="172" t="e">
        <f>V62-#REF!-#REF!-#REF!</f>
        <v>#REF!</v>
      </c>
      <c r="W112" s="172" t="e">
        <f>W62-#REF!-#REF!-#REF!</f>
        <v>#REF!</v>
      </c>
      <c r="X112" s="172" t="e">
        <f>X62-#REF!-#REF!-#REF!</f>
        <v>#REF!</v>
      </c>
      <c r="Y112" s="172" t="e">
        <f>Y62-#REF!-#REF!-#REF!</f>
        <v>#REF!</v>
      </c>
      <c r="Z112" s="172" t="e">
        <f>Z62-#REF!-#REF!-#REF!</f>
        <v>#REF!</v>
      </c>
      <c r="AA112" s="172" t="e">
        <f>AA62-#REF!-#REF!-#REF!</f>
        <v>#REF!</v>
      </c>
      <c r="AB112" s="172" t="e">
        <f>AB62-#REF!-#REF!-#REF!</f>
        <v>#REF!</v>
      </c>
      <c r="AC112" s="172" t="e">
        <f>AC62-#REF!-#REF!-#REF!</f>
        <v>#REF!</v>
      </c>
      <c r="AD112" s="172" t="e">
        <f>AD62-#REF!-#REF!-#REF!</f>
        <v>#REF!</v>
      </c>
      <c r="AE112" s="172" t="e">
        <f>AE62-#REF!-#REF!-#REF!</f>
        <v>#REF!</v>
      </c>
      <c r="AF112" s="172" t="e">
        <f>AF62-#REF!-#REF!-#REF!</f>
        <v>#REF!</v>
      </c>
      <c r="AG112" s="172" t="e">
        <f>AG62-#REF!-#REF!-#REF!</f>
        <v>#REF!</v>
      </c>
      <c r="AH112" s="172" t="e">
        <f>AH62-#REF!-#REF!-#REF!</f>
        <v>#REF!</v>
      </c>
      <c r="AI112" s="172" t="e">
        <f>AI62-#REF!-#REF!-#REF!</f>
        <v>#REF!</v>
      </c>
      <c r="AJ112" s="172" t="e">
        <f>AJ62-#REF!-#REF!</f>
        <v>#REF!</v>
      </c>
      <c r="AK112" s="100" t="e">
        <f t="shared" si="6"/>
        <v>#REF!</v>
      </c>
      <c r="AL112" s="100"/>
      <c r="AM112" s="180"/>
    </row>
    <row r="113" ht="24.95" hidden="1" customHeight="1" spans="1:39">
      <c r="A113" s="100">
        <v>16</v>
      </c>
      <c r="B113" s="100"/>
      <c r="C113" s="165" t="s">
        <v>194</v>
      </c>
      <c r="D113" s="100" t="s">
        <v>200</v>
      </c>
      <c r="E113" s="162"/>
      <c r="F113" s="172" t="e">
        <f>F63-#REF!-#REF!-#REF!</f>
        <v>#REF!</v>
      </c>
      <c r="G113" s="172" t="e">
        <f>G63-#REF!-#REF!-#REF!</f>
        <v>#REF!</v>
      </c>
      <c r="H113" s="172" t="e">
        <f>H63-#REF!-#REF!-#REF!</f>
        <v>#REF!</v>
      </c>
      <c r="I113" s="172" t="e">
        <f>I63-#REF!-#REF!-#REF!</f>
        <v>#REF!</v>
      </c>
      <c r="J113" s="172" t="e">
        <f>J63-#REF!-#REF!-#REF!</f>
        <v>#REF!</v>
      </c>
      <c r="K113" s="172" t="e">
        <f>K63-#REF!-#REF!-#REF!</f>
        <v>#REF!</v>
      </c>
      <c r="L113" s="172" t="e">
        <f>L63-#REF!-#REF!-#REF!</f>
        <v>#REF!</v>
      </c>
      <c r="M113" s="172" t="e">
        <f>M63-#REF!-#REF!-#REF!</f>
        <v>#REF!</v>
      </c>
      <c r="N113" s="172" t="e">
        <f>N63-#REF!-#REF!-#REF!</f>
        <v>#REF!</v>
      </c>
      <c r="O113" s="172" t="e">
        <f>O63-#REF!-#REF!-#REF!</f>
        <v>#REF!</v>
      </c>
      <c r="P113" s="172" t="e">
        <f>P63-#REF!-#REF!-#REF!</f>
        <v>#REF!</v>
      </c>
      <c r="Q113" s="172" t="e">
        <f>Q63-#REF!-#REF!-#REF!</f>
        <v>#REF!</v>
      </c>
      <c r="R113" s="172" t="e">
        <f>R63-#REF!-#REF!-#REF!</f>
        <v>#REF!</v>
      </c>
      <c r="S113" s="172" t="e">
        <f>S63-#REF!-#REF!-#REF!</f>
        <v>#REF!</v>
      </c>
      <c r="T113" s="172" t="e">
        <f>T63-#REF!-#REF!-#REF!</f>
        <v>#REF!</v>
      </c>
      <c r="U113" s="172" t="e">
        <f>U63-#REF!-#REF!-#REF!</f>
        <v>#REF!</v>
      </c>
      <c r="V113" s="172" t="e">
        <f>V63-#REF!-#REF!-#REF!</f>
        <v>#REF!</v>
      </c>
      <c r="W113" s="172" t="e">
        <f>W63-#REF!-#REF!-#REF!</f>
        <v>#REF!</v>
      </c>
      <c r="X113" s="172" t="e">
        <f>X63-#REF!-#REF!-#REF!</f>
        <v>#REF!</v>
      </c>
      <c r="Y113" s="172" t="e">
        <f>Y64-#REF!-#REF!-#REF!</f>
        <v>#REF!</v>
      </c>
      <c r="Z113" s="172" t="e">
        <f>Z63-#REF!-#REF!-#REF!</f>
        <v>#REF!</v>
      </c>
      <c r="AA113" s="172" t="e">
        <f>AA63-#REF!-#REF!-#REF!</f>
        <v>#REF!</v>
      </c>
      <c r="AB113" s="172" t="e">
        <f>AB63-#REF!-#REF!-#REF!</f>
        <v>#REF!</v>
      </c>
      <c r="AC113" s="172" t="e">
        <f>AC63-#REF!-#REF!-#REF!</f>
        <v>#REF!</v>
      </c>
      <c r="AD113" s="172" t="e">
        <f>AD63-#REF!-#REF!-#REF!</f>
        <v>#REF!</v>
      </c>
      <c r="AE113" s="172" t="e">
        <f>AE63-#REF!-#REF!-#REF!</f>
        <v>#REF!</v>
      </c>
      <c r="AF113" s="172" t="e">
        <f>AF63-#REF!-#REF!-#REF!</f>
        <v>#REF!</v>
      </c>
      <c r="AG113" s="172" t="e">
        <f>AG63-#REF!-#REF!-#REF!</f>
        <v>#REF!</v>
      </c>
      <c r="AH113" s="172" t="e">
        <f>AH63-#REF!-#REF!-#REF!</f>
        <v>#REF!</v>
      </c>
      <c r="AI113" s="172" t="e">
        <f>AI63-#REF!-#REF!-#REF!</f>
        <v>#REF!</v>
      </c>
      <c r="AJ113" s="172" t="e">
        <f>AJ63-#REF!-#REF!</f>
        <v>#REF!</v>
      </c>
      <c r="AK113" s="100" t="e">
        <f t="shared" si="6"/>
        <v>#REF!</v>
      </c>
      <c r="AL113" s="100"/>
      <c r="AM113" s="180"/>
    </row>
    <row r="114" ht="24.95" hidden="1" customHeight="1" spans="1:39">
      <c r="A114" s="100">
        <v>17</v>
      </c>
      <c r="B114" s="99"/>
      <c r="C114" s="99" t="s">
        <v>54</v>
      </c>
      <c r="D114" s="100" t="s">
        <v>200</v>
      </c>
      <c r="E114" s="162"/>
      <c r="F114" s="172" t="e">
        <f>F64-#REF!-#REF!-#REF!</f>
        <v>#REF!</v>
      </c>
      <c r="G114" s="172" t="e">
        <f>G64-#REF!-#REF!-#REF!</f>
        <v>#REF!</v>
      </c>
      <c r="H114" s="172" t="e">
        <f>H64-#REF!-#REF!-#REF!</f>
        <v>#REF!</v>
      </c>
      <c r="I114" s="172" t="e">
        <f>I64-#REF!-#REF!-#REF!</f>
        <v>#REF!</v>
      </c>
      <c r="J114" s="172" t="e">
        <f>J64-#REF!-#REF!-#REF!</f>
        <v>#REF!</v>
      </c>
      <c r="K114" s="172" t="e">
        <f>K64-#REF!-#REF!-#REF!</f>
        <v>#REF!</v>
      </c>
      <c r="L114" s="172" t="e">
        <f>L64-#REF!-#REF!-#REF!</f>
        <v>#REF!</v>
      </c>
      <c r="M114" s="172" t="e">
        <f>M64-#REF!-#REF!-#REF!</f>
        <v>#REF!</v>
      </c>
      <c r="N114" s="172" t="e">
        <f>N64-#REF!-#REF!-#REF!</f>
        <v>#REF!</v>
      </c>
      <c r="O114" s="172" t="e">
        <f>O64-#REF!-#REF!-#REF!</f>
        <v>#REF!</v>
      </c>
      <c r="P114" s="172" t="e">
        <f>P64-#REF!-#REF!-#REF!</f>
        <v>#REF!</v>
      </c>
      <c r="Q114" s="172" t="e">
        <f>Q64-#REF!-#REF!-#REF!</f>
        <v>#REF!</v>
      </c>
      <c r="R114" s="172" t="e">
        <f>R64-#REF!-#REF!-#REF!</f>
        <v>#REF!</v>
      </c>
      <c r="S114" s="172" t="e">
        <f>S64-#REF!-#REF!-#REF!</f>
        <v>#REF!</v>
      </c>
      <c r="T114" s="172" t="e">
        <f>T64-#REF!-#REF!-#REF!</f>
        <v>#REF!</v>
      </c>
      <c r="U114" s="172" t="e">
        <f>U64-#REF!-#REF!-#REF!</f>
        <v>#REF!</v>
      </c>
      <c r="V114" s="172" t="e">
        <f>V64-#REF!-#REF!-#REF!</f>
        <v>#REF!</v>
      </c>
      <c r="W114" s="172" t="e">
        <f>W64-#REF!-#REF!-#REF!</f>
        <v>#REF!</v>
      </c>
      <c r="X114" s="172" t="e">
        <f>X64-#REF!-#REF!-#REF!</f>
        <v>#REF!</v>
      </c>
      <c r="Y114" s="172" t="e">
        <f>#REF!-#REF!-#REF!-#REF!</f>
        <v>#REF!</v>
      </c>
      <c r="Z114" s="172" t="e">
        <f>Z64-#REF!-#REF!-#REF!</f>
        <v>#REF!</v>
      </c>
      <c r="AA114" s="172" t="e">
        <f>AA64-#REF!-#REF!-#REF!</f>
        <v>#REF!</v>
      </c>
      <c r="AB114" s="172" t="e">
        <f>AB64-#REF!-#REF!-#REF!</f>
        <v>#REF!</v>
      </c>
      <c r="AC114" s="172" t="e">
        <f>AC64-#REF!-#REF!-#REF!</f>
        <v>#REF!</v>
      </c>
      <c r="AD114" s="172" t="e">
        <f>AD64-#REF!-#REF!-#REF!</f>
        <v>#REF!</v>
      </c>
      <c r="AE114" s="172" t="e">
        <f>AE64-#REF!-#REF!-#REF!</f>
        <v>#REF!</v>
      </c>
      <c r="AF114" s="172" t="e">
        <f>AF64-#REF!-#REF!-#REF!</f>
        <v>#REF!</v>
      </c>
      <c r="AG114" s="172" t="e">
        <f>AG64-#REF!-#REF!-#REF!</f>
        <v>#REF!</v>
      </c>
      <c r="AH114" s="172" t="e">
        <f>AH64-#REF!-#REF!-#REF!</f>
        <v>#REF!</v>
      </c>
      <c r="AI114" s="172" t="e">
        <f>AI64-#REF!-#REF!-#REF!</f>
        <v>#REF!</v>
      </c>
      <c r="AJ114" s="172" t="e">
        <f>AJ64-#REF!-#REF!</f>
        <v>#REF!</v>
      </c>
      <c r="AK114" s="100" t="e">
        <f t="shared" si="6"/>
        <v>#REF!</v>
      </c>
      <c r="AL114" s="100"/>
      <c r="AM114" s="180"/>
    </row>
    <row r="115" ht="24.95" hidden="1" customHeight="1" spans="1:39">
      <c r="A115" s="100">
        <v>18</v>
      </c>
      <c r="B115" s="99"/>
      <c r="C115" s="99" t="s">
        <v>195</v>
      </c>
      <c r="D115" s="100" t="s">
        <v>200</v>
      </c>
      <c r="E115" s="162"/>
      <c r="F115" s="172" t="e">
        <f>F65-#REF!-#REF!-#REF!</f>
        <v>#REF!</v>
      </c>
      <c r="G115" s="172" t="e">
        <f>G65-#REF!-#REF!-#REF!</f>
        <v>#REF!</v>
      </c>
      <c r="H115" s="172" t="e">
        <f>H65-#REF!-#REF!-#REF!</f>
        <v>#REF!</v>
      </c>
      <c r="I115" s="172" t="e">
        <f>I65-#REF!-#REF!-#REF!</f>
        <v>#REF!</v>
      </c>
      <c r="J115" s="172" t="e">
        <f>J65-#REF!-#REF!-#REF!</f>
        <v>#REF!</v>
      </c>
      <c r="K115" s="172" t="e">
        <f>K65-#REF!-#REF!-#REF!</f>
        <v>#REF!</v>
      </c>
      <c r="L115" s="172" t="e">
        <f>L65-#REF!-#REF!-#REF!</f>
        <v>#REF!</v>
      </c>
      <c r="M115" s="172" t="e">
        <f>M65-#REF!-#REF!-#REF!</f>
        <v>#REF!</v>
      </c>
      <c r="N115" s="172" t="e">
        <f>N65-#REF!-#REF!-#REF!</f>
        <v>#REF!</v>
      </c>
      <c r="O115" s="172" t="e">
        <f>O65-#REF!-#REF!-#REF!</f>
        <v>#REF!</v>
      </c>
      <c r="P115" s="172" t="e">
        <f>P65-#REF!-#REF!-#REF!</f>
        <v>#REF!</v>
      </c>
      <c r="Q115" s="172" t="e">
        <f>Q65-#REF!-#REF!-#REF!</f>
        <v>#REF!</v>
      </c>
      <c r="R115" s="172" t="e">
        <f>R65-#REF!-#REF!-#REF!</f>
        <v>#REF!</v>
      </c>
      <c r="S115" s="172" t="e">
        <f>S65-#REF!-#REF!-#REF!</f>
        <v>#REF!</v>
      </c>
      <c r="T115" s="172" t="e">
        <f>T65-#REF!-#REF!-#REF!</f>
        <v>#REF!</v>
      </c>
      <c r="U115" s="172" t="e">
        <f>U65-#REF!-#REF!-#REF!</f>
        <v>#REF!</v>
      </c>
      <c r="V115" s="172" t="e">
        <f>V65-#REF!-#REF!-#REF!</f>
        <v>#REF!</v>
      </c>
      <c r="W115" s="172" t="e">
        <f>W65-#REF!-#REF!-#REF!</f>
        <v>#REF!</v>
      </c>
      <c r="X115" s="172" t="e">
        <f>X65-#REF!-#REF!-#REF!</f>
        <v>#REF!</v>
      </c>
      <c r="Y115" s="172" t="e">
        <f>Y65-#REF!-#REF!-#REF!</f>
        <v>#REF!</v>
      </c>
      <c r="Z115" s="172" t="e">
        <f>Z65-#REF!-#REF!-#REF!</f>
        <v>#REF!</v>
      </c>
      <c r="AA115" s="172" t="e">
        <f>AA65-#REF!-#REF!-#REF!</f>
        <v>#REF!</v>
      </c>
      <c r="AB115" s="172" t="e">
        <f>AB65-#REF!-#REF!-#REF!</f>
        <v>#REF!</v>
      </c>
      <c r="AC115" s="172" t="e">
        <f>AC65-#REF!-#REF!-#REF!</f>
        <v>#REF!</v>
      </c>
      <c r="AD115" s="172" t="e">
        <f>AD65-#REF!-#REF!-#REF!</f>
        <v>#REF!</v>
      </c>
      <c r="AE115" s="172" t="e">
        <f>AE65-#REF!-#REF!-#REF!</f>
        <v>#REF!</v>
      </c>
      <c r="AF115" s="172" t="e">
        <f>AF65-#REF!-#REF!-#REF!</f>
        <v>#REF!</v>
      </c>
      <c r="AG115" s="172" t="e">
        <f>AG65-#REF!-#REF!-#REF!</f>
        <v>#REF!</v>
      </c>
      <c r="AH115" s="172" t="e">
        <f>AH65-#REF!-#REF!-#REF!</f>
        <v>#REF!</v>
      </c>
      <c r="AI115" s="172" t="e">
        <f>AI65-#REF!-#REF!-#REF!</f>
        <v>#REF!</v>
      </c>
      <c r="AJ115" s="172" t="e">
        <f>AJ65-#REF!-#REF!</f>
        <v>#REF!</v>
      </c>
      <c r="AK115" s="100" t="e">
        <f t="shared" si="6"/>
        <v>#REF!</v>
      </c>
      <c r="AL115" s="100"/>
      <c r="AM115" s="180"/>
    </row>
    <row r="116" ht="24.95" hidden="1" customHeight="1" spans="1:39">
      <c r="A116" s="100">
        <v>19</v>
      </c>
      <c r="B116" s="99"/>
      <c r="C116" s="99" t="s">
        <v>176</v>
      </c>
      <c r="D116" s="100" t="s">
        <v>200</v>
      </c>
      <c r="E116" s="162"/>
      <c r="F116" s="172" t="e">
        <f>#REF!-#REF!-#REF!-#REF!</f>
        <v>#REF!</v>
      </c>
      <c r="G116" s="172" t="e">
        <f>#REF!-#REF!-#REF!-#REF!</f>
        <v>#REF!</v>
      </c>
      <c r="H116" s="172" t="e">
        <f>#REF!-#REF!-#REF!-#REF!</f>
        <v>#REF!</v>
      </c>
      <c r="I116" s="172" t="e">
        <f>#REF!-#REF!-#REF!-#REF!</f>
        <v>#REF!</v>
      </c>
      <c r="J116" s="172" t="e">
        <f>#REF!-#REF!-#REF!-#REF!</f>
        <v>#REF!</v>
      </c>
      <c r="K116" s="172" t="e">
        <f>#REF!-#REF!-#REF!-#REF!</f>
        <v>#REF!</v>
      </c>
      <c r="L116" s="172" t="e">
        <f>#REF!-#REF!-#REF!-#REF!</f>
        <v>#REF!</v>
      </c>
      <c r="M116" s="172" t="e">
        <f>#REF!-#REF!-#REF!-#REF!</f>
        <v>#REF!</v>
      </c>
      <c r="N116" s="172" t="e">
        <f>#REF!-#REF!-#REF!-#REF!</f>
        <v>#REF!</v>
      </c>
      <c r="O116" s="172" t="e">
        <f>#REF!-#REF!-#REF!-#REF!</f>
        <v>#REF!</v>
      </c>
      <c r="P116" s="172" t="e">
        <f>#REF!-#REF!-#REF!-#REF!</f>
        <v>#REF!</v>
      </c>
      <c r="Q116" s="172" t="e">
        <f>#REF!-#REF!-#REF!-#REF!</f>
        <v>#REF!</v>
      </c>
      <c r="R116" s="172" t="e">
        <f>#REF!-#REF!-#REF!-#REF!</f>
        <v>#REF!</v>
      </c>
      <c r="S116" s="172" t="e">
        <f>#REF!-#REF!-#REF!-#REF!</f>
        <v>#REF!</v>
      </c>
      <c r="T116" s="172" t="e">
        <f>#REF!-#REF!-#REF!-#REF!</f>
        <v>#REF!</v>
      </c>
      <c r="U116" s="172" t="e">
        <f>#REF!-#REF!-#REF!-#REF!</f>
        <v>#REF!</v>
      </c>
      <c r="V116" s="172" t="e">
        <f>#REF!-#REF!-#REF!-#REF!</f>
        <v>#REF!</v>
      </c>
      <c r="W116" s="172" t="e">
        <f>#REF!-#REF!-#REF!-#REF!</f>
        <v>#REF!</v>
      </c>
      <c r="X116" s="172" t="e">
        <f>#REF!-#REF!-#REF!-#REF!</f>
        <v>#REF!</v>
      </c>
      <c r="Y116" s="172" t="e">
        <f>#REF!-#REF!-#REF!-#REF!</f>
        <v>#REF!</v>
      </c>
      <c r="Z116" s="172" t="e">
        <f>#REF!-#REF!-#REF!-#REF!</f>
        <v>#REF!</v>
      </c>
      <c r="AA116" s="172" t="e">
        <f>#REF!-#REF!-#REF!-#REF!</f>
        <v>#REF!</v>
      </c>
      <c r="AB116" s="172" t="e">
        <f>#REF!-#REF!-#REF!-#REF!</f>
        <v>#REF!</v>
      </c>
      <c r="AC116" s="172" t="e">
        <f>#REF!-#REF!-#REF!-#REF!</f>
        <v>#REF!</v>
      </c>
      <c r="AD116" s="172" t="e">
        <f>#REF!-#REF!-#REF!-#REF!</f>
        <v>#REF!</v>
      </c>
      <c r="AE116" s="172" t="e">
        <f>#REF!-#REF!-#REF!-#REF!</f>
        <v>#REF!</v>
      </c>
      <c r="AF116" s="172" t="e">
        <f>#REF!-#REF!-#REF!-#REF!</f>
        <v>#REF!</v>
      </c>
      <c r="AG116" s="172" t="e">
        <f>#REF!-#REF!-#REF!-#REF!</f>
        <v>#REF!</v>
      </c>
      <c r="AH116" s="172" t="e">
        <f>#REF!-#REF!-#REF!-#REF!</f>
        <v>#REF!</v>
      </c>
      <c r="AI116" s="172" t="e">
        <f>#REF!-#REF!-#REF!-#REF!</f>
        <v>#REF!</v>
      </c>
      <c r="AJ116" s="172" t="e">
        <f>#REF!-#REF!-#REF!</f>
        <v>#REF!</v>
      </c>
      <c r="AK116" s="100" t="e">
        <f t="shared" si="6"/>
        <v>#REF!</v>
      </c>
      <c r="AL116" s="100"/>
      <c r="AM116" s="180"/>
    </row>
    <row r="117" ht="24.95" hidden="1" customHeight="1" spans="1:39">
      <c r="A117" s="100" t="s">
        <v>5</v>
      </c>
      <c r="B117" s="100"/>
      <c r="C117" s="100"/>
      <c r="D117" s="100"/>
      <c r="E117" s="162"/>
      <c r="F117" s="172" t="e">
        <f t="shared" ref="F117:N117" si="7">F98+F99+F100+F101+F102+F103+F104+F105+F106+F107+AC108+F109+F110+F111+F112+F113+F114+F115+F116</f>
        <v>#REF!</v>
      </c>
      <c r="G117" s="172" t="e">
        <f t="shared" si="7"/>
        <v>#REF!</v>
      </c>
      <c r="H117" s="172" t="e">
        <f t="shared" si="7"/>
        <v>#REF!</v>
      </c>
      <c r="I117" s="172" t="e">
        <f t="shared" si="7"/>
        <v>#REF!</v>
      </c>
      <c r="J117" s="172" t="e">
        <f t="shared" si="7"/>
        <v>#REF!</v>
      </c>
      <c r="K117" s="172" t="e">
        <f t="shared" si="7"/>
        <v>#REF!</v>
      </c>
      <c r="L117" s="172" t="e">
        <f t="shared" si="7"/>
        <v>#REF!</v>
      </c>
      <c r="M117" s="172" t="e">
        <f t="shared" si="7"/>
        <v>#REF!</v>
      </c>
      <c r="N117" s="172" t="e">
        <f t="shared" si="7"/>
        <v>#REF!</v>
      </c>
      <c r="O117" s="172" t="e">
        <f t="shared" ref="O117:AJ117" si="8">O98+O99+O100+O101+O102+O103+O104+O105+O106+O107+AM108+O109+O110+O111+O112+O113+O114+O115+O116</f>
        <v>#REF!</v>
      </c>
      <c r="P117" s="172" t="e">
        <f t="shared" si="8"/>
        <v>#REF!</v>
      </c>
      <c r="Q117" s="172" t="e">
        <f t="shared" si="8"/>
        <v>#REF!</v>
      </c>
      <c r="R117" s="172" t="e">
        <f t="shared" si="8"/>
        <v>#REF!</v>
      </c>
      <c r="S117" s="172" t="e">
        <f t="shared" si="8"/>
        <v>#REF!</v>
      </c>
      <c r="T117" s="172" t="e">
        <f t="shared" si="8"/>
        <v>#REF!</v>
      </c>
      <c r="U117" s="172" t="e">
        <f t="shared" si="8"/>
        <v>#REF!</v>
      </c>
      <c r="V117" s="172" t="e">
        <f t="shared" si="8"/>
        <v>#REF!</v>
      </c>
      <c r="W117" s="172" t="e">
        <f t="shared" si="8"/>
        <v>#REF!</v>
      </c>
      <c r="X117" s="172" t="e">
        <f t="shared" si="8"/>
        <v>#REF!</v>
      </c>
      <c r="Y117" s="172" t="e">
        <f t="shared" si="8"/>
        <v>#REF!</v>
      </c>
      <c r="Z117" s="172" t="e">
        <f t="shared" si="8"/>
        <v>#REF!</v>
      </c>
      <c r="AA117" s="172" t="e">
        <f t="shared" si="8"/>
        <v>#REF!</v>
      </c>
      <c r="AB117" s="172" t="e">
        <f t="shared" si="8"/>
        <v>#REF!</v>
      </c>
      <c r="AC117" s="172" t="e">
        <f t="shared" si="8"/>
        <v>#REF!</v>
      </c>
      <c r="AD117" s="172" t="e">
        <f t="shared" si="8"/>
        <v>#REF!</v>
      </c>
      <c r="AE117" s="172" t="e">
        <f t="shared" si="8"/>
        <v>#REF!</v>
      </c>
      <c r="AF117" s="172" t="e">
        <f t="shared" si="8"/>
        <v>#REF!</v>
      </c>
      <c r="AG117" s="172" t="e">
        <f t="shared" si="8"/>
        <v>#REF!</v>
      </c>
      <c r="AH117" s="172" t="e">
        <f t="shared" si="8"/>
        <v>#REF!</v>
      </c>
      <c r="AI117" s="172" t="e">
        <f t="shared" si="8"/>
        <v>#REF!</v>
      </c>
      <c r="AJ117" s="172" t="e">
        <f t="shared" si="8"/>
        <v>#REF!</v>
      </c>
      <c r="AK117" s="100" t="e">
        <f t="shared" si="6"/>
        <v>#REF!</v>
      </c>
      <c r="AL117" s="100"/>
      <c r="AM117" s="180"/>
    </row>
    <row r="118" ht="20.4" hidden="1" spans="5:22">
      <c r="E118" s="162"/>
      <c r="P118" s="174" t="s">
        <v>202</v>
      </c>
      <c r="Q118" s="174"/>
      <c r="S118" s="176" t="s">
        <v>203</v>
      </c>
      <c r="T118" s="176"/>
      <c r="U118" s="176"/>
      <c r="V118" s="176"/>
    </row>
    <row r="119" ht="15.6" hidden="1" spans="5:5">
      <c r="E119" s="168"/>
    </row>
    <row r="120" hidden="1"/>
    <row r="121" ht="6" hidden="1" customHeight="1"/>
    <row r="122" hidden="1"/>
    <row r="123" s="85" customFormat="1" ht="20.1" hidden="1" customHeight="1" spans="1:39">
      <c r="A123" s="159" t="s">
        <v>67</v>
      </c>
      <c r="B123" s="159"/>
      <c r="C123" s="160" t="s">
        <v>40</v>
      </c>
      <c r="D123" s="160"/>
      <c r="E123" s="86"/>
      <c r="F123" s="161" t="s">
        <v>204</v>
      </c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60"/>
      <c r="AK123" s="160" t="s">
        <v>5</v>
      </c>
      <c r="AL123" s="182"/>
      <c r="AM123" s="183"/>
    </row>
    <row r="124" s="85" customFormat="1" ht="20.1" hidden="1" customHeight="1" spans="1:39">
      <c r="A124" s="159"/>
      <c r="B124" s="159"/>
      <c r="C124" s="160"/>
      <c r="D124" s="160"/>
      <c r="E124" s="86"/>
      <c r="F124" s="85">
        <v>1</v>
      </c>
      <c r="G124" s="100">
        <v>2</v>
      </c>
      <c r="H124" s="100">
        <v>3</v>
      </c>
      <c r="I124" s="100">
        <v>4</v>
      </c>
      <c r="J124" s="100">
        <v>5</v>
      </c>
      <c r="K124" s="100">
        <v>6</v>
      </c>
      <c r="L124" s="100">
        <v>7</v>
      </c>
      <c r="M124" s="100">
        <v>8</v>
      </c>
      <c r="N124" s="100">
        <v>9</v>
      </c>
      <c r="O124" s="100">
        <v>10</v>
      </c>
      <c r="P124" s="100">
        <v>11</v>
      </c>
      <c r="Q124" s="100">
        <v>12</v>
      </c>
      <c r="R124" s="100">
        <v>13</v>
      </c>
      <c r="S124" s="100">
        <v>14</v>
      </c>
      <c r="T124" s="100">
        <v>15</v>
      </c>
      <c r="U124" s="100">
        <v>16</v>
      </c>
      <c r="V124" s="100">
        <v>17</v>
      </c>
      <c r="W124" s="100">
        <v>18</v>
      </c>
      <c r="X124" s="100">
        <v>19</v>
      </c>
      <c r="Y124" s="100">
        <v>20</v>
      </c>
      <c r="Z124" s="100">
        <v>21</v>
      </c>
      <c r="AA124" s="100">
        <v>22</v>
      </c>
      <c r="AB124" s="100">
        <v>23</v>
      </c>
      <c r="AC124" s="100">
        <v>24</v>
      </c>
      <c r="AD124" s="100">
        <v>25</v>
      </c>
      <c r="AE124" s="100">
        <v>26</v>
      </c>
      <c r="AF124" s="100">
        <v>27</v>
      </c>
      <c r="AG124" s="100">
        <v>28</v>
      </c>
      <c r="AH124" s="100">
        <v>29</v>
      </c>
      <c r="AI124" s="100">
        <v>30</v>
      </c>
      <c r="AJ124" s="160">
        <v>31</v>
      </c>
      <c r="AK124" s="160"/>
      <c r="AL124" s="182"/>
      <c r="AM124" s="183"/>
    </row>
    <row r="125" s="85" customFormat="1" ht="24.95" hidden="1" customHeight="1" spans="1:39">
      <c r="A125" s="145">
        <v>2</v>
      </c>
      <c r="B125" s="145"/>
      <c r="C125" s="100" t="s">
        <v>179</v>
      </c>
      <c r="D125" s="172" t="s">
        <v>205</v>
      </c>
      <c r="E125" s="86"/>
      <c r="G125" s="100"/>
      <c r="H125" s="146"/>
      <c r="AG125" s="85">
        <v>405</v>
      </c>
      <c r="AI125" s="184"/>
      <c r="AJ125" s="184"/>
      <c r="AK125" s="184"/>
      <c r="AL125" s="185"/>
      <c r="AM125" s="183"/>
    </row>
    <row r="126" ht="24.95" hidden="1" customHeight="1" spans="1:38">
      <c r="A126" s="186"/>
      <c r="B126" s="186"/>
      <c r="C126" s="100" t="s">
        <v>181</v>
      </c>
      <c r="D126" s="172" t="s">
        <v>205</v>
      </c>
      <c r="F126" s="172"/>
      <c r="G126" s="172"/>
      <c r="H126" s="146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>
        <v>420</v>
      </c>
      <c r="AH126" s="85"/>
      <c r="AI126" s="184"/>
      <c r="AJ126" s="184"/>
      <c r="AK126" s="184"/>
      <c r="AL126" s="137"/>
    </row>
    <row r="127" ht="24.95" hidden="1" customHeight="1" spans="1:38">
      <c r="A127" s="186">
        <v>3</v>
      </c>
      <c r="B127" s="186"/>
      <c r="C127" s="187" t="s">
        <v>153</v>
      </c>
      <c r="D127" s="188" t="s">
        <v>205</v>
      </c>
      <c r="F127" s="172"/>
      <c r="G127" s="85"/>
      <c r="H127" s="146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>
        <v>198</v>
      </c>
      <c r="AH127" s="85"/>
      <c r="AI127" s="184"/>
      <c r="AJ127" s="184"/>
      <c r="AK127" s="184"/>
      <c r="AL127" s="137"/>
    </row>
    <row r="128" ht="24.95" hidden="1" customHeight="1" spans="1:38">
      <c r="A128" s="145">
        <v>4</v>
      </c>
      <c r="B128" s="145"/>
      <c r="C128" s="167" t="s">
        <v>182</v>
      </c>
      <c r="D128" s="172" t="s">
        <v>205</v>
      </c>
      <c r="F128" s="172"/>
      <c r="G128" s="85"/>
      <c r="H128" s="146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>
        <v>396</v>
      </c>
      <c r="AH128" s="85"/>
      <c r="AI128" s="184"/>
      <c r="AJ128" s="184"/>
      <c r="AK128" s="184"/>
      <c r="AL128" s="137"/>
    </row>
    <row r="129" ht="24.95" hidden="1" customHeight="1" spans="1:38">
      <c r="A129" s="145">
        <v>5</v>
      </c>
      <c r="B129" s="145"/>
      <c r="C129" s="100" t="s">
        <v>183</v>
      </c>
      <c r="D129" s="172" t="s">
        <v>205</v>
      </c>
      <c r="F129" s="172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>
        <v>118</v>
      </c>
      <c r="AH129" s="85"/>
      <c r="AI129" s="184"/>
      <c r="AJ129" s="184"/>
      <c r="AK129" s="184"/>
      <c r="AL129" s="137"/>
    </row>
    <row r="130" ht="24.95" hidden="1" customHeight="1" spans="1:38">
      <c r="A130" s="145">
        <v>6</v>
      </c>
      <c r="B130" s="145"/>
      <c r="C130" s="100" t="s">
        <v>184</v>
      </c>
      <c r="D130" s="172" t="s">
        <v>205</v>
      </c>
      <c r="F130" s="172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184"/>
      <c r="AJ130" s="184"/>
      <c r="AK130" s="184"/>
      <c r="AL130" s="137"/>
    </row>
    <row r="131" ht="24.95" hidden="1" customHeight="1" spans="1:38">
      <c r="A131" s="145">
        <v>7</v>
      </c>
      <c r="B131" s="145"/>
      <c r="C131" s="100" t="s">
        <v>185</v>
      </c>
      <c r="D131" s="172" t="s">
        <v>205</v>
      </c>
      <c r="F131" s="172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184"/>
      <c r="AJ131" s="184"/>
      <c r="AK131" s="184"/>
      <c r="AL131" s="137"/>
    </row>
    <row r="132" ht="24.95" hidden="1" customHeight="1" spans="1:38">
      <c r="A132" s="145">
        <v>8</v>
      </c>
      <c r="B132" s="145"/>
      <c r="C132" s="100" t="s">
        <v>186</v>
      </c>
      <c r="D132" s="172" t="s">
        <v>205</v>
      </c>
      <c r="F132" s="172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184"/>
      <c r="AJ132" s="184"/>
      <c r="AK132" s="184"/>
      <c r="AL132" s="137"/>
    </row>
    <row r="133" ht="24.95" hidden="1" customHeight="1" spans="1:38">
      <c r="A133" s="145">
        <v>9</v>
      </c>
      <c r="B133" s="145"/>
      <c r="C133" s="100" t="s">
        <v>187</v>
      </c>
      <c r="D133" s="172" t="s">
        <v>205</v>
      </c>
      <c r="F133" s="172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184"/>
      <c r="AJ133" s="184"/>
      <c r="AK133" s="184"/>
      <c r="AL133" s="137"/>
    </row>
    <row r="134" ht="24.95" hidden="1" customHeight="1" spans="1:38">
      <c r="A134" s="145">
        <v>10</v>
      </c>
      <c r="B134" s="145"/>
      <c r="C134" s="100" t="s">
        <v>188</v>
      </c>
      <c r="D134" s="172" t="s">
        <v>205</v>
      </c>
      <c r="F134" s="172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184"/>
      <c r="AJ134" s="184"/>
      <c r="AK134" s="184"/>
      <c r="AL134" s="137"/>
    </row>
    <row r="135" ht="24.95" hidden="1" customHeight="1" spans="1:38">
      <c r="A135" s="145">
        <v>11</v>
      </c>
      <c r="B135" s="145"/>
      <c r="C135" s="100" t="s">
        <v>189</v>
      </c>
      <c r="D135" s="172" t="s">
        <v>205</v>
      </c>
      <c r="F135" s="172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184"/>
      <c r="AJ135" s="184"/>
      <c r="AK135" s="184"/>
      <c r="AL135" s="137"/>
    </row>
    <row r="136" ht="24.95" hidden="1" customHeight="1" spans="1:38">
      <c r="A136" s="145">
        <v>12</v>
      </c>
      <c r="B136" s="145"/>
      <c r="C136" s="100" t="s">
        <v>190</v>
      </c>
      <c r="D136" s="172" t="s">
        <v>205</v>
      </c>
      <c r="F136" s="172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184"/>
      <c r="AJ136" s="184"/>
      <c r="AK136" s="184"/>
      <c r="AL136" s="137"/>
    </row>
    <row r="137" ht="24.95" hidden="1" customHeight="1" spans="1:38">
      <c r="A137" s="145">
        <v>13</v>
      </c>
      <c r="B137" s="189"/>
      <c r="C137" s="99" t="s">
        <v>191</v>
      </c>
      <c r="D137" s="172" t="s">
        <v>205</v>
      </c>
      <c r="F137" s="172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184"/>
      <c r="AJ137" s="184"/>
      <c r="AK137" s="184"/>
      <c r="AL137" s="137"/>
    </row>
    <row r="138" ht="24.95" hidden="1" customHeight="1" spans="1:38">
      <c r="A138" s="145">
        <v>14</v>
      </c>
      <c r="B138" s="189"/>
      <c r="C138" s="99" t="s">
        <v>192</v>
      </c>
      <c r="D138" s="172" t="s">
        <v>205</v>
      </c>
      <c r="F138" s="172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184"/>
      <c r="AJ138" s="184"/>
      <c r="AK138" s="184"/>
      <c r="AL138" s="137"/>
    </row>
    <row r="139" ht="24.95" hidden="1" customHeight="1" spans="1:38">
      <c r="A139" s="145">
        <v>15</v>
      </c>
      <c r="B139" s="189"/>
      <c r="C139" s="99" t="s">
        <v>193</v>
      </c>
      <c r="D139" s="172" t="s">
        <v>205</v>
      </c>
      <c r="F139" s="172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184"/>
      <c r="AJ139" s="184"/>
      <c r="AK139" s="184"/>
      <c r="AL139" s="137"/>
    </row>
    <row r="140" ht="24.95" hidden="1" customHeight="1" spans="1:38">
      <c r="A140" s="145">
        <v>16</v>
      </c>
      <c r="B140" s="145"/>
      <c r="C140" s="165" t="s">
        <v>194</v>
      </c>
      <c r="D140" s="172" t="s">
        <v>205</v>
      </c>
      <c r="F140" s="172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184"/>
      <c r="AJ140" s="184"/>
      <c r="AK140" s="184"/>
      <c r="AL140" s="137"/>
    </row>
    <row r="141" ht="24.95" hidden="1" customHeight="1" spans="1:38">
      <c r="A141" s="145">
        <v>17</v>
      </c>
      <c r="B141" s="189"/>
      <c r="C141" s="99" t="s">
        <v>54</v>
      </c>
      <c r="D141" s="172" t="s">
        <v>205</v>
      </c>
      <c r="F141" s="172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184"/>
      <c r="AJ141" s="184"/>
      <c r="AK141" s="184"/>
      <c r="AL141" s="137"/>
    </row>
    <row r="142" ht="24.95" hidden="1" customHeight="1" spans="1:38">
      <c r="A142" s="145">
        <v>18</v>
      </c>
      <c r="B142" s="189"/>
      <c r="C142" s="99" t="s">
        <v>195</v>
      </c>
      <c r="D142" s="172" t="s">
        <v>205</v>
      </c>
      <c r="F142" s="172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184"/>
      <c r="AJ142" s="184"/>
      <c r="AK142" s="184"/>
      <c r="AL142" s="137"/>
    </row>
    <row r="143" ht="24.95" hidden="1" customHeight="1" spans="1:38">
      <c r="A143" s="145">
        <v>19</v>
      </c>
      <c r="B143" s="189"/>
      <c r="C143" s="99" t="s">
        <v>176</v>
      </c>
      <c r="D143" s="172" t="s">
        <v>205</v>
      </c>
      <c r="F143" s="172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>
        <v>57</v>
      </c>
      <c r="AH143" s="85"/>
      <c r="AI143" s="184"/>
      <c r="AJ143" s="184"/>
      <c r="AK143" s="184"/>
      <c r="AL143" s="137"/>
    </row>
    <row r="144" ht="24.95" hidden="1" customHeight="1" spans="1:38">
      <c r="A144" s="98" t="s">
        <v>5</v>
      </c>
      <c r="B144" s="99"/>
      <c r="C144" s="99"/>
      <c r="D144" s="168"/>
      <c r="F144" s="166">
        <f t="shared" ref="F144:H144" si="9">G126+F126+F127+F128+F129+F130+F131+F132+F133+F134+F135+F136+F137+F138+F139+F140+F141+F142+F143</f>
        <v>0</v>
      </c>
      <c r="G144" s="166">
        <f t="shared" si="9"/>
        <v>0</v>
      </c>
      <c r="H144" s="166">
        <f t="shared" si="9"/>
        <v>0</v>
      </c>
      <c r="I144" s="166">
        <f t="shared" ref="I144:AJ144" si="10">I125+I126+I127+I128+I129+I130+I131+I132+I133+I134+I135+I136+I137+I138+I139+I140+I141+I142+I143</f>
        <v>0</v>
      </c>
      <c r="J144" s="166">
        <f t="shared" si="10"/>
        <v>0</v>
      </c>
      <c r="K144" s="166">
        <f t="shared" si="10"/>
        <v>0</v>
      </c>
      <c r="L144" s="166">
        <f t="shared" si="10"/>
        <v>0</v>
      </c>
      <c r="M144" s="166">
        <f t="shared" si="10"/>
        <v>0</v>
      </c>
      <c r="N144" s="166">
        <f t="shared" si="10"/>
        <v>0</v>
      </c>
      <c r="O144" s="166">
        <f t="shared" si="10"/>
        <v>0</v>
      </c>
      <c r="P144" s="166">
        <f t="shared" si="10"/>
        <v>0</v>
      </c>
      <c r="Q144" s="166">
        <f t="shared" si="10"/>
        <v>0</v>
      </c>
      <c r="R144" s="166">
        <f t="shared" si="10"/>
        <v>0</v>
      </c>
      <c r="S144" s="166">
        <f t="shared" si="10"/>
        <v>0</v>
      </c>
      <c r="T144" s="166">
        <f t="shared" si="10"/>
        <v>0</v>
      </c>
      <c r="U144" s="166">
        <f t="shared" si="10"/>
        <v>0</v>
      </c>
      <c r="V144" s="166">
        <f t="shared" si="10"/>
        <v>0</v>
      </c>
      <c r="W144" s="166">
        <f t="shared" si="10"/>
        <v>0</v>
      </c>
      <c r="X144" s="166">
        <f t="shared" si="10"/>
        <v>0</v>
      </c>
      <c r="Y144" s="166">
        <f t="shared" si="10"/>
        <v>0</v>
      </c>
      <c r="Z144" s="166">
        <f t="shared" si="10"/>
        <v>0</v>
      </c>
      <c r="AA144" s="166">
        <f t="shared" si="10"/>
        <v>0</v>
      </c>
      <c r="AB144" s="166">
        <f t="shared" si="10"/>
        <v>0</v>
      </c>
      <c r="AC144" s="166">
        <f t="shared" si="10"/>
        <v>0</v>
      </c>
      <c r="AD144" s="166">
        <f t="shared" si="10"/>
        <v>0</v>
      </c>
      <c r="AE144" s="166">
        <f t="shared" si="10"/>
        <v>0</v>
      </c>
      <c r="AF144" s="166">
        <f t="shared" si="10"/>
        <v>0</v>
      </c>
      <c r="AG144" s="166">
        <f t="shared" si="10"/>
        <v>1594</v>
      </c>
      <c r="AH144" s="166">
        <f t="shared" si="10"/>
        <v>0</v>
      </c>
      <c r="AI144" s="166">
        <f t="shared" si="10"/>
        <v>0</v>
      </c>
      <c r="AJ144" s="166">
        <f t="shared" si="10"/>
        <v>0</v>
      </c>
      <c r="AK144" s="100">
        <f t="shared" ref="AK144:AK178" si="11">F144+G144+H144+I144+J144+K144+L144+M144+N144+O144+P144+Q144+R144+S144+T144+U144+V144+W144+X144+Y144+Z144+AA144+AB144+AC144+AD144+AE144+AF144+AG144+AH144+AI144+AJ144</f>
        <v>1594</v>
      </c>
      <c r="AL144" s="155"/>
    </row>
    <row r="145" ht="30.95" hidden="1" customHeight="1" spans="1:38">
      <c r="A145" s="190"/>
      <c r="B145" s="156"/>
      <c r="C145" s="156"/>
      <c r="D145" s="156"/>
      <c r="E145" s="156"/>
      <c r="F145" s="156"/>
      <c r="G145" s="191" t="s">
        <v>206</v>
      </c>
      <c r="H145" s="191"/>
      <c r="I145" s="191"/>
      <c r="J145" s="191"/>
      <c r="K145" s="191"/>
      <c r="L145" s="191"/>
      <c r="M145" s="191"/>
      <c r="N145" s="191"/>
      <c r="O145" s="191"/>
      <c r="P145" s="191"/>
      <c r="Q145" s="191"/>
      <c r="R145" s="191"/>
      <c r="S145" s="191"/>
      <c r="T145" s="191"/>
      <c r="U145" s="191"/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91"/>
    </row>
    <row r="146" ht="20.25" hidden="1" customHeight="1" spans="1:38">
      <c r="A146" s="192" t="s">
        <v>67</v>
      </c>
      <c r="B146" s="192"/>
      <c r="C146" s="193" t="s">
        <v>40</v>
      </c>
      <c r="D146" s="193"/>
      <c r="E146" s="194" t="s">
        <v>6</v>
      </c>
      <c r="F146" s="195"/>
      <c r="G146" s="195"/>
      <c r="H146" s="195"/>
      <c r="I146" s="193"/>
      <c r="J146" s="193"/>
      <c r="K146" s="193"/>
      <c r="L146" s="193"/>
      <c r="M146" s="193"/>
      <c r="N146" s="193"/>
      <c r="O146" s="193"/>
      <c r="P146" s="193"/>
      <c r="Q146" s="193"/>
      <c r="R146" s="193"/>
      <c r="S146" s="193"/>
      <c r="T146" s="193"/>
      <c r="U146" s="193"/>
      <c r="V146" s="193"/>
      <c r="W146" s="193"/>
      <c r="X146" s="193"/>
      <c r="Y146" s="193"/>
      <c r="Z146" s="193"/>
      <c r="AA146" s="193"/>
      <c r="AB146" s="193"/>
      <c r="AC146" s="193"/>
      <c r="AD146" s="193"/>
      <c r="AE146" s="193"/>
      <c r="AF146" s="203"/>
      <c r="AG146" s="203"/>
      <c r="AH146" s="203"/>
      <c r="AI146" s="203"/>
      <c r="AJ146" s="193"/>
      <c r="AK146" s="204" t="s">
        <v>207</v>
      </c>
      <c r="AL146" s="160" t="s">
        <v>69</v>
      </c>
    </row>
    <row r="147" ht="21.95" hidden="1" customHeight="1" spans="1:38">
      <c r="A147" s="192"/>
      <c r="B147" s="192"/>
      <c r="C147" s="193"/>
      <c r="D147" s="193"/>
      <c r="E147" s="196"/>
      <c r="F147" s="197">
        <v>1</v>
      </c>
      <c r="G147" s="197">
        <v>2</v>
      </c>
      <c r="H147" s="197">
        <v>3</v>
      </c>
      <c r="I147" s="197">
        <v>4</v>
      </c>
      <c r="J147" s="197">
        <v>5</v>
      </c>
      <c r="K147" s="197">
        <v>6</v>
      </c>
      <c r="L147" s="197">
        <v>7</v>
      </c>
      <c r="M147" s="197">
        <v>8</v>
      </c>
      <c r="N147" s="197">
        <v>9</v>
      </c>
      <c r="O147" s="197">
        <v>10</v>
      </c>
      <c r="P147" s="197">
        <v>11</v>
      </c>
      <c r="Q147" s="197">
        <v>12</v>
      </c>
      <c r="R147" s="197">
        <v>13</v>
      </c>
      <c r="S147" s="197">
        <v>14</v>
      </c>
      <c r="T147" s="197">
        <v>15</v>
      </c>
      <c r="U147" s="197">
        <v>16</v>
      </c>
      <c r="V147" s="197">
        <v>17</v>
      </c>
      <c r="W147" s="197">
        <v>18</v>
      </c>
      <c r="X147" s="197">
        <v>19</v>
      </c>
      <c r="Y147" s="197">
        <v>20</v>
      </c>
      <c r="Z147" s="197">
        <v>21</v>
      </c>
      <c r="AA147" s="197">
        <v>22</v>
      </c>
      <c r="AB147" s="197">
        <v>23</v>
      </c>
      <c r="AC147" s="197">
        <v>24</v>
      </c>
      <c r="AD147" s="197">
        <v>25</v>
      </c>
      <c r="AE147" s="197">
        <v>26</v>
      </c>
      <c r="AF147" s="197">
        <v>27</v>
      </c>
      <c r="AG147" s="197">
        <v>28</v>
      </c>
      <c r="AH147" s="197">
        <v>29</v>
      </c>
      <c r="AI147" s="197">
        <v>30</v>
      </c>
      <c r="AJ147" s="197">
        <v>31</v>
      </c>
      <c r="AK147" s="205"/>
      <c r="AL147" s="160"/>
    </row>
    <row r="148" ht="32.1" hidden="1" customHeight="1" spans="1:38">
      <c r="A148" s="23">
        <v>1</v>
      </c>
      <c r="B148" s="23"/>
      <c r="C148" s="23" t="s">
        <v>161</v>
      </c>
      <c r="D148" s="23" t="s">
        <v>72</v>
      </c>
      <c r="E148" s="23">
        <v>0.4</v>
      </c>
      <c r="F148" s="198" t="e">
        <f>F6-#REF!</f>
        <v>#REF!</v>
      </c>
      <c r="G148" s="198" t="e">
        <f>G6-#REF!</f>
        <v>#REF!</v>
      </c>
      <c r="H148" s="198" t="e">
        <f>H6-#REF!</f>
        <v>#REF!</v>
      </c>
      <c r="I148" s="198" t="e">
        <f>I6-#REF!</f>
        <v>#REF!</v>
      </c>
      <c r="J148" s="198" t="e">
        <f>J6-#REF!</f>
        <v>#REF!</v>
      </c>
      <c r="K148" s="198" t="e">
        <f>K6-#REF!</f>
        <v>#REF!</v>
      </c>
      <c r="L148" s="198" t="e">
        <f>L6-#REF!</f>
        <v>#REF!</v>
      </c>
      <c r="M148" s="198" t="e">
        <f>M6-#REF!</f>
        <v>#REF!</v>
      </c>
      <c r="N148" s="198" t="e">
        <f>N6-#REF!</f>
        <v>#REF!</v>
      </c>
      <c r="O148" s="198" t="e">
        <f>O6-#REF!</f>
        <v>#REF!</v>
      </c>
      <c r="P148" s="198" t="e">
        <f>P6-#REF!</f>
        <v>#REF!</v>
      </c>
      <c r="Q148" s="198" t="e">
        <f>Q6-#REF!</f>
        <v>#REF!</v>
      </c>
      <c r="R148" s="198" t="e">
        <f>R6-#REF!</f>
        <v>#REF!</v>
      </c>
      <c r="S148" s="198" t="e">
        <f>S6-#REF!</f>
        <v>#REF!</v>
      </c>
      <c r="T148" s="198" t="e">
        <f>T6-#REF!</f>
        <v>#REF!</v>
      </c>
      <c r="U148" s="198" t="e">
        <f>U6-#REF!</f>
        <v>#REF!</v>
      </c>
      <c r="V148" s="198" t="e">
        <f>V6-#REF!</f>
        <v>#REF!</v>
      </c>
      <c r="W148" s="198" t="e">
        <f>W6-#REF!</f>
        <v>#REF!</v>
      </c>
      <c r="X148" s="198" t="e">
        <f>X6-#REF!</f>
        <v>#REF!</v>
      </c>
      <c r="Y148" s="198" t="e">
        <f>Y6-#REF!</f>
        <v>#REF!</v>
      </c>
      <c r="Z148" s="198" t="e">
        <f>Z6-#REF!</f>
        <v>#REF!</v>
      </c>
      <c r="AA148" s="198" t="e">
        <f>AA6-#REF!</f>
        <v>#REF!</v>
      </c>
      <c r="AB148" s="198" t="e">
        <f>AB6-#REF!</f>
        <v>#REF!</v>
      </c>
      <c r="AC148" s="198" t="e">
        <f>AC6-#REF!</f>
        <v>#REF!</v>
      </c>
      <c r="AD148" s="198" t="e">
        <f>AD6-#REF!</f>
        <v>#REF!</v>
      </c>
      <c r="AE148" s="198" t="e">
        <f>AE6-#REF!</f>
        <v>#REF!</v>
      </c>
      <c r="AF148" s="198" t="e">
        <f>AF6-#REF!</f>
        <v>#REF!</v>
      </c>
      <c r="AG148" s="198" t="e">
        <f>AG6-#REF!</f>
        <v>#REF!</v>
      </c>
      <c r="AH148" s="198" t="e">
        <f>AH6-#REF!</f>
        <v>#REF!</v>
      </c>
      <c r="AI148" s="198" t="e">
        <f>AI6-#REF!</f>
        <v>#REF!</v>
      </c>
      <c r="AJ148" s="198" t="e">
        <f>AJ6-#REF!</f>
        <v>#REF!</v>
      </c>
      <c r="AK148" s="205" t="e">
        <f t="shared" si="11"/>
        <v>#REF!</v>
      </c>
      <c r="AL148" s="206" t="e">
        <f t="shared" ref="AL148:AL178" si="12">AK148*E148</f>
        <v>#REF!</v>
      </c>
    </row>
    <row r="149" ht="32.1" hidden="1" customHeight="1" spans="1:38">
      <c r="A149" s="23">
        <v>2</v>
      </c>
      <c r="B149" s="23"/>
      <c r="C149" s="23" t="s">
        <v>163</v>
      </c>
      <c r="D149" s="23" t="s">
        <v>72</v>
      </c>
      <c r="E149" s="23">
        <v>0.4</v>
      </c>
      <c r="F149" s="198" t="e">
        <f>F7-#REF!</f>
        <v>#REF!</v>
      </c>
      <c r="G149" s="198" t="e">
        <f>G7-#REF!</f>
        <v>#REF!</v>
      </c>
      <c r="H149" s="198" t="e">
        <f>H7-#REF!</f>
        <v>#REF!</v>
      </c>
      <c r="I149" s="198" t="e">
        <f>I7-#REF!</f>
        <v>#REF!</v>
      </c>
      <c r="J149" s="198" t="e">
        <f>J7-#REF!</f>
        <v>#REF!</v>
      </c>
      <c r="K149" s="198" t="e">
        <f>K7-#REF!</f>
        <v>#REF!</v>
      </c>
      <c r="L149" s="198" t="e">
        <f>L7-#REF!</f>
        <v>#REF!</v>
      </c>
      <c r="M149" s="198" t="e">
        <f>M7-#REF!</f>
        <v>#REF!</v>
      </c>
      <c r="N149" s="198" t="e">
        <f>N7-#REF!</f>
        <v>#REF!</v>
      </c>
      <c r="O149" s="198" t="e">
        <f>O7-#REF!</f>
        <v>#REF!</v>
      </c>
      <c r="P149" s="198" t="e">
        <f>P7-#REF!</f>
        <v>#REF!</v>
      </c>
      <c r="Q149" s="198" t="e">
        <f>Q7-#REF!</f>
        <v>#REF!</v>
      </c>
      <c r="R149" s="198" t="e">
        <f>R7-#REF!</f>
        <v>#REF!</v>
      </c>
      <c r="S149" s="198" t="e">
        <f>S7-#REF!</f>
        <v>#REF!</v>
      </c>
      <c r="T149" s="198" t="e">
        <f>T7-#REF!</f>
        <v>#REF!</v>
      </c>
      <c r="U149" s="198" t="e">
        <f>U7-#REF!</f>
        <v>#REF!</v>
      </c>
      <c r="V149" s="198" t="e">
        <f>V7-#REF!</f>
        <v>#REF!</v>
      </c>
      <c r="W149" s="198" t="e">
        <f>W7-#REF!</f>
        <v>#REF!</v>
      </c>
      <c r="X149" s="198" t="e">
        <f>X7-#REF!</f>
        <v>#REF!</v>
      </c>
      <c r="Y149" s="198" t="e">
        <f>Y7-#REF!</f>
        <v>#REF!</v>
      </c>
      <c r="Z149" s="198" t="e">
        <f>Z7-#REF!</f>
        <v>#REF!</v>
      </c>
      <c r="AA149" s="198" t="e">
        <f>AA7-#REF!</f>
        <v>#REF!</v>
      </c>
      <c r="AB149" s="198" t="e">
        <f>AB7-#REF!</f>
        <v>#REF!</v>
      </c>
      <c r="AC149" s="198" t="e">
        <f>AC7-#REF!</f>
        <v>#REF!</v>
      </c>
      <c r="AD149" s="198" t="e">
        <f>AD7-#REF!</f>
        <v>#REF!</v>
      </c>
      <c r="AE149" s="198" t="e">
        <f>AE7-#REF!</f>
        <v>#REF!</v>
      </c>
      <c r="AF149" s="198" t="e">
        <f>AF7-#REF!</f>
        <v>#REF!</v>
      </c>
      <c r="AG149" s="198" t="e">
        <f>AG7-#REF!</f>
        <v>#REF!</v>
      </c>
      <c r="AH149" s="198" t="e">
        <f>AH7-#REF!</f>
        <v>#REF!</v>
      </c>
      <c r="AI149" s="198" t="e">
        <f>AI7-#REF!</f>
        <v>#REF!</v>
      </c>
      <c r="AJ149" s="198" t="e">
        <f>AJ7-#REF!</f>
        <v>#REF!</v>
      </c>
      <c r="AK149" s="205" t="e">
        <f t="shared" si="11"/>
        <v>#REF!</v>
      </c>
      <c r="AL149" s="206" t="e">
        <f t="shared" si="12"/>
        <v>#REF!</v>
      </c>
    </row>
    <row r="150" ht="29.1" hidden="1" customHeight="1" spans="1:38">
      <c r="A150" s="23">
        <v>3</v>
      </c>
      <c r="B150" s="23"/>
      <c r="C150" s="23" t="s">
        <v>179</v>
      </c>
      <c r="D150" s="23" t="s">
        <v>72</v>
      </c>
      <c r="E150" s="23">
        <v>0.133</v>
      </c>
      <c r="F150" s="198" t="e">
        <f>F8-#REF!</f>
        <v>#REF!</v>
      </c>
      <c r="G150" s="198" t="e">
        <f>G8-#REF!</f>
        <v>#REF!</v>
      </c>
      <c r="H150" s="198" t="e">
        <f>H8-#REF!</f>
        <v>#REF!</v>
      </c>
      <c r="I150" s="198" t="e">
        <f>I8-#REF!</f>
        <v>#REF!</v>
      </c>
      <c r="J150" s="198" t="e">
        <f>J8-#REF!</f>
        <v>#REF!</v>
      </c>
      <c r="K150" s="198" t="e">
        <f>K8-#REF!</f>
        <v>#REF!</v>
      </c>
      <c r="L150" s="198" t="e">
        <f>L8-#REF!</f>
        <v>#REF!</v>
      </c>
      <c r="M150" s="198" t="e">
        <f>M8-#REF!</f>
        <v>#REF!</v>
      </c>
      <c r="N150" s="198" t="e">
        <f>N8-#REF!</f>
        <v>#REF!</v>
      </c>
      <c r="O150" s="198" t="e">
        <f>O8-#REF!</f>
        <v>#REF!</v>
      </c>
      <c r="P150" s="198" t="e">
        <f>P8-#REF!</f>
        <v>#REF!</v>
      </c>
      <c r="Q150" s="198" t="e">
        <f>Q8-#REF!</f>
        <v>#REF!</v>
      </c>
      <c r="R150" s="198" t="e">
        <f>R8-#REF!</f>
        <v>#REF!</v>
      </c>
      <c r="S150" s="198" t="e">
        <f>S8-#REF!</f>
        <v>#REF!</v>
      </c>
      <c r="T150" s="198" t="e">
        <f>T8-#REF!</f>
        <v>#REF!</v>
      </c>
      <c r="U150" s="198" t="e">
        <f>U8-#REF!</f>
        <v>#REF!</v>
      </c>
      <c r="V150" s="198" t="e">
        <f>V8-#REF!</f>
        <v>#REF!</v>
      </c>
      <c r="W150" s="198" t="e">
        <f>W8-#REF!</f>
        <v>#REF!</v>
      </c>
      <c r="X150" s="198" t="e">
        <f>X8-#REF!</f>
        <v>#REF!</v>
      </c>
      <c r="Y150" s="198" t="e">
        <f>Y8-#REF!</f>
        <v>#REF!</v>
      </c>
      <c r="Z150" s="198" t="e">
        <f>Z8-#REF!</f>
        <v>#REF!</v>
      </c>
      <c r="AA150" s="198" t="e">
        <f>AA8-#REF!</f>
        <v>#REF!</v>
      </c>
      <c r="AB150" s="198" t="e">
        <f>AB8-#REF!</f>
        <v>#REF!</v>
      </c>
      <c r="AC150" s="198" t="e">
        <f>AC8-#REF!</f>
        <v>#REF!</v>
      </c>
      <c r="AD150" s="198" t="e">
        <f>AD8-#REF!</f>
        <v>#REF!</v>
      </c>
      <c r="AE150" s="198" t="e">
        <f>AE8-#REF!</f>
        <v>#REF!</v>
      </c>
      <c r="AF150" s="198" t="e">
        <f>AF8-#REF!</f>
        <v>#REF!</v>
      </c>
      <c r="AG150" s="198" t="e">
        <f>AG8-#REF!</f>
        <v>#REF!</v>
      </c>
      <c r="AH150" s="198" t="e">
        <f>AH8-#REF!</f>
        <v>#REF!</v>
      </c>
      <c r="AI150" s="198" t="e">
        <f>AI8-#REF!</f>
        <v>#REF!</v>
      </c>
      <c r="AJ150" s="198" t="e">
        <f>AJ8-#REF!</f>
        <v>#REF!</v>
      </c>
      <c r="AK150" s="205" t="e">
        <f t="shared" si="11"/>
        <v>#REF!</v>
      </c>
      <c r="AL150" s="206" t="e">
        <f t="shared" si="12"/>
        <v>#REF!</v>
      </c>
    </row>
    <row r="151" ht="29.1" hidden="1" customHeight="1" spans="1:38">
      <c r="A151" s="23">
        <v>4</v>
      </c>
      <c r="B151" s="23"/>
      <c r="C151" s="23" t="s">
        <v>10</v>
      </c>
      <c r="D151" s="23" t="s">
        <v>72</v>
      </c>
      <c r="E151" s="23">
        <v>0.133</v>
      </c>
      <c r="F151" s="198" t="e">
        <f>F9-#REF!</f>
        <v>#REF!</v>
      </c>
      <c r="G151" s="198" t="e">
        <f>G9-#REF!</f>
        <v>#REF!</v>
      </c>
      <c r="H151" s="198" t="e">
        <f>H9-#REF!</f>
        <v>#REF!</v>
      </c>
      <c r="I151" s="198" t="e">
        <f>I9-#REF!</f>
        <v>#REF!</v>
      </c>
      <c r="J151" s="198" t="e">
        <f>J9-#REF!</f>
        <v>#REF!</v>
      </c>
      <c r="K151" s="198" t="e">
        <f>K9-#REF!</f>
        <v>#REF!</v>
      </c>
      <c r="L151" s="198" t="e">
        <f>L9-#REF!</f>
        <v>#REF!</v>
      </c>
      <c r="M151" s="198" t="e">
        <f>M9-#REF!</f>
        <v>#REF!</v>
      </c>
      <c r="N151" s="198" t="e">
        <f>N9-#REF!</f>
        <v>#REF!</v>
      </c>
      <c r="O151" s="198" t="e">
        <f>O9-#REF!</f>
        <v>#REF!</v>
      </c>
      <c r="P151" s="198" t="e">
        <f>P9-#REF!</f>
        <v>#REF!</v>
      </c>
      <c r="Q151" s="198" t="e">
        <f>Q9-#REF!</f>
        <v>#REF!</v>
      </c>
      <c r="R151" s="198" t="e">
        <f>R9-#REF!</f>
        <v>#REF!</v>
      </c>
      <c r="S151" s="198" t="e">
        <f>S9-#REF!</f>
        <v>#REF!</v>
      </c>
      <c r="T151" s="198" t="e">
        <f>T9-#REF!</f>
        <v>#REF!</v>
      </c>
      <c r="U151" s="198" t="e">
        <f>U9-#REF!</f>
        <v>#REF!</v>
      </c>
      <c r="V151" s="198" t="e">
        <f>V9-#REF!</f>
        <v>#REF!</v>
      </c>
      <c r="W151" s="198" t="e">
        <f>W9-#REF!</f>
        <v>#REF!</v>
      </c>
      <c r="X151" s="198" t="e">
        <f>X9-#REF!</f>
        <v>#REF!</v>
      </c>
      <c r="Y151" s="198" t="e">
        <f>Y9-#REF!</f>
        <v>#REF!</v>
      </c>
      <c r="Z151" s="198" t="e">
        <f>Z9-#REF!</f>
        <v>#REF!</v>
      </c>
      <c r="AA151" s="198" t="e">
        <f>AA9-#REF!</f>
        <v>#REF!</v>
      </c>
      <c r="AB151" s="198" t="e">
        <f>AB9-#REF!</f>
        <v>#REF!</v>
      </c>
      <c r="AC151" s="198" t="e">
        <f>AC9-#REF!</f>
        <v>#REF!</v>
      </c>
      <c r="AD151" s="198" t="e">
        <f>AD9-#REF!</f>
        <v>#REF!</v>
      </c>
      <c r="AE151" s="198" t="e">
        <f>AE9-#REF!</f>
        <v>#REF!</v>
      </c>
      <c r="AF151" s="198" t="e">
        <f>AF9-#REF!</f>
        <v>#REF!</v>
      </c>
      <c r="AG151" s="198" t="e">
        <f>AG9-#REF!</f>
        <v>#REF!</v>
      </c>
      <c r="AH151" s="198" t="e">
        <f>AH9-#REF!</f>
        <v>#REF!</v>
      </c>
      <c r="AI151" s="198" t="e">
        <f>AI9-#REF!</f>
        <v>#REF!</v>
      </c>
      <c r="AJ151" s="198" t="e">
        <f>AJ9-#REF!</f>
        <v>#REF!</v>
      </c>
      <c r="AK151" s="205" t="e">
        <f t="shared" si="11"/>
        <v>#REF!</v>
      </c>
      <c r="AL151" s="206" t="e">
        <f t="shared" si="12"/>
        <v>#REF!</v>
      </c>
    </row>
    <row r="152" ht="33.95" hidden="1" customHeight="1" spans="1:38">
      <c r="A152" s="23">
        <v>5</v>
      </c>
      <c r="B152" s="23"/>
      <c r="C152" s="199" t="s">
        <v>153</v>
      </c>
      <c r="D152" s="23" t="s">
        <v>72</v>
      </c>
      <c r="E152" s="23">
        <v>0.23</v>
      </c>
      <c r="F152" s="198" t="e">
        <f>F10-#REF!</f>
        <v>#REF!</v>
      </c>
      <c r="G152" s="198" t="e">
        <f>G10-#REF!</f>
        <v>#REF!</v>
      </c>
      <c r="H152" s="198" t="e">
        <f>H10-#REF!</f>
        <v>#REF!</v>
      </c>
      <c r="I152" s="198" t="e">
        <f>I10-#REF!</f>
        <v>#REF!</v>
      </c>
      <c r="J152" s="198" t="e">
        <f>J10-#REF!</f>
        <v>#REF!</v>
      </c>
      <c r="K152" s="198" t="e">
        <f>K10-#REF!</f>
        <v>#REF!</v>
      </c>
      <c r="L152" s="198" t="e">
        <f>L10-#REF!</f>
        <v>#REF!</v>
      </c>
      <c r="M152" s="198" t="e">
        <f>M10-#REF!</f>
        <v>#REF!</v>
      </c>
      <c r="N152" s="198" t="e">
        <f>N10-#REF!</f>
        <v>#REF!</v>
      </c>
      <c r="O152" s="198" t="e">
        <f>O10-#REF!</f>
        <v>#REF!</v>
      </c>
      <c r="P152" s="198" t="e">
        <f>P10-#REF!</f>
        <v>#REF!</v>
      </c>
      <c r="Q152" s="198" t="e">
        <f>Q10-#REF!</f>
        <v>#REF!</v>
      </c>
      <c r="R152" s="198" t="e">
        <f>R10-#REF!</f>
        <v>#REF!</v>
      </c>
      <c r="S152" s="198" t="e">
        <f>S10-#REF!</f>
        <v>#REF!</v>
      </c>
      <c r="T152" s="198" t="e">
        <f>T10-#REF!</f>
        <v>#REF!</v>
      </c>
      <c r="U152" s="198" t="e">
        <f>U10-#REF!</f>
        <v>#REF!</v>
      </c>
      <c r="V152" s="198" t="e">
        <f>V10-#REF!</f>
        <v>#REF!</v>
      </c>
      <c r="W152" s="198" t="e">
        <f>W10-#REF!</f>
        <v>#REF!</v>
      </c>
      <c r="X152" s="198" t="e">
        <f>X10-#REF!</f>
        <v>#REF!</v>
      </c>
      <c r="Y152" s="198" t="e">
        <f>Y10-#REF!</f>
        <v>#REF!</v>
      </c>
      <c r="Z152" s="198" t="e">
        <f>Z10-#REF!</f>
        <v>#REF!</v>
      </c>
      <c r="AA152" s="198" t="e">
        <f>AA10-#REF!</f>
        <v>#REF!</v>
      </c>
      <c r="AB152" s="198" t="e">
        <f>AB10-#REF!</f>
        <v>#REF!</v>
      </c>
      <c r="AC152" s="198" t="e">
        <f>AC10-#REF!</f>
        <v>#REF!</v>
      </c>
      <c r="AD152" s="198" t="e">
        <f>AD10-#REF!</f>
        <v>#REF!</v>
      </c>
      <c r="AE152" s="198" t="e">
        <f>AE10-#REF!</f>
        <v>#REF!</v>
      </c>
      <c r="AF152" s="198" t="e">
        <f>AF10-#REF!</f>
        <v>#REF!</v>
      </c>
      <c r="AG152" s="198" t="e">
        <f>AG10-#REF!</f>
        <v>#REF!</v>
      </c>
      <c r="AH152" s="198" t="e">
        <f>AH10-#REF!</f>
        <v>#REF!</v>
      </c>
      <c r="AI152" s="198" t="e">
        <f>AI10-#REF!</f>
        <v>#REF!</v>
      </c>
      <c r="AJ152" s="198" t="e">
        <f>AJ10-#REF!</f>
        <v>#REF!</v>
      </c>
      <c r="AK152" s="205" t="e">
        <f t="shared" si="11"/>
        <v>#REF!</v>
      </c>
      <c r="AL152" s="206" t="e">
        <f t="shared" si="12"/>
        <v>#REF!</v>
      </c>
    </row>
    <row r="153" ht="35.1" hidden="1" customHeight="1" spans="1:38">
      <c r="A153" s="23">
        <v>6</v>
      </c>
      <c r="B153" s="23"/>
      <c r="C153" s="200" t="s">
        <v>182</v>
      </c>
      <c r="D153" s="23" t="s">
        <v>72</v>
      </c>
      <c r="E153" s="23">
        <v>0.25</v>
      </c>
      <c r="F153" s="198" t="e">
        <f>F11-#REF!</f>
        <v>#REF!</v>
      </c>
      <c r="G153" s="198" t="e">
        <f>G11-#REF!</f>
        <v>#REF!</v>
      </c>
      <c r="H153" s="198" t="e">
        <f>H11-#REF!</f>
        <v>#REF!</v>
      </c>
      <c r="I153" s="198" t="e">
        <f>I11-#REF!</f>
        <v>#REF!</v>
      </c>
      <c r="J153" s="198" t="e">
        <f>J11-#REF!</f>
        <v>#REF!</v>
      </c>
      <c r="K153" s="198" t="e">
        <f>K11-#REF!</f>
        <v>#REF!</v>
      </c>
      <c r="L153" s="198" t="e">
        <f>L11-#REF!</f>
        <v>#REF!</v>
      </c>
      <c r="M153" s="198" t="e">
        <f>M11-#REF!</f>
        <v>#REF!</v>
      </c>
      <c r="N153" s="198" t="e">
        <f>N11-#REF!</f>
        <v>#REF!</v>
      </c>
      <c r="O153" s="198" t="e">
        <f>O11-#REF!</f>
        <v>#REF!</v>
      </c>
      <c r="P153" s="198" t="e">
        <f>P11-#REF!</f>
        <v>#REF!</v>
      </c>
      <c r="Q153" s="198" t="e">
        <f>Q11-#REF!</f>
        <v>#REF!</v>
      </c>
      <c r="R153" s="198" t="e">
        <f>R11-#REF!</f>
        <v>#REF!</v>
      </c>
      <c r="S153" s="198" t="e">
        <f>S11-#REF!</f>
        <v>#REF!</v>
      </c>
      <c r="T153" s="198" t="e">
        <f>T11-#REF!</f>
        <v>#REF!</v>
      </c>
      <c r="U153" s="198" t="e">
        <f>U11-#REF!</f>
        <v>#REF!</v>
      </c>
      <c r="V153" s="198" t="e">
        <f>V11-#REF!</f>
        <v>#REF!</v>
      </c>
      <c r="W153" s="198" t="e">
        <f>W11-#REF!</f>
        <v>#REF!</v>
      </c>
      <c r="X153" s="198" t="e">
        <f>X11-#REF!</f>
        <v>#REF!</v>
      </c>
      <c r="Y153" s="198" t="e">
        <f>Y11-#REF!</f>
        <v>#REF!</v>
      </c>
      <c r="Z153" s="198" t="e">
        <f>Z11-#REF!</f>
        <v>#REF!</v>
      </c>
      <c r="AA153" s="198" t="e">
        <f>AA11-#REF!</f>
        <v>#REF!</v>
      </c>
      <c r="AB153" s="198" t="e">
        <f>AB11-#REF!</f>
        <v>#REF!</v>
      </c>
      <c r="AC153" s="198" t="e">
        <f>AC11-#REF!</f>
        <v>#REF!</v>
      </c>
      <c r="AD153" s="198" t="e">
        <f>AD11-#REF!</f>
        <v>#REF!</v>
      </c>
      <c r="AE153" s="198" t="e">
        <f>AE11-#REF!</f>
        <v>#REF!</v>
      </c>
      <c r="AF153" s="198" t="e">
        <f>AF11-#REF!</f>
        <v>#REF!</v>
      </c>
      <c r="AG153" s="198" t="e">
        <f>AG11-#REF!</f>
        <v>#REF!</v>
      </c>
      <c r="AH153" s="198" t="e">
        <f>AH11-#REF!</f>
        <v>#REF!</v>
      </c>
      <c r="AI153" s="198" t="e">
        <f>AI11-#REF!</f>
        <v>#REF!</v>
      </c>
      <c r="AJ153" s="198" t="e">
        <f>AJ11-#REF!</f>
        <v>#REF!</v>
      </c>
      <c r="AK153" s="205" t="e">
        <f t="shared" si="11"/>
        <v>#REF!</v>
      </c>
      <c r="AL153" s="206" t="e">
        <f t="shared" si="12"/>
        <v>#REF!</v>
      </c>
    </row>
    <row r="154" ht="35.1" hidden="1" customHeight="1" spans="1:38">
      <c r="A154" s="23">
        <v>7</v>
      </c>
      <c r="B154" s="23"/>
      <c r="C154" s="23" t="s">
        <v>183</v>
      </c>
      <c r="D154" s="23" t="s">
        <v>72</v>
      </c>
      <c r="E154" s="23">
        <v>0.373</v>
      </c>
      <c r="F154" s="198" t="e">
        <f>F12-#REF!</f>
        <v>#REF!</v>
      </c>
      <c r="G154" s="198" t="e">
        <f>G12-#REF!</f>
        <v>#REF!</v>
      </c>
      <c r="H154" s="198" t="e">
        <f>H12-#REF!</f>
        <v>#REF!</v>
      </c>
      <c r="I154" s="198" t="e">
        <f>I12-#REF!</f>
        <v>#REF!</v>
      </c>
      <c r="J154" s="198" t="e">
        <f>J12-#REF!</f>
        <v>#REF!</v>
      </c>
      <c r="K154" s="198" t="e">
        <f>K12-#REF!</f>
        <v>#REF!</v>
      </c>
      <c r="L154" s="198" t="e">
        <f>L12-#REF!</f>
        <v>#REF!</v>
      </c>
      <c r="M154" s="198" t="e">
        <f>M12-#REF!</f>
        <v>#REF!</v>
      </c>
      <c r="N154" s="198" t="e">
        <f>N12-#REF!</f>
        <v>#REF!</v>
      </c>
      <c r="O154" s="198" t="e">
        <f>O12-#REF!</f>
        <v>#REF!</v>
      </c>
      <c r="P154" s="198" t="e">
        <f>P12-#REF!</f>
        <v>#REF!</v>
      </c>
      <c r="Q154" s="198" t="e">
        <f>Q12-#REF!</f>
        <v>#REF!</v>
      </c>
      <c r="R154" s="198" t="e">
        <f>R12-#REF!</f>
        <v>#REF!</v>
      </c>
      <c r="S154" s="198" t="e">
        <f>S12-#REF!</f>
        <v>#REF!</v>
      </c>
      <c r="T154" s="198" t="e">
        <f>T12-#REF!</f>
        <v>#REF!</v>
      </c>
      <c r="U154" s="198" t="e">
        <f>U12-#REF!</f>
        <v>#REF!</v>
      </c>
      <c r="V154" s="198" t="e">
        <f>V12-#REF!</f>
        <v>#REF!</v>
      </c>
      <c r="W154" s="198" t="e">
        <f>W12-#REF!</f>
        <v>#REF!</v>
      </c>
      <c r="X154" s="198" t="e">
        <f>X12-#REF!</f>
        <v>#REF!</v>
      </c>
      <c r="Y154" s="198" t="e">
        <f>Y12-#REF!</f>
        <v>#REF!</v>
      </c>
      <c r="Z154" s="198" t="e">
        <f>Z12-#REF!</f>
        <v>#REF!</v>
      </c>
      <c r="AA154" s="198" t="e">
        <f>AA12-#REF!</f>
        <v>#REF!</v>
      </c>
      <c r="AB154" s="198" t="e">
        <f>AB12-#REF!</f>
        <v>#REF!</v>
      </c>
      <c r="AC154" s="198" t="e">
        <f>AC12-#REF!</f>
        <v>#REF!</v>
      </c>
      <c r="AD154" s="198" t="e">
        <f>AD12-#REF!</f>
        <v>#REF!</v>
      </c>
      <c r="AE154" s="198" t="e">
        <f>AE12-#REF!</f>
        <v>#REF!</v>
      </c>
      <c r="AF154" s="198" t="e">
        <f>AF12-#REF!</f>
        <v>#REF!</v>
      </c>
      <c r="AG154" s="198" t="e">
        <f>AG12-#REF!</f>
        <v>#REF!</v>
      </c>
      <c r="AH154" s="198" t="e">
        <f>AH12-#REF!</f>
        <v>#REF!</v>
      </c>
      <c r="AI154" s="198" t="e">
        <f>AI12-#REF!</f>
        <v>#REF!</v>
      </c>
      <c r="AJ154" s="198" t="e">
        <f>AJ12-#REF!</f>
        <v>#REF!</v>
      </c>
      <c r="AK154" s="205" t="e">
        <f t="shared" si="11"/>
        <v>#REF!</v>
      </c>
      <c r="AL154" s="206" t="e">
        <f t="shared" si="12"/>
        <v>#REF!</v>
      </c>
    </row>
    <row r="155" ht="35.1" hidden="1" customHeight="1" spans="1:38">
      <c r="A155" s="23">
        <v>8</v>
      </c>
      <c r="B155" s="23"/>
      <c r="C155" s="23" t="s">
        <v>208</v>
      </c>
      <c r="D155" s="23" t="s">
        <v>72</v>
      </c>
      <c r="E155" s="23">
        <v>0.133</v>
      </c>
      <c r="F155" s="198" t="e">
        <f>F13-#REF!</f>
        <v>#REF!</v>
      </c>
      <c r="G155" s="198" t="e">
        <f>G13-#REF!</f>
        <v>#REF!</v>
      </c>
      <c r="H155" s="198" t="e">
        <f>H13-#REF!</f>
        <v>#REF!</v>
      </c>
      <c r="I155" s="198" t="e">
        <f>I13-#REF!</f>
        <v>#REF!</v>
      </c>
      <c r="J155" s="198" t="e">
        <f>J13-#REF!</f>
        <v>#REF!</v>
      </c>
      <c r="K155" s="198" t="e">
        <f>K13-#REF!</f>
        <v>#REF!</v>
      </c>
      <c r="L155" s="198" t="e">
        <f>L13-#REF!</f>
        <v>#REF!</v>
      </c>
      <c r="M155" s="198" t="e">
        <f>M13-#REF!</f>
        <v>#REF!</v>
      </c>
      <c r="N155" s="198" t="e">
        <f>N13-#REF!</f>
        <v>#REF!</v>
      </c>
      <c r="O155" s="198" t="e">
        <f>O13-#REF!</f>
        <v>#REF!</v>
      </c>
      <c r="P155" s="198" t="e">
        <f>P13-#REF!</f>
        <v>#REF!</v>
      </c>
      <c r="Q155" s="198" t="e">
        <f>Q13-#REF!</f>
        <v>#REF!</v>
      </c>
      <c r="R155" s="198" t="e">
        <f>R13-#REF!</f>
        <v>#REF!</v>
      </c>
      <c r="S155" s="198" t="e">
        <f>S13-#REF!</f>
        <v>#REF!</v>
      </c>
      <c r="T155" s="198" t="e">
        <f>T13-#REF!</f>
        <v>#REF!</v>
      </c>
      <c r="U155" s="198" t="e">
        <f>U13-#REF!</f>
        <v>#REF!</v>
      </c>
      <c r="V155" s="198" t="e">
        <f>V13-#REF!</f>
        <v>#REF!</v>
      </c>
      <c r="W155" s="198" t="e">
        <f>W13-#REF!</f>
        <v>#REF!</v>
      </c>
      <c r="X155" s="198" t="e">
        <f>X13-#REF!</f>
        <v>#REF!</v>
      </c>
      <c r="Y155" s="198" t="e">
        <f>Y13-#REF!</f>
        <v>#REF!</v>
      </c>
      <c r="Z155" s="198" t="e">
        <f>Z13-#REF!</f>
        <v>#REF!</v>
      </c>
      <c r="AA155" s="198" t="e">
        <f>AA13-#REF!</f>
        <v>#REF!</v>
      </c>
      <c r="AB155" s="198" t="e">
        <f>AB13-#REF!</f>
        <v>#REF!</v>
      </c>
      <c r="AC155" s="198" t="e">
        <f>AC13-#REF!</f>
        <v>#REF!</v>
      </c>
      <c r="AD155" s="198" t="e">
        <f>AD13-#REF!</f>
        <v>#REF!</v>
      </c>
      <c r="AE155" s="198" t="e">
        <f>AE13-#REF!</f>
        <v>#REF!</v>
      </c>
      <c r="AF155" s="198" t="e">
        <f>AF13-#REF!</f>
        <v>#REF!</v>
      </c>
      <c r="AG155" s="198" t="e">
        <f>AG13-#REF!</f>
        <v>#REF!</v>
      </c>
      <c r="AH155" s="198" t="e">
        <f>AH13-#REF!</f>
        <v>#REF!</v>
      </c>
      <c r="AI155" s="198" t="e">
        <f>AI13-#REF!</f>
        <v>#REF!</v>
      </c>
      <c r="AJ155" s="198" t="e">
        <f>AJ13-#REF!</f>
        <v>#REF!</v>
      </c>
      <c r="AK155" s="205" t="e">
        <f t="shared" si="11"/>
        <v>#REF!</v>
      </c>
      <c r="AL155" s="206" t="e">
        <f t="shared" si="12"/>
        <v>#REF!</v>
      </c>
    </row>
    <row r="156" ht="36" hidden="1" customHeight="1" spans="1:38">
      <c r="A156" s="23">
        <v>9</v>
      </c>
      <c r="B156" s="23"/>
      <c r="C156" s="23" t="s">
        <v>184</v>
      </c>
      <c r="D156" s="23" t="s">
        <v>72</v>
      </c>
      <c r="E156" s="23">
        <v>0.133</v>
      </c>
      <c r="F156" s="198" t="e">
        <f>F14-#REF!</f>
        <v>#REF!</v>
      </c>
      <c r="G156" s="198" t="e">
        <f>G14-#REF!</f>
        <v>#REF!</v>
      </c>
      <c r="H156" s="198" t="e">
        <f>H14-#REF!</f>
        <v>#REF!</v>
      </c>
      <c r="I156" s="198" t="e">
        <f>I14-#REF!</f>
        <v>#REF!</v>
      </c>
      <c r="J156" s="198" t="e">
        <f>J14-#REF!</f>
        <v>#REF!</v>
      </c>
      <c r="K156" s="198" t="e">
        <f>K14-#REF!</f>
        <v>#REF!</v>
      </c>
      <c r="L156" s="198" t="e">
        <f>L14-#REF!</f>
        <v>#REF!</v>
      </c>
      <c r="M156" s="198" t="e">
        <f>M14-#REF!</f>
        <v>#REF!</v>
      </c>
      <c r="N156" s="198" t="e">
        <f>N14-#REF!</f>
        <v>#REF!</v>
      </c>
      <c r="O156" s="198" t="e">
        <f>O14-#REF!</f>
        <v>#REF!</v>
      </c>
      <c r="P156" s="198" t="e">
        <f>P14-#REF!</f>
        <v>#REF!</v>
      </c>
      <c r="Q156" s="198" t="e">
        <f>Q14-#REF!</f>
        <v>#REF!</v>
      </c>
      <c r="R156" s="198" t="e">
        <f>R14-#REF!</f>
        <v>#REF!</v>
      </c>
      <c r="S156" s="198" t="e">
        <f>S14-#REF!</f>
        <v>#REF!</v>
      </c>
      <c r="T156" s="198" t="e">
        <f>T14-#REF!</f>
        <v>#REF!</v>
      </c>
      <c r="U156" s="198" t="e">
        <f>U14-#REF!</f>
        <v>#REF!</v>
      </c>
      <c r="V156" s="198" t="e">
        <f>V14-#REF!</f>
        <v>#REF!</v>
      </c>
      <c r="W156" s="198" t="e">
        <f>W14-#REF!</f>
        <v>#REF!</v>
      </c>
      <c r="X156" s="198" t="e">
        <f>X14-#REF!</f>
        <v>#REF!</v>
      </c>
      <c r="Y156" s="198" t="e">
        <f>Y14-#REF!</f>
        <v>#REF!</v>
      </c>
      <c r="Z156" s="198" t="e">
        <f>Z14-#REF!</f>
        <v>#REF!</v>
      </c>
      <c r="AA156" s="198" t="e">
        <f>AA14-#REF!</f>
        <v>#REF!</v>
      </c>
      <c r="AB156" s="198" t="e">
        <f>AB14-#REF!</f>
        <v>#REF!</v>
      </c>
      <c r="AC156" s="198" t="e">
        <f>AC14-#REF!</f>
        <v>#REF!</v>
      </c>
      <c r="AD156" s="198" t="e">
        <f>AD14-#REF!</f>
        <v>#REF!</v>
      </c>
      <c r="AE156" s="198" t="e">
        <f>AE14-#REF!</f>
        <v>#REF!</v>
      </c>
      <c r="AF156" s="198" t="e">
        <f>AF14-#REF!</f>
        <v>#REF!</v>
      </c>
      <c r="AG156" s="198" t="e">
        <f>AG14-#REF!</f>
        <v>#REF!</v>
      </c>
      <c r="AH156" s="198" t="e">
        <f>AH14-#REF!</f>
        <v>#REF!</v>
      </c>
      <c r="AI156" s="198" t="e">
        <f>AI14-#REF!</f>
        <v>#REF!</v>
      </c>
      <c r="AJ156" s="198" t="e">
        <f>AJ14-#REF!</f>
        <v>#REF!</v>
      </c>
      <c r="AK156" s="205" t="e">
        <f t="shared" si="11"/>
        <v>#REF!</v>
      </c>
      <c r="AL156" s="206" t="e">
        <f t="shared" si="12"/>
        <v>#REF!</v>
      </c>
    </row>
    <row r="157" ht="39" hidden="1" customHeight="1" spans="1:38">
      <c r="A157" s="23">
        <v>10</v>
      </c>
      <c r="B157" s="23"/>
      <c r="C157" s="23" t="s">
        <v>186</v>
      </c>
      <c r="D157" s="23" t="s">
        <v>72</v>
      </c>
      <c r="E157" s="23">
        <v>0.23</v>
      </c>
      <c r="F157" s="198" t="e">
        <f>F15-#REF!</f>
        <v>#REF!</v>
      </c>
      <c r="G157" s="198" t="e">
        <f>G15-#REF!</f>
        <v>#REF!</v>
      </c>
      <c r="H157" s="198" t="e">
        <f>H15-#REF!</f>
        <v>#REF!</v>
      </c>
      <c r="I157" s="198" t="e">
        <f>I15-#REF!</f>
        <v>#REF!</v>
      </c>
      <c r="J157" s="198" t="e">
        <f>J15-#REF!</f>
        <v>#REF!</v>
      </c>
      <c r="K157" s="198" t="e">
        <f>K15-#REF!</f>
        <v>#REF!</v>
      </c>
      <c r="L157" s="198" t="e">
        <f>L15-#REF!</f>
        <v>#REF!</v>
      </c>
      <c r="M157" s="198" t="e">
        <f>M15-#REF!</f>
        <v>#REF!</v>
      </c>
      <c r="N157" s="198" t="e">
        <f>N15-#REF!</f>
        <v>#REF!</v>
      </c>
      <c r="O157" s="198" t="e">
        <f>O15-#REF!</f>
        <v>#REF!</v>
      </c>
      <c r="P157" s="198" t="e">
        <f>P15-#REF!</f>
        <v>#REF!</v>
      </c>
      <c r="Q157" s="198" t="e">
        <f>Q15-#REF!</f>
        <v>#REF!</v>
      </c>
      <c r="R157" s="198" t="e">
        <f>R15-#REF!</f>
        <v>#REF!</v>
      </c>
      <c r="S157" s="198" t="e">
        <f>S15-#REF!</f>
        <v>#REF!</v>
      </c>
      <c r="T157" s="198" t="e">
        <f>T15-#REF!</f>
        <v>#REF!</v>
      </c>
      <c r="U157" s="198" t="e">
        <f>U15-#REF!</f>
        <v>#REF!</v>
      </c>
      <c r="V157" s="198" t="e">
        <f>V15-#REF!</f>
        <v>#REF!</v>
      </c>
      <c r="W157" s="198" t="e">
        <f>W15-#REF!</f>
        <v>#REF!</v>
      </c>
      <c r="X157" s="198" t="e">
        <f>X15-#REF!</f>
        <v>#REF!</v>
      </c>
      <c r="Y157" s="198" t="e">
        <f>Y15-#REF!</f>
        <v>#REF!</v>
      </c>
      <c r="Z157" s="198" t="e">
        <f>Z15-#REF!</f>
        <v>#REF!</v>
      </c>
      <c r="AA157" s="198" t="e">
        <f>AA15-#REF!</f>
        <v>#REF!</v>
      </c>
      <c r="AB157" s="198" t="e">
        <f>AB15-#REF!</f>
        <v>#REF!</v>
      </c>
      <c r="AC157" s="198" t="e">
        <f>AC15-#REF!</f>
        <v>#REF!</v>
      </c>
      <c r="AD157" s="198" t="e">
        <f>AD15-#REF!</f>
        <v>#REF!</v>
      </c>
      <c r="AE157" s="198" t="e">
        <f>AE15-#REF!</f>
        <v>#REF!</v>
      </c>
      <c r="AF157" s="198" t="e">
        <f>AF15-#REF!</f>
        <v>#REF!</v>
      </c>
      <c r="AG157" s="198" t="e">
        <f>AG15-#REF!</f>
        <v>#REF!</v>
      </c>
      <c r="AH157" s="198" t="e">
        <f>AH15-#REF!</f>
        <v>#REF!</v>
      </c>
      <c r="AI157" s="198" t="e">
        <f>AI15-#REF!</f>
        <v>#REF!</v>
      </c>
      <c r="AJ157" s="198" t="e">
        <f>AJ15-#REF!</f>
        <v>#REF!</v>
      </c>
      <c r="AK157" s="205" t="e">
        <f t="shared" si="11"/>
        <v>#REF!</v>
      </c>
      <c r="AL157" s="206" t="e">
        <f t="shared" si="12"/>
        <v>#REF!</v>
      </c>
    </row>
    <row r="158" ht="35.1" hidden="1" customHeight="1" spans="1:38">
      <c r="A158" s="23">
        <v>11</v>
      </c>
      <c r="B158" s="23"/>
      <c r="C158" s="23" t="s">
        <v>187</v>
      </c>
      <c r="D158" s="23" t="s">
        <v>72</v>
      </c>
      <c r="E158" s="23">
        <v>0.25</v>
      </c>
      <c r="F158" s="198" t="e">
        <f>F16-#REF!</f>
        <v>#REF!</v>
      </c>
      <c r="G158" s="198" t="e">
        <f>G16-#REF!</f>
        <v>#REF!</v>
      </c>
      <c r="H158" s="198" t="e">
        <f>H16-#REF!</f>
        <v>#REF!</v>
      </c>
      <c r="I158" s="198" t="e">
        <f>I16-#REF!</f>
        <v>#REF!</v>
      </c>
      <c r="J158" s="198" t="e">
        <f>J16-#REF!</f>
        <v>#REF!</v>
      </c>
      <c r="K158" s="198" t="e">
        <f>K16-#REF!</f>
        <v>#REF!</v>
      </c>
      <c r="L158" s="198" t="e">
        <f>L16-#REF!</f>
        <v>#REF!</v>
      </c>
      <c r="M158" s="198" t="e">
        <f>M16-#REF!</f>
        <v>#REF!</v>
      </c>
      <c r="N158" s="198" t="e">
        <f>N16-#REF!</f>
        <v>#REF!</v>
      </c>
      <c r="O158" s="198" t="e">
        <f>O16-#REF!</f>
        <v>#REF!</v>
      </c>
      <c r="P158" s="198" t="e">
        <f>P16-#REF!</f>
        <v>#REF!</v>
      </c>
      <c r="Q158" s="198" t="e">
        <f>Q16-#REF!</f>
        <v>#REF!</v>
      </c>
      <c r="R158" s="198" t="e">
        <f>R16-#REF!</f>
        <v>#REF!</v>
      </c>
      <c r="S158" s="198" t="e">
        <f>S16-#REF!</f>
        <v>#REF!</v>
      </c>
      <c r="T158" s="198" t="e">
        <f>T16-#REF!</f>
        <v>#REF!</v>
      </c>
      <c r="U158" s="198" t="e">
        <f>U16-#REF!</f>
        <v>#REF!</v>
      </c>
      <c r="V158" s="198" t="e">
        <f>V16-#REF!</f>
        <v>#REF!</v>
      </c>
      <c r="W158" s="198" t="e">
        <f>W16-#REF!</f>
        <v>#REF!</v>
      </c>
      <c r="X158" s="198" t="e">
        <f>X16-#REF!</f>
        <v>#REF!</v>
      </c>
      <c r="Y158" s="198" t="e">
        <f>Y16-#REF!</f>
        <v>#REF!</v>
      </c>
      <c r="Z158" s="198" t="e">
        <f>Z16-#REF!</f>
        <v>#REF!</v>
      </c>
      <c r="AA158" s="198" t="e">
        <f>AA16-#REF!</f>
        <v>#REF!</v>
      </c>
      <c r="AB158" s="198" t="e">
        <f>AB16-#REF!</f>
        <v>#REF!</v>
      </c>
      <c r="AC158" s="198" t="e">
        <f>AC16-#REF!</f>
        <v>#REF!</v>
      </c>
      <c r="AD158" s="198" t="e">
        <f>AD16-#REF!</f>
        <v>#REF!</v>
      </c>
      <c r="AE158" s="198" t="e">
        <f>AE16-#REF!</f>
        <v>#REF!</v>
      </c>
      <c r="AF158" s="198" t="e">
        <f>AF16-#REF!</f>
        <v>#REF!</v>
      </c>
      <c r="AG158" s="198" t="e">
        <f>AG16-#REF!</f>
        <v>#REF!</v>
      </c>
      <c r="AH158" s="198" t="e">
        <f>AH16-#REF!</f>
        <v>#REF!</v>
      </c>
      <c r="AI158" s="198" t="e">
        <f>AI16-#REF!</f>
        <v>#REF!</v>
      </c>
      <c r="AJ158" s="198" t="e">
        <f>AJ16-#REF!</f>
        <v>#REF!</v>
      </c>
      <c r="AK158" s="205" t="e">
        <f t="shared" si="11"/>
        <v>#REF!</v>
      </c>
      <c r="AL158" s="206" t="e">
        <f t="shared" si="12"/>
        <v>#REF!</v>
      </c>
    </row>
    <row r="159" ht="36.95" hidden="1" customHeight="1" spans="1:38">
      <c r="A159" s="23">
        <v>12</v>
      </c>
      <c r="B159" s="23"/>
      <c r="C159" s="23" t="s">
        <v>188</v>
      </c>
      <c r="D159" s="23" t="s">
        <v>72</v>
      </c>
      <c r="E159" s="23">
        <v>0.373</v>
      </c>
      <c r="F159" s="198" t="e">
        <f>F17-#REF!</f>
        <v>#REF!</v>
      </c>
      <c r="G159" s="198" t="e">
        <f>G17-#REF!</f>
        <v>#REF!</v>
      </c>
      <c r="H159" s="198" t="e">
        <f>H17-#REF!</f>
        <v>#REF!</v>
      </c>
      <c r="I159" s="198" t="e">
        <f>I17-#REF!</f>
        <v>#REF!</v>
      </c>
      <c r="J159" s="198" t="e">
        <f>J17-#REF!</f>
        <v>#REF!</v>
      </c>
      <c r="K159" s="198" t="e">
        <f>K17-#REF!</f>
        <v>#REF!</v>
      </c>
      <c r="L159" s="198" t="e">
        <f>L17-#REF!</f>
        <v>#REF!</v>
      </c>
      <c r="M159" s="198" t="e">
        <f>M17-#REF!</f>
        <v>#REF!</v>
      </c>
      <c r="N159" s="198" t="e">
        <f>N17-#REF!</f>
        <v>#REF!</v>
      </c>
      <c r="O159" s="198" t="e">
        <f>O17-#REF!</f>
        <v>#REF!</v>
      </c>
      <c r="P159" s="198" t="e">
        <f>P17-#REF!</f>
        <v>#REF!</v>
      </c>
      <c r="Q159" s="198" t="e">
        <f>Q17-#REF!</f>
        <v>#REF!</v>
      </c>
      <c r="R159" s="198" t="e">
        <f>R17-#REF!</f>
        <v>#REF!</v>
      </c>
      <c r="S159" s="198" t="e">
        <f>S17-#REF!</f>
        <v>#REF!</v>
      </c>
      <c r="T159" s="198" t="e">
        <f>T17-#REF!</f>
        <v>#REF!</v>
      </c>
      <c r="U159" s="198" t="e">
        <f>U17-#REF!</f>
        <v>#REF!</v>
      </c>
      <c r="V159" s="198" t="e">
        <f>V17-#REF!</f>
        <v>#REF!</v>
      </c>
      <c r="W159" s="198" t="e">
        <f>W17-#REF!</f>
        <v>#REF!</v>
      </c>
      <c r="X159" s="198" t="e">
        <f>X17-#REF!</f>
        <v>#REF!</v>
      </c>
      <c r="Y159" s="198" t="e">
        <f>Y17-#REF!</f>
        <v>#REF!</v>
      </c>
      <c r="Z159" s="198" t="e">
        <f>Z17-#REF!</f>
        <v>#REF!</v>
      </c>
      <c r="AA159" s="198" t="e">
        <f>AA17-#REF!</f>
        <v>#REF!</v>
      </c>
      <c r="AB159" s="198" t="e">
        <f>AB17-#REF!</f>
        <v>#REF!</v>
      </c>
      <c r="AC159" s="198" t="e">
        <f>AC17-#REF!</f>
        <v>#REF!</v>
      </c>
      <c r="AD159" s="198" t="e">
        <f>AD17-#REF!</f>
        <v>#REF!</v>
      </c>
      <c r="AE159" s="198" t="e">
        <f>AE17-#REF!</f>
        <v>#REF!</v>
      </c>
      <c r="AF159" s="198" t="e">
        <f>AF17-#REF!</f>
        <v>#REF!</v>
      </c>
      <c r="AG159" s="198" t="e">
        <f>AG17-#REF!</f>
        <v>#REF!</v>
      </c>
      <c r="AH159" s="198" t="e">
        <f>AH17-#REF!</f>
        <v>#REF!</v>
      </c>
      <c r="AI159" s="198" t="e">
        <f>AI17-#REF!</f>
        <v>#REF!</v>
      </c>
      <c r="AJ159" s="198" t="e">
        <f>AJ17-#REF!</f>
        <v>#REF!</v>
      </c>
      <c r="AK159" s="205" t="e">
        <f t="shared" si="11"/>
        <v>#REF!</v>
      </c>
      <c r="AL159" s="206" t="e">
        <f t="shared" si="12"/>
        <v>#REF!</v>
      </c>
    </row>
    <row r="160" ht="35.1" hidden="1" customHeight="1" spans="1:38">
      <c r="A160" s="23">
        <v>13</v>
      </c>
      <c r="B160" s="152"/>
      <c r="C160" s="152" t="s">
        <v>209</v>
      </c>
      <c r="D160" s="23" t="s">
        <v>72</v>
      </c>
      <c r="E160" s="23">
        <v>0.23</v>
      </c>
      <c r="F160" s="198" t="e">
        <f>F18-#REF!</f>
        <v>#REF!</v>
      </c>
      <c r="G160" s="201" t="e">
        <f>G18-#REF!</f>
        <v>#REF!</v>
      </c>
      <c r="H160" s="201" t="e">
        <f>H18-#REF!</f>
        <v>#REF!</v>
      </c>
      <c r="I160" s="201" t="e">
        <f>I18-#REF!</f>
        <v>#REF!</v>
      </c>
      <c r="J160" s="201" t="e">
        <f>J18-#REF!</f>
        <v>#REF!</v>
      </c>
      <c r="K160" s="201" t="e">
        <f>K18-#REF!</f>
        <v>#REF!</v>
      </c>
      <c r="L160" s="201" t="e">
        <f>L18-#REF!</f>
        <v>#REF!</v>
      </c>
      <c r="M160" s="201" t="e">
        <f>M18-#REF!</f>
        <v>#REF!</v>
      </c>
      <c r="N160" s="201" t="e">
        <f>N18-#REF!</f>
        <v>#REF!</v>
      </c>
      <c r="O160" s="201" t="e">
        <f>O18-#REF!</f>
        <v>#REF!</v>
      </c>
      <c r="P160" s="201" t="e">
        <f>P18-#REF!</f>
        <v>#REF!</v>
      </c>
      <c r="Q160" s="201" t="e">
        <f>Q18-#REF!</f>
        <v>#REF!</v>
      </c>
      <c r="R160" s="201" t="e">
        <f>R18-#REF!</f>
        <v>#REF!</v>
      </c>
      <c r="S160" s="201" t="e">
        <f>S18-#REF!</f>
        <v>#REF!</v>
      </c>
      <c r="T160" s="201" t="e">
        <f>T18-#REF!</f>
        <v>#REF!</v>
      </c>
      <c r="U160" s="201" t="e">
        <f>U18-#REF!</f>
        <v>#REF!</v>
      </c>
      <c r="V160" s="201" t="e">
        <f>V18-#REF!</f>
        <v>#REF!</v>
      </c>
      <c r="W160" s="201" t="e">
        <f>W18-#REF!</f>
        <v>#REF!</v>
      </c>
      <c r="X160" s="201" t="e">
        <f>X18-#REF!</f>
        <v>#REF!</v>
      </c>
      <c r="Y160" s="201" t="e">
        <f>Y18-#REF!</f>
        <v>#REF!</v>
      </c>
      <c r="Z160" s="201" t="e">
        <f>Z18-#REF!</f>
        <v>#REF!</v>
      </c>
      <c r="AA160" s="201" t="e">
        <f>AA18-#REF!</f>
        <v>#REF!</v>
      </c>
      <c r="AB160" s="201" t="e">
        <f>AB18-#REF!</f>
        <v>#REF!</v>
      </c>
      <c r="AC160" s="201" t="e">
        <f>AC18-#REF!</f>
        <v>#REF!</v>
      </c>
      <c r="AD160" s="201" t="e">
        <f>AD18-#REF!</f>
        <v>#REF!</v>
      </c>
      <c r="AE160" s="201" t="e">
        <f>AE18-#REF!</f>
        <v>#REF!</v>
      </c>
      <c r="AF160" s="201" t="e">
        <f>AF18-#REF!</f>
        <v>#REF!</v>
      </c>
      <c r="AG160" s="201" t="e">
        <f>AG18-#REF!</f>
        <v>#REF!</v>
      </c>
      <c r="AH160" s="201" t="e">
        <f>AH18-#REF!</f>
        <v>#REF!</v>
      </c>
      <c r="AI160" s="201" t="e">
        <f>AI18-#REF!</f>
        <v>#REF!</v>
      </c>
      <c r="AJ160" s="201" t="e">
        <f>AJ18-#REF!</f>
        <v>#REF!</v>
      </c>
      <c r="AK160" s="205" t="e">
        <f t="shared" si="11"/>
        <v>#REF!</v>
      </c>
      <c r="AL160" s="206" t="e">
        <f t="shared" si="12"/>
        <v>#REF!</v>
      </c>
    </row>
    <row r="161" ht="27" hidden="1" customHeight="1" spans="1:38">
      <c r="A161" s="23">
        <v>14</v>
      </c>
      <c r="B161" s="152"/>
      <c r="C161" s="152" t="s">
        <v>210</v>
      </c>
      <c r="D161" s="23" t="s">
        <v>72</v>
      </c>
      <c r="E161" s="23">
        <v>0.25</v>
      </c>
      <c r="F161" s="198" t="e">
        <f>F22-#REF!</f>
        <v>#REF!</v>
      </c>
      <c r="G161" s="201" t="e">
        <f>G22-#REF!</f>
        <v>#REF!</v>
      </c>
      <c r="H161" s="201" t="e">
        <f>H22-#REF!</f>
        <v>#REF!</v>
      </c>
      <c r="I161" s="201" t="e">
        <f>I22-#REF!</f>
        <v>#REF!</v>
      </c>
      <c r="J161" s="201" t="e">
        <f>J22-#REF!</f>
        <v>#REF!</v>
      </c>
      <c r="K161" s="201" t="e">
        <f>K22-#REF!</f>
        <v>#REF!</v>
      </c>
      <c r="L161" s="201" t="e">
        <f>L22-#REF!</f>
        <v>#REF!</v>
      </c>
      <c r="M161" s="201" t="e">
        <f>M22-#REF!</f>
        <v>#REF!</v>
      </c>
      <c r="N161" s="201" t="e">
        <f>N22-#REF!</f>
        <v>#REF!</v>
      </c>
      <c r="O161" s="201" t="e">
        <f>O22-#REF!</f>
        <v>#REF!</v>
      </c>
      <c r="P161" s="201" t="e">
        <f>P22-#REF!</f>
        <v>#REF!</v>
      </c>
      <c r="Q161" s="201" t="e">
        <f>Q22-#REF!</f>
        <v>#REF!</v>
      </c>
      <c r="R161" s="201" t="e">
        <f>R22-#REF!</f>
        <v>#REF!</v>
      </c>
      <c r="S161" s="201" t="e">
        <f>S22-#REF!</f>
        <v>#REF!</v>
      </c>
      <c r="T161" s="201" t="e">
        <f>T22-#REF!</f>
        <v>#REF!</v>
      </c>
      <c r="U161" s="201" t="e">
        <f>U22-#REF!</f>
        <v>#REF!</v>
      </c>
      <c r="V161" s="201" t="e">
        <f>V22-#REF!</f>
        <v>#REF!</v>
      </c>
      <c r="W161" s="201" t="e">
        <f>W22-#REF!</f>
        <v>#REF!</v>
      </c>
      <c r="X161" s="201" t="e">
        <f>X22-#REF!</f>
        <v>#REF!</v>
      </c>
      <c r="Y161" s="201" t="e">
        <f>Y22-#REF!</f>
        <v>#REF!</v>
      </c>
      <c r="Z161" s="201" t="e">
        <f>Z22-#REF!</f>
        <v>#REF!</v>
      </c>
      <c r="AA161" s="201" t="e">
        <f>AA22-#REF!</f>
        <v>#REF!</v>
      </c>
      <c r="AB161" s="201" t="e">
        <f>AB22-#REF!</f>
        <v>#REF!</v>
      </c>
      <c r="AC161" s="201" t="e">
        <f>AC22-#REF!</f>
        <v>#REF!</v>
      </c>
      <c r="AD161" s="201" t="e">
        <f>AD22-#REF!</f>
        <v>#REF!</v>
      </c>
      <c r="AE161" s="201" t="e">
        <f>AE22-#REF!</f>
        <v>#REF!</v>
      </c>
      <c r="AF161" s="201" t="e">
        <f>AF22-#REF!</f>
        <v>#REF!</v>
      </c>
      <c r="AG161" s="201" t="e">
        <f>AG22-#REF!</f>
        <v>#REF!</v>
      </c>
      <c r="AH161" s="201" t="e">
        <f>AH22-#REF!</f>
        <v>#REF!</v>
      </c>
      <c r="AI161" s="201" t="e">
        <f>AI22-#REF!</f>
        <v>#REF!</v>
      </c>
      <c r="AJ161" s="201" t="e">
        <f>AJ22-#REF!</f>
        <v>#REF!</v>
      </c>
      <c r="AK161" s="205" t="e">
        <f t="shared" si="11"/>
        <v>#REF!</v>
      </c>
      <c r="AL161" s="206" t="e">
        <f t="shared" si="12"/>
        <v>#REF!</v>
      </c>
    </row>
    <row r="162" ht="29.1" hidden="1" customHeight="1" spans="1:38">
      <c r="A162" s="23">
        <v>15</v>
      </c>
      <c r="B162" s="152"/>
      <c r="C162" s="152" t="s">
        <v>211</v>
      </c>
      <c r="D162" s="23" t="s">
        <v>72</v>
      </c>
      <c r="E162" s="23">
        <v>0.133</v>
      </c>
      <c r="F162" s="198" t="e">
        <f>F23-#REF!</f>
        <v>#REF!</v>
      </c>
      <c r="G162" s="201" t="e">
        <f>G23-#REF!</f>
        <v>#REF!</v>
      </c>
      <c r="H162" s="201" t="e">
        <f>H23-#REF!</f>
        <v>#REF!</v>
      </c>
      <c r="I162" s="201" t="e">
        <f>I23-#REF!</f>
        <v>#REF!</v>
      </c>
      <c r="J162" s="201" t="e">
        <f>J23-#REF!</f>
        <v>#REF!</v>
      </c>
      <c r="K162" s="201" t="e">
        <f>K23-#REF!</f>
        <v>#REF!</v>
      </c>
      <c r="L162" s="201" t="e">
        <f>L23-#REF!</f>
        <v>#REF!</v>
      </c>
      <c r="M162" s="201" t="e">
        <f>M23-#REF!</f>
        <v>#REF!</v>
      </c>
      <c r="N162" s="201" t="e">
        <f>N23-#REF!</f>
        <v>#REF!</v>
      </c>
      <c r="O162" s="201" t="e">
        <f>O23-#REF!</f>
        <v>#REF!</v>
      </c>
      <c r="P162" s="201" t="e">
        <f>P23-#REF!</f>
        <v>#REF!</v>
      </c>
      <c r="Q162" s="201" t="e">
        <f>Q23-#REF!</f>
        <v>#REF!</v>
      </c>
      <c r="R162" s="201" t="e">
        <f>R23-#REF!</f>
        <v>#REF!</v>
      </c>
      <c r="S162" s="201" t="e">
        <f>S23-#REF!</f>
        <v>#REF!</v>
      </c>
      <c r="T162" s="201" t="e">
        <f>T23-#REF!</f>
        <v>#REF!</v>
      </c>
      <c r="U162" s="201" t="e">
        <f>U23-#REF!</f>
        <v>#REF!</v>
      </c>
      <c r="V162" s="201" t="e">
        <f>V23-#REF!</f>
        <v>#REF!</v>
      </c>
      <c r="W162" s="201" t="e">
        <f>W23-#REF!</f>
        <v>#REF!</v>
      </c>
      <c r="X162" s="201" t="e">
        <f>X23-#REF!</f>
        <v>#REF!</v>
      </c>
      <c r="Y162" s="201" t="e">
        <f>Y23-#REF!</f>
        <v>#REF!</v>
      </c>
      <c r="Z162" s="201" t="e">
        <f>Z23-#REF!</f>
        <v>#REF!</v>
      </c>
      <c r="AA162" s="201" t="e">
        <f>AA23-#REF!</f>
        <v>#REF!</v>
      </c>
      <c r="AB162" s="201" t="e">
        <f>AB23-#REF!</f>
        <v>#REF!</v>
      </c>
      <c r="AC162" s="201" t="e">
        <f>AC23-#REF!</f>
        <v>#REF!</v>
      </c>
      <c r="AD162" s="201" t="e">
        <f>AD23-#REF!</f>
        <v>#REF!</v>
      </c>
      <c r="AE162" s="201" t="e">
        <f>AE23-#REF!</f>
        <v>#REF!</v>
      </c>
      <c r="AF162" s="201" t="e">
        <f>AF23-#REF!</f>
        <v>#REF!</v>
      </c>
      <c r="AG162" s="201" t="e">
        <f>AG24-#REF!</f>
        <v>#REF!</v>
      </c>
      <c r="AH162" s="201" t="e">
        <f>AH23-#REF!</f>
        <v>#REF!</v>
      </c>
      <c r="AI162" s="201" t="e">
        <f>AI23-#REF!</f>
        <v>#REF!</v>
      </c>
      <c r="AJ162" s="201" t="e">
        <f>AJ23-#REF!</f>
        <v>#REF!</v>
      </c>
      <c r="AK162" s="205" t="e">
        <f t="shared" si="11"/>
        <v>#REF!</v>
      </c>
      <c r="AL162" s="206" t="e">
        <f t="shared" si="12"/>
        <v>#REF!</v>
      </c>
    </row>
    <row r="163" ht="33.95" hidden="1" customHeight="1" spans="1:38">
      <c r="A163" s="23">
        <v>16</v>
      </c>
      <c r="B163" s="152"/>
      <c r="C163" s="152" t="s">
        <v>212</v>
      </c>
      <c r="D163" s="23" t="s">
        <v>72</v>
      </c>
      <c r="E163" s="202">
        <v>0.373</v>
      </c>
      <c r="F163" s="198" t="e">
        <f>F24-#REF!</f>
        <v>#REF!</v>
      </c>
      <c r="G163" s="201" t="e">
        <f>G24-#REF!</f>
        <v>#REF!</v>
      </c>
      <c r="H163" s="201" t="e">
        <f>H24-#REF!</f>
        <v>#REF!</v>
      </c>
      <c r="I163" s="201" t="e">
        <f>I24-#REF!</f>
        <v>#REF!</v>
      </c>
      <c r="J163" s="201" t="e">
        <f>J24-#REF!</f>
        <v>#REF!</v>
      </c>
      <c r="K163" s="201" t="e">
        <f>K24-#REF!</f>
        <v>#REF!</v>
      </c>
      <c r="L163" s="201" t="e">
        <f>L24-#REF!</f>
        <v>#REF!</v>
      </c>
      <c r="M163" s="201" t="e">
        <f>M24-#REF!</f>
        <v>#REF!</v>
      </c>
      <c r="N163" s="201" t="e">
        <f>N24-#REF!</f>
        <v>#REF!</v>
      </c>
      <c r="O163" s="201" t="e">
        <f>O24-#REF!</f>
        <v>#REF!</v>
      </c>
      <c r="P163" s="201" t="e">
        <f>P24-#REF!</f>
        <v>#REF!</v>
      </c>
      <c r="Q163" s="201" t="e">
        <f>Q24-#REF!</f>
        <v>#REF!</v>
      </c>
      <c r="R163" s="201" t="e">
        <f>R62-#REF!</f>
        <v>#REF!</v>
      </c>
      <c r="S163" s="201" t="e">
        <f>S24-#REF!</f>
        <v>#REF!</v>
      </c>
      <c r="T163" s="201" t="e">
        <f>T24-#REF!</f>
        <v>#REF!</v>
      </c>
      <c r="U163" s="201" t="e">
        <f>U24-#REF!</f>
        <v>#REF!</v>
      </c>
      <c r="V163" s="201" t="e">
        <f>V24-#REF!</f>
        <v>#REF!</v>
      </c>
      <c r="W163" s="201" t="e">
        <f>W24-#REF!</f>
        <v>#REF!</v>
      </c>
      <c r="X163" s="201" t="e">
        <f>X24-#REF!</f>
        <v>#REF!</v>
      </c>
      <c r="Y163" s="201" t="e">
        <f>Y24-#REF!</f>
        <v>#REF!</v>
      </c>
      <c r="Z163" s="201" t="e">
        <f>Z24-#REF!</f>
        <v>#REF!</v>
      </c>
      <c r="AA163" s="201" t="e">
        <f>AA24-#REF!</f>
        <v>#REF!</v>
      </c>
      <c r="AB163" s="201" t="e">
        <f>AB24-#REF!</f>
        <v>#REF!</v>
      </c>
      <c r="AC163" s="201" t="e">
        <f>AC24-#REF!</f>
        <v>#REF!</v>
      </c>
      <c r="AD163" s="201" t="e">
        <f>AD24-#REF!</f>
        <v>#REF!</v>
      </c>
      <c r="AE163" s="201" t="e">
        <f>AE24-#REF!</f>
        <v>#REF!</v>
      </c>
      <c r="AF163" s="201" t="e">
        <f>AF24-#REF!</f>
        <v>#REF!</v>
      </c>
      <c r="AG163" s="201" t="e">
        <f>AG24-#REF!</f>
        <v>#REF!</v>
      </c>
      <c r="AH163" s="201" t="e">
        <f>AH24-#REF!</f>
        <v>#REF!</v>
      </c>
      <c r="AI163" s="201" t="e">
        <f>AI24-#REF!</f>
        <v>#REF!</v>
      </c>
      <c r="AJ163" s="201" t="e">
        <f>AJ24-#REF!</f>
        <v>#REF!</v>
      </c>
      <c r="AK163" s="205" t="e">
        <f t="shared" si="11"/>
        <v>#REF!</v>
      </c>
      <c r="AL163" s="206" t="e">
        <f t="shared" si="12"/>
        <v>#REF!</v>
      </c>
    </row>
    <row r="164" ht="36" hidden="1" customHeight="1" spans="1:38">
      <c r="A164" s="23">
        <v>17</v>
      </c>
      <c r="B164" s="152"/>
      <c r="C164" s="152" t="s">
        <v>213</v>
      </c>
      <c r="D164" s="23" t="s">
        <v>72</v>
      </c>
      <c r="E164" s="23">
        <v>0.133</v>
      </c>
      <c r="F164" s="198" t="e">
        <f>F25-#REF!</f>
        <v>#REF!</v>
      </c>
      <c r="G164" s="201" t="e">
        <f>G62-#REF!</f>
        <v>#REF!</v>
      </c>
      <c r="H164" s="201" t="e">
        <f>H62-#REF!</f>
        <v>#REF!</v>
      </c>
      <c r="I164" s="201" t="e">
        <f>I62-#REF!</f>
        <v>#REF!</v>
      </c>
      <c r="J164" s="201" t="e">
        <f>J62-#REF!</f>
        <v>#REF!</v>
      </c>
      <c r="K164" s="201" t="e">
        <f>K62-#REF!</f>
        <v>#REF!</v>
      </c>
      <c r="L164" s="201" t="e">
        <f>L62-#REF!</f>
        <v>#REF!</v>
      </c>
      <c r="M164" s="201" t="e">
        <f>M62-#REF!</f>
        <v>#REF!</v>
      </c>
      <c r="N164" s="201" t="e">
        <f>N62-#REF!</f>
        <v>#REF!</v>
      </c>
      <c r="O164" s="201" t="e">
        <f>O62-#REF!</f>
        <v>#REF!</v>
      </c>
      <c r="P164" s="201" t="e">
        <f>P62-#REF!</f>
        <v>#REF!</v>
      </c>
      <c r="Q164" s="201" t="e">
        <f>Q62-#REF!</f>
        <v>#REF!</v>
      </c>
      <c r="R164" s="201" t="e">
        <f>R62-#REF!</f>
        <v>#REF!</v>
      </c>
      <c r="S164" s="201" t="e">
        <f>S62-#REF!</f>
        <v>#REF!</v>
      </c>
      <c r="T164" s="201" t="e">
        <f>T62-#REF!</f>
        <v>#REF!</v>
      </c>
      <c r="U164" s="201" t="e">
        <f>U62-#REF!</f>
        <v>#REF!</v>
      </c>
      <c r="V164" s="201" t="e">
        <f>V62-#REF!</f>
        <v>#REF!</v>
      </c>
      <c r="W164" s="201" t="e">
        <f>W62-#REF!</f>
        <v>#REF!</v>
      </c>
      <c r="X164" s="201" t="e">
        <f>X62-#REF!</f>
        <v>#REF!</v>
      </c>
      <c r="Y164" s="201" t="e">
        <f>Y62-#REF!</f>
        <v>#REF!</v>
      </c>
      <c r="Z164" s="201" t="e">
        <f>Z62-#REF!</f>
        <v>#REF!</v>
      </c>
      <c r="AA164" s="201" t="e">
        <f>AA62-#REF!</f>
        <v>#REF!</v>
      </c>
      <c r="AB164" s="201" t="e">
        <f>AB62-#REF!</f>
        <v>#REF!</v>
      </c>
      <c r="AC164" s="201" t="e">
        <f>AC62-#REF!</f>
        <v>#REF!</v>
      </c>
      <c r="AD164" s="201" t="e">
        <f>AD62-#REF!</f>
        <v>#REF!</v>
      </c>
      <c r="AE164" s="201" t="e">
        <f>AE62-#REF!</f>
        <v>#REF!</v>
      </c>
      <c r="AF164" s="201" t="e">
        <f>AF62-#REF!</f>
        <v>#REF!</v>
      </c>
      <c r="AG164" s="201" t="e">
        <f>AG62-#REF!</f>
        <v>#REF!</v>
      </c>
      <c r="AH164" s="201" t="e">
        <f>AH62-#REF!</f>
        <v>#REF!</v>
      </c>
      <c r="AI164" s="201" t="e">
        <f>AI62-#REF!</f>
        <v>#REF!</v>
      </c>
      <c r="AJ164" s="201" t="e">
        <f>AJ62-#REF!</f>
        <v>#REF!</v>
      </c>
      <c r="AK164" s="205" t="e">
        <f t="shared" si="11"/>
        <v>#REF!</v>
      </c>
      <c r="AL164" s="206" t="e">
        <f t="shared" si="12"/>
        <v>#REF!</v>
      </c>
    </row>
    <row r="165" ht="35.1" hidden="1" customHeight="1" spans="1:38">
      <c r="A165" s="23">
        <v>18</v>
      </c>
      <c r="B165" s="152"/>
      <c r="C165" s="152" t="s">
        <v>214</v>
      </c>
      <c r="D165" s="23" t="s">
        <v>72</v>
      </c>
      <c r="E165" s="23">
        <v>0.133</v>
      </c>
      <c r="F165" s="198" t="e">
        <f>F46-#REF!</f>
        <v>#REF!</v>
      </c>
      <c r="G165" s="201" t="e">
        <f>G63-#REF!</f>
        <v>#REF!</v>
      </c>
      <c r="H165" s="201" t="e">
        <f>H63-#REF!</f>
        <v>#REF!</v>
      </c>
      <c r="I165" s="201" t="e">
        <f>I63-#REF!</f>
        <v>#REF!</v>
      </c>
      <c r="J165" s="201" t="e">
        <f>J63-#REF!</f>
        <v>#REF!</v>
      </c>
      <c r="K165" s="201" t="e">
        <f>K63-#REF!</f>
        <v>#REF!</v>
      </c>
      <c r="L165" s="201" t="e">
        <f>L63-#REF!</f>
        <v>#REF!</v>
      </c>
      <c r="M165" s="201" t="e">
        <f>M63-#REF!</f>
        <v>#REF!</v>
      </c>
      <c r="N165" s="201" t="e">
        <f>N63-#REF!</f>
        <v>#REF!</v>
      </c>
      <c r="O165" s="201" t="e">
        <f>O63-#REF!</f>
        <v>#REF!</v>
      </c>
      <c r="P165" s="201" t="e">
        <f>P63-#REF!</f>
        <v>#REF!</v>
      </c>
      <c r="Q165" s="201" t="e">
        <f>Q63-#REF!</f>
        <v>#REF!</v>
      </c>
      <c r="R165" s="201" t="e">
        <f>R63-#REF!</f>
        <v>#REF!</v>
      </c>
      <c r="S165" s="201" t="e">
        <f>S63-#REF!</f>
        <v>#REF!</v>
      </c>
      <c r="T165" s="201" t="e">
        <f>T63-#REF!</f>
        <v>#REF!</v>
      </c>
      <c r="U165" s="201" t="e">
        <f>U63-#REF!</f>
        <v>#REF!</v>
      </c>
      <c r="V165" s="201" t="e">
        <f>V63-#REF!</f>
        <v>#REF!</v>
      </c>
      <c r="W165" s="201" t="e">
        <f>W63-#REF!</f>
        <v>#REF!</v>
      </c>
      <c r="X165" s="201" t="e">
        <f>X63-#REF!</f>
        <v>#REF!</v>
      </c>
      <c r="Y165" s="201" t="e">
        <f>Y64-#REF!</f>
        <v>#REF!</v>
      </c>
      <c r="Z165" s="201" t="e">
        <f>Z63-#REF!</f>
        <v>#REF!</v>
      </c>
      <c r="AA165" s="201" t="e">
        <f>AA63-#REF!</f>
        <v>#REF!</v>
      </c>
      <c r="AB165" s="201" t="e">
        <f>AB63-#REF!</f>
        <v>#REF!</v>
      </c>
      <c r="AC165" s="201" t="e">
        <f>AC63-#REF!</f>
        <v>#REF!</v>
      </c>
      <c r="AD165" s="201" t="e">
        <f>AD63-#REF!</f>
        <v>#REF!</v>
      </c>
      <c r="AE165" s="201" t="e">
        <f>AE63-#REF!</f>
        <v>#REF!</v>
      </c>
      <c r="AF165" s="201" t="e">
        <f>AF63-#REF!</f>
        <v>#REF!</v>
      </c>
      <c r="AG165" s="201" t="e">
        <f>AG63-#REF!</f>
        <v>#REF!</v>
      </c>
      <c r="AH165" s="201" t="e">
        <f>AH63-#REF!</f>
        <v>#REF!</v>
      </c>
      <c r="AI165" s="201" t="e">
        <f>AI63-#REF!</f>
        <v>#REF!</v>
      </c>
      <c r="AJ165" s="201" t="e">
        <f>AJ63-#REF!</f>
        <v>#REF!</v>
      </c>
      <c r="AK165" s="205" t="e">
        <f t="shared" si="11"/>
        <v>#REF!</v>
      </c>
      <c r="AL165" s="206" t="e">
        <f t="shared" si="12"/>
        <v>#REF!</v>
      </c>
    </row>
    <row r="166" ht="35.1" hidden="1" customHeight="1" spans="1:38">
      <c r="A166" s="23">
        <v>19</v>
      </c>
      <c r="B166" s="152"/>
      <c r="C166" s="152" t="s">
        <v>215</v>
      </c>
      <c r="D166" s="23" t="s">
        <v>72</v>
      </c>
      <c r="E166" s="23">
        <v>0.133</v>
      </c>
      <c r="F166" s="198" t="e">
        <f>F47-#REF!</f>
        <v>#REF!</v>
      </c>
      <c r="G166" s="201" t="e">
        <f>G64-#REF!</f>
        <v>#REF!</v>
      </c>
      <c r="H166" s="201" t="e">
        <f>H64-#REF!</f>
        <v>#REF!</v>
      </c>
      <c r="I166" s="201" t="e">
        <f>I64-#REF!</f>
        <v>#REF!</v>
      </c>
      <c r="J166" s="201" t="e">
        <f>J64-#REF!</f>
        <v>#REF!</v>
      </c>
      <c r="K166" s="201" t="e">
        <f>K64-#REF!</f>
        <v>#REF!</v>
      </c>
      <c r="L166" s="201" t="e">
        <f>L64-#REF!</f>
        <v>#REF!</v>
      </c>
      <c r="M166" s="201" t="e">
        <f>M64-#REF!</f>
        <v>#REF!</v>
      </c>
      <c r="N166" s="201" t="e">
        <f>N64-#REF!</f>
        <v>#REF!</v>
      </c>
      <c r="O166" s="201" t="e">
        <f>O64-#REF!</f>
        <v>#REF!</v>
      </c>
      <c r="P166" s="201" t="e">
        <f>P64-#REF!</f>
        <v>#REF!</v>
      </c>
      <c r="Q166" s="201" t="e">
        <f>Q64-#REF!</f>
        <v>#REF!</v>
      </c>
      <c r="R166" s="201" t="e">
        <f>R64-#REF!</f>
        <v>#REF!</v>
      </c>
      <c r="S166" s="201" t="e">
        <f>S64-#REF!</f>
        <v>#REF!</v>
      </c>
      <c r="T166" s="201" t="e">
        <f>T64-#REF!</f>
        <v>#REF!</v>
      </c>
      <c r="U166" s="201" t="e">
        <f>U64-#REF!</f>
        <v>#REF!</v>
      </c>
      <c r="V166" s="201" t="e">
        <f>V64-#REF!</f>
        <v>#REF!</v>
      </c>
      <c r="W166" s="201" t="e">
        <f>W64-#REF!</f>
        <v>#REF!</v>
      </c>
      <c r="X166" s="201" t="e">
        <f>X64-#REF!</f>
        <v>#REF!</v>
      </c>
      <c r="Y166" s="201" t="e">
        <f>Y64-#REF!</f>
        <v>#REF!</v>
      </c>
      <c r="Z166" s="201" t="e">
        <f>Z64-#REF!</f>
        <v>#REF!</v>
      </c>
      <c r="AA166" s="201" t="e">
        <f>AA64-#REF!</f>
        <v>#REF!</v>
      </c>
      <c r="AB166" s="201" t="e">
        <f>AB64-#REF!</f>
        <v>#REF!</v>
      </c>
      <c r="AC166" s="201" t="e">
        <f>AC64-#REF!</f>
        <v>#REF!</v>
      </c>
      <c r="AD166" s="201" t="e">
        <f>AD64-#REF!</f>
        <v>#REF!</v>
      </c>
      <c r="AE166" s="201" t="e">
        <f>AE64-#REF!</f>
        <v>#REF!</v>
      </c>
      <c r="AF166" s="201" t="e">
        <f>AF64-#REF!</f>
        <v>#REF!</v>
      </c>
      <c r="AG166" s="201" t="e">
        <f>AG64-#REF!</f>
        <v>#REF!</v>
      </c>
      <c r="AH166" s="201" t="e">
        <f>AH64-#REF!</f>
        <v>#REF!</v>
      </c>
      <c r="AI166" s="201" t="e">
        <f>AI64-#REF!</f>
        <v>#REF!</v>
      </c>
      <c r="AJ166" s="201" t="e">
        <f>AJ64-#REF!</f>
        <v>#REF!</v>
      </c>
      <c r="AK166" s="205" t="e">
        <f t="shared" si="11"/>
        <v>#REF!</v>
      </c>
      <c r="AL166" s="206" t="e">
        <f t="shared" si="12"/>
        <v>#REF!</v>
      </c>
    </row>
    <row r="167" ht="35.1" hidden="1" customHeight="1" spans="1:38">
      <c r="A167" s="23">
        <v>20</v>
      </c>
      <c r="B167" s="152"/>
      <c r="C167" s="152" t="s">
        <v>216</v>
      </c>
      <c r="D167" s="23" t="s">
        <v>72</v>
      </c>
      <c r="E167" s="23">
        <v>0.133</v>
      </c>
      <c r="F167" s="198" t="e">
        <f>F52-#REF!</f>
        <v>#REF!</v>
      </c>
      <c r="G167" s="201" t="e">
        <f>G65-#REF!</f>
        <v>#REF!</v>
      </c>
      <c r="H167" s="201" t="e">
        <f>H65-#REF!</f>
        <v>#REF!</v>
      </c>
      <c r="I167" s="201" t="e">
        <f>I65-#REF!</f>
        <v>#REF!</v>
      </c>
      <c r="J167" s="201" t="e">
        <f>J65-#REF!</f>
        <v>#REF!</v>
      </c>
      <c r="K167" s="201" t="e">
        <f>K65-#REF!</f>
        <v>#REF!</v>
      </c>
      <c r="L167" s="201" t="e">
        <f>L65-#REF!</f>
        <v>#REF!</v>
      </c>
      <c r="M167" s="201" t="e">
        <f>M65-#REF!</f>
        <v>#REF!</v>
      </c>
      <c r="N167" s="201" t="e">
        <f>N65-#REF!</f>
        <v>#REF!</v>
      </c>
      <c r="O167" s="201" t="e">
        <f>O65-#REF!</f>
        <v>#REF!</v>
      </c>
      <c r="P167" s="201" t="e">
        <f>P65-#REF!</f>
        <v>#REF!</v>
      </c>
      <c r="Q167" s="201" t="e">
        <f>Q65-#REF!</f>
        <v>#REF!</v>
      </c>
      <c r="R167" s="201" t="e">
        <f>R65-#REF!</f>
        <v>#REF!</v>
      </c>
      <c r="S167" s="201" t="e">
        <f>S65-#REF!</f>
        <v>#REF!</v>
      </c>
      <c r="T167" s="201" t="e">
        <f>T65-#REF!</f>
        <v>#REF!</v>
      </c>
      <c r="U167" s="201" t="e">
        <f>U65-#REF!</f>
        <v>#REF!</v>
      </c>
      <c r="V167" s="201" t="e">
        <f>V65-#REF!</f>
        <v>#REF!</v>
      </c>
      <c r="W167" s="201" t="e">
        <f>W65-#REF!</f>
        <v>#REF!</v>
      </c>
      <c r="X167" s="201" t="e">
        <f>X65-#REF!</f>
        <v>#REF!</v>
      </c>
      <c r="Y167" s="201" t="e">
        <f>Y65-#REF!</f>
        <v>#REF!</v>
      </c>
      <c r="Z167" s="201" t="e">
        <f>Z65-#REF!</f>
        <v>#REF!</v>
      </c>
      <c r="AA167" s="201" t="e">
        <f>AA65-#REF!</f>
        <v>#REF!</v>
      </c>
      <c r="AB167" s="201" t="e">
        <f>AB65-#REF!</f>
        <v>#REF!</v>
      </c>
      <c r="AC167" s="201" t="e">
        <f>AC65-#REF!</f>
        <v>#REF!</v>
      </c>
      <c r="AD167" s="201" t="e">
        <f>AD65-#REF!</f>
        <v>#REF!</v>
      </c>
      <c r="AE167" s="201" t="e">
        <f>AE65-#REF!</f>
        <v>#REF!</v>
      </c>
      <c r="AF167" s="201" t="e">
        <f>AF65-#REF!</f>
        <v>#REF!</v>
      </c>
      <c r="AG167" s="201" t="e">
        <f>AG65-#REF!</f>
        <v>#REF!</v>
      </c>
      <c r="AH167" s="201" t="e">
        <f>AH65-#REF!</f>
        <v>#REF!</v>
      </c>
      <c r="AI167" s="201" t="e">
        <f>AI65-#REF!</f>
        <v>#REF!</v>
      </c>
      <c r="AJ167" s="201" t="e">
        <f>AJ65-#REF!</f>
        <v>#REF!</v>
      </c>
      <c r="AK167" s="205" t="e">
        <f t="shared" si="11"/>
        <v>#REF!</v>
      </c>
      <c r="AL167" s="206" t="e">
        <f t="shared" si="12"/>
        <v>#REF!</v>
      </c>
    </row>
    <row r="168" ht="35.1" hidden="1" customHeight="1" spans="1:38">
      <c r="A168" s="23">
        <v>21</v>
      </c>
      <c r="B168" s="152"/>
      <c r="C168" s="152" t="s">
        <v>217</v>
      </c>
      <c r="D168" s="23" t="s">
        <v>72</v>
      </c>
      <c r="E168" s="23">
        <v>0.133</v>
      </c>
      <c r="F168" s="198" t="e">
        <f>F53-#REF!</f>
        <v>#REF!</v>
      </c>
      <c r="G168" s="201" t="e">
        <f>#REF!-#REF!</f>
        <v>#REF!</v>
      </c>
      <c r="H168" s="201" t="e">
        <f>#REF!-#REF!</f>
        <v>#REF!</v>
      </c>
      <c r="I168" s="201" t="e">
        <f>#REF!-#REF!</f>
        <v>#REF!</v>
      </c>
      <c r="J168" s="201" t="e">
        <f>#REF!-#REF!</f>
        <v>#REF!</v>
      </c>
      <c r="K168" s="201" t="e">
        <f>#REF!-#REF!</f>
        <v>#REF!</v>
      </c>
      <c r="L168" s="201" t="e">
        <f>#REF!-#REF!</f>
        <v>#REF!</v>
      </c>
      <c r="M168" s="201" t="e">
        <f>#REF!-#REF!</f>
        <v>#REF!</v>
      </c>
      <c r="N168" s="201" t="e">
        <f>#REF!-#REF!</f>
        <v>#REF!</v>
      </c>
      <c r="O168" s="201" t="e">
        <f>#REF!-#REF!</f>
        <v>#REF!</v>
      </c>
      <c r="P168" s="201" t="e">
        <f>#REF!-#REF!</f>
        <v>#REF!</v>
      </c>
      <c r="Q168" s="201" t="e">
        <f>#REF!-#REF!</f>
        <v>#REF!</v>
      </c>
      <c r="R168" s="201" t="e">
        <f>#REF!-#REF!</f>
        <v>#REF!</v>
      </c>
      <c r="S168" s="201" t="e">
        <f>#REF!-#REF!</f>
        <v>#REF!</v>
      </c>
      <c r="T168" s="201" t="e">
        <f>#REF!-#REF!</f>
        <v>#REF!</v>
      </c>
      <c r="U168" s="201" t="e">
        <f>#REF!-#REF!</f>
        <v>#REF!</v>
      </c>
      <c r="V168" s="201" t="e">
        <f>#REF!-#REF!</f>
        <v>#REF!</v>
      </c>
      <c r="W168" s="201" t="e">
        <f>#REF!-#REF!</f>
        <v>#REF!</v>
      </c>
      <c r="X168" s="201" t="e">
        <f>#REF!-#REF!</f>
        <v>#REF!</v>
      </c>
      <c r="Y168" s="201" t="e">
        <f>#REF!-#REF!</f>
        <v>#REF!</v>
      </c>
      <c r="Z168" s="201" t="e">
        <f>#REF!-#REF!</f>
        <v>#REF!</v>
      </c>
      <c r="AA168" s="201" t="e">
        <f>#REF!-#REF!</f>
        <v>#REF!</v>
      </c>
      <c r="AB168" s="201" t="e">
        <f>#REF!-#REF!</f>
        <v>#REF!</v>
      </c>
      <c r="AC168" s="201" t="e">
        <f>#REF!-#REF!</f>
        <v>#REF!</v>
      </c>
      <c r="AD168" s="201" t="e">
        <f>#REF!-#REF!</f>
        <v>#REF!</v>
      </c>
      <c r="AE168" s="201" t="e">
        <f>#REF!-#REF!</f>
        <v>#REF!</v>
      </c>
      <c r="AF168" s="201" t="e">
        <f>#REF!-#REF!</f>
        <v>#REF!</v>
      </c>
      <c r="AG168" s="201" t="e">
        <f>#REF!-#REF!</f>
        <v>#REF!</v>
      </c>
      <c r="AH168" s="201" t="e">
        <f>#REF!-#REF!</f>
        <v>#REF!</v>
      </c>
      <c r="AI168" s="201" t="e">
        <f>#REF!-#REF!</f>
        <v>#REF!</v>
      </c>
      <c r="AJ168" s="201" t="e">
        <f>#REF!-#REF!</f>
        <v>#REF!</v>
      </c>
      <c r="AK168" s="205" t="e">
        <f t="shared" si="11"/>
        <v>#REF!</v>
      </c>
      <c r="AL168" s="206" t="e">
        <f t="shared" si="12"/>
        <v>#REF!</v>
      </c>
    </row>
    <row r="169" ht="27.95" hidden="1" customHeight="1" spans="1:38">
      <c r="A169" s="23">
        <v>22</v>
      </c>
      <c r="B169" s="152"/>
      <c r="C169" s="152" t="s">
        <v>218</v>
      </c>
      <c r="D169" s="23" t="s">
        <v>72</v>
      </c>
      <c r="E169" s="23">
        <v>0.133</v>
      </c>
      <c r="F169" s="201" t="e">
        <f t="shared" ref="F169:AJ177" si="13">F148+F150+F152+F153+F154+F155+F156+F157+F158+F159+F160+F161+F162+F163+F164+F165+F166+F167+F168</f>
        <v>#REF!</v>
      </c>
      <c r="G169" s="201" t="e">
        <f t="shared" si="13"/>
        <v>#REF!</v>
      </c>
      <c r="H169" s="201" t="e">
        <f t="shared" si="13"/>
        <v>#REF!</v>
      </c>
      <c r="I169" s="201" t="e">
        <f t="shared" si="13"/>
        <v>#REF!</v>
      </c>
      <c r="J169" s="201" t="e">
        <f t="shared" si="13"/>
        <v>#REF!</v>
      </c>
      <c r="K169" s="201" t="e">
        <f t="shared" si="13"/>
        <v>#REF!</v>
      </c>
      <c r="L169" s="201" t="e">
        <f t="shared" si="13"/>
        <v>#REF!</v>
      </c>
      <c r="M169" s="201" t="e">
        <f t="shared" si="13"/>
        <v>#REF!</v>
      </c>
      <c r="N169" s="201" t="e">
        <f t="shared" si="13"/>
        <v>#REF!</v>
      </c>
      <c r="O169" s="201" t="e">
        <f t="shared" si="13"/>
        <v>#REF!</v>
      </c>
      <c r="P169" s="201" t="e">
        <f t="shared" si="13"/>
        <v>#REF!</v>
      </c>
      <c r="Q169" s="201" t="e">
        <f t="shared" si="13"/>
        <v>#REF!</v>
      </c>
      <c r="R169" s="201" t="e">
        <f t="shared" si="13"/>
        <v>#REF!</v>
      </c>
      <c r="S169" s="201" t="e">
        <f t="shared" si="13"/>
        <v>#REF!</v>
      </c>
      <c r="T169" s="201" t="e">
        <f t="shared" si="13"/>
        <v>#REF!</v>
      </c>
      <c r="U169" s="201" t="e">
        <f t="shared" si="13"/>
        <v>#REF!</v>
      </c>
      <c r="V169" s="201" t="e">
        <f t="shared" si="13"/>
        <v>#REF!</v>
      </c>
      <c r="W169" s="201" t="e">
        <f t="shared" si="13"/>
        <v>#REF!</v>
      </c>
      <c r="X169" s="201" t="e">
        <f t="shared" si="13"/>
        <v>#REF!</v>
      </c>
      <c r="Y169" s="201" t="e">
        <f t="shared" si="13"/>
        <v>#REF!</v>
      </c>
      <c r="Z169" s="201" t="e">
        <f t="shared" si="13"/>
        <v>#REF!</v>
      </c>
      <c r="AA169" s="201" t="e">
        <f t="shared" si="13"/>
        <v>#REF!</v>
      </c>
      <c r="AB169" s="201" t="e">
        <f t="shared" si="13"/>
        <v>#REF!</v>
      </c>
      <c r="AC169" s="201" t="e">
        <f t="shared" si="13"/>
        <v>#REF!</v>
      </c>
      <c r="AD169" s="201" t="e">
        <f t="shared" si="13"/>
        <v>#REF!</v>
      </c>
      <c r="AE169" s="201" t="e">
        <f t="shared" si="13"/>
        <v>#REF!</v>
      </c>
      <c r="AF169" s="201" t="e">
        <f t="shared" si="13"/>
        <v>#REF!</v>
      </c>
      <c r="AG169" s="201" t="e">
        <f t="shared" si="13"/>
        <v>#REF!</v>
      </c>
      <c r="AH169" s="201" t="e">
        <f t="shared" si="13"/>
        <v>#REF!</v>
      </c>
      <c r="AI169" s="201" t="e">
        <f t="shared" si="13"/>
        <v>#REF!</v>
      </c>
      <c r="AJ169" s="201" t="e">
        <f t="shared" si="13"/>
        <v>#REF!</v>
      </c>
      <c r="AK169" s="205" t="e">
        <f t="shared" si="11"/>
        <v>#REF!</v>
      </c>
      <c r="AL169" s="206" t="e">
        <f t="shared" si="12"/>
        <v>#REF!</v>
      </c>
    </row>
    <row r="170" ht="27" hidden="1" customHeight="1" spans="1:38">
      <c r="A170" s="23">
        <v>23</v>
      </c>
      <c r="B170" s="152"/>
      <c r="C170" s="152" t="s">
        <v>219</v>
      </c>
      <c r="D170" s="23" t="s">
        <v>72</v>
      </c>
      <c r="E170" s="23">
        <v>0.133</v>
      </c>
      <c r="F170" s="201" t="e">
        <f t="shared" si="13"/>
        <v>#REF!</v>
      </c>
      <c r="G170" s="201" t="e">
        <f t="shared" si="13"/>
        <v>#REF!</v>
      </c>
      <c r="H170" s="201" t="e">
        <f t="shared" si="13"/>
        <v>#REF!</v>
      </c>
      <c r="I170" s="201" t="e">
        <f t="shared" si="13"/>
        <v>#REF!</v>
      </c>
      <c r="J170" s="201" t="e">
        <f t="shared" si="13"/>
        <v>#REF!</v>
      </c>
      <c r="K170" s="201" t="e">
        <f t="shared" si="13"/>
        <v>#REF!</v>
      </c>
      <c r="L170" s="201" t="e">
        <f t="shared" si="13"/>
        <v>#REF!</v>
      </c>
      <c r="M170" s="201" t="e">
        <f t="shared" si="13"/>
        <v>#REF!</v>
      </c>
      <c r="N170" s="201" t="e">
        <f t="shared" si="13"/>
        <v>#REF!</v>
      </c>
      <c r="O170" s="201" t="e">
        <f t="shared" si="13"/>
        <v>#REF!</v>
      </c>
      <c r="P170" s="201" t="e">
        <f t="shared" si="13"/>
        <v>#REF!</v>
      </c>
      <c r="Q170" s="201" t="e">
        <f t="shared" si="13"/>
        <v>#REF!</v>
      </c>
      <c r="R170" s="201" t="e">
        <f t="shared" si="13"/>
        <v>#REF!</v>
      </c>
      <c r="S170" s="201" t="e">
        <f t="shared" si="13"/>
        <v>#REF!</v>
      </c>
      <c r="T170" s="201" t="e">
        <f t="shared" si="13"/>
        <v>#REF!</v>
      </c>
      <c r="U170" s="201" t="e">
        <f t="shared" si="13"/>
        <v>#REF!</v>
      </c>
      <c r="V170" s="201" t="e">
        <f t="shared" si="13"/>
        <v>#REF!</v>
      </c>
      <c r="W170" s="201" t="e">
        <f t="shared" si="13"/>
        <v>#REF!</v>
      </c>
      <c r="X170" s="201" t="e">
        <f t="shared" si="13"/>
        <v>#REF!</v>
      </c>
      <c r="Y170" s="201" t="e">
        <f t="shared" si="13"/>
        <v>#REF!</v>
      </c>
      <c r="Z170" s="201" t="e">
        <f t="shared" si="13"/>
        <v>#REF!</v>
      </c>
      <c r="AA170" s="201" t="e">
        <f t="shared" si="13"/>
        <v>#REF!</v>
      </c>
      <c r="AB170" s="201" t="e">
        <f t="shared" si="13"/>
        <v>#REF!</v>
      </c>
      <c r="AC170" s="201" t="e">
        <f t="shared" si="13"/>
        <v>#REF!</v>
      </c>
      <c r="AD170" s="201" t="e">
        <f t="shared" si="13"/>
        <v>#REF!</v>
      </c>
      <c r="AE170" s="201" t="e">
        <f t="shared" si="13"/>
        <v>#REF!</v>
      </c>
      <c r="AF170" s="201" t="e">
        <f t="shared" si="13"/>
        <v>#REF!</v>
      </c>
      <c r="AG170" s="201" t="e">
        <f t="shared" si="13"/>
        <v>#REF!</v>
      </c>
      <c r="AH170" s="201" t="e">
        <f t="shared" si="13"/>
        <v>#REF!</v>
      </c>
      <c r="AI170" s="201" t="e">
        <f t="shared" si="13"/>
        <v>#REF!</v>
      </c>
      <c r="AJ170" s="201" t="e">
        <f t="shared" si="13"/>
        <v>#REF!</v>
      </c>
      <c r="AK170" s="205" t="e">
        <f t="shared" si="11"/>
        <v>#REF!</v>
      </c>
      <c r="AL170" s="206" t="e">
        <f t="shared" si="12"/>
        <v>#REF!</v>
      </c>
    </row>
    <row r="171" ht="27" hidden="1" customHeight="1" spans="1:38">
      <c r="A171" s="23">
        <v>24</v>
      </c>
      <c r="B171" s="152"/>
      <c r="C171" s="152" t="s">
        <v>220</v>
      </c>
      <c r="D171" s="23" t="s">
        <v>72</v>
      </c>
      <c r="E171" s="23">
        <v>0.133</v>
      </c>
      <c r="F171" s="201" t="e">
        <f t="shared" si="13"/>
        <v>#REF!</v>
      </c>
      <c r="G171" s="201" t="e">
        <f t="shared" si="13"/>
        <v>#REF!</v>
      </c>
      <c r="H171" s="201" t="e">
        <f t="shared" si="13"/>
        <v>#REF!</v>
      </c>
      <c r="I171" s="201" t="e">
        <f t="shared" si="13"/>
        <v>#REF!</v>
      </c>
      <c r="J171" s="201" t="e">
        <f t="shared" si="13"/>
        <v>#REF!</v>
      </c>
      <c r="K171" s="201" t="e">
        <f t="shared" si="13"/>
        <v>#REF!</v>
      </c>
      <c r="L171" s="201" t="e">
        <f t="shared" si="13"/>
        <v>#REF!</v>
      </c>
      <c r="M171" s="201" t="e">
        <f t="shared" si="13"/>
        <v>#REF!</v>
      </c>
      <c r="N171" s="201" t="e">
        <f t="shared" si="13"/>
        <v>#REF!</v>
      </c>
      <c r="O171" s="201" t="e">
        <f t="shared" si="13"/>
        <v>#REF!</v>
      </c>
      <c r="P171" s="201" t="e">
        <f t="shared" si="13"/>
        <v>#REF!</v>
      </c>
      <c r="Q171" s="201" t="e">
        <f t="shared" si="13"/>
        <v>#REF!</v>
      </c>
      <c r="R171" s="201" t="e">
        <f t="shared" si="13"/>
        <v>#REF!</v>
      </c>
      <c r="S171" s="201" t="e">
        <f t="shared" si="13"/>
        <v>#REF!</v>
      </c>
      <c r="T171" s="201" t="e">
        <f t="shared" si="13"/>
        <v>#REF!</v>
      </c>
      <c r="U171" s="201" t="e">
        <f t="shared" si="13"/>
        <v>#REF!</v>
      </c>
      <c r="V171" s="201" t="e">
        <f t="shared" si="13"/>
        <v>#REF!</v>
      </c>
      <c r="W171" s="201" t="e">
        <f t="shared" si="13"/>
        <v>#REF!</v>
      </c>
      <c r="X171" s="201" t="e">
        <f t="shared" si="13"/>
        <v>#REF!</v>
      </c>
      <c r="Y171" s="201" t="e">
        <f t="shared" si="13"/>
        <v>#REF!</v>
      </c>
      <c r="Z171" s="201" t="e">
        <f t="shared" si="13"/>
        <v>#REF!</v>
      </c>
      <c r="AA171" s="201" t="e">
        <f t="shared" si="13"/>
        <v>#REF!</v>
      </c>
      <c r="AB171" s="201" t="e">
        <f t="shared" si="13"/>
        <v>#REF!</v>
      </c>
      <c r="AC171" s="201" t="e">
        <f t="shared" si="13"/>
        <v>#REF!</v>
      </c>
      <c r="AD171" s="201" t="e">
        <f t="shared" si="13"/>
        <v>#REF!</v>
      </c>
      <c r="AE171" s="201" t="e">
        <f t="shared" si="13"/>
        <v>#REF!</v>
      </c>
      <c r="AF171" s="201" t="e">
        <f t="shared" si="13"/>
        <v>#REF!</v>
      </c>
      <c r="AG171" s="201" t="e">
        <f t="shared" si="13"/>
        <v>#REF!</v>
      </c>
      <c r="AH171" s="201" t="e">
        <f t="shared" si="13"/>
        <v>#REF!</v>
      </c>
      <c r="AI171" s="201" t="e">
        <f t="shared" si="13"/>
        <v>#REF!</v>
      </c>
      <c r="AJ171" s="201" t="e">
        <f t="shared" si="13"/>
        <v>#REF!</v>
      </c>
      <c r="AK171" s="205" t="e">
        <f t="shared" si="11"/>
        <v>#REF!</v>
      </c>
      <c r="AL171" s="206" t="e">
        <f t="shared" si="12"/>
        <v>#REF!</v>
      </c>
    </row>
    <row r="172" ht="27" hidden="1" customHeight="1" spans="1:38">
      <c r="A172" s="23">
        <v>25</v>
      </c>
      <c r="B172" s="152"/>
      <c r="C172" s="152" t="s">
        <v>221</v>
      </c>
      <c r="D172" s="23" t="s">
        <v>72</v>
      </c>
      <c r="E172" s="23">
        <v>0.133</v>
      </c>
      <c r="F172" s="201" t="e">
        <f t="shared" si="13"/>
        <v>#REF!</v>
      </c>
      <c r="G172" s="201" t="e">
        <f t="shared" si="13"/>
        <v>#REF!</v>
      </c>
      <c r="H172" s="201" t="e">
        <f t="shared" si="13"/>
        <v>#REF!</v>
      </c>
      <c r="I172" s="201" t="e">
        <f t="shared" si="13"/>
        <v>#REF!</v>
      </c>
      <c r="J172" s="201" t="e">
        <f t="shared" si="13"/>
        <v>#REF!</v>
      </c>
      <c r="K172" s="201" t="e">
        <f t="shared" si="13"/>
        <v>#REF!</v>
      </c>
      <c r="L172" s="201" t="e">
        <f t="shared" si="13"/>
        <v>#REF!</v>
      </c>
      <c r="M172" s="201" t="e">
        <f t="shared" si="13"/>
        <v>#REF!</v>
      </c>
      <c r="N172" s="201" t="e">
        <f t="shared" si="13"/>
        <v>#REF!</v>
      </c>
      <c r="O172" s="201" t="e">
        <f t="shared" si="13"/>
        <v>#REF!</v>
      </c>
      <c r="P172" s="201" t="e">
        <f t="shared" si="13"/>
        <v>#REF!</v>
      </c>
      <c r="Q172" s="201" t="e">
        <f t="shared" si="13"/>
        <v>#REF!</v>
      </c>
      <c r="R172" s="201" t="e">
        <f t="shared" si="13"/>
        <v>#REF!</v>
      </c>
      <c r="S172" s="201" t="e">
        <f t="shared" si="13"/>
        <v>#REF!</v>
      </c>
      <c r="T172" s="201" t="e">
        <f t="shared" si="13"/>
        <v>#REF!</v>
      </c>
      <c r="U172" s="201" t="e">
        <f t="shared" si="13"/>
        <v>#REF!</v>
      </c>
      <c r="V172" s="201" t="e">
        <f t="shared" si="13"/>
        <v>#REF!</v>
      </c>
      <c r="W172" s="201" t="e">
        <f t="shared" si="13"/>
        <v>#REF!</v>
      </c>
      <c r="X172" s="201" t="e">
        <f t="shared" si="13"/>
        <v>#REF!</v>
      </c>
      <c r="Y172" s="201" t="e">
        <f t="shared" si="13"/>
        <v>#REF!</v>
      </c>
      <c r="Z172" s="201" t="e">
        <f t="shared" si="13"/>
        <v>#REF!</v>
      </c>
      <c r="AA172" s="201" t="e">
        <f t="shared" si="13"/>
        <v>#REF!</v>
      </c>
      <c r="AB172" s="201" t="e">
        <f t="shared" si="13"/>
        <v>#REF!</v>
      </c>
      <c r="AC172" s="201" t="e">
        <f t="shared" si="13"/>
        <v>#REF!</v>
      </c>
      <c r="AD172" s="201" t="e">
        <f t="shared" si="13"/>
        <v>#REF!</v>
      </c>
      <c r="AE172" s="201" t="e">
        <f t="shared" si="13"/>
        <v>#REF!</v>
      </c>
      <c r="AF172" s="201" t="e">
        <f t="shared" si="13"/>
        <v>#REF!</v>
      </c>
      <c r="AG172" s="201" t="e">
        <f t="shared" si="13"/>
        <v>#REF!</v>
      </c>
      <c r="AH172" s="201" t="e">
        <f t="shared" si="13"/>
        <v>#REF!</v>
      </c>
      <c r="AI172" s="201" t="e">
        <f t="shared" si="13"/>
        <v>#REF!</v>
      </c>
      <c r="AJ172" s="201" t="e">
        <f t="shared" si="13"/>
        <v>#REF!</v>
      </c>
      <c r="AK172" s="205" t="e">
        <f t="shared" si="11"/>
        <v>#REF!</v>
      </c>
      <c r="AL172" s="206" t="e">
        <f t="shared" si="12"/>
        <v>#REF!</v>
      </c>
    </row>
    <row r="173" ht="27" hidden="1" customHeight="1" spans="1:38">
      <c r="A173" s="23">
        <v>26</v>
      </c>
      <c r="B173" s="152"/>
      <c r="C173" s="152" t="s">
        <v>222</v>
      </c>
      <c r="D173" s="23" t="s">
        <v>72</v>
      </c>
      <c r="E173" s="23">
        <v>0.133</v>
      </c>
      <c r="F173" s="201" t="e">
        <f t="shared" si="13"/>
        <v>#REF!</v>
      </c>
      <c r="G173" s="201" t="e">
        <f t="shared" si="13"/>
        <v>#REF!</v>
      </c>
      <c r="H173" s="201" t="e">
        <f t="shared" si="13"/>
        <v>#REF!</v>
      </c>
      <c r="I173" s="201" t="e">
        <f t="shared" si="13"/>
        <v>#REF!</v>
      </c>
      <c r="J173" s="201" t="e">
        <f t="shared" si="13"/>
        <v>#REF!</v>
      </c>
      <c r="K173" s="201" t="e">
        <f t="shared" si="13"/>
        <v>#REF!</v>
      </c>
      <c r="L173" s="201" t="e">
        <f t="shared" si="13"/>
        <v>#REF!</v>
      </c>
      <c r="M173" s="201" t="e">
        <f t="shared" si="13"/>
        <v>#REF!</v>
      </c>
      <c r="N173" s="201" t="e">
        <f t="shared" si="13"/>
        <v>#REF!</v>
      </c>
      <c r="O173" s="201" t="e">
        <f t="shared" si="13"/>
        <v>#REF!</v>
      </c>
      <c r="P173" s="201" t="e">
        <f t="shared" si="13"/>
        <v>#REF!</v>
      </c>
      <c r="Q173" s="201" t="e">
        <f t="shared" si="13"/>
        <v>#REF!</v>
      </c>
      <c r="R173" s="201" t="e">
        <f t="shared" si="13"/>
        <v>#REF!</v>
      </c>
      <c r="S173" s="201" t="e">
        <f t="shared" si="13"/>
        <v>#REF!</v>
      </c>
      <c r="T173" s="201" t="e">
        <f t="shared" si="13"/>
        <v>#REF!</v>
      </c>
      <c r="U173" s="201" t="e">
        <f t="shared" si="13"/>
        <v>#REF!</v>
      </c>
      <c r="V173" s="201" t="e">
        <f t="shared" si="13"/>
        <v>#REF!</v>
      </c>
      <c r="W173" s="201" t="e">
        <f t="shared" si="13"/>
        <v>#REF!</v>
      </c>
      <c r="X173" s="201" t="e">
        <f t="shared" si="13"/>
        <v>#REF!</v>
      </c>
      <c r="Y173" s="201" t="e">
        <f t="shared" si="13"/>
        <v>#REF!</v>
      </c>
      <c r="Z173" s="201" t="e">
        <f t="shared" si="13"/>
        <v>#REF!</v>
      </c>
      <c r="AA173" s="201" t="e">
        <f t="shared" si="13"/>
        <v>#REF!</v>
      </c>
      <c r="AB173" s="201" t="e">
        <f t="shared" si="13"/>
        <v>#REF!</v>
      </c>
      <c r="AC173" s="201" t="e">
        <f t="shared" si="13"/>
        <v>#REF!</v>
      </c>
      <c r="AD173" s="201" t="e">
        <f t="shared" si="13"/>
        <v>#REF!</v>
      </c>
      <c r="AE173" s="201" t="e">
        <f t="shared" si="13"/>
        <v>#REF!</v>
      </c>
      <c r="AF173" s="201" t="e">
        <f t="shared" si="13"/>
        <v>#REF!</v>
      </c>
      <c r="AG173" s="201" t="e">
        <f t="shared" si="13"/>
        <v>#REF!</v>
      </c>
      <c r="AH173" s="201" t="e">
        <f t="shared" si="13"/>
        <v>#REF!</v>
      </c>
      <c r="AI173" s="201" t="e">
        <f t="shared" si="13"/>
        <v>#REF!</v>
      </c>
      <c r="AJ173" s="201" t="e">
        <f t="shared" si="13"/>
        <v>#REF!</v>
      </c>
      <c r="AK173" s="205" t="e">
        <f t="shared" si="11"/>
        <v>#REF!</v>
      </c>
      <c r="AL173" s="206" t="e">
        <f t="shared" si="12"/>
        <v>#REF!</v>
      </c>
    </row>
    <row r="174" ht="27" hidden="1" customHeight="1" spans="1:38">
      <c r="A174" s="23">
        <v>27</v>
      </c>
      <c r="B174" s="152"/>
      <c r="C174" s="152" t="s">
        <v>54</v>
      </c>
      <c r="D174" s="23" t="s">
        <v>72</v>
      </c>
      <c r="E174" s="23">
        <v>0.373</v>
      </c>
      <c r="F174" s="201" t="e">
        <f t="shared" si="13"/>
        <v>#REF!</v>
      </c>
      <c r="G174" s="201" t="e">
        <f t="shared" si="13"/>
        <v>#REF!</v>
      </c>
      <c r="H174" s="201" t="e">
        <f t="shared" si="13"/>
        <v>#REF!</v>
      </c>
      <c r="I174" s="201" t="e">
        <f t="shared" si="13"/>
        <v>#REF!</v>
      </c>
      <c r="J174" s="201" t="e">
        <f t="shared" si="13"/>
        <v>#REF!</v>
      </c>
      <c r="K174" s="201" t="e">
        <f t="shared" si="13"/>
        <v>#REF!</v>
      </c>
      <c r="L174" s="201" t="e">
        <f t="shared" si="13"/>
        <v>#REF!</v>
      </c>
      <c r="M174" s="201" t="e">
        <f t="shared" si="13"/>
        <v>#REF!</v>
      </c>
      <c r="N174" s="201" t="e">
        <f t="shared" si="13"/>
        <v>#REF!</v>
      </c>
      <c r="O174" s="201" t="e">
        <f t="shared" si="13"/>
        <v>#REF!</v>
      </c>
      <c r="P174" s="201" t="e">
        <f t="shared" si="13"/>
        <v>#REF!</v>
      </c>
      <c r="Q174" s="201" t="e">
        <f t="shared" si="13"/>
        <v>#REF!</v>
      </c>
      <c r="R174" s="201" t="e">
        <f t="shared" si="13"/>
        <v>#REF!</v>
      </c>
      <c r="S174" s="201" t="e">
        <f t="shared" si="13"/>
        <v>#REF!</v>
      </c>
      <c r="T174" s="201" t="e">
        <f t="shared" si="13"/>
        <v>#REF!</v>
      </c>
      <c r="U174" s="201" t="e">
        <f t="shared" si="13"/>
        <v>#REF!</v>
      </c>
      <c r="V174" s="201" t="e">
        <f t="shared" si="13"/>
        <v>#REF!</v>
      </c>
      <c r="W174" s="201" t="e">
        <f t="shared" si="13"/>
        <v>#REF!</v>
      </c>
      <c r="X174" s="201" t="e">
        <f t="shared" si="13"/>
        <v>#REF!</v>
      </c>
      <c r="Y174" s="201" t="e">
        <f t="shared" si="13"/>
        <v>#REF!</v>
      </c>
      <c r="Z174" s="201" t="e">
        <f t="shared" si="13"/>
        <v>#REF!</v>
      </c>
      <c r="AA174" s="201" t="e">
        <f t="shared" si="13"/>
        <v>#REF!</v>
      </c>
      <c r="AB174" s="201" t="e">
        <f t="shared" si="13"/>
        <v>#REF!</v>
      </c>
      <c r="AC174" s="201" t="e">
        <f t="shared" si="13"/>
        <v>#REF!</v>
      </c>
      <c r="AD174" s="201" t="e">
        <f t="shared" si="13"/>
        <v>#REF!</v>
      </c>
      <c r="AE174" s="201" t="e">
        <f t="shared" si="13"/>
        <v>#REF!</v>
      </c>
      <c r="AF174" s="201" t="e">
        <f t="shared" si="13"/>
        <v>#REF!</v>
      </c>
      <c r="AG174" s="201" t="e">
        <f t="shared" si="13"/>
        <v>#REF!</v>
      </c>
      <c r="AH174" s="201" t="e">
        <f t="shared" si="13"/>
        <v>#REF!</v>
      </c>
      <c r="AI174" s="201" t="e">
        <f t="shared" si="13"/>
        <v>#REF!</v>
      </c>
      <c r="AJ174" s="201" t="e">
        <f t="shared" si="13"/>
        <v>#REF!</v>
      </c>
      <c r="AK174" s="205" t="e">
        <f t="shared" si="11"/>
        <v>#REF!</v>
      </c>
      <c r="AL174" s="206" t="e">
        <f t="shared" si="12"/>
        <v>#REF!</v>
      </c>
    </row>
    <row r="175" ht="27" hidden="1" customHeight="1" spans="1:38">
      <c r="A175" s="23">
        <v>28</v>
      </c>
      <c r="B175" s="23"/>
      <c r="C175" s="199" t="s">
        <v>223</v>
      </c>
      <c r="D175" s="23" t="s">
        <v>72</v>
      </c>
      <c r="E175" s="23">
        <v>0.373</v>
      </c>
      <c r="F175" s="201" t="e">
        <f t="shared" si="13"/>
        <v>#REF!</v>
      </c>
      <c r="G175" s="201" t="e">
        <f t="shared" si="13"/>
        <v>#REF!</v>
      </c>
      <c r="H175" s="201" t="e">
        <f t="shared" si="13"/>
        <v>#REF!</v>
      </c>
      <c r="I175" s="201" t="e">
        <f t="shared" si="13"/>
        <v>#REF!</v>
      </c>
      <c r="J175" s="201" t="e">
        <f t="shared" si="13"/>
        <v>#REF!</v>
      </c>
      <c r="K175" s="201" t="e">
        <f t="shared" si="13"/>
        <v>#REF!</v>
      </c>
      <c r="L175" s="201" t="e">
        <f t="shared" si="13"/>
        <v>#REF!</v>
      </c>
      <c r="M175" s="201" t="e">
        <f t="shared" si="13"/>
        <v>#REF!</v>
      </c>
      <c r="N175" s="201" t="e">
        <f t="shared" si="13"/>
        <v>#REF!</v>
      </c>
      <c r="O175" s="201" t="e">
        <f t="shared" si="13"/>
        <v>#REF!</v>
      </c>
      <c r="P175" s="201" t="e">
        <f t="shared" si="13"/>
        <v>#REF!</v>
      </c>
      <c r="Q175" s="201" t="e">
        <f t="shared" si="13"/>
        <v>#REF!</v>
      </c>
      <c r="R175" s="201" t="e">
        <f t="shared" si="13"/>
        <v>#REF!</v>
      </c>
      <c r="S175" s="201" t="e">
        <f t="shared" si="13"/>
        <v>#REF!</v>
      </c>
      <c r="T175" s="201" t="e">
        <f t="shared" si="13"/>
        <v>#REF!</v>
      </c>
      <c r="U175" s="201" t="e">
        <f t="shared" si="13"/>
        <v>#REF!</v>
      </c>
      <c r="V175" s="201" t="e">
        <f t="shared" si="13"/>
        <v>#REF!</v>
      </c>
      <c r="W175" s="201" t="e">
        <f t="shared" si="13"/>
        <v>#REF!</v>
      </c>
      <c r="X175" s="201" t="e">
        <f t="shared" si="13"/>
        <v>#REF!</v>
      </c>
      <c r="Y175" s="201" t="e">
        <f t="shared" si="13"/>
        <v>#REF!</v>
      </c>
      <c r="Z175" s="201" t="e">
        <f t="shared" si="13"/>
        <v>#REF!</v>
      </c>
      <c r="AA175" s="201" t="e">
        <f t="shared" si="13"/>
        <v>#REF!</v>
      </c>
      <c r="AB175" s="201" t="e">
        <f t="shared" si="13"/>
        <v>#REF!</v>
      </c>
      <c r="AC175" s="201" t="e">
        <f t="shared" si="13"/>
        <v>#REF!</v>
      </c>
      <c r="AD175" s="201" t="e">
        <f t="shared" si="13"/>
        <v>#REF!</v>
      </c>
      <c r="AE175" s="201" t="e">
        <f t="shared" si="13"/>
        <v>#REF!</v>
      </c>
      <c r="AF175" s="201" t="e">
        <f t="shared" si="13"/>
        <v>#REF!</v>
      </c>
      <c r="AG175" s="201" t="e">
        <f t="shared" si="13"/>
        <v>#REF!</v>
      </c>
      <c r="AH175" s="201" t="e">
        <f t="shared" si="13"/>
        <v>#REF!</v>
      </c>
      <c r="AI175" s="201" t="e">
        <f t="shared" si="13"/>
        <v>#REF!</v>
      </c>
      <c r="AJ175" s="201" t="e">
        <f t="shared" si="13"/>
        <v>#REF!</v>
      </c>
      <c r="AK175" s="205" t="e">
        <f t="shared" si="11"/>
        <v>#REF!</v>
      </c>
      <c r="AL175" s="206" t="e">
        <f t="shared" si="12"/>
        <v>#REF!</v>
      </c>
    </row>
    <row r="176" ht="27" hidden="1" customHeight="1" spans="1:38">
      <c r="A176" s="23">
        <v>29</v>
      </c>
      <c r="B176" s="23"/>
      <c r="C176" s="199" t="s">
        <v>194</v>
      </c>
      <c r="D176" s="23" t="s">
        <v>72</v>
      </c>
      <c r="E176" s="23">
        <v>0.373</v>
      </c>
      <c r="F176" s="201" t="e">
        <f t="shared" si="13"/>
        <v>#REF!</v>
      </c>
      <c r="G176" s="201" t="e">
        <f t="shared" si="13"/>
        <v>#REF!</v>
      </c>
      <c r="H176" s="201" t="e">
        <f t="shared" si="13"/>
        <v>#REF!</v>
      </c>
      <c r="I176" s="201" t="e">
        <f t="shared" si="13"/>
        <v>#REF!</v>
      </c>
      <c r="J176" s="201" t="e">
        <f t="shared" si="13"/>
        <v>#REF!</v>
      </c>
      <c r="K176" s="201" t="e">
        <f t="shared" si="13"/>
        <v>#REF!</v>
      </c>
      <c r="L176" s="201" t="e">
        <f t="shared" si="13"/>
        <v>#REF!</v>
      </c>
      <c r="M176" s="201" t="e">
        <f t="shared" si="13"/>
        <v>#REF!</v>
      </c>
      <c r="N176" s="201" t="e">
        <f t="shared" si="13"/>
        <v>#REF!</v>
      </c>
      <c r="O176" s="201" t="e">
        <f t="shared" si="13"/>
        <v>#REF!</v>
      </c>
      <c r="P176" s="201" t="e">
        <f t="shared" si="13"/>
        <v>#REF!</v>
      </c>
      <c r="Q176" s="201" t="e">
        <f t="shared" si="13"/>
        <v>#REF!</v>
      </c>
      <c r="R176" s="201" t="e">
        <f t="shared" si="13"/>
        <v>#REF!</v>
      </c>
      <c r="S176" s="201" t="e">
        <f t="shared" si="13"/>
        <v>#REF!</v>
      </c>
      <c r="T176" s="201" t="e">
        <f t="shared" si="13"/>
        <v>#REF!</v>
      </c>
      <c r="U176" s="201" t="e">
        <f t="shared" si="13"/>
        <v>#REF!</v>
      </c>
      <c r="V176" s="201" t="e">
        <f t="shared" si="13"/>
        <v>#REF!</v>
      </c>
      <c r="W176" s="201" t="e">
        <f t="shared" si="13"/>
        <v>#REF!</v>
      </c>
      <c r="X176" s="201" t="e">
        <f t="shared" si="13"/>
        <v>#REF!</v>
      </c>
      <c r="Y176" s="201" t="e">
        <f t="shared" si="13"/>
        <v>#REF!</v>
      </c>
      <c r="Z176" s="201" t="e">
        <f t="shared" si="13"/>
        <v>#REF!</v>
      </c>
      <c r="AA176" s="201" t="e">
        <f t="shared" si="13"/>
        <v>#REF!</v>
      </c>
      <c r="AB176" s="201" t="e">
        <f t="shared" si="13"/>
        <v>#REF!</v>
      </c>
      <c r="AC176" s="201" t="e">
        <f t="shared" si="13"/>
        <v>#REF!</v>
      </c>
      <c r="AD176" s="201" t="e">
        <f t="shared" si="13"/>
        <v>#REF!</v>
      </c>
      <c r="AE176" s="201" t="e">
        <f t="shared" si="13"/>
        <v>#REF!</v>
      </c>
      <c r="AF176" s="201" t="e">
        <f t="shared" si="13"/>
        <v>#REF!</v>
      </c>
      <c r="AG176" s="201" t="e">
        <f t="shared" si="13"/>
        <v>#REF!</v>
      </c>
      <c r="AH176" s="201" t="e">
        <f t="shared" si="13"/>
        <v>#REF!</v>
      </c>
      <c r="AI176" s="201" t="e">
        <f t="shared" si="13"/>
        <v>#REF!</v>
      </c>
      <c r="AJ176" s="201" t="e">
        <f t="shared" si="13"/>
        <v>#REF!</v>
      </c>
      <c r="AK176" s="205" t="e">
        <f t="shared" si="11"/>
        <v>#REF!</v>
      </c>
      <c r="AL176" s="206" t="e">
        <f t="shared" si="12"/>
        <v>#REF!</v>
      </c>
    </row>
    <row r="177" ht="27" hidden="1" customHeight="1" spans="1:38">
      <c r="A177" s="23">
        <v>30</v>
      </c>
      <c r="B177" s="152"/>
      <c r="C177" s="152" t="s">
        <v>195</v>
      </c>
      <c r="D177" s="23" t="s">
        <v>72</v>
      </c>
      <c r="E177" s="23">
        <v>0.373</v>
      </c>
      <c r="F177" s="201" t="e">
        <f t="shared" si="13"/>
        <v>#REF!</v>
      </c>
      <c r="G177" s="201" t="e">
        <f t="shared" si="13"/>
        <v>#REF!</v>
      </c>
      <c r="H177" s="201" t="e">
        <f t="shared" si="13"/>
        <v>#REF!</v>
      </c>
      <c r="I177" s="201" t="e">
        <f t="shared" si="13"/>
        <v>#REF!</v>
      </c>
      <c r="J177" s="201" t="e">
        <f t="shared" si="13"/>
        <v>#REF!</v>
      </c>
      <c r="K177" s="201" t="e">
        <f t="shared" si="13"/>
        <v>#REF!</v>
      </c>
      <c r="L177" s="201" t="e">
        <f t="shared" si="13"/>
        <v>#REF!</v>
      </c>
      <c r="M177" s="201" t="e">
        <f t="shared" ref="M177:AQ177" si="14">M156+M158+M160+M161+M162+M163+M164+M165+M166+M167+M168+M169+M170+M171+M172+M173+M174+M175+M176</f>
        <v>#REF!</v>
      </c>
      <c r="N177" s="201" t="e">
        <f t="shared" si="14"/>
        <v>#REF!</v>
      </c>
      <c r="O177" s="201" t="e">
        <f t="shared" si="14"/>
        <v>#REF!</v>
      </c>
      <c r="P177" s="201" t="e">
        <f t="shared" si="14"/>
        <v>#REF!</v>
      </c>
      <c r="Q177" s="201" t="e">
        <f t="shared" si="14"/>
        <v>#REF!</v>
      </c>
      <c r="R177" s="201" t="e">
        <f t="shared" si="14"/>
        <v>#REF!</v>
      </c>
      <c r="S177" s="201" t="e">
        <f t="shared" si="14"/>
        <v>#REF!</v>
      </c>
      <c r="T177" s="201" t="e">
        <f t="shared" si="14"/>
        <v>#REF!</v>
      </c>
      <c r="U177" s="201" t="e">
        <f t="shared" si="14"/>
        <v>#REF!</v>
      </c>
      <c r="V177" s="201" t="e">
        <f t="shared" si="14"/>
        <v>#REF!</v>
      </c>
      <c r="W177" s="201" t="e">
        <f t="shared" si="14"/>
        <v>#REF!</v>
      </c>
      <c r="X177" s="201" t="e">
        <f t="shared" si="14"/>
        <v>#REF!</v>
      </c>
      <c r="Y177" s="201" t="e">
        <f t="shared" si="14"/>
        <v>#REF!</v>
      </c>
      <c r="Z177" s="201" t="e">
        <f t="shared" si="14"/>
        <v>#REF!</v>
      </c>
      <c r="AA177" s="201" t="e">
        <f t="shared" si="14"/>
        <v>#REF!</v>
      </c>
      <c r="AB177" s="201" t="e">
        <f t="shared" si="14"/>
        <v>#REF!</v>
      </c>
      <c r="AC177" s="201" t="e">
        <f t="shared" si="14"/>
        <v>#REF!</v>
      </c>
      <c r="AD177" s="201" t="e">
        <f t="shared" si="14"/>
        <v>#REF!</v>
      </c>
      <c r="AE177" s="201" t="e">
        <f t="shared" si="14"/>
        <v>#REF!</v>
      </c>
      <c r="AF177" s="201" t="e">
        <f t="shared" si="14"/>
        <v>#REF!</v>
      </c>
      <c r="AG177" s="201" t="e">
        <f t="shared" si="14"/>
        <v>#REF!</v>
      </c>
      <c r="AH177" s="201" t="e">
        <f t="shared" si="14"/>
        <v>#REF!</v>
      </c>
      <c r="AI177" s="201" t="e">
        <f t="shared" si="14"/>
        <v>#REF!</v>
      </c>
      <c r="AJ177" s="201" t="e">
        <f t="shared" si="14"/>
        <v>#REF!</v>
      </c>
      <c r="AK177" s="205" t="e">
        <f t="shared" si="11"/>
        <v>#REF!</v>
      </c>
      <c r="AL177" s="206" t="e">
        <f t="shared" si="12"/>
        <v>#REF!</v>
      </c>
    </row>
    <row r="178" ht="27" hidden="1" customHeight="1" spans="1:38">
      <c r="A178" s="23">
        <v>31</v>
      </c>
      <c r="B178" s="152"/>
      <c r="C178" s="152" t="s">
        <v>176</v>
      </c>
      <c r="D178" s="23" t="s">
        <v>72</v>
      </c>
      <c r="E178" s="23">
        <v>0.373</v>
      </c>
      <c r="F178" s="201" t="e">
        <f t="shared" ref="F178:AJ178" si="15">F157+F159+F161+F162+F163+F164+F165+F166+F167+F168+F169+F170+F171+F172+F173+F174+F175+F176+F177</f>
        <v>#REF!</v>
      </c>
      <c r="G178" s="201" t="e">
        <f t="shared" si="15"/>
        <v>#REF!</v>
      </c>
      <c r="H178" s="201" t="e">
        <f t="shared" si="15"/>
        <v>#REF!</v>
      </c>
      <c r="I178" s="201" t="e">
        <f t="shared" si="15"/>
        <v>#REF!</v>
      </c>
      <c r="J178" s="201" t="e">
        <f t="shared" si="15"/>
        <v>#REF!</v>
      </c>
      <c r="K178" s="201" t="e">
        <f t="shared" si="15"/>
        <v>#REF!</v>
      </c>
      <c r="L178" s="201" t="e">
        <f t="shared" si="15"/>
        <v>#REF!</v>
      </c>
      <c r="M178" s="201" t="e">
        <f t="shared" si="15"/>
        <v>#REF!</v>
      </c>
      <c r="N178" s="201" t="e">
        <f t="shared" si="15"/>
        <v>#REF!</v>
      </c>
      <c r="O178" s="201" t="e">
        <f t="shared" si="15"/>
        <v>#REF!</v>
      </c>
      <c r="P178" s="201" t="e">
        <f t="shared" si="15"/>
        <v>#REF!</v>
      </c>
      <c r="Q178" s="201" t="e">
        <f t="shared" si="15"/>
        <v>#REF!</v>
      </c>
      <c r="R178" s="201" t="e">
        <f t="shared" si="15"/>
        <v>#REF!</v>
      </c>
      <c r="S178" s="201" t="e">
        <f t="shared" si="15"/>
        <v>#REF!</v>
      </c>
      <c r="T178" s="201" t="e">
        <f t="shared" si="15"/>
        <v>#REF!</v>
      </c>
      <c r="U178" s="201" t="e">
        <f t="shared" si="15"/>
        <v>#REF!</v>
      </c>
      <c r="V178" s="201" t="e">
        <f t="shared" si="15"/>
        <v>#REF!</v>
      </c>
      <c r="W178" s="201" t="e">
        <f t="shared" si="15"/>
        <v>#REF!</v>
      </c>
      <c r="X178" s="201" t="e">
        <f t="shared" si="15"/>
        <v>#REF!</v>
      </c>
      <c r="Y178" s="201" t="e">
        <f t="shared" si="15"/>
        <v>#REF!</v>
      </c>
      <c r="Z178" s="201" t="e">
        <f t="shared" si="15"/>
        <v>#REF!</v>
      </c>
      <c r="AA178" s="201" t="e">
        <f t="shared" si="15"/>
        <v>#REF!</v>
      </c>
      <c r="AB178" s="201" t="e">
        <f t="shared" si="15"/>
        <v>#REF!</v>
      </c>
      <c r="AC178" s="201" t="e">
        <f t="shared" si="15"/>
        <v>#REF!</v>
      </c>
      <c r="AD178" s="201" t="e">
        <f t="shared" si="15"/>
        <v>#REF!</v>
      </c>
      <c r="AE178" s="201" t="e">
        <f t="shared" si="15"/>
        <v>#REF!</v>
      </c>
      <c r="AF178" s="201" t="e">
        <f t="shared" si="15"/>
        <v>#REF!</v>
      </c>
      <c r="AG178" s="201" t="e">
        <f t="shared" si="15"/>
        <v>#REF!</v>
      </c>
      <c r="AH178" s="201" t="e">
        <f t="shared" si="15"/>
        <v>#REF!</v>
      </c>
      <c r="AI178" s="201" t="e">
        <f t="shared" si="15"/>
        <v>#REF!</v>
      </c>
      <c r="AJ178" s="201" t="e">
        <f t="shared" si="15"/>
        <v>#REF!</v>
      </c>
      <c r="AK178" s="205" t="e">
        <f t="shared" si="11"/>
        <v>#REF!</v>
      </c>
      <c r="AL178" s="206" t="e">
        <f t="shared" si="12"/>
        <v>#REF!</v>
      </c>
    </row>
    <row r="179" ht="13.5" hidden="1" customHeight="1" spans="1:38">
      <c r="A179" s="145" t="s">
        <v>5</v>
      </c>
      <c r="B179" s="145"/>
      <c r="C179" s="145"/>
      <c r="D179" s="145"/>
      <c r="E179" s="145"/>
      <c r="F179" s="195" t="e">
        <f t="shared" ref="F179:AL179" si="16">F148+F149+F151+F152+F153+F154+F155+F156+F157+F158+F159+F160+F161+F162+F163+F164+F165+F166+F167+F168+F169+F170+F171+F172+F173+F174+F175+F176+F177+F178</f>
        <v>#REF!</v>
      </c>
      <c r="G179" s="195" t="e">
        <f t="shared" si="16"/>
        <v>#REF!</v>
      </c>
      <c r="H179" s="195" t="e">
        <f t="shared" si="16"/>
        <v>#REF!</v>
      </c>
      <c r="I179" s="195" t="e">
        <f t="shared" si="16"/>
        <v>#REF!</v>
      </c>
      <c r="J179" s="195" t="e">
        <f t="shared" si="16"/>
        <v>#REF!</v>
      </c>
      <c r="K179" s="195" t="e">
        <f t="shared" si="16"/>
        <v>#REF!</v>
      </c>
      <c r="L179" s="195" t="e">
        <f t="shared" si="16"/>
        <v>#REF!</v>
      </c>
      <c r="M179" s="195" t="e">
        <f t="shared" si="16"/>
        <v>#REF!</v>
      </c>
      <c r="N179" s="195" t="e">
        <f t="shared" si="16"/>
        <v>#REF!</v>
      </c>
      <c r="O179" s="195" t="e">
        <f t="shared" si="16"/>
        <v>#REF!</v>
      </c>
      <c r="P179" s="195" t="e">
        <f t="shared" si="16"/>
        <v>#REF!</v>
      </c>
      <c r="Q179" s="195" t="e">
        <f t="shared" si="16"/>
        <v>#REF!</v>
      </c>
      <c r="R179" s="195" t="e">
        <f t="shared" si="16"/>
        <v>#REF!</v>
      </c>
      <c r="S179" s="195" t="e">
        <f t="shared" si="16"/>
        <v>#REF!</v>
      </c>
      <c r="T179" s="195" t="e">
        <f t="shared" si="16"/>
        <v>#REF!</v>
      </c>
      <c r="U179" s="195" t="e">
        <f t="shared" si="16"/>
        <v>#REF!</v>
      </c>
      <c r="V179" s="195" t="e">
        <f t="shared" si="16"/>
        <v>#REF!</v>
      </c>
      <c r="W179" s="195" t="e">
        <f t="shared" si="16"/>
        <v>#REF!</v>
      </c>
      <c r="X179" s="195" t="e">
        <f t="shared" si="16"/>
        <v>#REF!</v>
      </c>
      <c r="Y179" s="195" t="e">
        <f t="shared" si="16"/>
        <v>#REF!</v>
      </c>
      <c r="Z179" s="195" t="e">
        <f t="shared" si="16"/>
        <v>#REF!</v>
      </c>
      <c r="AA179" s="195" t="e">
        <f t="shared" si="16"/>
        <v>#REF!</v>
      </c>
      <c r="AB179" s="195" t="e">
        <f t="shared" si="16"/>
        <v>#REF!</v>
      </c>
      <c r="AC179" s="195" t="e">
        <f t="shared" si="16"/>
        <v>#REF!</v>
      </c>
      <c r="AD179" s="195" t="e">
        <f t="shared" si="16"/>
        <v>#REF!</v>
      </c>
      <c r="AE179" s="195" t="e">
        <f t="shared" si="16"/>
        <v>#REF!</v>
      </c>
      <c r="AF179" s="195" t="e">
        <f t="shared" si="16"/>
        <v>#REF!</v>
      </c>
      <c r="AG179" s="195" t="e">
        <f t="shared" si="16"/>
        <v>#REF!</v>
      </c>
      <c r="AH179" s="195" t="e">
        <f t="shared" si="16"/>
        <v>#REF!</v>
      </c>
      <c r="AI179" s="195" t="e">
        <f t="shared" si="16"/>
        <v>#REF!</v>
      </c>
      <c r="AJ179" s="195" t="e">
        <f t="shared" si="16"/>
        <v>#REF!</v>
      </c>
      <c r="AK179" s="195" t="e">
        <f t="shared" si="16"/>
        <v>#REF!</v>
      </c>
      <c r="AL179" s="195" t="e">
        <f t="shared" si="16"/>
        <v>#REF!</v>
      </c>
    </row>
    <row r="180" ht="13.5" hidden="1" customHeight="1" spans="1:38">
      <c r="A180" s="145"/>
      <c r="B180" s="145"/>
      <c r="C180" s="145"/>
      <c r="D180" s="145"/>
      <c r="E180" s="145"/>
      <c r="F180" s="195"/>
      <c r="G180" s="195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  <c r="R180" s="195"/>
      <c r="S180" s="195"/>
      <c r="T180" s="195"/>
      <c r="U180" s="195"/>
      <c r="V180" s="195"/>
      <c r="W180" s="195"/>
      <c r="X180" s="195"/>
      <c r="Y180" s="195"/>
      <c r="Z180" s="195"/>
      <c r="AA180" s="195"/>
      <c r="AB180" s="195"/>
      <c r="AC180" s="195"/>
      <c r="AD180" s="195"/>
      <c r="AE180" s="195"/>
      <c r="AF180" s="195"/>
      <c r="AG180" s="195"/>
      <c r="AH180" s="195"/>
      <c r="AI180" s="195"/>
      <c r="AJ180" s="195"/>
      <c r="AK180" s="195"/>
      <c r="AL180" s="195"/>
    </row>
    <row r="181" ht="13.5" hidden="1" customHeight="1" spans="1:38">
      <c r="A181" s="145"/>
      <c r="B181" s="145"/>
      <c r="C181" s="145"/>
      <c r="D181" s="145"/>
      <c r="E181" s="145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5"/>
      <c r="T181" s="195"/>
      <c r="U181" s="195"/>
      <c r="V181" s="195"/>
      <c r="W181" s="195"/>
      <c r="X181" s="195"/>
      <c r="Y181" s="195"/>
      <c r="Z181" s="195"/>
      <c r="AA181" s="195"/>
      <c r="AB181" s="195"/>
      <c r="AC181" s="195"/>
      <c r="AD181" s="195"/>
      <c r="AE181" s="195"/>
      <c r="AF181" s="195"/>
      <c r="AG181" s="195"/>
      <c r="AH181" s="195"/>
      <c r="AI181" s="195"/>
      <c r="AJ181" s="195"/>
      <c r="AK181" s="195"/>
      <c r="AL181" s="195"/>
    </row>
  </sheetData>
  <mergeCells count="79">
    <mergeCell ref="AA1:AC1"/>
    <mergeCell ref="AD1:AF1"/>
    <mergeCell ref="AG1:AL1"/>
    <mergeCell ref="AA2:AC2"/>
    <mergeCell ref="AD2:AF2"/>
    <mergeCell ref="AG2:AL2"/>
    <mergeCell ref="A3:D3"/>
    <mergeCell ref="E3:AL3"/>
    <mergeCell ref="F4:AI4"/>
    <mergeCell ref="A70:D70"/>
    <mergeCell ref="F73:AI73"/>
    <mergeCell ref="A94:D94"/>
    <mergeCell ref="F96:AI96"/>
    <mergeCell ref="A117:D117"/>
    <mergeCell ref="S118:V118"/>
    <mergeCell ref="F123:AI123"/>
    <mergeCell ref="A144:D144"/>
    <mergeCell ref="G145:AL145"/>
    <mergeCell ref="F146:H146"/>
    <mergeCell ref="A4:A5"/>
    <mergeCell ref="A73:A74"/>
    <mergeCell ref="A96:A97"/>
    <mergeCell ref="A123:A124"/>
    <mergeCell ref="A146:A147"/>
    <mergeCell ref="B53:B54"/>
    <mergeCell ref="E4:E5"/>
    <mergeCell ref="E146:E147"/>
    <mergeCell ref="F179:F181"/>
    <mergeCell ref="G179:G181"/>
    <mergeCell ref="H179:H181"/>
    <mergeCell ref="I179:I181"/>
    <mergeCell ref="J179:J181"/>
    <mergeCell ref="K179:K181"/>
    <mergeCell ref="L179:L181"/>
    <mergeCell ref="M179:M181"/>
    <mergeCell ref="N179:N181"/>
    <mergeCell ref="O179:O181"/>
    <mergeCell ref="P179:P181"/>
    <mergeCell ref="Q179:Q181"/>
    <mergeCell ref="R179:R181"/>
    <mergeCell ref="S179:S181"/>
    <mergeCell ref="T179:T181"/>
    <mergeCell ref="U179:U181"/>
    <mergeCell ref="V179:V181"/>
    <mergeCell ref="W179:W181"/>
    <mergeCell ref="X179:X181"/>
    <mergeCell ref="Y179:Y181"/>
    <mergeCell ref="Z179:Z181"/>
    <mergeCell ref="AA179:AA181"/>
    <mergeCell ref="AB179:AB181"/>
    <mergeCell ref="AC179:AC181"/>
    <mergeCell ref="AD179:AD181"/>
    <mergeCell ref="AE179:AE181"/>
    <mergeCell ref="AF179:AF181"/>
    <mergeCell ref="AG179:AG181"/>
    <mergeCell ref="AH179:AH181"/>
    <mergeCell ref="AI179:AI181"/>
    <mergeCell ref="AJ179:AJ181"/>
    <mergeCell ref="AK4:AK5"/>
    <mergeCell ref="AK73:AK74"/>
    <mergeCell ref="AK96:AK97"/>
    <mergeCell ref="AK123:AK124"/>
    <mergeCell ref="AK146:AK147"/>
    <mergeCell ref="AK179:AK181"/>
    <mergeCell ref="AL4:AL5"/>
    <mergeCell ref="AL146:AL147"/>
    <mergeCell ref="AL179:AL181"/>
    <mergeCell ref="AM6:AM69"/>
    <mergeCell ref="AM74:AM93"/>
    <mergeCell ref="AM100:AM116"/>
    <mergeCell ref="A1:C2"/>
    <mergeCell ref="D1:X2"/>
    <mergeCell ref="Y1:Z2"/>
    <mergeCell ref="C4:D5"/>
    <mergeCell ref="C73:D74"/>
    <mergeCell ref="C96:D97"/>
    <mergeCell ref="C123:D124"/>
    <mergeCell ref="C146:D147"/>
    <mergeCell ref="A179:E181"/>
  </mergeCells>
  <conditionalFormatting sqref="B6">
    <cfRule type="duplicateValues" dxfId="0" priority="38"/>
  </conditionalFormatting>
  <conditionalFormatting sqref="B7">
    <cfRule type="duplicateValues" dxfId="0" priority="37"/>
  </conditionalFormatting>
  <conditionalFormatting sqref="B8">
    <cfRule type="duplicateValues" dxfId="0" priority="35"/>
  </conditionalFormatting>
  <conditionalFormatting sqref="B10">
    <cfRule type="duplicateValues" dxfId="0" priority="34"/>
  </conditionalFormatting>
  <conditionalFormatting sqref="B11">
    <cfRule type="duplicateValues" dxfId="0" priority="33"/>
  </conditionalFormatting>
  <conditionalFormatting sqref="B15">
    <cfRule type="duplicateValues" dxfId="0" priority="36"/>
  </conditionalFormatting>
  <conditionalFormatting sqref="B22">
    <cfRule type="duplicateValues" dxfId="0" priority="42"/>
  </conditionalFormatting>
  <conditionalFormatting sqref="B23">
    <cfRule type="duplicateValues" dxfId="0" priority="41"/>
  </conditionalFormatting>
  <conditionalFormatting sqref="B24">
    <cfRule type="duplicateValues" dxfId="0" priority="40"/>
  </conditionalFormatting>
  <conditionalFormatting sqref="B25">
    <cfRule type="duplicateValues" dxfId="0" priority="39"/>
  </conditionalFormatting>
  <conditionalFormatting sqref="B31">
    <cfRule type="duplicateValues" dxfId="0" priority="32"/>
  </conditionalFormatting>
  <conditionalFormatting sqref="B32">
    <cfRule type="duplicateValues" dxfId="0" priority="31"/>
  </conditionalFormatting>
  <conditionalFormatting sqref="B33">
    <cfRule type="duplicateValues" dxfId="0" priority="30"/>
  </conditionalFormatting>
  <conditionalFormatting sqref="B34">
    <cfRule type="duplicateValues" dxfId="0" priority="29"/>
  </conditionalFormatting>
  <conditionalFormatting sqref="B35">
    <cfRule type="duplicateValues" dxfId="0" priority="25"/>
  </conditionalFormatting>
  <conditionalFormatting sqref="B36">
    <cfRule type="duplicateValues" dxfId="0" priority="28"/>
  </conditionalFormatting>
  <conditionalFormatting sqref="B37">
    <cfRule type="duplicateValues" dxfId="0" priority="27"/>
  </conditionalFormatting>
  <conditionalFormatting sqref="B38">
    <cfRule type="duplicateValues" dxfId="0" priority="26"/>
  </conditionalFormatting>
  <conditionalFormatting sqref="B44">
    <cfRule type="duplicateValues" dxfId="0" priority="23"/>
  </conditionalFormatting>
  <conditionalFormatting sqref="B19:B21">
    <cfRule type="duplicateValues" dxfId="0" priority="43"/>
  </conditionalFormatting>
  <conditionalFormatting sqref="B42:B43">
    <cfRule type="duplicateValues" dxfId="0" priority="24"/>
  </conditionalFormatting>
  <conditionalFormatting sqref="B56:B69">
    <cfRule type="duplicateValues" dxfId="0" priority="44"/>
  </conditionalFormatting>
  <pageMargins left="0.196527777777778" right="0.196527777777778" top="0.511805555555556" bottom="0.196527777777778" header="0.511805555555556" footer="0.0388888888888889"/>
  <pageSetup paperSize="9" scale="37" orientation="landscape"/>
  <headerFooter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84"/>
  <sheetViews>
    <sheetView topLeftCell="A4" workbookViewId="0">
      <pane xSplit="3" topLeftCell="D1" activePane="topRight" state="frozen"/>
      <selection/>
      <selection pane="topRight" activeCell="B70" sqref="B70:E72"/>
    </sheetView>
  </sheetViews>
  <sheetFormatPr defaultColWidth="9" defaultRowHeight="14.4"/>
  <cols>
    <col min="1" max="1" width="6.37962962962963" style="86" customWidth="1"/>
    <col min="2" max="2" width="23.5" style="86" customWidth="1"/>
    <col min="3" max="3" width="58.1296296296296" style="86" customWidth="1"/>
    <col min="4" max="4" width="12.1296296296296" style="86" customWidth="1"/>
    <col min="5" max="5" width="10.5" style="86" customWidth="1"/>
    <col min="6" max="6" width="8.25" style="86" customWidth="1"/>
    <col min="7" max="7" width="7.5" style="86" customWidth="1"/>
    <col min="8" max="8" width="9.62962962962963" style="86" customWidth="1"/>
    <col min="9" max="10" width="7.87962962962963" style="86" customWidth="1"/>
    <col min="11" max="11" width="8.37962962962963" style="86" customWidth="1"/>
    <col min="12" max="12" width="7.75" style="86" customWidth="1"/>
    <col min="13" max="13" width="8.87962962962963" style="86" customWidth="1"/>
    <col min="14" max="14" width="7.75" style="86" customWidth="1"/>
    <col min="15" max="15" width="7.25" style="86" customWidth="1"/>
    <col min="16" max="16" width="7.87962962962963" style="86" customWidth="1"/>
    <col min="17" max="17" width="7.75" style="86" customWidth="1"/>
    <col min="18" max="18" width="9.25" style="86" customWidth="1"/>
    <col min="19" max="19" width="7.75" style="86" customWidth="1"/>
    <col min="20" max="20" width="7.5" style="86" customWidth="1"/>
    <col min="21" max="21" width="7.25" style="86" customWidth="1"/>
    <col min="22" max="22" width="7.12962962962963" style="86" customWidth="1"/>
    <col min="23" max="23" width="7.5" style="86" customWidth="1"/>
    <col min="24" max="24" width="9.25" style="86" customWidth="1"/>
    <col min="25" max="25" width="7.5" style="86" customWidth="1"/>
    <col min="26" max="26" width="8.25" style="86" customWidth="1"/>
    <col min="27" max="27" width="8" style="86" customWidth="1"/>
    <col min="28" max="28" width="8.87962962962963" style="86" customWidth="1"/>
    <col min="29" max="30" width="7.75" style="86" customWidth="1"/>
    <col min="31" max="31" width="9" style="86" customWidth="1"/>
    <col min="32" max="32" width="7.12962962962963" style="86" customWidth="1"/>
    <col min="33" max="34" width="7.75" style="86" customWidth="1"/>
    <col min="35" max="35" width="8.5" style="86" customWidth="1"/>
    <col min="36" max="36" width="7.62962962962963" style="86" customWidth="1"/>
    <col min="37" max="37" width="10.8796296296296" style="86" customWidth="1"/>
    <col min="38" max="38" width="10.5" style="86" customWidth="1"/>
    <col min="39" max="39" width="8.12962962962963" style="86" customWidth="1"/>
    <col min="40" max="16384" width="9" style="86"/>
  </cols>
  <sheetData>
    <row r="1" ht="27" customHeight="1" spans="1:38">
      <c r="A1" s="87"/>
      <c r="B1" s="88"/>
      <c r="C1" s="89"/>
      <c r="D1" s="90" t="s">
        <v>224</v>
      </c>
      <c r="E1" s="91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125"/>
      <c r="Y1" s="127" t="s">
        <v>61</v>
      </c>
      <c r="Z1" s="128"/>
      <c r="AA1" s="106" t="s">
        <v>62</v>
      </c>
      <c r="AB1" s="106"/>
      <c r="AC1" s="106"/>
      <c r="AD1" s="129" t="s">
        <v>63</v>
      </c>
      <c r="AE1" s="130"/>
      <c r="AF1" s="131"/>
      <c r="AG1" s="106" t="s">
        <v>64</v>
      </c>
      <c r="AH1" s="106"/>
      <c r="AI1" s="106"/>
      <c r="AJ1" s="106"/>
      <c r="AK1" s="106"/>
      <c r="AL1" s="106"/>
    </row>
    <row r="2" ht="30" customHeight="1" spans="1:39">
      <c r="A2" s="93"/>
      <c r="B2" s="94"/>
      <c r="C2" s="95"/>
      <c r="D2" s="96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126"/>
      <c r="Y2" s="132"/>
      <c r="Z2" s="133"/>
      <c r="AA2" s="134" t="s">
        <v>65</v>
      </c>
      <c r="AB2" s="134"/>
      <c r="AC2" s="134"/>
      <c r="AD2" s="134"/>
      <c r="AE2" s="134"/>
      <c r="AF2" s="134"/>
      <c r="AG2" s="129"/>
      <c r="AH2" s="130"/>
      <c r="AI2" s="130"/>
      <c r="AJ2" s="130"/>
      <c r="AK2" s="130"/>
      <c r="AL2" s="131"/>
      <c r="AM2" s="137"/>
    </row>
    <row r="3" ht="30" customHeight="1" spans="1:38">
      <c r="A3" s="98" t="s">
        <v>225</v>
      </c>
      <c r="B3" s="99"/>
      <c r="C3" s="99"/>
      <c r="D3" s="99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</row>
    <row r="4" ht="20.1" customHeight="1" spans="1:39">
      <c r="A4" s="101" t="s">
        <v>67</v>
      </c>
      <c r="B4" s="101"/>
      <c r="C4" s="102" t="s">
        <v>40</v>
      </c>
      <c r="D4" s="102"/>
      <c r="E4" s="103" t="s">
        <v>6</v>
      </c>
      <c r="F4" s="104" t="s">
        <v>68</v>
      </c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138"/>
      <c r="AK4" s="139" t="s">
        <v>5</v>
      </c>
      <c r="AL4" s="140" t="s">
        <v>69</v>
      </c>
      <c r="AM4" s="141"/>
    </row>
    <row r="5" ht="20.1" customHeight="1" spans="1:39">
      <c r="A5" s="105"/>
      <c r="B5" s="105"/>
      <c r="C5" s="106"/>
      <c r="D5" s="106"/>
      <c r="E5" s="107"/>
      <c r="F5" s="23">
        <v>1</v>
      </c>
      <c r="G5" s="23">
        <v>2</v>
      </c>
      <c r="H5" s="23">
        <v>3</v>
      </c>
      <c r="I5" s="23">
        <v>4</v>
      </c>
      <c r="J5" s="23">
        <v>5</v>
      </c>
      <c r="K5" s="23">
        <v>6</v>
      </c>
      <c r="L5" s="23">
        <v>7</v>
      </c>
      <c r="M5" s="23">
        <v>8</v>
      </c>
      <c r="N5" s="23">
        <v>9</v>
      </c>
      <c r="O5" s="23">
        <v>10</v>
      </c>
      <c r="P5" s="23">
        <v>11</v>
      </c>
      <c r="Q5" s="23">
        <v>12</v>
      </c>
      <c r="R5" s="23">
        <v>13</v>
      </c>
      <c r="S5" s="23">
        <v>14</v>
      </c>
      <c r="T5" s="23">
        <v>15</v>
      </c>
      <c r="U5" s="23">
        <v>16</v>
      </c>
      <c r="V5" s="23">
        <v>17</v>
      </c>
      <c r="W5" s="23">
        <v>18</v>
      </c>
      <c r="X5" s="23">
        <f>19</f>
        <v>19</v>
      </c>
      <c r="Y5" s="23">
        <v>20</v>
      </c>
      <c r="Z5" s="23">
        <v>21</v>
      </c>
      <c r="AA5" s="23">
        <v>22</v>
      </c>
      <c r="AB5" s="23">
        <v>23</v>
      </c>
      <c r="AC5" s="23">
        <v>24</v>
      </c>
      <c r="AD5" s="23">
        <v>25</v>
      </c>
      <c r="AE5" s="23">
        <v>26</v>
      </c>
      <c r="AF5" s="23">
        <v>27</v>
      </c>
      <c r="AG5" s="23">
        <v>28</v>
      </c>
      <c r="AH5" s="23">
        <v>29</v>
      </c>
      <c r="AI5" s="23">
        <v>30</v>
      </c>
      <c r="AJ5" s="142">
        <v>31</v>
      </c>
      <c r="AK5" s="143"/>
      <c r="AL5" s="144"/>
      <c r="AM5" s="141"/>
    </row>
    <row r="6" ht="24.95" customHeight="1" spans="1:39">
      <c r="A6" s="23">
        <v>1</v>
      </c>
      <c r="B6" s="108" t="s">
        <v>70</v>
      </c>
      <c r="C6" s="109" t="s">
        <v>71</v>
      </c>
      <c r="D6" s="23" t="s">
        <v>72</v>
      </c>
      <c r="E6" s="23">
        <v>0.25</v>
      </c>
      <c r="F6" s="110">
        <f>VLOOKUP(B6,[1]Sheet1!$B:$E,4,0)</f>
        <v>55</v>
      </c>
      <c r="G6" s="110" t="e">
        <f>VLOOKUP(C6,[1]Sheet1!$B:$E,4,0)</f>
        <v>#N/A</v>
      </c>
      <c r="H6" s="110" t="e">
        <f>VLOOKUP(D6,[1]Sheet1!$B:$E,4,0)</f>
        <v>#N/A</v>
      </c>
      <c r="I6" s="110" t="e">
        <f>VLOOKUP(E6,[1]Sheet1!$B:$E,4,0)</f>
        <v>#N/A</v>
      </c>
      <c r="J6" s="110" t="e">
        <f>VLOOKUP(F6,[1]Sheet1!$B:$E,4,0)</f>
        <v>#N/A</v>
      </c>
      <c r="K6" s="110" t="e">
        <f>VLOOKUP(G6,[1]Sheet1!$B:$E,4,0)</f>
        <v>#N/A</v>
      </c>
      <c r="L6" s="110" t="e">
        <f>VLOOKUP(H6,[1]Sheet1!$B:$E,4,0)</f>
        <v>#N/A</v>
      </c>
      <c r="M6" s="110" t="e">
        <f>VLOOKUP(I6,[1]Sheet1!$B:$E,4,0)</f>
        <v>#N/A</v>
      </c>
      <c r="N6" s="110" t="e">
        <f>VLOOKUP(J6,[1]Sheet1!$B:$E,4,0)</f>
        <v>#N/A</v>
      </c>
      <c r="O6" s="110" t="e">
        <f>VLOOKUP(K6,[1]Sheet1!$B:$E,4,0)</f>
        <v>#N/A</v>
      </c>
      <c r="P6" s="110" t="e">
        <f>VLOOKUP(L6,[1]Sheet1!$B:$E,4,0)</f>
        <v>#N/A</v>
      </c>
      <c r="Q6" s="110" t="e">
        <f>VLOOKUP(M6,[1]Sheet1!$B:$E,4,0)</f>
        <v>#N/A</v>
      </c>
      <c r="R6" s="110" t="e">
        <f>VLOOKUP(N6,[1]Sheet1!$B:$E,4,0)</f>
        <v>#N/A</v>
      </c>
      <c r="S6" s="110" t="e">
        <f>VLOOKUP(O6,[1]Sheet1!$B:$E,4,0)</f>
        <v>#N/A</v>
      </c>
      <c r="T6" s="110" t="e">
        <f>VLOOKUP(P6,[1]Sheet1!$B:$E,4,0)</f>
        <v>#N/A</v>
      </c>
      <c r="U6" s="110" t="e">
        <f>VLOOKUP(Q6,[1]Sheet1!$B:$E,4,0)</f>
        <v>#N/A</v>
      </c>
      <c r="V6" s="110" t="e">
        <f>VLOOKUP(R6,[1]Sheet1!$B:$E,4,0)</f>
        <v>#N/A</v>
      </c>
      <c r="W6" s="110" t="e">
        <f>VLOOKUP(S6,[1]Sheet1!$B:$E,4,0)</f>
        <v>#N/A</v>
      </c>
      <c r="X6" s="110" t="e">
        <f>VLOOKUP(T6,[1]Sheet1!$B:$E,4,0)</f>
        <v>#N/A</v>
      </c>
      <c r="Y6" s="110" t="e">
        <f>VLOOKUP(U6,[1]Sheet1!$B:$E,4,0)</f>
        <v>#N/A</v>
      </c>
      <c r="Z6" s="110" t="e">
        <f>VLOOKUP(V6,[1]Sheet1!$B:$E,4,0)</f>
        <v>#N/A</v>
      </c>
      <c r="AA6" s="110" t="e">
        <f>VLOOKUP(W6,[1]Sheet1!$B:$E,4,0)</f>
        <v>#N/A</v>
      </c>
      <c r="AB6" s="110" t="e">
        <f>VLOOKUP(X6,[1]Sheet1!$B:$E,4,0)</f>
        <v>#N/A</v>
      </c>
      <c r="AC6" s="110" t="e">
        <f>VLOOKUP(Y6,[1]Sheet1!$B:$E,4,0)</f>
        <v>#N/A</v>
      </c>
      <c r="AD6" s="110" t="e">
        <f>VLOOKUP(Z6,[1]Sheet1!$B:$E,4,0)</f>
        <v>#N/A</v>
      </c>
      <c r="AE6" s="110" t="e">
        <f>VLOOKUP(AA6,[1]Sheet1!$B:$E,4,0)</f>
        <v>#N/A</v>
      </c>
      <c r="AF6" s="110" t="e">
        <f>VLOOKUP(AB6,[1]Sheet1!$B:$E,4,0)</f>
        <v>#N/A</v>
      </c>
      <c r="AG6" s="110" t="e">
        <f>VLOOKUP(AC6,[1]Sheet1!$B:$E,4,0)</f>
        <v>#N/A</v>
      </c>
      <c r="AH6" s="110" t="e">
        <f>VLOOKUP(AD6,[1]Sheet1!$B:$E,4,0)</f>
        <v>#N/A</v>
      </c>
      <c r="AI6" s="110" t="e">
        <f>VLOOKUP(AE6,[1]Sheet1!$B:$E,4,0)</f>
        <v>#N/A</v>
      </c>
      <c r="AJ6" s="110" t="e">
        <f>VLOOKUP(AF6,[1]Sheet1!$B:$E,4,0)</f>
        <v>#N/A</v>
      </c>
      <c r="AK6" s="145" t="e">
        <f>F6+G6+H6+I6+J6+K6+L6+M6+N6+O6+P6+Q6+R6+S6+T6+U6+V6+W6+X6+Y6+Z6+AA6+AB6+AC6+AD6+AE6+AF6+AG6+AH6+AI6+AJ6</f>
        <v>#N/A</v>
      </c>
      <c r="AL6" s="146" t="e">
        <f t="shared" ref="AL6:AL59" si="0">AK6*E6</f>
        <v>#N/A</v>
      </c>
      <c r="AM6" s="147" t="s">
        <v>226</v>
      </c>
    </row>
    <row r="7" ht="24.95" customHeight="1" spans="1:39">
      <c r="A7" s="23">
        <v>2</v>
      </c>
      <c r="B7" s="108" t="s">
        <v>74</v>
      </c>
      <c r="C7" s="111" t="s">
        <v>75</v>
      </c>
      <c r="D7" s="23" t="s">
        <v>72</v>
      </c>
      <c r="E7" s="23">
        <v>0.25</v>
      </c>
      <c r="F7" s="110">
        <f>VLOOKUP(B7,[1]Sheet1!$B:$E,4,0)</f>
        <v>110</v>
      </c>
      <c r="G7" s="110">
        <v>131</v>
      </c>
      <c r="H7" s="110">
        <f>129+120</f>
        <v>249</v>
      </c>
      <c r="I7" s="110">
        <f>89+130</f>
        <v>219</v>
      </c>
      <c r="J7" s="110">
        <f>135+64</f>
        <v>199</v>
      </c>
      <c r="K7" s="110">
        <v>129</v>
      </c>
      <c r="L7" s="110">
        <v>91</v>
      </c>
      <c r="M7" s="110">
        <f>92+121</f>
        <v>213</v>
      </c>
      <c r="N7" s="110">
        <f>132+123</f>
        <v>255</v>
      </c>
      <c r="O7" s="110">
        <f>137+112</f>
        <v>249</v>
      </c>
      <c r="P7" s="114">
        <f>102+118</f>
        <v>220</v>
      </c>
      <c r="Q7" s="110">
        <f>129+101</f>
        <v>230</v>
      </c>
      <c r="R7" s="110">
        <f>130+102</f>
        <v>232</v>
      </c>
      <c r="S7" s="110">
        <f>64+128</f>
        <v>192</v>
      </c>
      <c r="T7" s="110">
        <f>64+109</f>
        <v>173</v>
      </c>
      <c r="U7" s="110">
        <f>60+68</f>
        <v>128</v>
      </c>
      <c r="V7" s="110">
        <f>62+55</f>
        <v>117</v>
      </c>
      <c r="W7" s="110">
        <f>108+29</f>
        <v>137</v>
      </c>
      <c r="X7" s="110">
        <f>55+54</f>
        <v>109</v>
      </c>
      <c r="Y7" s="110">
        <f>61+62</f>
        <v>123</v>
      </c>
      <c r="Z7" s="110">
        <f>58+61</f>
        <v>119</v>
      </c>
      <c r="AA7" s="110">
        <f>61+64</f>
        <v>125</v>
      </c>
      <c r="AB7" s="110">
        <f>56+53</f>
        <v>109</v>
      </c>
      <c r="AC7" s="110">
        <f>53+57</f>
        <v>110</v>
      </c>
      <c r="AD7" s="135">
        <f>55+53</f>
        <v>108</v>
      </c>
      <c r="AE7" s="136">
        <f>65+115</f>
        <v>180</v>
      </c>
      <c r="AF7" s="136">
        <f>116+86</f>
        <v>202</v>
      </c>
      <c r="AG7" s="136">
        <f>110+110</f>
        <v>220</v>
      </c>
      <c r="AH7" s="136">
        <f>111+122</f>
        <v>233</v>
      </c>
      <c r="AI7" s="136">
        <f>97+110</f>
        <v>207</v>
      </c>
      <c r="AJ7" s="136">
        <v>118</v>
      </c>
      <c r="AK7" s="145">
        <f t="shared" ref="AK7:AK59" si="1">F7+G7+H7+I7+J7+K7+L7+M7+N7+O7+P7+Q7+R7+S7+T7+U7+V7+W7+X7+Y7+Z7+AA7+AB7+AC7+AD7+AE7+AF7+AG7+AH7+AI7+AJ7</f>
        <v>5237</v>
      </c>
      <c r="AL7" s="146">
        <f t="shared" si="0"/>
        <v>1309.25</v>
      </c>
      <c r="AM7" s="147"/>
    </row>
    <row r="8" ht="24.95" customHeight="1" spans="1:39">
      <c r="A8" s="23">
        <v>3</v>
      </c>
      <c r="B8" s="108" t="s">
        <v>76</v>
      </c>
      <c r="C8" s="111" t="s">
        <v>77</v>
      </c>
      <c r="D8" s="23" t="s">
        <v>72</v>
      </c>
      <c r="E8" s="23">
        <v>0.23</v>
      </c>
      <c r="F8" s="110">
        <f>VLOOKUP(B8,[1]Sheet1!$B:$E,4,0)</f>
        <v>56</v>
      </c>
      <c r="G8" s="110">
        <v>131</v>
      </c>
      <c r="H8" s="110">
        <f>113+127</f>
        <v>240</v>
      </c>
      <c r="I8" s="110">
        <f>90+132</f>
        <v>222</v>
      </c>
      <c r="J8" s="110">
        <f>136+66</f>
        <v>202</v>
      </c>
      <c r="K8" s="110">
        <v>76</v>
      </c>
      <c r="L8" s="110">
        <v>80</v>
      </c>
      <c r="M8" s="110">
        <f>83+111</f>
        <v>194</v>
      </c>
      <c r="N8" s="110">
        <f>127+117</f>
        <v>244</v>
      </c>
      <c r="O8" s="110">
        <f>138+125</f>
        <v>263</v>
      </c>
      <c r="P8" s="114">
        <f>102+115</f>
        <v>217</v>
      </c>
      <c r="Q8" s="110">
        <f>115+95</f>
        <v>210</v>
      </c>
      <c r="R8" s="110">
        <f>130+132</f>
        <v>262</v>
      </c>
      <c r="S8" s="110">
        <f>58+95</f>
        <v>153</v>
      </c>
      <c r="T8" s="110">
        <f>61+116</f>
        <v>177</v>
      </c>
      <c r="U8" s="110">
        <f>66+125</f>
        <v>191</v>
      </c>
      <c r="V8" s="110">
        <f>125+64</f>
        <v>189</v>
      </c>
      <c r="W8" s="110">
        <f>111+40</f>
        <v>151</v>
      </c>
      <c r="X8" s="110">
        <f>61+64</f>
        <v>125</v>
      </c>
      <c r="Y8" s="110">
        <f>63+65</f>
        <v>128</v>
      </c>
      <c r="Z8" s="110">
        <f>56+64</f>
        <v>120</v>
      </c>
      <c r="AA8" s="110">
        <f>66+63</f>
        <v>129</v>
      </c>
      <c r="AB8" s="110">
        <f>57+60</f>
        <v>117</v>
      </c>
      <c r="AC8" s="110">
        <f>57+61</f>
        <v>118</v>
      </c>
      <c r="AD8" s="135">
        <f>115+61</f>
        <v>176</v>
      </c>
      <c r="AE8" s="136">
        <f>62+123</f>
        <v>185</v>
      </c>
      <c r="AF8" s="136">
        <f>60+65</f>
        <v>125</v>
      </c>
      <c r="AG8" s="136">
        <f>55+61</f>
        <v>116</v>
      </c>
      <c r="AH8" s="136">
        <f>57+59</f>
        <v>116</v>
      </c>
      <c r="AI8" s="136">
        <f>51+61</f>
        <v>112</v>
      </c>
      <c r="AJ8" s="136">
        <v>62</v>
      </c>
      <c r="AK8" s="145">
        <f t="shared" si="1"/>
        <v>4887</v>
      </c>
      <c r="AL8" s="146">
        <f t="shared" si="0"/>
        <v>1124.01</v>
      </c>
      <c r="AM8" s="148"/>
    </row>
    <row r="9" ht="24.95" customHeight="1" spans="1:39">
      <c r="A9" s="23">
        <v>4</v>
      </c>
      <c r="B9" s="108" t="s">
        <v>78</v>
      </c>
      <c r="C9" s="111" t="s">
        <v>79</v>
      </c>
      <c r="D9" s="23" t="s">
        <v>72</v>
      </c>
      <c r="E9" s="23">
        <v>0.23</v>
      </c>
      <c r="F9" s="110">
        <f>VLOOKUP(B9,[1]Sheet1!$B:$E,4,0)</f>
        <v>110</v>
      </c>
      <c r="G9" s="110">
        <v>131</v>
      </c>
      <c r="H9" s="110">
        <f>129+72</f>
        <v>201</v>
      </c>
      <c r="I9" s="110">
        <f>81+130</f>
        <v>211</v>
      </c>
      <c r="J9" s="110">
        <f>136+64</f>
        <v>200</v>
      </c>
      <c r="K9" s="110">
        <v>119</v>
      </c>
      <c r="L9" s="110">
        <v>91</v>
      </c>
      <c r="M9" s="110">
        <f>78+115</f>
        <v>193</v>
      </c>
      <c r="N9" s="110">
        <f>69+106</f>
        <v>175</v>
      </c>
      <c r="O9" s="110">
        <f>135+64</f>
        <v>199</v>
      </c>
      <c r="P9" s="114">
        <f>102+118</f>
        <v>220</v>
      </c>
      <c r="Q9" s="110">
        <f>129+101</f>
        <v>230</v>
      </c>
      <c r="R9" s="110">
        <f>130+133</f>
        <v>263</v>
      </c>
      <c r="S9" s="110">
        <f>65+128</f>
        <v>193</v>
      </c>
      <c r="T9" s="110">
        <f>64+109</f>
        <v>173</v>
      </c>
      <c r="U9" s="110">
        <f>60+68</f>
        <v>128</v>
      </c>
      <c r="V9" s="110">
        <f>62+50</f>
        <v>112</v>
      </c>
      <c r="W9" s="110">
        <f>29+109</f>
        <v>138</v>
      </c>
      <c r="X9" s="110">
        <f>55+49</f>
        <v>104</v>
      </c>
      <c r="Y9" s="110">
        <f>54+62</f>
        <v>116</v>
      </c>
      <c r="Z9" s="110">
        <f>58+61</f>
        <v>119</v>
      </c>
      <c r="AA9" s="110">
        <f>61+64</f>
        <v>125</v>
      </c>
      <c r="AB9" s="110">
        <f>56+55</f>
        <v>111</v>
      </c>
      <c r="AC9" s="110">
        <f>89+51</f>
        <v>140</v>
      </c>
      <c r="AD9" s="135">
        <f>55+58</f>
        <v>113</v>
      </c>
      <c r="AE9" s="136">
        <f>67+115</f>
        <v>182</v>
      </c>
      <c r="AF9" s="136">
        <f>116+85</f>
        <v>201</v>
      </c>
      <c r="AG9" s="136">
        <f>111+102</f>
        <v>213</v>
      </c>
      <c r="AH9" s="136">
        <f>111+125</f>
        <v>236</v>
      </c>
      <c r="AI9" s="136">
        <f>97+110</f>
        <v>207</v>
      </c>
      <c r="AJ9" s="136">
        <v>118</v>
      </c>
      <c r="AK9" s="145">
        <f t="shared" si="1"/>
        <v>5072</v>
      </c>
      <c r="AL9" s="146">
        <f t="shared" si="0"/>
        <v>1166.56</v>
      </c>
      <c r="AM9" s="148"/>
    </row>
    <row r="10" ht="24.95" customHeight="1" spans="1:39">
      <c r="A10" s="23">
        <v>5</v>
      </c>
      <c r="B10" s="112" t="s">
        <v>80</v>
      </c>
      <c r="C10" s="113" t="s">
        <v>81</v>
      </c>
      <c r="D10" s="23" t="s">
        <v>72</v>
      </c>
      <c r="E10" s="23">
        <v>0.25</v>
      </c>
      <c r="F10" s="110">
        <f>VLOOKUP(B10,[1]Sheet1!$B:$E,4,0)</f>
        <v>0</v>
      </c>
      <c r="G10" s="110">
        <v>1</v>
      </c>
      <c r="H10" s="110">
        <v>0</v>
      </c>
      <c r="I10" s="110">
        <v>0</v>
      </c>
      <c r="J10" s="110">
        <v>0</v>
      </c>
      <c r="K10" s="110">
        <v>0</v>
      </c>
      <c r="L10" s="110">
        <v>32</v>
      </c>
      <c r="M10" s="110">
        <v>40</v>
      </c>
      <c r="N10" s="110">
        <f>63+64</f>
        <v>127</v>
      </c>
      <c r="O10" s="110">
        <f>66+50</f>
        <v>116</v>
      </c>
      <c r="P10" s="114">
        <f>52+56</f>
        <v>108</v>
      </c>
      <c r="Q10" s="110">
        <v>51</v>
      </c>
      <c r="R10" s="110">
        <v>63</v>
      </c>
      <c r="S10" s="110">
        <v>8</v>
      </c>
      <c r="T10" s="110">
        <v>0</v>
      </c>
      <c r="U10" s="110">
        <v>0</v>
      </c>
      <c r="V10" s="110">
        <v>0</v>
      </c>
      <c r="W10" s="110">
        <v>0</v>
      </c>
      <c r="X10" s="110">
        <v>0</v>
      </c>
      <c r="Y10" s="110">
        <v>0</v>
      </c>
      <c r="Z10" s="110">
        <v>0</v>
      </c>
      <c r="AA10" s="110">
        <f>40+62</f>
        <v>102</v>
      </c>
      <c r="AB10" s="110">
        <f>54+58</f>
        <v>112</v>
      </c>
      <c r="AC10" s="110">
        <f>57+54</f>
        <v>111</v>
      </c>
      <c r="AD10" s="135">
        <f>59+53</f>
        <v>112</v>
      </c>
      <c r="AE10" s="136">
        <f>39+57</f>
        <v>96</v>
      </c>
      <c r="AF10" s="136">
        <f>53+66</f>
        <v>119</v>
      </c>
      <c r="AG10" s="136">
        <f>55+61</f>
        <v>116</v>
      </c>
      <c r="AH10" s="136">
        <f>58+63</f>
        <v>121</v>
      </c>
      <c r="AI10" s="110">
        <v>0</v>
      </c>
      <c r="AJ10" s="110">
        <v>0</v>
      </c>
      <c r="AK10" s="145">
        <f t="shared" si="1"/>
        <v>1435</v>
      </c>
      <c r="AL10" s="146">
        <f t="shared" si="0"/>
        <v>358.75</v>
      </c>
      <c r="AM10" s="148"/>
    </row>
    <row r="11" ht="24.95" customHeight="1" spans="1:39">
      <c r="A11" s="23">
        <v>6</v>
      </c>
      <c r="B11" s="112" t="s">
        <v>82</v>
      </c>
      <c r="C11" s="113" t="s">
        <v>83</v>
      </c>
      <c r="D11" s="23" t="s">
        <v>72</v>
      </c>
      <c r="E11" s="23">
        <v>0.25</v>
      </c>
      <c r="F11" s="110">
        <f>VLOOKUP(B11,[1]Sheet1!$B:$E,4,0)</f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32</v>
      </c>
      <c r="M11" s="110">
        <f>45+54</f>
        <v>99</v>
      </c>
      <c r="N11" s="110">
        <f>60+60</f>
        <v>120</v>
      </c>
      <c r="O11" s="110">
        <f>53+57</f>
        <v>110</v>
      </c>
      <c r="P11" s="114">
        <f>49+60</f>
        <v>109</v>
      </c>
      <c r="Q11" s="110">
        <v>49</v>
      </c>
      <c r="R11" s="110">
        <v>63</v>
      </c>
      <c r="S11" s="110">
        <v>0</v>
      </c>
      <c r="T11" s="110">
        <v>0</v>
      </c>
      <c r="U11" s="110">
        <v>0</v>
      </c>
      <c r="V11" s="110">
        <v>0</v>
      </c>
      <c r="W11" s="110">
        <v>0</v>
      </c>
      <c r="X11" s="110">
        <v>0</v>
      </c>
      <c r="Y11" s="110">
        <v>0</v>
      </c>
      <c r="Z11" s="110">
        <v>58</v>
      </c>
      <c r="AA11" s="110">
        <f>55+56</f>
        <v>111</v>
      </c>
      <c r="AB11" s="110">
        <f>63+59</f>
        <v>122</v>
      </c>
      <c r="AC11" s="110">
        <f>55+54</f>
        <v>109</v>
      </c>
      <c r="AD11" s="135">
        <f>55+51</f>
        <v>106</v>
      </c>
      <c r="AE11" s="136">
        <f>55+55</f>
        <v>110</v>
      </c>
      <c r="AF11" s="136">
        <f>56+59</f>
        <v>115</v>
      </c>
      <c r="AG11" s="136">
        <f>53+45</f>
        <v>98</v>
      </c>
      <c r="AH11" s="136">
        <f>53+62</f>
        <v>115</v>
      </c>
      <c r="AI11" s="110">
        <v>0</v>
      </c>
      <c r="AJ11" s="110">
        <v>0</v>
      </c>
      <c r="AK11" s="145">
        <f t="shared" si="1"/>
        <v>1526</v>
      </c>
      <c r="AL11" s="146">
        <f t="shared" si="0"/>
        <v>381.5</v>
      </c>
      <c r="AM11" s="148"/>
    </row>
    <row r="12" ht="24.95" customHeight="1" spans="1:39">
      <c r="A12" s="23">
        <v>7</v>
      </c>
      <c r="B12" s="112" t="s">
        <v>84</v>
      </c>
      <c r="C12" s="113" t="s">
        <v>85</v>
      </c>
      <c r="D12" s="23" t="s">
        <v>72</v>
      </c>
      <c r="E12" s="23">
        <v>0.23</v>
      </c>
      <c r="F12" s="110">
        <f>VLOOKUP(B12,[1]Sheet1!$B:$E,4,0)</f>
        <v>0</v>
      </c>
      <c r="G12" s="110">
        <v>1</v>
      </c>
      <c r="H12" s="110">
        <v>0</v>
      </c>
      <c r="I12" s="110">
        <v>0</v>
      </c>
      <c r="J12" s="110">
        <v>0</v>
      </c>
      <c r="K12" s="110">
        <v>0</v>
      </c>
      <c r="L12" s="110">
        <v>32</v>
      </c>
      <c r="M12" s="110">
        <f>40</f>
        <v>40</v>
      </c>
      <c r="N12" s="110">
        <f>63+64</f>
        <v>127</v>
      </c>
      <c r="O12" s="110">
        <f>66+40</f>
        <v>106</v>
      </c>
      <c r="P12" s="114">
        <f>52+56</f>
        <v>108</v>
      </c>
      <c r="Q12" s="110">
        <v>51</v>
      </c>
      <c r="R12" s="110">
        <v>63</v>
      </c>
      <c r="S12" s="110">
        <v>6</v>
      </c>
      <c r="T12" s="110">
        <v>0</v>
      </c>
      <c r="U12" s="110">
        <v>0</v>
      </c>
      <c r="V12" s="110">
        <v>0</v>
      </c>
      <c r="W12" s="110">
        <v>0</v>
      </c>
      <c r="X12" s="110">
        <v>0</v>
      </c>
      <c r="Y12" s="110">
        <v>0</v>
      </c>
      <c r="Z12" s="110">
        <v>0</v>
      </c>
      <c r="AA12" s="110">
        <f>40+62</f>
        <v>102</v>
      </c>
      <c r="AB12" s="110">
        <f>54+59</f>
        <v>113</v>
      </c>
      <c r="AC12" s="110">
        <f>57+54</f>
        <v>111</v>
      </c>
      <c r="AD12" s="135">
        <f>59+53</f>
        <v>112</v>
      </c>
      <c r="AE12" s="136">
        <f>8+57</f>
        <v>65</v>
      </c>
      <c r="AF12" s="136">
        <f>53+66</f>
        <v>119</v>
      </c>
      <c r="AG12" s="136">
        <f>55+61</f>
        <v>116</v>
      </c>
      <c r="AH12" s="136">
        <f>58+63</f>
        <v>121</v>
      </c>
      <c r="AI12" s="110">
        <v>0</v>
      </c>
      <c r="AJ12" s="110">
        <v>0</v>
      </c>
      <c r="AK12" s="145">
        <f t="shared" si="1"/>
        <v>1393</v>
      </c>
      <c r="AL12" s="146">
        <f t="shared" si="0"/>
        <v>320.39</v>
      </c>
      <c r="AM12" s="148"/>
    </row>
    <row r="13" ht="24.95" customHeight="1" spans="1:39">
      <c r="A13" s="23">
        <v>8</v>
      </c>
      <c r="B13" s="112" t="s">
        <v>86</v>
      </c>
      <c r="C13" s="113" t="s">
        <v>87</v>
      </c>
      <c r="D13" s="23" t="s">
        <v>72</v>
      </c>
      <c r="E13" s="23">
        <v>0.23</v>
      </c>
      <c r="F13" s="110">
        <f>VLOOKUP(B13,[1]Sheet1!$B:$E,4,0)</f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32</v>
      </c>
      <c r="M13" s="110">
        <f>38+51</f>
        <v>89</v>
      </c>
      <c r="N13" s="110">
        <f>60+60</f>
        <v>120</v>
      </c>
      <c r="O13" s="110">
        <f>53+57</f>
        <v>110</v>
      </c>
      <c r="P13" s="114">
        <f>49+60</f>
        <v>109</v>
      </c>
      <c r="Q13" s="110">
        <v>49</v>
      </c>
      <c r="R13" s="110">
        <v>63</v>
      </c>
      <c r="S13" s="110">
        <v>0</v>
      </c>
      <c r="T13" s="110">
        <v>0</v>
      </c>
      <c r="U13" s="110">
        <v>0</v>
      </c>
      <c r="V13" s="110">
        <v>0</v>
      </c>
      <c r="W13" s="110">
        <v>0</v>
      </c>
      <c r="X13" s="110">
        <v>0</v>
      </c>
      <c r="Y13" s="110">
        <v>0</v>
      </c>
      <c r="Z13" s="110">
        <v>58</v>
      </c>
      <c r="AA13" s="110">
        <f>57+56</f>
        <v>113</v>
      </c>
      <c r="AB13" s="110">
        <f>63+63</f>
        <v>126</v>
      </c>
      <c r="AC13" s="110">
        <f>55+54</f>
        <v>109</v>
      </c>
      <c r="AD13" s="135">
        <f>56+51</f>
        <v>107</v>
      </c>
      <c r="AE13" s="136">
        <f>58+64</f>
        <v>122</v>
      </c>
      <c r="AF13" s="136">
        <f>56+62</f>
        <v>118</v>
      </c>
      <c r="AG13" s="136">
        <f>55+58</f>
        <v>113</v>
      </c>
      <c r="AH13" s="136">
        <f>53+62</f>
        <v>115</v>
      </c>
      <c r="AI13" s="110">
        <v>0</v>
      </c>
      <c r="AJ13" s="110">
        <v>0</v>
      </c>
      <c r="AK13" s="145">
        <f t="shared" si="1"/>
        <v>1553</v>
      </c>
      <c r="AL13" s="146">
        <f t="shared" si="0"/>
        <v>357.19</v>
      </c>
      <c r="AM13" s="148"/>
    </row>
    <row r="14" ht="24.95" customHeight="1" spans="1:39">
      <c r="A14" s="23">
        <v>9</v>
      </c>
      <c r="B14" s="112" t="s">
        <v>88</v>
      </c>
      <c r="C14" s="113" t="s">
        <v>89</v>
      </c>
      <c r="D14" s="23" t="s">
        <v>72</v>
      </c>
      <c r="E14" s="23">
        <v>0.4</v>
      </c>
      <c r="F14" s="110">
        <f>VLOOKUP(B14,[1]Sheet1!$B:$E,4,0)</f>
        <v>54</v>
      </c>
      <c r="G14" s="110">
        <v>66</v>
      </c>
      <c r="H14" s="110">
        <f>67+67</f>
        <v>134</v>
      </c>
      <c r="I14" s="110">
        <f>66+39</f>
        <v>105</v>
      </c>
      <c r="J14" s="110">
        <f>59+66</f>
        <v>125</v>
      </c>
      <c r="K14" s="110">
        <v>67</v>
      </c>
      <c r="L14" s="110">
        <v>64</v>
      </c>
      <c r="M14" s="110">
        <f>45+62</f>
        <v>107</v>
      </c>
      <c r="N14" s="110">
        <f>67+65</f>
        <v>132</v>
      </c>
      <c r="O14" s="110">
        <f>68+64</f>
        <v>132</v>
      </c>
      <c r="P14" s="114">
        <f>51+60</f>
        <v>111</v>
      </c>
      <c r="Q14" s="110">
        <f>65+49</f>
        <v>114</v>
      </c>
      <c r="R14" s="110">
        <f>66+68</f>
        <v>134</v>
      </c>
      <c r="S14" s="110">
        <f>63+65</f>
        <v>128</v>
      </c>
      <c r="T14" s="110">
        <f>60+60</f>
        <v>120</v>
      </c>
      <c r="U14" s="110">
        <f>63+60</f>
        <v>123</v>
      </c>
      <c r="V14" s="110">
        <f>64+47</f>
        <v>111</v>
      </c>
      <c r="W14" s="110">
        <f>41+59</f>
        <v>100</v>
      </c>
      <c r="X14" s="110">
        <f>59+64</f>
        <v>123</v>
      </c>
      <c r="Y14" s="110">
        <f>64+64</f>
        <v>128</v>
      </c>
      <c r="Z14" s="110">
        <f>58+67</f>
        <v>125</v>
      </c>
      <c r="AA14" s="110">
        <f>62+61</f>
        <v>123</v>
      </c>
      <c r="AB14" s="110">
        <f>67+56</f>
        <v>123</v>
      </c>
      <c r="AC14" s="110">
        <f>60+56</f>
        <v>116</v>
      </c>
      <c r="AD14" s="135">
        <f>62+59</f>
        <v>121</v>
      </c>
      <c r="AE14" s="136">
        <f>58+62</f>
        <v>120</v>
      </c>
      <c r="AF14" s="136">
        <f>58+64</f>
        <v>122</v>
      </c>
      <c r="AG14" s="136">
        <f>55+62</f>
        <v>117</v>
      </c>
      <c r="AH14" s="136">
        <f>56+60</f>
        <v>116</v>
      </c>
      <c r="AI14" s="136">
        <f>56+52+2</f>
        <v>110</v>
      </c>
      <c r="AJ14" s="136">
        <f>18+60</f>
        <v>78</v>
      </c>
      <c r="AK14" s="145">
        <f t="shared" si="1"/>
        <v>3449</v>
      </c>
      <c r="AL14" s="146">
        <f t="shared" si="0"/>
        <v>1379.6</v>
      </c>
      <c r="AM14" s="148"/>
    </row>
    <row r="15" ht="24.95" customHeight="1" spans="1:39">
      <c r="A15" s="23">
        <v>10</v>
      </c>
      <c r="B15" s="108" t="s">
        <v>90</v>
      </c>
      <c r="C15" s="111" t="s">
        <v>91</v>
      </c>
      <c r="D15" s="23" t="s">
        <v>72</v>
      </c>
      <c r="E15" s="23">
        <v>0.4</v>
      </c>
      <c r="F15" s="110">
        <f>VLOOKUP(B15,[1]Sheet1!$B:$E,4,0)</f>
        <v>57</v>
      </c>
      <c r="G15" s="114">
        <v>66</v>
      </c>
      <c r="H15" s="114">
        <f>65+66</f>
        <v>131</v>
      </c>
      <c r="I15" s="114">
        <f>63+67</f>
        <v>130</v>
      </c>
      <c r="J15" s="114">
        <f>68+67</f>
        <v>135</v>
      </c>
      <c r="K15" s="114">
        <v>65</v>
      </c>
      <c r="L15" s="114">
        <v>63</v>
      </c>
      <c r="M15" s="114">
        <f>45+62</f>
        <v>107</v>
      </c>
      <c r="N15" s="114">
        <f>57+58</f>
        <v>115</v>
      </c>
      <c r="O15" s="114">
        <f>70+62</f>
        <v>132</v>
      </c>
      <c r="P15" s="114">
        <f>50+59</f>
        <v>109</v>
      </c>
      <c r="Q15" s="114">
        <f>66+49</f>
        <v>115</v>
      </c>
      <c r="R15" s="114">
        <f>65+66</f>
        <v>131</v>
      </c>
      <c r="S15" s="114">
        <f>67+65</f>
        <v>132</v>
      </c>
      <c r="T15" s="114">
        <f>66+57</f>
        <v>123</v>
      </c>
      <c r="U15" s="114">
        <f>64+67</f>
        <v>131</v>
      </c>
      <c r="V15" s="114">
        <f>65+67</f>
        <v>132</v>
      </c>
      <c r="W15" s="114">
        <f>59+42</f>
        <v>101</v>
      </c>
      <c r="X15" s="114">
        <f>59+65</f>
        <v>124</v>
      </c>
      <c r="Y15" s="114">
        <f>62+63</f>
        <v>125</v>
      </c>
      <c r="Z15" s="114">
        <f>57+58</f>
        <v>115</v>
      </c>
      <c r="AA15" s="114">
        <f>65+64</f>
        <v>129</v>
      </c>
      <c r="AB15" s="114">
        <f>67+60</f>
        <v>127</v>
      </c>
      <c r="AC15" s="114">
        <f>60+57</f>
        <v>117</v>
      </c>
      <c r="AD15" s="136">
        <f>58+62</f>
        <v>120</v>
      </c>
      <c r="AE15" s="136">
        <f>61+66</f>
        <v>127</v>
      </c>
      <c r="AF15" s="136">
        <f>58+65</f>
        <v>123</v>
      </c>
      <c r="AG15" s="136">
        <f>58+63</f>
        <v>121</v>
      </c>
      <c r="AH15" s="136">
        <f>55+60</f>
        <v>115</v>
      </c>
      <c r="AI15" s="136">
        <f>51+53</f>
        <v>104</v>
      </c>
      <c r="AJ15" s="136">
        <f>9+62</f>
        <v>71</v>
      </c>
      <c r="AK15" s="145">
        <f t="shared" si="1"/>
        <v>3493</v>
      </c>
      <c r="AL15" s="146">
        <f t="shared" si="0"/>
        <v>1397.2</v>
      </c>
      <c r="AM15" s="148"/>
    </row>
    <row r="16" ht="24.95" customHeight="1" spans="1:39">
      <c r="A16" s="23">
        <v>11</v>
      </c>
      <c r="B16" s="112" t="s">
        <v>92</v>
      </c>
      <c r="C16" s="113" t="s">
        <v>93</v>
      </c>
      <c r="D16" s="23" t="s">
        <v>72</v>
      </c>
      <c r="E16" s="23">
        <v>0.133</v>
      </c>
      <c r="F16" s="110">
        <f>VLOOKUP(B16,[1]Sheet1!$B:$E,4,0)</f>
        <v>67</v>
      </c>
      <c r="G16" s="114">
        <v>100</v>
      </c>
      <c r="H16" s="114">
        <f>97+83</f>
        <v>180</v>
      </c>
      <c r="I16" s="114">
        <f>111+120</f>
        <v>231</v>
      </c>
      <c r="J16" s="114">
        <f>132+101</f>
        <v>233</v>
      </c>
      <c r="K16" s="114">
        <v>100</v>
      </c>
      <c r="L16" s="114">
        <v>115</v>
      </c>
      <c r="M16" s="114">
        <f>41+112</f>
        <v>153</v>
      </c>
      <c r="N16" s="114">
        <f>125+127</f>
        <v>252</v>
      </c>
      <c r="O16" s="114">
        <f>136+128</f>
        <v>264</v>
      </c>
      <c r="P16" s="114">
        <f>99+116</f>
        <v>215</v>
      </c>
      <c r="Q16" s="114">
        <f>77+88</f>
        <v>165</v>
      </c>
      <c r="R16" s="114">
        <f>127+66</f>
        <v>193</v>
      </c>
      <c r="S16" s="114">
        <f>63+66</f>
        <v>129</v>
      </c>
      <c r="T16" s="114">
        <f>63+42</f>
        <v>105</v>
      </c>
      <c r="U16" s="114">
        <v>10</v>
      </c>
      <c r="V16" s="110">
        <v>0</v>
      </c>
      <c r="W16" s="110">
        <v>0</v>
      </c>
      <c r="X16" s="110">
        <v>0</v>
      </c>
      <c r="Y16" s="110">
        <v>0</v>
      </c>
      <c r="Z16" s="110">
        <v>0</v>
      </c>
      <c r="AA16" s="110">
        <v>0</v>
      </c>
      <c r="AB16" s="110">
        <v>0</v>
      </c>
      <c r="AC16" s="110">
        <v>0</v>
      </c>
      <c r="AD16" s="110">
        <v>0</v>
      </c>
      <c r="AE16" s="110">
        <v>0</v>
      </c>
      <c r="AF16" s="110">
        <v>0</v>
      </c>
      <c r="AG16" s="110">
        <v>0</v>
      </c>
      <c r="AH16" s="110">
        <v>0</v>
      </c>
      <c r="AI16" s="136">
        <f>1+79</f>
        <v>80</v>
      </c>
      <c r="AJ16" s="136">
        <v>66</v>
      </c>
      <c r="AK16" s="145">
        <f t="shared" si="1"/>
        <v>2658</v>
      </c>
      <c r="AL16" s="146">
        <f t="shared" si="0"/>
        <v>353.514</v>
      </c>
      <c r="AM16" s="148"/>
    </row>
    <row r="17" ht="24.95" customHeight="1" spans="1:39">
      <c r="A17" s="23">
        <v>12</v>
      </c>
      <c r="B17" s="108" t="s">
        <v>94</v>
      </c>
      <c r="C17" s="111" t="s">
        <v>95</v>
      </c>
      <c r="D17" s="23" t="s">
        <v>72</v>
      </c>
      <c r="E17" s="23">
        <v>0.133</v>
      </c>
      <c r="F17" s="110">
        <f>VLOOKUP(B17,[1]Sheet1!$B:$E,4,0)</f>
        <v>66</v>
      </c>
      <c r="G17" s="110">
        <v>100</v>
      </c>
      <c r="H17" s="110">
        <f>97+83</f>
        <v>180</v>
      </c>
      <c r="I17" s="110">
        <f>110+120</f>
        <v>230</v>
      </c>
      <c r="J17" s="110">
        <f>133+100</f>
        <v>233</v>
      </c>
      <c r="K17" s="110">
        <v>99</v>
      </c>
      <c r="L17" s="110">
        <v>115</v>
      </c>
      <c r="M17" s="110">
        <f>41+112</f>
        <v>153</v>
      </c>
      <c r="N17" s="110">
        <f>124+126</f>
        <v>250</v>
      </c>
      <c r="O17" s="110">
        <f>135+127</f>
        <v>262</v>
      </c>
      <c r="P17" s="114">
        <f>98+116</f>
        <v>214</v>
      </c>
      <c r="Q17" s="110">
        <f>77+87</f>
        <v>164</v>
      </c>
      <c r="R17" s="110">
        <f>128+66</f>
        <v>194</v>
      </c>
      <c r="S17" s="110">
        <f>63+66</f>
        <v>129</v>
      </c>
      <c r="T17" s="110">
        <f>63+42</f>
        <v>105</v>
      </c>
      <c r="U17" s="110">
        <v>9</v>
      </c>
      <c r="V17" s="110">
        <v>0</v>
      </c>
      <c r="W17" s="110">
        <v>0</v>
      </c>
      <c r="X17" s="110">
        <v>0</v>
      </c>
      <c r="Y17" s="110">
        <v>0</v>
      </c>
      <c r="Z17" s="110">
        <v>0</v>
      </c>
      <c r="AA17" s="110">
        <v>0</v>
      </c>
      <c r="AB17" s="110">
        <v>0</v>
      </c>
      <c r="AC17" s="110">
        <v>65</v>
      </c>
      <c r="AD17" s="135">
        <v>111</v>
      </c>
      <c r="AE17" s="136">
        <v>123</v>
      </c>
      <c r="AF17" s="110">
        <v>0</v>
      </c>
      <c r="AG17" s="136">
        <v>56</v>
      </c>
      <c r="AH17" s="136">
        <v>2</v>
      </c>
      <c r="AI17" s="136">
        <f>100</f>
        <v>100</v>
      </c>
      <c r="AJ17" s="136">
        <v>67</v>
      </c>
      <c r="AK17" s="145">
        <f t="shared" ref="AK17:AK23" si="2">F17+G17+H17+I17+J17+K17+L17+M17+N17+O17+P17+Q17+R17+S17+T17+U17+V17+W17+X17+Y17+Z17+AA17+AB17+AC17+AD17+AE17+AF17+AG17+AH17+AI17+AJ17</f>
        <v>3027</v>
      </c>
      <c r="AL17" s="146">
        <f t="shared" si="0"/>
        <v>402.591</v>
      </c>
      <c r="AM17" s="148"/>
    </row>
    <row r="18" ht="24.95" customHeight="1" spans="1:39">
      <c r="A18" s="23">
        <v>13</v>
      </c>
      <c r="B18" s="108" t="s">
        <v>96</v>
      </c>
      <c r="C18" s="111" t="s">
        <v>97</v>
      </c>
      <c r="D18" s="23" t="s">
        <v>72</v>
      </c>
      <c r="E18" s="23">
        <v>0.4</v>
      </c>
      <c r="F18" s="110">
        <f>VLOOKUP(B18,[1]Sheet1!$B:$E,4,0)</f>
        <v>275</v>
      </c>
      <c r="G18" s="110">
        <v>196</v>
      </c>
      <c r="H18" s="110">
        <f>269+131</f>
        <v>400</v>
      </c>
      <c r="I18" s="110">
        <f>86+397</f>
        <v>483</v>
      </c>
      <c r="J18" s="110">
        <v>90</v>
      </c>
      <c r="K18" s="110">
        <v>333</v>
      </c>
      <c r="L18" s="114">
        <v>286</v>
      </c>
      <c r="M18" s="110">
        <f>215</f>
        <v>215</v>
      </c>
      <c r="N18" s="110">
        <f>328</f>
        <v>328</v>
      </c>
      <c r="O18" s="110">
        <v>237</v>
      </c>
      <c r="P18" s="114">
        <v>219</v>
      </c>
      <c r="Q18" s="110">
        <v>162</v>
      </c>
      <c r="R18" s="110">
        <v>326</v>
      </c>
      <c r="S18" s="110">
        <f>130+318</f>
        <v>448</v>
      </c>
      <c r="T18" s="110">
        <f>126+295</f>
        <v>421</v>
      </c>
      <c r="U18" s="110">
        <f>399+130</f>
        <v>529</v>
      </c>
      <c r="V18" s="110">
        <f>331+131</f>
        <v>462</v>
      </c>
      <c r="W18" s="110">
        <f>333</f>
        <v>333</v>
      </c>
      <c r="X18" s="110">
        <v>322</v>
      </c>
      <c r="Y18" s="110">
        <v>377</v>
      </c>
      <c r="Z18" s="110">
        <v>319</v>
      </c>
      <c r="AA18" s="110">
        <v>255</v>
      </c>
      <c r="AB18" s="110">
        <f>310</f>
        <v>310</v>
      </c>
      <c r="AC18" s="110">
        <v>229</v>
      </c>
      <c r="AD18" s="135">
        <v>238</v>
      </c>
      <c r="AE18" s="136">
        <f>295+2</f>
        <v>297</v>
      </c>
      <c r="AF18" s="136">
        <v>296</v>
      </c>
      <c r="AG18" s="136">
        <v>239</v>
      </c>
      <c r="AH18" s="136">
        <f>259</f>
        <v>259</v>
      </c>
      <c r="AI18" s="136">
        <v>247</v>
      </c>
      <c r="AJ18" s="136">
        <v>308</v>
      </c>
      <c r="AK18" s="145">
        <f t="shared" si="2"/>
        <v>9439</v>
      </c>
      <c r="AL18" s="146">
        <f t="shared" si="0"/>
        <v>3775.6</v>
      </c>
      <c r="AM18" s="148"/>
    </row>
    <row r="19" ht="24.95" customHeight="1" spans="1:39">
      <c r="A19" s="23">
        <v>13</v>
      </c>
      <c r="B19" s="108" t="s">
        <v>98</v>
      </c>
      <c r="C19" s="111" t="s">
        <v>99</v>
      </c>
      <c r="D19" s="23" t="s">
        <v>72</v>
      </c>
      <c r="E19" s="23">
        <v>0.4</v>
      </c>
      <c r="F19" s="110">
        <f>VLOOKUP(B19,[1]Sheet1!$B:$E,4,0)</f>
        <v>384</v>
      </c>
      <c r="G19" s="110">
        <v>198</v>
      </c>
      <c r="H19" s="110">
        <f>263+131</f>
        <v>394</v>
      </c>
      <c r="I19" s="110">
        <f>71+402</f>
        <v>473</v>
      </c>
      <c r="J19" s="110">
        <v>41</v>
      </c>
      <c r="K19" s="110">
        <v>402</v>
      </c>
      <c r="L19" s="110">
        <v>298</v>
      </c>
      <c r="M19" s="110">
        <v>238</v>
      </c>
      <c r="N19" s="110">
        <v>357</v>
      </c>
      <c r="O19" s="114"/>
      <c r="P19" s="114">
        <v>330</v>
      </c>
      <c r="Q19" s="110">
        <v>209</v>
      </c>
      <c r="R19" s="110">
        <v>428</v>
      </c>
      <c r="S19" s="110">
        <v>443</v>
      </c>
      <c r="T19" s="110">
        <v>408</v>
      </c>
      <c r="U19" s="110">
        <v>422</v>
      </c>
      <c r="V19" s="110">
        <f>325+118</f>
        <v>443</v>
      </c>
      <c r="W19" s="110">
        <v>340</v>
      </c>
      <c r="X19" s="110">
        <v>288</v>
      </c>
      <c r="Y19" s="110">
        <v>348</v>
      </c>
      <c r="Z19" s="110">
        <v>327</v>
      </c>
      <c r="AA19" s="110">
        <v>252</v>
      </c>
      <c r="AB19" s="110">
        <v>307</v>
      </c>
      <c r="AC19" s="110">
        <v>293</v>
      </c>
      <c r="AD19" s="135">
        <v>251</v>
      </c>
      <c r="AE19" s="136">
        <v>262</v>
      </c>
      <c r="AF19" s="136">
        <v>261</v>
      </c>
      <c r="AG19" s="136">
        <v>383</v>
      </c>
      <c r="AH19" s="136">
        <v>378</v>
      </c>
      <c r="AI19" s="136">
        <v>342</v>
      </c>
      <c r="AJ19" s="136">
        <v>409</v>
      </c>
      <c r="AK19" s="145">
        <f t="shared" si="2"/>
        <v>9909</v>
      </c>
      <c r="AL19" s="146">
        <f t="shared" si="0"/>
        <v>3963.6</v>
      </c>
      <c r="AM19" s="148"/>
    </row>
    <row r="20" ht="24.95" customHeight="1" spans="1:39">
      <c r="A20" s="23">
        <v>13</v>
      </c>
      <c r="B20" s="108" t="s">
        <v>100</v>
      </c>
      <c r="C20" s="111" t="s">
        <v>101</v>
      </c>
      <c r="D20" s="23" t="s">
        <v>72</v>
      </c>
      <c r="E20" s="23">
        <v>0.133</v>
      </c>
      <c r="F20" s="110">
        <f>VLOOKUP(B20,[1]Sheet1!$B:$E,4,0)</f>
        <v>329</v>
      </c>
      <c r="G20" s="110">
        <v>30</v>
      </c>
      <c r="H20" s="110">
        <v>0</v>
      </c>
      <c r="I20" s="110">
        <v>268</v>
      </c>
      <c r="J20" s="110"/>
      <c r="K20" s="110">
        <v>209</v>
      </c>
      <c r="L20" s="110">
        <v>269</v>
      </c>
      <c r="M20" s="110">
        <v>196</v>
      </c>
      <c r="N20" s="110">
        <v>264</v>
      </c>
      <c r="O20" s="114">
        <v>286</v>
      </c>
      <c r="P20" s="114">
        <v>211</v>
      </c>
      <c r="Q20" s="110">
        <v>126</v>
      </c>
      <c r="R20" s="110">
        <v>295</v>
      </c>
      <c r="S20" s="110">
        <v>298</v>
      </c>
      <c r="T20" s="110">
        <v>245</v>
      </c>
      <c r="U20" s="110">
        <f>288</f>
        <v>288</v>
      </c>
      <c r="V20" s="110">
        <f>332+128</f>
        <v>460</v>
      </c>
      <c r="W20" s="110">
        <v>331</v>
      </c>
      <c r="X20" s="110">
        <v>253</v>
      </c>
      <c r="Y20" s="110">
        <v>334</v>
      </c>
      <c r="Z20" s="110">
        <v>294</v>
      </c>
      <c r="AA20" s="110">
        <v>253</v>
      </c>
      <c r="AB20" s="110">
        <v>301</v>
      </c>
      <c r="AC20" s="110">
        <v>262</v>
      </c>
      <c r="AD20" s="135">
        <v>192</v>
      </c>
      <c r="AE20" s="136">
        <f>253+2</f>
        <v>255</v>
      </c>
      <c r="AF20" s="136">
        <v>263</v>
      </c>
      <c r="AG20" s="136">
        <v>285</v>
      </c>
      <c r="AH20" s="136">
        <v>320</v>
      </c>
      <c r="AI20" s="136">
        <f>291+124</f>
        <v>415</v>
      </c>
      <c r="AJ20" s="136">
        <v>333</v>
      </c>
      <c r="AK20" s="145">
        <f t="shared" si="2"/>
        <v>7865</v>
      </c>
      <c r="AL20" s="146">
        <f t="shared" si="0"/>
        <v>1046.045</v>
      </c>
      <c r="AM20" s="148"/>
    </row>
    <row r="21" ht="24.95" customHeight="1" spans="1:39">
      <c r="A21" s="23">
        <v>13</v>
      </c>
      <c r="B21" s="108" t="s">
        <v>102</v>
      </c>
      <c r="C21" s="111" t="s">
        <v>103</v>
      </c>
      <c r="D21" s="23" t="s">
        <v>72</v>
      </c>
      <c r="E21" s="23">
        <v>0.133</v>
      </c>
      <c r="F21" s="110">
        <f>VLOOKUP(B21,[1]Sheet1!$B:$E,4,0)</f>
        <v>328</v>
      </c>
      <c r="G21" s="110">
        <v>30</v>
      </c>
      <c r="H21" s="110">
        <v>0</v>
      </c>
      <c r="I21" s="110">
        <v>267</v>
      </c>
      <c r="J21" s="110">
        <v>1</v>
      </c>
      <c r="K21" s="110">
        <v>356</v>
      </c>
      <c r="L21" s="110">
        <v>248</v>
      </c>
      <c r="M21" s="110">
        <v>134</v>
      </c>
      <c r="N21" s="110">
        <v>263</v>
      </c>
      <c r="O21" s="110">
        <v>31</v>
      </c>
      <c r="P21" s="114">
        <v>230</v>
      </c>
      <c r="Q21" s="110">
        <v>152</v>
      </c>
      <c r="R21" s="110">
        <v>296</v>
      </c>
      <c r="S21" s="110">
        <v>298</v>
      </c>
      <c r="T21" s="110">
        <v>297</v>
      </c>
      <c r="U21" s="110">
        <f>321+126</f>
        <v>447</v>
      </c>
      <c r="V21" s="110">
        <f>356+128</f>
        <v>484</v>
      </c>
      <c r="W21" s="110">
        <v>303</v>
      </c>
      <c r="X21" s="110">
        <v>252</v>
      </c>
      <c r="Y21" s="110">
        <v>334</v>
      </c>
      <c r="Z21" s="110">
        <v>293</v>
      </c>
      <c r="AA21" s="110">
        <v>253</v>
      </c>
      <c r="AB21" s="110">
        <f>301+86</f>
        <v>387</v>
      </c>
      <c r="AC21" s="110">
        <f>3+262</f>
        <v>265</v>
      </c>
      <c r="AD21" s="135">
        <f>108+191</f>
        <v>299</v>
      </c>
      <c r="AE21" s="136">
        <v>253</v>
      </c>
      <c r="AF21" s="136">
        <v>262</v>
      </c>
      <c r="AG21" s="136">
        <v>285</v>
      </c>
      <c r="AH21" s="136">
        <v>319</v>
      </c>
      <c r="AI21" s="136">
        <v>292</v>
      </c>
      <c r="AJ21" s="136">
        <v>332</v>
      </c>
      <c r="AK21" s="145">
        <f t="shared" si="2"/>
        <v>7991</v>
      </c>
      <c r="AL21" s="146">
        <f t="shared" si="0"/>
        <v>1062.803</v>
      </c>
      <c r="AM21" s="148"/>
    </row>
    <row r="22" ht="24.95" customHeight="1" spans="1:39">
      <c r="A22" s="23">
        <v>13</v>
      </c>
      <c r="B22" s="112" t="s">
        <v>104</v>
      </c>
      <c r="C22" s="113" t="s">
        <v>105</v>
      </c>
      <c r="D22" s="23" t="s">
        <v>72</v>
      </c>
      <c r="E22" s="23">
        <v>0.4</v>
      </c>
      <c r="F22" s="110">
        <f>VLOOKUP(B22,[1]Sheet1!$B:$E,4,0)</f>
        <v>53</v>
      </c>
      <c r="G22" s="110">
        <v>65</v>
      </c>
      <c r="H22" s="110">
        <f>66+59</f>
        <v>125</v>
      </c>
      <c r="I22" s="110">
        <f>2</f>
        <v>2</v>
      </c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0</v>
      </c>
      <c r="P22" s="110">
        <v>0</v>
      </c>
      <c r="Q22" s="110">
        <v>0</v>
      </c>
      <c r="R22" s="110">
        <v>0</v>
      </c>
      <c r="S22" s="110">
        <v>0</v>
      </c>
      <c r="T22" s="110">
        <v>0</v>
      </c>
      <c r="U22" s="110">
        <v>0</v>
      </c>
      <c r="V22" s="110">
        <v>0</v>
      </c>
      <c r="W22" s="110">
        <v>40</v>
      </c>
      <c r="X22" s="110">
        <f>39+64</f>
        <v>103</v>
      </c>
      <c r="Y22" s="110">
        <f>60+62</f>
        <v>122</v>
      </c>
      <c r="Z22" s="110">
        <f>57+64</f>
        <v>121</v>
      </c>
      <c r="AA22" s="110">
        <v>11</v>
      </c>
      <c r="AB22" s="110">
        <v>0</v>
      </c>
      <c r="AC22" s="110">
        <v>0</v>
      </c>
      <c r="AD22" s="110">
        <v>0</v>
      </c>
      <c r="AE22" s="110">
        <v>0</v>
      </c>
      <c r="AF22" s="110">
        <v>0</v>
      </c>
      <c r="AG22" s="110">
        <v>0</v>
      </c>
      <c r="AH22" s="110">
        <v>0</v>
      </c>
      <c r="AI22" s="110">
        <v>0</v>
      </c>
      <c r="AJ22" s="110">
        <v>0</v>
      </c>
      <c r="AK22" s="145">
        <f t="shared" si="2"/>
        <v>642</v>
      </c>
      <c r="AL22" s="146">
        <f t="shared" si="0"/>
        <v>256.8</v>
      </c>
      <c r="AM22" s="148"/>
    </row>
    <row r="23" ht="24.95" customHeight="1" spans="1:39">
      <c r="A23" s="23">
        <v>13</v>
      </c>
      <c r="B23" s="112" t="s">
        <v>106</v>
      </c>
      <c r="C23" s="113" t="s">
        <v>107</v>
      </c>
      <c r="D23" s="23" t="s">
        <v>72</v>
      </c>
      <c r="E23" s="23">
        <v>0.4</v>
      </c>
      <c r="F23" s="110">
        <f>VLOOKUP(B23,[1]Sheet1!$B:$E,4,0)</f>
        <v>52</v>
      </c>
      <c r="G23" s="110">
        <v>65</v>
      </c>
      <c r="H23" s="110">
        <f>65+58</f>
        <v>123</v>
      </c>
      <c r="I23" s="110">
        <v>0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0</v>
      </c>
      <c r="T23" s="110">
        <v>0</v>
      </c>
      <c r="U23" s="110">
        <v>0</v>
      </c>
      <c r="V23" s="110">
        <v>0</v>
      </c>
      <c r="W23" s="110">
        <v>0</v>
      </c>
      <c r="X23" s="110">
        <v>0</v>
      </c>
      <c r="Y23" s="110">
        <v>0</v>
      </c>
      <c r="Z23" s="110">
        <v>0</v>
      </c>
      <c r="AA23" s="110">
        <v>0</v>
      </c>
      <c r="AB23" s="110">
        <v>0</v>
      </c>
      <c r="AC23" s="110">
        <v>0</v>
      </c>
      <c r="AD23" s="110">
        <v>0</v>
      </c>
      <c r="AE23" s="110">
        <v>0</v>
      </c>
      <c r="AF23" s="110">
        <v>0</v>
      </c>
      <c r="AG23" s="110">
        <v>0</v>
      </c>
      <c r="AH23" s="110">
        <v>0</v>
      </c>
      <c r="AI23" s="110">
        <v>0</v>
      </c>
      <c r="AJ23" s="110">
        <v>0</v>
      </c>
      <c r="AK23" s="145">
        <f t="shared" si="2"/>
        <v>240</v>
      </c>
      <c r="AL23" s="146">
        <f t="shared" si="0"/>
        <v>96</v>
      </c>
      <c r="AM23" s="148"/>
    </row>
    <row r="24" ht="24.95" customHeight="1" spans="1:39">
      <c r="A24" s="23">
        <v>13</v>
      </c>
      <c r="B24" s="112" t="s">
        <v>108</v>
      </c>
      <c r="C24" s="113" t="s">
        <v>109</v>
      </c>
      <c r="D24" s="23" t="s">
        <v>72</v>
      </c>
      <c r="E24" s="23">
        <v>0.133</v>
      </c>
      <c r="F24" s="110">
        <f>VLOOKUP(B24,[1]Sheet1!$B:$E,4,0)</f>
        <v>53</v>
      </c>
      <c r="G24" s="110">
        <v>65</v>
      </c>
      <c r="H24" s="110">
        <f>66+28</f>
        <v>94</v>
      </c>
      <c r="I24" s="110">
        <f>2</f>
        <v>2</v>
      </c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0</v>
      </c>
      <c r="P24" s="110">
        <v>0</v>
      </c>
      <c r="Q24" s="110">
        <v>0</v>
      </c>
      <c r="R24" s="110">
        <v>0</v>
      </c>
      <c r="S24" s="110">
        <v>0</v>
      </c>
      <c r="T24" s="110">
        <v>0</v>
      </c>
      <c r="U24" s="110">
        <v>0</v>
      </c>
      <c r="V24" s="110">
        <v>0</v>
      </c>
      <c r="W24" s="110">
        <v>40</v>
      </c>
      <c r="X24" s="110">
        <f>39+63</f>
        <v>102</v>
      </c>
      <c r="Y24" s="110">
        <f>60+65</f>
        <v>125</v>
      </c>
      <c r="Z24" s="110">
        <f>57+66</f>
        <v>123</v>
      </c>
      <c r="AA24" s="110">
        <v>11</v>
      </c>
      <c r="AB24" s="110">
        <v>0</v>
      </c>
      <c r="AC24" s="110">
        <v>0</v>
      </c>
      <c r="AD24" s="110">
        <v>0</v>
      </c>
      <c r="AE24" s="110">
        <v>0</v>
      </c>
      <c r="AF24" s="110">
        <v>0</v>
      </c>
      <c r="AG24" s="110">
        <v>0</v>
      </c>
      <c r="AH24" s="110">
        <v>0</v>
      </c>
      <c r="AI24" s="110">
        <v>0</v>
      </c>
      <c r="AJ24" s="110">
        <v>0</v>
      </c>
      <c r="AK24" s="145">
        <f t="shared" si="1"/>
        <v>615</v>
      </c>
      <c r="AL24" s="146">
        <f t="shared" si="0"/>
        <v>81.795</v>
      </c>
      <c r="AM24" s="148"/>
    </row>
    <row r="25" ht="24.95" customHeight="1" spans="1:39">
      <c r="A25" s="23">
        <v>13</v>
      </c>
      <c r="B25" s="112" t="s">
        <v>110</v>
      </c>
      <c r="C25" s="113" t="s">
        <v>111</v>
      </c>
      <c r="D25" s="23" t="s">
        <v>72</v>
      </c>
      <c r="E25" s="23">
        <v>0.133</v>
      </c>
      <c r="F25" s="110">
        <f>VLOOKUP(B25,[1]Sheet1!$B:$E,4,0)</f>
        <v>52</v>
      </c>
      <c r="G25" s="110">
        <v>65</v>
      </c>
      <c r="H25" s="110">
        <f>66+40</f>
        <v>106</v>
      </c>
      <c r="I25" s="110">
        <v>0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0">
        <v>0</v>
      </c>
      <c r="P25" s="110">
        <v>0</v>
      </c>
      <c r="Q25" s="110">
        <v>0</v>
      </c>
      <c r="R25" s="110">
        <v>0</v>
      </c>
      <c r="S25" s="110">
        <v>0</v>
      </c>
      <c r="T25" s="110">
        <v>0</v>
      </c>
      <c r="U25" s="110">
        <v>0</v>
      </c>
      <c r="V25" s="110">
        <v>0</v>
      </c>
      <c r="W25" s="110">
        <v>0</v>
      </c>
      <c r="X25" s="110">
        <v>0</v>
      </c>
      <c r="Y25" s="110">
        <v>0</v>
      </c>
      <c r="Z25" s="110">
        <v>0</v>
      </c>
      <c r="AA25" s="110">
        <v>0</v>
      </c>
      <c r="AB25" s="110">
        <v>0</v>
      </c>
      <c r="AC25" s="110">
        <v>0</v>
      </c>
      <c r="AD25" s="110">
        <v>0</v>
      </c>
      <c r="AE25" s="110">
        <v>0</v>
      </c>
      <c r="AF25" s="110">
        <v>0</v>
      </c>
      <c r="AG25" s="110">
        <v>0</v>
      </c>
      <c r="AH25" s="110">
        <v>0</v>
      </c>
      <c r="AI25" s="110">
        <v>0</v>
      </c>
      <c r="AJ25" s="110">
        <v>0</v>
      </c>
      <c r="AK25" s="145">
        <f t="shared" si="1"/>
        <v>223</v>
      </c>
      <c r="AL25" s="146">
        <f t="shared" si="0"/>
        <v>29.659</v>
      </c>
      <c r="AM25" s="148"/>
    </row>
    <row r="26" ht="24.95" customHeight="1" spans="1:39">
      <c r="A26" s="23">
        <v>13</v>
      </c>
      <c r="B26" s="112" t="s">
        <v>112</v>
      </c>
      <c r="C26" s="113" t="s">
        <v>113</v>
      </c>
      <c r="D26" s="23" t="s">
        <v>72</v>
      </c>
      <c r="E26" s="23">
        <v>0.25</v>
      </c>
      <c r="F26" s="110">
        <f>VLOOKUP(B26,[1]Sheet1!$B:$E,4,0)</f>
        <v>290</v>
      </c>
      <c r="G26" s="110">
        <v>400</v>
      </c>
      <c r="H26" s="110">
        <f>397+324</f>
        <v>721</v>
      </c>
      <c r="I26" s="110">
        <f>371+407</f>
        <v>778</v>
      </c>
      <c r="J26" s="110">
        <v>344</v>
      </c>
      <c r="K26" s="110">
        <v>314</v>
      </c>
      <c r="L26" s="110">
        <v>363</v>
      </c>
      <c r="M26" s="110">
        <v>275</v>
      </c>
      <c r="N26" s="110">
        <v>326</v>
      </c>
      <c r="O26" s="110"/>
      <c r="P26" s="110">
        <v>237</v>
      </c>
      <c r="Q26" s="114">
        <v>253</v>
      </c>
      <c r="R26" s="114">
        <v>380</v>
      </c>
      <c r="S26" s="114">
        <v>365</v>
      </c>
      <c r="T26" s="114">
        <v>296</v>
      </c>
      <c r="U26" s="114">
        <v>310</v>
      </c>
      <c r="V26" s="110">
        <f>254</f>
        <v>254</v>
      </c>
      <c r="W26" s="110">
        <f>256</f>
        <v>256</v>
      </c>
      <c r="X26" s="110">
        <f>247</f>
        <v>247</v>
      </c>
      <c r="Y26" s="110">
        <v>296</v>
      </c>
      <c r="Z26" s="110">
        <v>230</v>
      </c>
      <c r="AA26" s="110">
        <v>307</v>
      </c>
      <c r="AB26" s="110">
        <f>252+89</f>
        <v>341</v>
      </c>
      <c r="AC26" s="110">
        <v>307</v>
      </c>
      <c r="AD26" s="135">
        <f>350+56</f>
        <v>406</v>
      </c>
      <c r="AE26" s="135">
        <v>285</v>
      </c>
      <c r="AF26" s="136">
        <f>329+2</f>
        <v>331</v>
      </c>
      <c r="AG26" s="136">
        <v>311</v>
      </c>
      <c r="AH26" s="135">
        <f>331+124</f>
        <v>455</v>
      </c>
      <c r="AI26" s="135">
        <f>281+105</f>
        <v>386</v>
      </c>
      <c r="AJ26" s="135">
        <v>301</v>
      </c>
      <c r="AK26" s="145">
        <f t="shared" si="1"/>
        <v>10365</v>
      </c>
      <c r="AL26" s="146">
        <f t="shared" si="0"/>
        <v>2591.25</v>
      </c>
      <c r="AM26" s="148"/>
    </row>
    <row r="27" ht="24.95" customHeight="1" spans="1:39">
      <c r="A27" s="23">
        <v>13</v>
      </c>
      <c r="B27" s="108" t="s">
        <v>114</v>
      </c>
      <c r="C27" s="111" t="s">
        <v>115</v>
      </c>
      <c r="D27" s="23" t="s">
        <v>72</v>
      </c>
      <c r="E27" s="23">
        <v>0.25</v>
      </c>
      <c r="F27" s="110">
        <f>VLOOKUP(B27,[1]Sheet1!$B:$E,4,0)</f>
        <v>50</v>
      </c>
      <c r="G27" s="110">
        <v>68</v>
      </c>
      <c r="H27" s="110">
        <f>67+59</f>
        <v>126</v>
      </c>
      <c r="I27" s="110">
        <f>54+4</f>
        <v>58</v>
      </c>
      <c r="J27" s="110">
        <v>0</v>
      </c>
      <c r="K27" s="110">
        <v>0</v>
      </c>
      <c r="L27" s="110">
        <v>0</v>
      </c>
      <c r="M27" s="110">
        <v>0</v>
      </c>
      <c r="N27" s="110">
        <v>0</v>
      </c>
      <c r="O27" s="110">
        <v>0</v>
      </c>
      <c r="P27" s="110">
        <v>0</v>
      </c>
      <c r="Q27" s="110">
        <v>0</v>
      </c>
      <c r="R27" s="110">
        <v>0</v>
      </c>
      <c r="S27" s="110">
        <v>0</v>
      </c>
      <c r="T27" s="110">
        <v>0</v>
      </c>
      <c r="U27" s="110">
        <v>0</v>
      </c>
      <c r="V27" s="110">
        <v>0</v>
      </c>
      <c r="W27" s="110">
        <v>0</v>
      </c>
      <c r="X27" s="110">
        <v>0</v>
      </c>
      <c r="Y27" s="110">
        <v>0</v>
      </c>
      <c r="Z27" s="110">
        <v>0</v>
      </c>
      <c r="AA27" s="110">
        <v>0</v>
      </c>
      <c r="AB27" s="110">
        <v>0</v>
      </c>
      <c r="AC27" s="110">
        <v>0</v>
      </c>
      <c r="AD27" s="110">
        <v>0</v>
      </c>
      <c r="AE27" s="110">
        <v>0</v>
      </c>
      <c r="AF27" s="110">
        <v>0</v>
      </c>
      <c r="AG27" s="110">
        <v>0</v>
      </c>
      <c r="AH27" s="135">
        <f>36+59</f>
        <v>95</v>
      </c>
      <c r="AI27" s="135">
        <f>50+60</f>
        <v>110</v>
      </c>
      <c r="AJ27" s="135">
        <v>62</v>
      </c>
      <c r="AK27" s="145">
        <f t="shared" si="1"/>
        <v>569</v>
      </c>
      <c r="AL27" s="146">
        <f t="shared" si="0"/>
        <v>142.25</v>
      </c>
      <c r="AM27" s="148"/>
    </row>
    <row r="28" ht="24.95" customHeight="1" spans="1:39">
      <c r="A28" s="23">
        <v>13</v>
      </c>
      <c r="B28" s="112" t="s">
        <v>116</v>
      </c>
      <c r="C28" s="113" t="s">
        <v>117</v>
      </c>
      <c r="D28" s="23" t="s">
        <v>72</v>
      </c>
      <c r="E28" s="23">
        <v>0.23</v>
      </c>
      <c r="F28" s="110">
        <f>VLOOKUP(B28,[1]Sheet1!$B:$E,4,0)</f>
        <v>337</v>
      </c>
      <c r="G28" s="110">
        <v>0</v>
      </c>
      <c r="H28" s="110">
        <f>266</f>
        <v>266</v>
      </c>
      <c r="I28" s="110">
        <f>366+178</f>
        <v>544</v>
      </c>
      <c r="J28" s="110">
        <v>129</v>
      </c>
      <c r="K28" s="110">
        <v>267</v>
      </c>
      <c r="L28" s="110">
        <v>352</v>
      </c>
      <c r="M28" s="110">
        <v>224</v>
      </c>
      <c r="N28" s="110">
        <v>275</v>
      </c>
      <c r="O28" s="110">
        <v>252</v>
      </c>
      <c r="P28" s="110">
        <v>197</v>
      </c>
      <c r="Q28" s="114">
        <v>243</v>
      </c>
      <c r="R28" s="114">
        <v>445</v>
      </c>
      <c r="S28" s="114">
        <v>447</v>
      </c>
      <c r="T28" s="114">
        <v>356</v>
      </c>
      <c r="U28" s="114">
        <f>343</f>
        <v>343</v>
      </c>
      <c r="V28" s="110">
        <v>311</v>
      </c>
      <c r="W28" s="110">
        <v>242</v>
      </c>
      <c r="X28" s="110">
        <v>211</v>
      </c>
      <c r="Y28" s="110">
        <v>233</v>
      </c>
      <c r="Z28" s="110">
        <v>217</v>
      </c>
      <c r="AA28" s="110">
        <v>245</v>
      </c>
      <c r="AB28" s="110">
        <f>250+89</f>
        <v>339</v>
      </c>
      <c r="AC28" s="110">
        <v>247</v>
      </c>
      <c r="AD28" s="135">
        <v>287</v>
      </c>
      <c r="AE28" s="135">
        <v>288</v>
      </c>
      <c r="AF28" s="136">
        <f>302+273</f>
        <v>575</v>
      </c>
      <c r="AG28" s="136">
        <f>302+245</f>
        <v>547</v>
      </c>
      <c r="AH28" s="135">
        <f>327+181</f>
        <v>508</v>
      </c>
      <c r="AI28" s="135">
        <f>310+165</f>
        <v>475</v>
      </c>
      <c r="AJ28" s="135">
        <v>365</v>
      </c>
      <c r="AK28" s="145">
        <f t="shared" si="1"/>
        <v>9767</v>
      </c>
      <c r="AL28" s="146">
        <f t="shared" si="0"/>
        <v>2246.41</v>
      </c>
      <c r="AM28" s="148"/>
    </row>
    <row r="29" ht="24.95" customHeight="1" spans="1:39">
      <c r="A29" s="23">
        <v>13</v>
      </c>
      <c r="B29" s="108" t="s">
        <v>118</v>
      </c>
      <c r="C29" s="111" t="s">
        <v>119</v>
      </c>
      <c r="D29" s="23" t="s">
        <v>72</v>
      </c>
      <c r="E29" s="23">
        <v>0.67</v>
      </c>
      <c r="F29" s="110">
        <f>VLOOKUP(B29,[1]Sheet1!$B:$E,4,0)</f>
        <v>330</v>
      </c>
      <c r="G29" s="110">
        <v>0</v>
      </c>
      <c r="H29" s="110">
        <f>126+6</f>
        <v>132</v>
      </c>
      <c r="I29" s="110">
        <f>307+130</f>
        <v>437</v>
      </c>
      <c r="J29" s="110">
        <f>11+102</f>
        <v>113</v>
      </c>
      <c r="K29" s="110">
        <v>235</v>
      </c>
      <c r="L29" s="110">
        <v>244</v>
      </c>
      <c r="M29" s="110">
        <v>212</v>
      </c>
      <c r="N29" s="110">
        <v>368</v>
      </c>
      <c r="O29" s="110">
        <v>188</v>
      </c>
      <c r="P29" s="110">
        <v>292</v>
      </c>
      <c r="Q29" s="114">
        <f>370+260</f>
        <v>630</v>
      </c>
      <c r="R29" s="114">
        <f>393+384</f>
        <v>777</v>
      </c>
      <c r="S29" s="114">
        <f>360+411</f>
        <v>771</v>
      </c>
      <c r="T29" s="114">
        <f>366+392</f>
        <v>758</v>
      </c>
      <c r="U29" s="114">
        <f>415+388</f>
        <v>803</v>
      </c>
      <c r="V29" s="110">
        <v>402</v>
      </c>
      <c r="W29" s="110">
        <v>328</v>
      </c>
      <c r="X29" s="110">
        <v>291</v>
      </c>
      <c r="Y29" s="110">
        <v>381</v>
      </c>
      <c r="Z29" s="110">
        <v>328</v>
      </c>
      <c r="AA29" s="110">
        <v>354</v>
      </c>
      <c r="AB29" s="110">
        <v>382</v>
      </c>
      <c r="AC29" s="110">
        <v>349</v>
      </c>
      <c r="AD29" s="135">
        <v>336</v>
      </c>
      <c r="AE29" s="135">
        <v>245</v>
      </c>
      <c r="AF29" s="136">
        <v>291</v>
      </c>
      <c r="AG29" s="136">
        <v>289</v>
      </c>
      <c r="AH29" s="135">
        <v>293</v>
      </c>
      <c r="AI29" s="135">
        <v>214</v>
      </c>
      <c r="AJ29" s="135">
        <v>366</v>
      </c>
      <c r="AK29" s="145">
        <f t="shared" si="1"/>
        <v>11139</v>
      </c>
      <c r="AL29" s="146">
        <f t="shared" si="0"/>
        <v>7463.13</v>
      </c>
      <c r="AM29" s="148"/>
    </row>
    <row r="30" ht="24.95" customHeight="1" spans="1:39">
      <c r="A30" s="23">
        <v>13</v>
      </c>
      <c r="B30" s="115"/>
      <c r="C30" s="116" t="s">
        <v>120</v>
      </c>
      <c r="D30" s="23" t="s">
        <v>72</v>
      </c>
      <c r="E30" s="23">
        <v>0.4</v>
      </c>
      <c r="F30" s="110" t="e">
        <f>VLOOKUP(B30,[1]Sheet1!$B:$E,4,0)</f>
        <v>#N/A</v>
      </c>
      <c r="G30" s="110">
        <v>0</v>
      </c>
      <c r="H30" s="110">
        <f>68+62</f>
        <v>130</v>
      </c>
      <c r="I30" s="114">
        <v>65</v>
      </c>
      <c r="J30" s="110">
        <v>0</v>
      </c>
      <c r="K30" s="110">
        <v>0</v>
      </c>
      <c r="L30" s="110">
        <v>0</v>
      </c>
      <c r="M30" s="110">
        <v>0</v>
      </c>
      <c r="N30" s="110">
        <v>0</v>
      </c>
      <c r="O30" s="110">
        <v>0</v>
      </c>
      <c r="P30" s="110">
        <v>0</v>
      </c>
      <c r="Q30" s="110">
        <v>0</v>
      </c>
      <c r="R30" s="110">
        <v>0</v>
      </c>
      <c r="S30" s="110">
        <v>0</v>
      </c>
      <c r="T30" s="110">
        <v>0</v>
      </c>
      <c r="U30" s="110">
        <v>0</v>
      </c>
      <c r="V30" s="110">
        <v>0</v>
      </c>
      <c r="W30" s="110">
        <v>0</v>
      </c>
      <c r="X30" s="110">
        <v>0</v>
      </c>
      <c r="Y30" s="110">
        <v>0</v>
      </c>
      <c r="Z30" s="110">
        <v>0</v>
      </c>
      <c r="AA30" s="110">
        <v>0</v>
      </c>
      <c r="AB30" s="110">
        <v>0</v>
      </c>
      <c r="AC30" s="110">
        <v>0</v>
      </c>
      <c r="AD30" s="110">
        <v>0</v>
      </c>
      <c r="AE30" s="110">
        <v>0</v>
      </c>
      <c r="AF30" s="110">
        <v>0</v>
      </c>
      <c r="AG30" s="110">
        <v>0</v>
      </c>
      <c r="AH30" s="110">
        <v>0</v>
      </c>
      <c r="AI30" s="110">
        <v>0</v>
      </c>
      <c r="AJ30" s="110">
        <v>0</v>
      </c>
      <c r="AK30" s="145" t="e">
        <f t="shared" si="1"/>
        <v>#N/A</v>
      </c>
      <c r="AL30" s="146" t="e">
        <f t="shared" si="0"/>
        <v>#N/A</v>
      </c>
      <c r="AM30" s="148"/>
    </row>
    <row r="31" ht="24.95" customHeight="1" spans="1:39">
      <c r="A31" s="23">
        <v>13</v>
      </c>
      <c r="B31" s="117" t="s">
        <v>121</v>
      </c>
      <c r="C31" s="116" t="s">
        <v>122</v>
      </c>
      <c r="D31" s="23" t="s">
        <v>72</v>
      </c>
      <c r="E31" s="23">
        <v>0.67</v>
      </c>
      <c r="F31" s="110">
        <f>VLOOKUP(B31,[1]Sheet1!$B:$E,4,0)</f>
        <v>0</v>
      </c>
      <c r="G31" s="110">
        <v>0</v>
      </c>
      <c r="H31" s="110">
        <v>0</v>
      </c>
      <c r="I31" s="110">
        <v>0</v>
      </c>
      <c r="J31" s="110">
        <v>0</v>
      </c>
      <c r="K31" s="110">
        <v>0</v>
      </c>
      <c r="L31" s="110">
        <v>0</v>
      </c>
      <c r="M31" s="110">
        <v>0</v>
      </c>
      <c r="N31" s="110">
        <v>0</v>
      </c>
      <c r="O31" s="110">
        <v>0</v>
      </c>
      <c r="P31" s="110">
        <v>0</v>
      </c>
      <c r="Q31" s="110">
        <v>0</v>
      </c>
      <c r="R31" s="110">
        <v>0</v>
      </c>
      <c r="S31" s="110">
        <v>0</v>
      </c>
      <c r="T31" s="110">
        <v>0</v>
      </c>
      <c r="U31" s="110">
        <v>0</v>
      </c>
      <c r="V31" s="110">
        <v>0</v>
      </c>
      <c r="W31" s="110">
        <v>27</v>
      </c>
      <c r="X31" s="110">
        <v>27</v>
      </c>
      <c r="Y31" s="110">
        <v>0</v>
      </c>
      <c r="Z31" s="110">
        <v>0</v>
      </c>
      <c r="AA31" s="110">
        <v>0</v>
      </c>
      <c r="AB31" s="110">
        <v>53</v>
      </c>
      <c r="AC31" s="110">
        <f>51+58</f>
        <v>109</v>
      </c>
      <c r="AD31" s="135">
        <f>104+49</f>
        <v>153</v>
      </c>
      <c r="AE31" s="135">
        <f>56+105</f>
        <v>161</v>
      </c>
      <c r="AF31" s="135">
        <f>117+85</f>
        <v>202</v>
      </c>
      <c r="AG31" s="149">
        <f>55+71</f>
        <v>126</v>
      </c>
      <c r="AH31" s="149">
        <f>43+44</f>
        <v>87</v>
      </c>
      <c r="AI31" s="135">
        <f>21+1</f>
        <v>22</v>
      </c>
      <c r="AJ31" s="110">
        <v>0</v>
      </c>
      <c r="AK31" s="145">
        <f t="shared" si="1"/>
        <v>967</v>
      </c>
      <c r="AL31" s="146">
        <f t="shared" si="0"/>
        <v>647.89</v>
      </c>
      <c r="AM31" s="148"/>
    </row>
    <row r="32" ht="24.95" customHeight="1" spans="1:39">
      <c r="A32" s="23">
        <v>13</v>
      </c>
      <c r="B32" s="117" t="s">
        <v>123</v>
      </c>
      <c r="C32" s="116" t="s">
        <v>124</v>
      </c>
      <c r="D32" s="23" t="s">
        <v>72</v>
      </c>
      <c r="E32" s="23">
        <v>0.67</v>
      </c>
      <c r="F32" s="110">
        <f>VLOOKUP(B32,[1]Sheet1!$B:$E,4,0)</f>
        <v>0</v>
      </c>
      <c r="G32" s="110">
        <v>0</v>
      </c>
      <c r="H32" s="110">
        <v>0</v>
      </c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10">
        <v>0</v>
      </c>
      <c r="Q32" s="110">
        <v>0</v>
      </c>
      <c r="R32" s="110">
        <v>0</v>
      </c>
      <c r="S32" s="110">
        <v>0</v>
      </c>
      <c r="T32" s="110">
        <v>0</v>
      </c>
      <c r="U32" s="110">
        <v>0</v>
      </c>
      <c r="V32" s="110">
        <v>0</v>
      </c>
      <c r="W32" s="110">
        <v>51</v>
      </c>
      <c r="X32" s="110"/>
      <c r="Y32" s="110">
        <v>0</v>
      </c>
      <c r="Z32" s="110">
        <v>0</v>
      </c>
      <c r="AA32" s="110">
        <v>0</v>
      </c>
      <c r="AB32" s="110">
        <v>56</v>
      </c>
      <c r="AC32" s="110">
        <f>82+89</f>
        <v>171</v>
      </c>
      <c r="AD32" s="135">
        <f>120+67</f>
        <v>187</v>
      </c>
      <c r="AE32" s="135">
        <f>106+123</f>
        <v>229</v>
      </c>
      <c r="AF32" s="135">
        <f>119+92</f>
        <v>211</v>
      </c>
      <c r="AG32" s="149">
        <f>57+58</f>
        <v>115</v>
      </c>
      <c r="AH32" s="149">
        <f>55+53</f>
        <v>108</v>
      </c>
      <c r="AI32" s="135">
        <v>20</v>
      </c>
      <c r="AJ32" s="110">
        <v>0</v>
      </c>
      <c r="AK32" s="145">
        <f t="shared" si="1"/>
        <v>1148</v>
      </c>
      <c r="AL32" s="146">
        <f t="shared" si="0"/>
        <v>769.16</v>
      </c>
      <c r="AM32" s="148"/>
    </row>
    <row r="33" ht="24.95" customHeight="1" spans="1:39">
      <c r="A33" s="23">
        <v>13</v>
      </c>
      <c r="B33" s="117" t="s">
        <v>125</v>
      </c>
      <c r="C33" s="116" t="s">
        <v>126</v>
      </c>
      <c r="D33" s="23" t="s">
        <v>72</v>
      </c>
      <c r="E33" s="23">
        <v>0.133</v>
      </c>
      <c r="F33" s="110">
        <f>VLOOKUP(B33,[1]Sheet1!$B:$E,4,0)</f>
        <v>0</v>
      </c>
      <c r="G33" s="110">
        <v>0</v>
      </c>
      <c r="H33" s="110">
        <v>0</v>
      </c>
      <c r="I33" s="110">
        <v>0</v>
      </c>
      <c r="J33" s="110">
        <v>0</v>
      </c>
      <c r="K33" s="110">
        <v>0</v>
      </c>
      <c r="L33" s="110">
        <v>0</v>
      </c>
      <c r="M33" s="110">
        <v>0</v>
      </c>
      <c r="N33" s="110">
        <v>0</v>
      </c>
      <c r="O33" s="110">
        <v>0</v>
      </c>
      <c r="P33" s="110">
        <v>0</v>
      </c>
      <c r="Q33" s="110">
        <v>0</v>
      </c>
      <c r="R33" s="110">
        <v>0</v>
      </c>
      <c r="S33" s="110">
        <v>0</v>
      </c>
      <c r="T33" s="110">
        <v>0</v>
      </c>
      <c r="U33" s="110">
        <v>10</v>
      </c>
      <c r="V33" s="110">
        <v>0</v>
      </c>
      <c r="W33" s="110">
        <v>36</v>
      </c>
      <c r="X33" s="110">
        <f>57+64</f>
        <v>121</v>
      </c>
      <c r="Y33" s="110">
        <f>65+66</f>
        <v>131</v>
      </c>
      <c r="Z33" s="110">
        <f>58+65</f>
        <v>123</v>
      </c>
      <c r="AA33" s="110">
        <f>65+63</f>
        <v>128</v>
      </c>
      <c r="AB33" s="110">
        <f>56</f>
        <v>56</v>
      </c>
      <c r="AC33" s="110">
        <v>0</v>
      </c>
      <c r="AD33" s="110">
        <v>0</v>
      </c>
      <c r="AE33" s="110">
        <v>0</v>
      </c>
      <c r="AF33" s="110">
        <v>0</v>
      </c>
      <c r="AG33" s="110">
        <v>0</v>
      </c>
      <c r="AH33" s="110">
        <v>0</v>
      </c>
      <c r="AI33" s="135">
        <v>11</v>
      </c>
      <c r="AJ33" s="110">
        <v>0</v>
      </c>
      <c r="AK33" s="145">
        <v>0</v>
      </c>
      <c r="AL33" s="146">
        <f t="shared" si="0"/>
        <v>0</v>
      </c>
      <c r="AM33" s="148"/>
    </row>
    <row r="34" ht="24.95" customHeight="1" spans="1:39">
      <c r="A34" s="23">
        <v>13</v>
      </c>
      <c r="B34" s="117" t="s">
        <v>127</v>
      </c>
      <c r="C34" s="116" t="s">
        <v>128</v>
      </c>
      <c r="D34" s="23" t="s">
        <v>72</v>
      </c>
      <c r="E34" s="23">
        <v>0.4</v>
      </c>
      <c r="F34" s="110">
        <f>VLOOKUP(B34,[1]Sheet1!$B:$E,4,0)</f>
        <v>0</v>
      </c>
      <c r="G34" s="110">
        <v>0</v>
      </c>
      <c r="H34" s="110">
        <v>0</v>
      </c>
      <c r="I34" s="110">
        <v>0</v>
      </c>
      <c r="J34" s="110">
        <v>0</v>
      </c>
      <c r="K34" s="110">
        <v>0</v>
      </c>
      <c r="L34" s="110">
        <v>0</v>
      </c>
      <c r="M34" s="110">
        <v>0</v>
      </c>
      <c r="N34" s="110">
        <v>0</v>
      </c>
      <c r="O34" s="110">
        <v>0</v>
      </c>
      <c r="P34" s="110">
        <v>0</v>
      </c>
      <c r="Q34" s="110">
        <v>0</v>
      </c>
      <c r="R34" s="110">
        <v>0</v>
      </c>
      <c r="S34" s="110">
        <v>0</v>
      </c>
      <c r="T34" s="110">
        <v>0</v>
      </c>
      <c r="U34" s="110">
        <v>10</v>
      </c>
      <c r="V34" s="110">
        <v>0</v>
      </c>
      <c r="W34" s="110">
        <v>37</v>
      </c>
      <c r="X34" s="110">
        <f>57+64</f>
        <v>121</v>
      </c>
      <c r="Y34" s="110">
        <f>64+67</f>
        <v>131</v>
      </c>
      <c r="Z34" s="110">
        <f>59+67</f>
        <v>126</v>
      </c>
      <c r="AA34" s="110">
        <f>62+62</f>
        <v>124</v>
      </c>
      <c r="AB34" s="110">
        <v>61</v>
      </c>
      <c r="AC34" s="110">
        <v>0</v>
      </c>
      <c r="AD34" s="110">
        <v>0</v>
      </c>
      <c r="AE34" s="110">
        <v>0</v>
      </c>
      <c r="AF34" s="110">
        <v>0</v>
      </c>
      <c r="AG34" s="110">
        <v>0</v>
      </c>
      <c r="AH34" s="110">
        <v>0</v>
      </c>
      <c r="AI34" s="135">
        <v>12</v>
      </c>
      <c r="AJ34" s="110">
        <v>0</v>
      </c>
      <c r="AK34" s="145">
        <f t="shared" si="1"/>
        <v>622</v>
      </c>
      <c r="AL34" s="146">
        <f t="shared" si="0"/>
        <v>248.8</v>
      </c>
      <c r="AM34" s="148"/>
    </row>
    <row r="35" ht="24.95" customHeight="1" spans="1:39">
      <c r="A35" s="23">
        <v>13</v>
      </c>
      <c r="B35" s="117" t="s">
        <v>129</v>
      </c>
      <c r="C35" s="116" t="s">
        <v>130</v>
      </c>
      <c r="D35" s="23" t="s">
        <v>72</v>
      </c>
      <c r="E35" s="23">
        <v>0.4</v>
      </c>
      <c r="F35" s="110">
        <f>VLOOKUP(B35,[1]Sheet1!$B:$E,4,0)</f>
        <v>0</v>
      </c>
      <c r="G35" s="110">
        <v>0</v>
      </c>
      <c r="H35" s="110">
        <v>0</v>
      </c>
      <c r="I35" s="110">
        <v>0</v>
      </c>
      <c r="J35" s="110">
        <v>0</v>
      </c>
      <c r="K35" s="110">
        <v>0</v>
      </c>
      <c r="L35" s="110">
        <v>0</v>
      </c>
      <c r="M35" s="110">
        <v>0</v>
      </c>
      <c r="N35" s="110">
        <v>0</v>
      </c>
      <c r="O35" s="110">
        <v>0</v>
      </c>
      <c r="P35" s="110">
        <v>0</v>
      </c>
      <c r="Q35" s="110">
        <v>0</v>
      </c>
      <c r="R35" s="110">
        <v>0</v>
      </c>
      <c r="S35" s="110">
        <v>0</v>
      </c>
      <c r="T35" s="110">
        <v>0</v>
      </c>
      <c r="U35" s="110">
        <v>8</v>
      </c>
      <c r="V35" s="110">
        <v>0</v>
      </c>
      <c r="W35" s="110">
        <v>33</v>
      </c>
      <c r="X35" s="110">
        <f>55+64</f>
        <v>119</v>
      </c>
      <c r="Y35" s="110">
        <f>66+65</f>
        <v>131</v>
      </c>
      <c r="Z35" s="110">
        <f>51+65</f>
        <v>116</v>
      </c>
      <c r="AA35" s="110">
        <f>62+63</f>
        <v>125</v>
      </c>
      <c r="AB35" s="110">
        <v>15</v>
      </c>
      <c r="AC35" s="110">
        <v>0</v>
      </c>
      <c r="AD35" s="110">
        <v>0</v>
      </c>
      <c r="AE35" s="110">
        <v>0</v>
      </c>
      <c r="AF35" s="110">
        <v>0</v>
      </c>
      <c r="AG35" s="110">
        <v>0</v>
      </c>
      <c r="AH35" s="110">
        <v>0</v>
      </c>
      <c r="AI35" s="110">
        <v>0</v>
      </c>
      <c r="AJ35" s="110">
        <v>0</v>
      </c>
      <c r="AK35" s="145">
        <f t="shared" si="1"/>
        <v>547</v>
      </c>
      <c r="AL35" s="146">
        <f t="shared" si="0"/>
        <v>218.8</v>
      </c>
      <c r="AM35" s="148"/>
    </row>
    <row r="36" ht="24.95" customHeight="1" spans="1:39">
      <c r="A36" s="23">
        <v>13</v>
      </c>
      <c r="B36" s="117" t="s">
        <v>131</v>
      </c>
      <c r="C36" s="116" t="s">
        <v>132</v>
      </c>
      <c r="D36" s="23" t="s">
        <v>72</v>
      </c>
      <c r="E36" s="23">
        <v>0.133</v>
      </c>
      <c r="F36" s="110">
        <f>VLOOKUP(B36,[1]Sheet1!$B:$E,4,0)</f>
        <v>0</v>
      </c>
      <c r="G36" s="110">
        <v>0</v>
      </c>
      <c r="H36" s="110">
        <v>0</v>
      </c>
      <c r="I36" s="110">
        <v>0</v>
      </c>
      <c r="J36" s="110">
        <v>0</v>
      </c>
      <c r="K36" s="110">
        <v>0</v>
      </c>
      <c r="L36" s="110">
        <v>0</v>
      </c>
      <c r="M36" s="110">
        <v>0</v>
      </c>
      <c r="N36" s="110">
        <v>0</v>
      </c>
      <c r="O36" s="110">
        <v>0</v>
      </c>
      <c r="P36" s="110">
        <v>0</v>
      </c>
      <c r="Q36" s="110">
        <v>0</v>
      </c>
      <c r="R36" s="110">
        <v>0</v>
      </c>
      <c r="S36" s="110">
        <v>0</v>
      </c>
      <c r="T36" s="110">
        <v>0</v>
      </c>
      <c r="U36" s="110">
        <v>7</v>
      </c>
      <c r="V36" s="110">
        <v>0</v>
      </c>
      <c r="W36" s="110">
        <v>33</v>
      </c>
      <c r="X36" s="110">
        <f>55+64</f>
        <v>119</v>
      </c>
      <c r="Y36" s="110">
        <f>65+66</f>
        <v>131</v>
      </c>
      <c r="Z36" s="110">
        <f>50+66</f>
        <v>116</v>
      </c>
      <c r="AA36" s="110">
        <f>63+60</f>
        <v>123</v>
      </c>
      <c r="AB36" s="110">
        <v>14</v>
      </c>
      <c r="AC36" s="110">
        <v>0</v>
      </c>
      <c r="AD36" s="110">
        <v>0</v>
      </c>
      <c r="AE36" s="110">
        <v>0</v>
      </c>
      <c r="AF36" s="110">
        <v>0</v>
      </c>
      <c r="AG36" s="110">
        <v>0</v>
      </c>
      <c r="AH36" s="110">
        <v>0</v>
      </c>
      <c r="AI36" s="110">
        <v>0</v>
      </c>
      <c r="AJ36" s="110">
        <v>0</v>
      </c>
      <c r="AK36" s="145">
        <f>F36+G36+H36+I36+K36+L36+M36+J36+N36+O36+P36+Q36+R36+S36+T36+U36+V36+W36+X36+Y36+Z36+AA36+AB36+AC36+AD36+AE36+AF36+AG36+AH36+AI36+AJ36</f>
        <v>543</v>
      </c>
      <c r="AL36" s="146">
        <f t="shared" si="0"/>
        <v>72.219</v>
      </c>
      <c r="AM36" s="148"/>
    </row>
    <row r="37" ht="24.95" customHeight="1" spans="1:39">
      <c r="A37" s="23">
        <v>13</v>
      </c>
      <c r="B37" s="118" t="s">
        <v>133</v>
      </c>
      <c r="C37" s="119" t="s">
        <v>134</v>
      </c>
      <c r="D37" s="23" t="s">
        <v>72</v>
      </c>
      <c r="E37" s="23">
        <v>0.133</v>
      </c>
      <c r="F37" s="110">
        <f>VLOOKUP(B37,[1]Sheet1!$B:$E,4,0)</f>
        <v>0</v>
      </c>
      <c r="G37" s="110">
        <v>0</v>
      </c>
      <c r="H37" s="110">
        <v>0</v>
      </c>
      <c r="I37" s="110">
        <v>0</v>
      </c>
      <c r="J37" s="110">
        <v>0</v>
      </c>
      <c r="K37" s="110">
        <v>0</v>
      </c>
      <c r="L37" s="110">
        <v>0</v>
      </c>
      <c r="M37" s="110">
        <v>0</v>
      </c>
      <c r="N37" s="110">
        <v>0</v>
      </c>
      <c r="O37" s="110">
        <v>0</v>
      </c>
      <c r="P37" s="110">
        <v>0</v>
      </c>
      <c r="Q37" s="110">
        <v>0</v>
      </c>
      <c r="R37" s="110">
        <v>0</v>
      </c>
      <c r="S37" s="110">
        <v>0</v>
      </c>
      <c r="T37" s="110">
        <v>0</v>
      </c>
      <c r="U37" s="110">
        <v>0</v>
      </c>
      <c r="V37" s="110">
        <v>0</v>
      </c>
      <c r="W37" s="110">
        <v>0</v>
      </c>
      <c r="X37" s="110">
        <v>0</v>
      </c>
      <c r="Y37" s="110">
        <v>0</v>
      </c>
      <c r="Z37" s="110">
        <v>0</v>
      </c>
      <c r="AA37" s="110">
        <v>0</v>
      </c>
      <c r="AB37" s="110">
        <v>0</v>
      </c>
      <c r="AC37" s="110">
        <v>0</v>
      </c>
      <c r="AD37" s="110">
        <v>0</v>
      </c>
      <c r="AE37" s="110">
        <v>0</v>
      </c>
      <c r="AF37" s="110">
        <v>0</v>
      </c>
      <c r="AG37" s="110">
        <v>0</v>
      </c>
      <c r="AH37" s="110">
        <v>0</v>
      </c>
      <c r="AI37" s="110">
        <v>0</v>
      </c>
      <c r="AJ37" s="110">
        <v>0</v>
      </c>
      <c r="AK37" s="145">
        <f t="shared" si="1"/>
        <v>0</v>
      </c>
      <c r="AL37" s="146">
        <f t="shared" si="0"/>
        <v>0</v>
      </c>
      <c r="AM37" s="148"/>
    </row>
    <row r="38" ht="24.95" customHeight="1" spans="1:39">
      <c r="A38" s="23">
        <v>13</v>
      </c>
      <c r="B38" s="118" t="s">
        <v>135</v>
      </c>
      <c r="C38" s="119" t="s">
        <v>136</v>
      </c>
      <c r="D38" s="23" t="s">
        <v>72</v>
      </c>
      <c r="E38" s="23">
        <v>0.25</v>
      </c>
      <c r="F38" s="110">
        <f>VLOOKUP(B38,[1]Sheet1!$B:$E,4,0)</f>
        <v>0</v>
      </c>
      <c r="G38" s="110">
        <v>0</v>
      </c>
      <c r="H38" s="110">
        <v>0</v>
      </c>
      <c r="I38" s="110">
        <v>0</v>
      </c>
      <c r="J38" s="110">
        <v>0</v>
      </c>
      <c r="K38" s="110">
        <v>0</v>
      </c>
      <c r="L38" s="110">
        <v>0</v>
      </c>
      <c r="M38" s="110">
        <v>0</v>
      </c>
      <c r="N38" s="110">
        <v>0</v>
      </c>
      <c r="O38" s="110">
        <v>0</v>
      </c>
      <c r="P38" s="110">
        <v>0</v>
      </c>
      <c r="Q38" s="110">
        <v>0</v>
      </c>
      <c r="R38" s="110">
        <v>0</v>
      </c>
      <c r="S38" s="110">
        <v>0</v>
      </c>
      <c r="T38" s="110">
        <v>0</v>
      </c>
      <c r="U38" s="110">
        <v>0</v>
      </c>
      <c r="V38" s="110">
        <v>0</v>
      </c>
      <c r="W38" s="110">
        <v>0</v>
      </c>
      <c r="X38" s="110">
        <v>0</v>
      </c>
      <c r="Y38" s="110">
        <v>0</v>
      </c>
      <c r="Z38" s="110">
        <v>0</v>
      </c>
      <c r="AA38" s="110">
        <v>0</v>
      </c>
      <c r="AB38" s="110">
        <v>0</v>
      </c>
      <c r="AC38" s="110">
        <v>0</v>
      </c>
      <c r="AD38" s="110">
        <v>0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45">
        <f t="shared" si="1"/>
        <v>0</v>
      </c>
      <c r="AL38" s="146">
        <f t="shared" si="0"/>
        <v>0</v>
      </c>
      <c r="AM38" s="148"/>
    </row>
    <row r="39" ht="24.95" customHeight="1" spans="1:39">
      <c r="A39" s="23">
        <v>13</v>
      </c>
      <c r="B39" s="118" t="s">
        <v>137</v>
      </c>
      <c r="C39" s="119" t="s">
        <v>138</v>
      </c>
      <c r="D39" s="23" t="s">
        <v>72</v>
      </c>
      <c r="E39" s="23">
        <v>0.25</v>
      </c>
      <c r="F39" s="110">
        <f>VLOOKUP(B39,[1]Sheet1!$B:$E,4,0)</f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10">
        <v>0</v>
      </c>
      <c r="N39" s="110">
        <v>0</v>
      </c>
      <c r="O39" s="110">
        <v>0</v>
      </c>
      <c r="P39" s="110">
        <v>0</v>
      </c>
      <c r="Q39" s="110">
        <v>0</v>
      </c>
      <c r="R39" s="110">
        <v>0</v>
      </c>
      <c r="S39" s="110">
        <v>0</v>
      </c>
      <c r="T39" s="110">
        <v>0</v>
      </c>
      <c r="U39" s="110">
        <v>0</v>
      </c>
      <c r="V39" s="110">
        <v>0</v>
      </c>
      <c r="W39" s="110">
        <v>0</v>
      </c>
      <c r="X39" s="110">
        <v>0</v>
      </c>
      <c r="Y39" s="110">
        <v>0</v>
      </c>
      <c r="Z39" s="110">
        <v>0</v>
      </c>
      <c r="AA39" s="110">
        <v>0</v>
      </c>
      <c r="AB39" s="110">
        <v>0</v>
      </c>
      <c r="AC39" s="110">
        <v>0</v>
      </c>
      <c r="AD39" s="110">
        <v>0</v>
      </c>
      <c r="AE39" s="110">
        <v>0</v>
      </c>
      <c r="AF39" s="110">
        <v>0</v>
      </c>
      <c r="AG39" s="110">
        <v>0</v>
      </c>
      <c r="AH39" s="110">
        <v>0</v>
      </c>
      <c r="AI39" s="110">
        <v>0</v>
      </c>
      <c r="AJ39" s="110">
        <v>0</v>
      </c>
      <c r="AK39" s="145">
        <f t="shared" si="1"/>
        <v>0</v>
      </c>
      <c r="AL39" s="146">
        <f t="shared" si="0"/>
        <v>0</v>
      </c>
      <c r="AM39" s="148"/>
    </row>
    <row r="40" ht="24.95" customHeight="1" spans="1:39">
      <c r="A40" s="23">
        <v>13</v>
      </c>
      <c r="B40" s="118" t="s">
        <v>139</v>
      </c>
      <c r="C40" s="119" t="s">
        <v>140</v>
      </c>
      <c r="D40" s="23" t="s">
        <v>72</v>
      </c>
      <c r="E40" s="23">
        <v>0.23</v>
      </c>
      <c r="F40" s="110">
        <f>VLOOKUP(B40,[1]Sheet1!$B:$E,4,0)</f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0</v>
      </c>
      <c r="M40" s="110">
        <v>0</v>
      </c>
      <c r="N40" s="110">
        <v>0</v>
      </c>
      <c r="O40" s="110">
        <v>0</v>
      </c>
      <c r="P40" s="110">
        <v>0</v>
      </c>
      <c r="Q40" s="110">
        <v>0</v>
      </c>
      <c r="R40" s="110">
        <v>0</v>
      </c>
      <c r="S40" s="110">
        <v>0</v>
      </c>
      <c r="T40" s="110">
        <v>0</v>
      </c>
      <c r="U40" s="110">
        <v>0</v>
      </c>
      <c r="V40" s="110">
        <v>0</v>
      </c>
      <c r="W40" s="110">
        <v>0</v>
      </c>
      <c r="X40" s="110">
        <v>0</v>
      </c>
      <c r="Y40" s="110">
        <v>0</v>
      </c>
      <c r="Z40" s="110">
        <v>0</v>
      </c>
      <c r="AA40" s="110">
        <v>0</v>
      </c>
      <c r="AB40" s="110">
        <v>0</v>
      </c>
      <c r="AC40" s="110">
        <v>0</v>
      </c>
      <c r="AD40" s="110">
        <v>0</v>
      </c>
      <c r="AE40" s="110">
        <v>0</v>
      </c>
      <c r="AF40" s="110">
        <v>0</v>
      </c>
      <c r="AG40" s="110">
        <v>0</v>
      </c>
      <c r="AH40" s="110">
        <v>0</v>
      </c>
      <c r="AI40" s="110">
        <v>0</v>
      </c>
      <c r="AJ40" s="110">
        <v>0</v>
      </c>
      <c r="AK40" s="145">
        <f t="shared" ref="AK40:AK47" si="3">F40+G40+H40+I40+J40+K40+L40+M40+N40+O40+P40+Q40+R40+S40+T40+U40+V40+W40+X40+Y40+Z40+AA40+AB40+AC40+AD40+AE40+AF40+AG40+AH40+AI40+AJ40</f>
        <v>0</v>
      </c>
      <c r="AL40" s="146">
        <f t="shared" si="0"/>
        <v>0</v>
      </c>
      <c r="AM40" s="148"/>
    </row>
    <row r="41" ht="24.95" customHeight="1" spans="1:39">
      <c r="A41" s="23">
        <v>13</v>
      </c>
      <c r="B41" s="118" t="s">
        <v>141</v>
      </c>
      <c r="C41" s="119" t="s">
        <v>142</v>
      </c>
      <c r="D41" s="23" t="s">
        <v>72</v>
      </c>
      <c r="E41" s="23">
        <v>0.373</v>
      </c>
      <c r="F41" s="110">
        <f>VLOOKUP(B41,[1]Sheet1!$B:$E,4,0)</f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10">
        <v>0</v>
      </c>
      <c r="N41" s="110">
        <v>0</v>
      </c>
      <c r="O41" s="110">
        <v>0</v>
      </c>
      <c r="P41" s="110">
        <v>0</v>
      </c>
      <c r="Q41" s="110">
        <v>0</v>
      </c>
      <c r="R41" s="110">
        <v>0</v>
      </c>
      <c r="S41" s="110">
        <v>0</v>
      </c>
      <c r="T41" s="110">
        <v>0</v>
      </c>
      <c r="U41" s="110">
        <v>0</v>
      </c>
      <c r="V41" s="110">
        <v>0</v>
      </c>
      <c r="W41" s="110">
        <v>0</v>
      </c>
      <c r="X41" s="110">
        <v>0</v>
      </c>
      <c r="Y41" s="110">
        <v>0</v>
      </c>
      <c r="Z41" s="110">
        <v>0</v>
      </c>
      <c r="AA41" s="110">
        <v>0</v>
      </c>
      <c r="AB41" s="110">
        <v>0</v>
      </c>
      <c r="AC41" s="110">
        <v>0</v>
      </c>
      <c r="AD41" s="110">
        <v>0</v>
      </c>
      <c r="AE41" s="110">
        <v>0</v>
      </c>
      <c r="AF41" s="110">
        <v>0</v>
      </c>
      <c r="AG41" s="110">
        <v>0</v>
      </c>
      <c r="AH41" s="110">
        <v>0</v>
      </c>
      <c r="AI41" s="110">
        <v>0</v>
      </c>
      <c r="AJ41" s="110">
        <v>0</v>
      </c>
      <c r="AK41" s="145">
        <f t="shared" si="3"/>
        <v>0</v>
      </c>
      <c r="AL41" s="146">
        <f t="shared" si="0"/>
        <v>0</v>
      </c>
      <c r="AM41" s="148"/>
    </row>
    <row r="42" ht="24.95" customHeight="1" spans="1:39">
      <c r="A42" s="23">
        <v>13</v>
      </c>
      <c r="B42" s="117" t="s">
        <v>143</v>
      </c>
      <c r="C42" s="116" t="s">
        <v>144</v>
      </c>
      <c r="D42" s="23" t="s">
        <v>72</v>
      </c>
      <c r="E42" s="23">
        <v>0.373</v>
      </c>
      <c r="F42" s="110">
        <f>VLOOKUP(B42,[1]Sheet1!$B:$E,4,0)</f>
        <v>0</v>
      </c>
      <c r="G42" s="110">
        <v>0</v>
      </c>
      <c r="H42" s="110">
        <v>0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0">
        <v>0</v>
      </c>
      <c r="P42" s="110">
        <v>0</v>
      </c>
      <c r="Q42" s="110">
        <v>0</v>
      </c>
      <c r="R42" s="110">
        <v>0</v>
      </c>
      <c r="S42" s="110">
        <v>0</v>
      </c>
      <c r="T42" s="110">
        <v>0</v>
      </c>
      <c r="U42" s="110">
        <v>10</v>
      </c>
      <c r="V42" s="110">
        <v>0</v>
      </c>
      <c r="W42" s="110">
        <v>27</v>
      </c>
      <c r="X42" s="110">
        <f>52+65</f>
        <v>117</v>
      </c>
      <c r="Y42" s="110">
        <f>66+66</f>
        <v>132</v>
      </c>
      <c r="Z42" s="110">
        <f>65+50</f>
        <v>115</v>
      </c>
      <c r="AA42" s="110">
        <f>63+68</f>
        <v>131</v>
      </c>
      <c r="AB42" s="110">
        <v>15</v>
      </c>
      <c r="AC42" s="110">
        <v>0</v>
      </c>
      <c r="AD42" s="110">
        <v>0</v>
      </c>
      <c r="AE42" s="110">
        <v>0</v>
      </c>
      <c r="AF42" s="110">
        <v>0</v>
      </c>
      <c r="AG42" s="110">
        <v>0</v>
      </c>
      <c r="AH42" s="110">
        <v>0</v>
      </c>
      <c r="AI42" s="136">
        <v>1</v>
      </c>
      <c r="AJ42" s="110">
        <v>0</v>
      </c>
      <c r="AK42" s="145">
        <f t="shared" si="3"/>
        <v>548</v>
      </c>
      <c r="AL42" s="146">
        <f t="shared" si="0"/>
        <v>204.404</v>
      </c>
      <c r="AM42" s="148"/>
    </row>
    <row r="43" ht="24.95" customHeight="1" spans="1:39">
      <c r="A43" s="23">
        <v>13</v>
      </c>
      <c r="B43" s="118" t="s">
        <v>145</v>
      </c>
      <c r="C43" s="119" t="s">
        <v>146</v>
      </c>
      <c r="D43" s="23" t="s">
        <v>72</v>
      </c>
      <c r="E43" s="23">
        <v>0.373</v>
      </c>
      <c r="F43" s="110">
        <f>VLOOKUP(B43,[1]Sheet1!$B:$E,4,0)</f>
        <v>0</v>
      </c>
      <c r="G43" s="110">
        <v>0</v>
      </c>
      <c r="H43" s="110">
        <v>0</v>
      </c>
      <c r="I43" s="110">
        <v>0</v>
      </c>
      <c r="J43" s="110">
        <v>0</v>
      </c>
      <c r="K43" s="110">
        <v>0</v>
      </c>
      <c r="L43" s="110">
        <v>0</v>
      </c>
      <c r="M43" s="110">
        <v>0</v>
      </c>
      <c r="N43" s="110">
        <v>0</v>
      </c>
      <c r="O43" s="110">
        <v>0</v>
      </c>
      <c r="P43" s="110">
        <v>0</v>
      </c>
      <c r="Q43" s="110">
        <v>0</v>
      </c>
      <c r="R43" s="110">
        <v>0</v>
      </c>
      <c r="S43" s="110">
        <v>0</v>
      </c>
      <c r="T43" s="110">
        <v>0</v>
      </c>
      <c r="U43" s="110">
        <v>6</v>
      </c>
      <c r="V43" s="110">
        <v>0</v>
      </c>
      <c r="W43" s="110">
        <v>43</v>
      </c>
      <c r="X43" s="110">
        <f>59+65</f>
        <v>124</v>
      </c>
      <c r="Y43" s="110">
        <f>63+69</f>
        <v>132</v>
      </c>
      <c r="Z43" s="110">
        <f>66+57</f>
        <v>123</v>
      </c>
      <c r="AA43" s="110">
        <f>61+61</f>
        <v>122</v>
      </c>
      <c r="AB43" s="110">
        <v>66</v>
      </c>
      <c r="AC43" s="110">
        <v>0</v>
      </c>
      <c r="AD43" s="110">
        <v>0</v>
      </c>
      <c r="AE43" s="110">
        <v>0</v>
      </c>
      <c r="AF43" s="110">
        <v>0</v>
      </c>
      <c r="AG43" s="110">
        <v>0</v>
      </c>
      <c r="AH43" s="110">
        <v>0</v>
      </c>
      <c r="AI43" s="136">
        <v>15</v>
      </c>
      <c r="AJ43" s="110">
        <v>0</v>
      </c>
      <c r="AK43" s="145">
        <f t="shared" si="3"/>
        <v>631</v>
      </c>
      <c r="AL43" s="146">
        <f t="shared" si="0"/>
        <v>235.363</v>
      </c>
      <c r="AM43" s="148"/>
    </row>
    <row r="44" ht="24.95" customHeight="1" spans="1:39">
      <c r="A44" s="23">
        <v>13</v>
      </c>
      <c r="B44" s="117" t="s">
        <v>147</v>
      </c>
      <c r="C44" s="116" t="s">
        <v>148</v>
      </c>
      <c r="D44" s="23" t="s">
        <v>72</v>
      </c>
      <c r="E44" s="23">
        <v>0.373</v>
      </c>
      <c r="F44" s="110">
        <f>VLOOKUP(B44,[1]Sheet1!$B:$E,4,0)</f>
        <v>0</v>
      </c>
      <c r="G44" s="110">
        <v>0</v>
      </c>
      <c r="H44" s="110">
        <v>0</v>
      </c>
      <c r="I44" s="110">
        <v>0</v>
      </c>
      <c r="J44" s="110">
        <v>0</v>
      </c>
      <c r="K44" s="110">
        <v>0</v>
      </c>
      <c r="L44" s="110">
        <v>0</v>
      </c>
      <c r="M44" s="110">
        <v>0</v>
      </c>
      <c r="N44" s="110">
        <v>0</v>
      </c>
      <c r="O44" s="110">
        <v>0</v>
      </c>
      <c r="P44" s="110">
        <v>0</v>
      </c>
      <c r="Q44" s="110">
        <v>0</v>
      </c>
      <c r="R44" s="110">
        <v>0</v>
      </c>
      <c r="S44" s="110">
        <v>0</v>
      </c>
      <c r="T44" s="110">
        <v>0</v>
      </c>
      <c r="U44" s="110">
        <v>4</v>
      </c>
      <c r="V44" s="110">
        <v>0</v>
      </c>
      <c r="W44" s="110">
        <f>14+37</f>
        <v>51</v>
      </c>
      <c r="X44" s="110">
        <f>49+50</f>
        <v>99</v>
      </c>
      <c r="Y44" s="110">
        <f>63+60</f>
        <v>123</v>
      </c>
      <c r="Z44" s="110">
        <f>57+63</f>
        <v>120</v>
      </c>
      <c r="AA44" s="110">
        <f>60+48</f>
        <v>108</v>
      </c>
      <c r="AB44" s="110">
        <v>59</v>
      </c>
      <c r="AC44" s="110">
        <v>0</v>
      </c>
      <c r="AD44" s="110">
        <v>0</v>
      </c>
      <c r="AE44" s="110">
        <v>0</v>
      </c>
      <c r="AF44" s="110">
        <v>0</v>
      </c>
      <c r="AG44" s="110">
        <v>0</v>
      </c>
      <c r="AH44" s="135">
        <f>55+60</f>
        <v>115</v>
      </c>
      <c r="AI44" s="136">
        <v>16</v>
      </c>
      <c r="AJ44" s="110">
        <v>0</v>
      </c>
      <c r="AK44" s="145">
        <f t="shared" si="3"/>
        <v>695</v>
      </c>
      <c r="AL44" s="146">
        <f t="shared" si="0"/>
        <v>259.235</v>
      </c>
      <c r="AM44" s="148"/>
    </row>
    <row r="45" ht="24.95" customHeight="1" spans="1:39">
      <c r="A45" s="23">
        <v>13</v>
      </c>
      <c r="B45" s="120"/>
      <c r="C45" s="120"/>
      <c r="D45" s="23" t="s">
        <v>72</v>
      </c>
      <c r="E45" s="23">
        <v>0.4</v>
      </c>
      <c r="F45" s="110">
        <v>0</v>
      </c>
      <c r="G45" s="110">
        <v>0</v>
      </c>
      <c r="H45" s="110">
        <v>0</v>
      </c>
      <c r="I45" s="110">
        <v>0</v>
      </c>
      <c r="J45" s="110">
        <v>0</v>
      </c>
      <c r="K45" s="110">
        <v>0</v>
      </c>
      <c r="L45" s="110">
        <v>0</v>
      </c>
      <c r="M45" s="110">
        <v>0</v>
      </c>
      <c r="N45" s="110">
        <v>0</v>
      </c>
      <c r="O45" s="110">
        <v>0</v>
      </c>
      <c r="P45" s="110">
        <v>0</v>
      </c>
      <c r="Q45" s="110">
        <v>0</v>
      </c>
      <c r="R45" s="110">
        <v>0</v>
      </c>
      <c r="S45" s="110">
        <v>0</v>
      </c>
      <c r="T45" s="110">
        <v>0</v>
      </c>
      <c r="U45" s="110">
        <v>0</v>
      </c>
      <c r="V45" s="110">
        <v>0</v>
      </c>
      <c r="W45" s="110">
        <v>0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10">
        <v>0</v>
      </c>
      <c r="AD45" s="110">
        <v>0</v>
      </c>
      <c r="AE45" s="110">
        <v>0</v>
      </c>
      <c r="AF45" s="110">
        <v>0</v>
      </c>
      <c r="AG45" s="110">
        <v>0</v>
      </c>
      <c r="AH45" s="110">
        <v>0</v>
      </c>
      <c r="AI45" s="110">
        <v>0</v>
      </c>
      <c r="AJ45" s="110">
        <v>0</v>
      </c>
      <c r="AK45" s="145">
        <f t="shared" si="3"/>
        <v>0</v>
      </c>
      <c r="AL45" s="146">
        <f t="shared" si="0"/>
        <v>0</v>
      </c>
      <c r="AM45" s="148"/>
    </row>
    <row r="46" ht="24.95" customHeight="1" spans="1:39">
      <c r="A46" s="23">
        <v>13</v>
      </c>
      <c r="B46" s="120"/>
      <c r="C46" s="120" t="s">
        <v>149</v>
      </c>
      <c r="D46" s="23" t="s">
        <v>72</v>
      </c>
      <c r="E46" s="23">
        <v>0.4</v>
      </c>
      <c r="F46" s="110">
        <v>0</v>
      </c>
      <c r="G46" s="110">
        <v>0</v>
      </c>
      <c r="H46" s="110">
        <v>0</v>
      </c>
      <c r="I46" s="110">
        <v>0</v>
      </c>
      <c r="J46" s="110">
        <v>0</v>
      </c>
      <c r="K46" s="110">
        <v>0</v>
      </c>
      <c r="L46" s="110">
        <v>0</v>
      </c>
      <c r="M46" s="110">
        <v>0</v>
      </c>
      <c r="N46" s="110">
        <v>0</v>
      </c>
      <c r="O46" s="110">
        <v>0</v>
      </c>
      <c r="P46" s="110">
        <v>0</v>
      </c>
      <c r="Q46" s="110">
        <v>0</v>
      </c>
      <c r="R46" s="110">
        <v>0</v>
      </c>
      <c r="S46" s="110">
        <v>0</v>
      </c>
      <c r="T46" s="110">
        <v>0</v>
      </c>
      <c r="U46" s="110">
        <v>0</v>
      </c>
      <c r="V46" s="110">
        <v>0</v>
      </c>
      <c r="W46" s="110">
        <v>0</v>
      </c>
      <c r="X46" s="110">
        <v>0</v>
      </c>
      <c r="Y46" s="110">
        <v>0</v>
      </c>
      <c r="Z46" s="110">
        <v>0</v>
      </c>
      <c r="AA46" s="110">
        <v>0</v>
      </c>
      <c r="AB46" s="110">
        <v>0</v>
      </c>
      <c r="AC46" s="110">
        <v>0</v>
      </c>
      <c r="AD46" s="110">
        <v>0</v>
      </c>
      <c r="AE46" s="110">
        <v>0</v>
      </c>
      <c r="AF46" s="110">
        <v>0</v>
      </c>
      <c r="AG46" s="110">
        <v>0</v>
      </c>
      <c r="AH46" s="110">
        <v>0</v>
      </c>
      <c r="AI46" s="110">
        <v>0</v>
      </c>
      <c r="AJ46" s="110">
        <v>0</v>
      </c>
      <c r="AK46" s="145">
        <f>SUM(F46:AJ46)</f>
        <v>0</v>
      </c>
      <c r="AL46" s="146">
        <f t="shared" si="0"/>
        <v>0</v>
      </c>
      <c r="AM46" s="148"/>
    </row>
    <row r="47" ht="24.95" customHeight="1" spans="1:39">
      <c r="A47" s="23">
        <v>13</v>
      </c>
      <c r="B47" s="120"/>
      <c r="C47" s="120" t="s">
        <v>150</v>
      </c>
      <c r="D47" s="23" t="s">
        <v>72</v>
      </c>
      <c r="E47" s="23">
        <v>0.133</v>
      </c>
      <c r="F47" s="110">
        <v>0</v>
      </c>
      <c r="G47" s="110">
        <v>0</v>
      </c>
      <c r="H47" s="110">
        <v>0</v>
      </c>
      <c r="I47" s="110">
        <v>0</v>
      </c>
      <c r="J47" s="110">
        <v>0</v>
      </c>
      <c r="K47" s="110">
        <v>0</v>
      </c>
      <c r="L47" s="110">
        <v>0</v>
      </c>
      <c r="M47" s="110">
        <v>0</v>
      </c>
      <c r="N47" s="110">
        <v>0</v>
      </c>
      <c r="O47" s="110">
        <v>0</v>
      </c>
      <c r="P47" s="110">
        <v>0</v>
      </c>
      <c r="Q47" s="110">
        <v>0</v>
      </c>
      <c r="R47" s="110">
        <v>0</v>
      </c>
      <c r="S47" s="110">
        <v>0</v>
      </c>
      <c r="T47" s="110">
        <v>0</v>
      </c>
      <c r="U47" s="110">
        <v>0</v>
      </c>
      <c r="V47" s="110">
        <v>0</v>
      </c>
      <c r="W47" s="110">
        <v>0</v>
      </c>
      <c r="X47" s="110">
        <v>0</v>
      </c>
      <c r="Y47" s="110">
        <v>0</v>
      </c>
      <c r="Z47" s="110">
        <v>0</v>
      </c>
      <c r="AA47" s="110">
        <v>0</v>
      </c>
      <c r="AB47" s="110">
        <v>0</v>
      </c>
      <c r="AC47" s="110">
        <v>0</v>
      </c>
      <c r="AD47" s="110">
        <v>0</v>
      </c>
      <c r="AE47" s="110">
        <v>0</v>
      </c>
      <c r="AF47" s="110">
        <v>0</v>
      </c>
      <c r="AG47" s="110">
        <v>0</v>
      </c>
      <c r="AH47" s="110">
        <v>0</v>
      </c>
      <c r="AI47" s="110">
        <v>0</v>
      </c>
      <c r="AJ47" s="110">
        <v>0</v>
      </c>
      <c r="AK47" s="145">
        <f t="shared" si="3"/>
        <v>0</v>
      </c>
      <c r="AL47" s="146">
        <f t="shared" si="0"/>
        <v>0</v>
      </c>
      <c r="AM47" s="148"/>
    </row>
    <row r="48" ht="24.95" customHeight="1" spans="1:39">
      <c r="A48" s="23"/>
      <c r="B48" s="120"/>
      <c r="C48" s="120" t="s">
        <v>151</v>
      </c>
      <c r="D48" s="23" t="s">
        <v>72</v>
      </c>
      <c r="E48" s="23">
        <v>0.133</v>
      </c>
      <c r="F48" s="110">
        <v>0</v>
      </c>
      <c r="G48" s="110">
        <v>0</v>
      </c>
      <c r="H48" s="110">
        <v>0</v>
      </c>
      <c r="I48" s="110">
        <v>0</v>
      </c>
      <c r="J48" s="110">
        <v>0</v>
      </c>
      <c r="K48" s="110">
        <v>0</v>
      </c>
      <c r="L48" s="110">
        <v>0</v>
      </c>
      <c r="M48" s="110">
        <v>0</v>
      </c>
      <c r="N48" s="110">
        <v>0</v>
      </c>
      <c r="O48" s="110">
        <v>0</v>
      </c>
      <c r="P48" s="110">
        <v>0</v>
      </c>
      <c r="Q48" s="110">
        <v>0</v>
      </c>
      <c r="R48" s="110">
        <v>0</v>
      </c>
      <c r="S48" s="110">
        <v>0</v>
      </c>
      <c r="T48" s="110">
        <v>0</v>
      </c>
      <c r="U48" s="110">
        <v>0</v>
      </c>
      <c r="V48" s="110">
        <v>0</v>
      </c>
      <c r="W48" s="110">
        <v>0</v>
      </c>
      <c r="X48" s="110">
        <v>0</v>
      </c>
      <c r="Y48" s="110">
        <v>0</v>
      </c>
      <c r="Z48" s="110">
        <v>0</v>
      </c>
      <c r="AA48" s="110">
        <v>0</v>
      </c>
      <c r="AB48" s="110">
        <v>0</v>
      </c>
      <c r="AC48" s="110">
        <v>0</v>
      </c>
      <c r="AD48" s="110">
        <v>0</v>
      </c>
      <c r="AE48" s="110">
        <v>0</v>
      </c>
      <c r="AF48" s="110">
        <v>0</v>
      </c>
      <c r="AG48" s="110">
        <v>0</v>
      </c>
      <c r="AH48" s="110">
        <v>0</v>
      </c>
      <c r="AI48" s="110">
        <v>0</v>
      </c>
      <c r="AJ48" s="110">
        <v>0</v>
      </c>
      <c r="AK48" s="145">
        <f t="shared" si="1"/>
        <v>0</v>
      </c>
      <c r="AL48" s="146">
        <f t="shared" si="0"/>
        <v>0</v>
      </c>
      <c r="AM48" s="148"/>
    </row>
    <row r="49" ht="24.95" customHeight="1" spans="1:39">
      <c r="A49" s="23"/>
      <c r="B49" s="120"/>
      <c r="C49" s="120" t="s">
        <v>152</v>
      </c>
      <c r="D49" s="23" t="s">
        <v>72</v>
      </c>
      <c r="E49" s="23">
        <v>0.4</v>
      </c>
      <c r="F49" s="110">
        <v>0</v>
      </c>
      <c r="G49" s="110">
        <v>0</v>
      </c>
      <c r="H49" s="110">
        <v>0</v>
      </c>
      <c r="I49" s="110">
        <v>0</v>
      </c>
      <c r="J49" s="110">
        <v>0</v>
      </c>
      <c r="K49" s="110">
        <v>0</v>
      </c>
      <c r="L49" s="110">
        <v>0</v>
      </c>
      <c r="M49" s="110">
        <v>0</v>
      </c>
      <c r="N49" s="110">
        <v>0</v>
      </c>
      <c r="O49" s="110">
        <v>0</v>
      </c>
      <c r="P49" s="110">
        <v>0</v>
      </c>
      <c r="Q49" s="110">
        <v>0</v>
      </c>
      <c r="R49" s="110">
        <v>0</v>
      </c>
      <c r="S49" s="110">
        <v>0</v>
      </c>
      <c r="T49" s="110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10">
        <v>0</v>
      </c>
      <c r="AD49" s="110">
        <v>0</v>
      </c>
      <c r="AE49" s="110">
        <v>0</v>
      </c>
      <c r="AF49" s="110">
        <v>0</v>
      </c>
      <c r="AG49" s="110">
        <v>0</v>
      </c>
      <c r="AH49" s="110">
        <v>0</v>
      </c>
      <c r="AI49" s="110">
        <v>0</v>
      </c>
      <c r="AJ49" s="110">
        <v>0</v>
      </c>
      <c r="AK49" s="145">
        <f t="shared" si="1"/>
        <v>0</v>
      </c>
      <c r="AL49" s="146">
        <f t="shared" si="0"/>
        <v>0</v>
      </c>
      <c r="AM49" s="148"/>
    </row>
    <row r="50" ht="24.95" customHeight="1" spans="1:39">
      <c r="A50" s="23"/>
      <c r="B50" s="120"/>
      <c r="C50" s="120" t="s">
        <v>153</v>
      </c>
      <c r="D50" s="23" t="s">
        <v>72</v>
      </c>
      <c r="E50" s="23">
        <v>0.4</v>
      </c>
      <c r="F50" s="110">
        <v>0</v>
      </c>
      <c r="G50" s="110">
        <v>0</v>
      </c>
      <c r="H50" s="110">
        <v>0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110">
        <v>0</v>
      </c>
      <c r="P50" s="110">
        <v>0</v>
      </c>
      <c r="Q50" s="110">
        <v>0</v>
      </c>
      <c r="R50" s="110">
        <v>0</v>
      </c>
      <c r="S50" s="110">
        <v>0</v>
      </c>
      <c r="T50" s="110">
        <v>0</v>
      </c>
      <c r="U50" s="110">
        <v>0</v>
      </c>
      <c r="V50" s="110">
        <v>0</v>
      </c>
      <c r="W50" s="110">
        <v>0</v>
      </c>
      <c r="X50" s="110">
        <v>0</v>
      </c>
      <c r="Y50" s="110">
        <v>0</v>
      </c>
      <c r="Z50" s="110">
        <v>0</v>
      </c>
      <c r="AA50" s="110">
        <v>0</v>
      </c>
      <c r="AB50" s="110">
        <v>0</v>
      </c>
      <c r="AC50" s="110">
        <v>0</v>
      </c>
      <c r="AD50" s="110">
        <v>0</v>
      </c>
      <c r="AE50" s="110">
        <v>0</v>
      </c>
      <c r="AF50" s="110">
        <v>0</v>
      </c>
      <c r="AG50" s="110">
        <v>0</v>
      </c>
      <c r="AH50" s="110">
        <v>0</v>
      </c>
      <c r="AI50" s="110">
        <v>0</v>
      </c>
      <c r="AJ50" s="110">
        <v>0</v>
      </c>
      <c r="AK50" s="145">
        <f t="shared" si="1"/>
        <v>0</v>
      </c>
      <c r="AL50" s="146">
        <f t="shared" si="0"/>
        <v>0</v>
      </c>
      <c r="AM50" s="148"/>
    </row>
    <row r="51" ht="24.95" customHeight="1" spans="1:39">
      <c r="A51" s="23"/>
      <c r="B51" s="120"/>
      <c r="C51" s="120" t="s">
        <v>154</v>
      </c>
      <c r="D51" s="23" t="s">
        <v>72</v>
      </c>
      <c r="E51" s="23">
        <v>0.133</v>
      </c>
      <c r="F51" s="110">
        <v>0</v>
      </c>
      <c r="G51" s="110">
        <v>0</v>
      </c>
      <c r="H51" s="110">
        <v>0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0">
        <v>0</v>
      </c>
      <c r="P51" s="110">
        <v>0</v>
      </c>
      <c r="Q51" s="110">
        <v>0</v>
      </c>
      <c r="R51" s="110">
        <v>0</v>
      </c>
      <c r="S51" s="110">
        <v>0</v>
      </c>
      <c r="T51" s="110">
        <v>0</v>
      </c>
      <c r="U51" s="110">
        <v>0</v>
      </c>
      <c r="V51" s="110">
        <v>0</v>
      </c>
      <c r="W51" s="110">
        <v>0</v>
      </c>
      <c r="X51" s="110">
        <v>0</v>
      </c>
      <c r="Y51" s="110">
        <v>0</v>
      </c>
      <c r="Z51" s="110">
        <v>0</v>
      </c>
      <c r="AA51" s="110">
        <v>0</v>
      </c>
      <c r="AB51" s="110">
        <v>0</v>
      </c>
      <c r="AC51" s="110">
        <v>0</v>
      </c>
      <c r="AD51" s="110">
        <v>0</v>
      </c>
      <c r="AE51" s="110">
        <v>0</v>
      </c>
      <c r="AF51" s="110">
        <v>0</v>
      </c>
      <c r="AG51" s="110">
        <v>0</v>
      </c>
      <c r="AH51" s="110">
        <v>0</v>
      </c>
      <c r="AI51" s="110">
        <v>0</v>
      </c>
      <c r="AJ51" s="110">
        <v>0</v>
      </c>
      <c r="AK51" s="145">
        <f t="shared" si="1"/>
        <v>0</v>
      </c>
      <c r="AL51" s="146">
        <f t="shared" si="0"/>
        <v>0</v>
      </c>
      <c r="AM51" s="148"/>
    </row>
    <row r="52" ht="24.95" customHeight="1" spans="1:39">
      <c r="A52" s="23">
        <v>23</v>
      </c>
      <c r="B52" s="121"/>
      <c r="C52" s="120" t="s">
        <v>155</v>
      </c>
      <c r="D52" s="23" t="s">
        <v>72</v>
      </c>
      <c r="E52" s="23">
        <v>0.133</v>
      </c>
      <c r="F52" s="110">
        <v>0</v>
      </c>
      <c r="G52" s="110">
        <v>0</v>
      </c>
      <c r="H52" s="110">
        <v>0</v>
      </c>
      <c r="I52" s="110">
        <v>0</v>
      </c>
      <c r="J52" s="110">
        <v>0</v>
      </c>
      <c r="K52" s="110">
        <v>0</v>
      </c>
      <c r="L52" s="110">
        <v>0</v>
      </c>
      <c r="M52" s="110">
        <v>0</v>
      </c>
      <c r="N52" s="110">
        <v>0</v>
      </c>
      <c r="O52" s="110">
        <v>0</v>
      </c>
      <c r="P52" s="110">
        <v>0</v>
      </c>
      <c r="Q52" s="110">
        <v>0</v>
      </c>
      <c r="R52" s="110">
        <v>0</v>
      </c>
      <c r="S52" s="110">
        <v>0</v>
      </c>
      <c r="T52" s="110">
        <v>0</v>
      </c>
      <c r="U52" s="110">
        <v>0</v>
      </c>
      <c r="V52" s="110">
        <v>0</v>
      </c>
      <c r="W52" s="110">
        <v>0</v>
      </c>
      <c r="X52" s="110">
        <v>0</v>
      </c>
      <c r="Y52" s="110">
        <v>0</v>
      </c>
      <c r="Z52" s="110">
        <v>0</v>
      </c>
      <c r="AA52" s="110">
        <v>0</v>
      </c>
      <c r="AB52" s="110">
        <v>0</v>
      </c>
      <c r="AC52" s="110">
        <v>0</v>
      </c>
      <c r="AD52" s="110">
        <v>0</v>
      </c>
      <c r="AE52" s="110">
        <v>0</v>
      </c>
      <c r="AF52" s="110">
        <v>0</v>
      </c>
      <c r="AG52" s="110">
        <v>0</v>
      </c>
      <c r="AH52" s="110">
        <v>0</v>
      </c>
      <c r="AI52" s="110">
        <v>0</v>
      </c>
      <c r="AJ52" s="110">
        <v>0</v>
      </c>
      <c r="AK52" s="145">
        <f t="shared" si="1"/>
        <v>0</v>
      </c>
      <c r="AL52" s="146">
        <f t="shared" si="0"/>
        <v>0</v>
      </c>
      <c r="AM52" s="148"/>
    </row>
    <row r="53" ht="24.95" customHeight="1" spans="1:39">
      <c r="A53" s="23">
        <v>24</v>
      </c>
      <c r="B53" s="122"/>
      <c r="C53" s="120" t="s">
        <v>156</v>
      </c>
      <c r="D53" s="23" t="s">
        <v>72</v>
      </c>
      <c r="E53" s="23">
        <v>0.25</v>
      </c>
      <c r="F53" s="110">
        <v>0</v>
      </c>
      <c r="G53" s="110">
        <v>0</v>
      </c>
      <c r="H53" s="110">
        <v>0</v>
      </c>
      <c r="I53" s="110">
        <v>0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0">
        <v>0</v>
      </c>
      <c r="P53" s="110">
        <v>0</v>
      </c>
      <c r="Q53" s="110">
        <v>0</v>
      </c>
      <c r="R53" s="110">
        <v>0</v>
      </c>
      <c r="S53" s="110">
        <v>0</v>
      </c>
      <c r="T53" s="110">
        <v>0</v>
      </c>
      <c r="U53" s="110">
        <v>0</v>
      </c>
      <c r="V53" s="110">
        <v>0</v>
      </c>
      <c r="W53" s="110">
        <v>0</v>
      </c>
      <c r="X53" s="110">
        <v>0</v>
      </c>
      <c r="Y53" s="110">
        <v>0</v>
      </c>
      <c r="Z53" s="110">
        <v>0</v>
      </c>
      <c r="AA53" s="110">
        <v>0</v>
      </c>
      <c r="AB53" s="110">
        <v>0</v>
      </c>
      <c r="AC53" s="110">
        <v>0</v>
      </c>
      <c r="AD53" s="110">
        <v>0</v>
      </c>
      <c r="AE53" s="110">
        <v>0</v>
      </c>
      <c r="AF53" s="110">
        <v>0</v>
      </c>
      <c r="AG53" s="110">
        <v>0</v>
      </c>
      <c r="AH53" s="110">
        <v>0</v>
      </c>
      <c r="AI53" s="110">
        <v>0</v>
      </c>
      <c r="AJ53" s="110">
        <v>0</v>
      </c>
      <c r="AK53" s="145">
        <f t="shared" si="1"/>
        <v>0</v>
      </c>
      <c r="AL53" s="146">
        <f t="shared" si="0"/>
        <v>0</v>
      </c>
      <c r="AM53" s="148"/>
    </row>
    <row r="54" ht="24.95" customHeight="1" spans="1:39">
      <c r="A54" s="23">
        <v>25</v>
      </c>
      <c r="B54" s="122"/>
      <c r="C54" s="120" t="s">
        <v>157</v>
      </c>
      <c r="D54" s="23" t="s">
        <v>72</v>
      </c>
      <c r="E54" s="23">
        <v>0.25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0">
        <v>0</v>
      </c>
      <c r="P54" s="110">
        <v>0</v>
      </c>
      <c r="Q54" s="110">
        <v>0</v>
      </c>
      <c r="R54" s="110">
        <v>0</v>
      </c>
      <c r="S54" s="110">
        <v>0</v>
      </c>
      <c r="T54" s="110">
        <v>0</v>
      </c>
      <c r="U54" s="110">
        <v>0</v>
      </c>
      <c r="V54" s="110">
        <v>0</v>
      </c>
      <c r="W54" s="110">
        <v>0</v>
      </c>
      <c r="X54" s="110">
        <v>0</v>
      </c>
      <c r="Y54" s="110">
        <v>0</v>
      </c>
      <c r="Z54" s="110">
        <v>0</v>
      </c>
      <c r="AA54" s="110">
        <v>0</v>
      </c>
      <c r="AB54" s="110">
        <v>0</v>
      </c>
      <c r="AC54" s="110">
        <v>0</v>
      </c>
      <c r="AD54" s="110">
        <v>0</v>
      </c>
      <c r="AE54" s="110">
        <v>0</v>
      </c>
      <c r="AF54" s="110">
        <v>0</v>
      </c>
      <c r="AG54" s="110">
        <v>0</v>
      </c>
      <c r="AH54" s="110">
        <v>0</v>
      </c>
      <c r="AI54" s="110">
        <v>0</v>
      </c>
      <c r="AJ54" s="110">
        <v>0</v>
      </c>
      <c r="AK54" s="145">
        <f t="shared" si="1"/>
        <v>0</v>
      </c>
      <c r="AL54" s="146">
        <f t="shared" si="0"/>
        <v>0</v>
      </c>
      <c r="AM54" s="148"/>
    </row>
    <row r="55" ht="24.95" customHeight="1" spans="1:39">
      <c r="A55" s="23">
        <v>26</v>
      </c>
      <c r="B55" s="120"/>
      <c r="C55" s="120"/>
      <c r="D55" s="23" t="s">
        <v>72</v>
      </c>
      <c r="E55" s="23">
        <v>0.23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0</v>
      </c>
      <c r="P55" s="110">
        <v>0</v>
      </c>
      <c r="Q55" s="110">
        <v>0</v>
      </c>
      <c r="R55" s="110">
        <v>0</v>
      </c>
      <c r="S55" s="110">
        <v>0</v>
      </c>
      <c r="T55" s="110">
        <v>0</v>
      </c>
      <c r="U55" s="110">
        <v>0</v>
      </c>
      <c r="V55" s="110">
        <v>0</v>
      </c>
      <c r="W55" s="110">
        <v>0</v>
      </c>
      <c r="X55" s="110">
        <v>0</v>
      </c>
      <c r="Y55" s="110">
        <v>0</v>
      </c>
      <c r="Z55" s="110">
        <v>0</v>
      </c>
      <c r="AA55" s="110">
        <v>0</v>
      </c>
      <c r="AB55" s="110">
        <v>0</v>
      </c>
      <c r="AC55" s="110">
        <v>0</v>
      </c>
      <c r="AD55" s="110">
        <v>0</v>
      </c>
      <c r="AE55" s="110">
        <v>0</v>
      </c>
      <c r="AF55" s="110">
        <v>0</v>
      </c>
      <c r="AG55" s="110">
        <v>0</v>
      </c>
      <c r="AH55" s="110">
        <v>0</v>
      </c>
      <c r="AI55" s="110">
        <v>0</v>
      </c>
      <c r="AJ55" s="110">
        <v>0</v>
      </c>
      <c r="AK55" s="145">
        <f t="shared" si="1"/>
        <v>0</v>
      </c>
      <c r="AL55" s="146">
        <f t="shared" si="0"/>
        <v>0</v>
      </c>
      <c r="AM55" s="148"/>
    </row>
    <row r="56" ht="24.95" customHeight="1" spans="1:39">
      <c r="A56" s="23">
        <v>27</v>
      </c>
      <c r="B56" s="123" t="s">
        <v>147</v>
      </c>
      <c r="C56" s="116" t="s">
        <v>148</v>
      </c>
      <c r="D56" s="23" t="s">
        <v>72</v>
      </c>
      <c r="E56" s="23">
        <v>0.373</v>
      </c>
      <c r="F56" s="110">
        <v>0</v>
      </c>
      <c r="G56" s="110">
        <v>0</v>
      </c>
      <c r="H56" s="110">
        <v>0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0</v>
      </c>
      <c r="P56" s="110">
        <v>0</v>
      </c>
      <c r="Q56" s="110">
        <v>0</v>
      </c>
      <c r="R56" s="110">
        <v>0</v>
      </c>
      <c r="S56" s="110">
        <v>0</v>
      </c>
      <c r="T56" s="110">
        <v>0</v>
      </c>
      <c r="U56" s="110">
        <v>0</v>
      </c>
      <c r="V56" s="110">
        <v>0</v>
      </c>
      <c r="W56" s="110">
        <v>0</v>
      </c>
      <c r="X56" s="110">
        <v>0</v>
      </c>
      <c r="Y56" s="110">
        <v>0</v>
      </c>
      <c r="Z56" s="110">
        <v>0</v>
      </c>
      <c r="AA56" s="110">
        <v>0</v>
      </c>
      <c r="AB56" s="110">
        <v>0</v>
      </c>
      <c r="AC56" s="110">
        <v>0</v>
      </c>
      <c r="AD56" s="110">
        <v>0</v>
      </c>
      <c r="AE56" s="110">
        <v>0</v>
      </c>
      <c r="AF56" s="110">
        <v>0</v>
      </c>
      <c r="AG56" s="110">
        <v>0</v>
      </c>
      <c r="AH56" s="110">
        <v>0</v>
      </c>
      <c r="AI56" s="110">
        <v>0</v>
      </c>
      <c r="AJ56" s="110">
        <v>0</v>
      </c>
      <c r="AK56" s="145">
        <f t="shared" si="1"/>
        <v>0</v>
      </c>
      <c r="AL56" s="146">
        <f t="shared" si="0"/>
        <v>0</v>
      </c>
      <c r="AM56" s="148"/>
    </row>
    <row r="57" ht="24.95" customHeight="1" spans="1:39">
      <c r="A57" s="23"/>
      <c r="B57" s="123"/>
      <c r="C57" s="120"/>
      <c r="D57" s="23" t="s">
        <v>72</v>
      </c>
      <c r="E57" s="23">
        <v>0.373</v>
      </c>
      <c r="F57" s="110">
        <v>0</v>
      </c>
      <c r="G57" s="110">
        <v>0</v>
      </c>
      <c r="H57" s="110">
        <v>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0">
        <v>0</v>
      </c>
      <c r="P57" s="110">
        <v>0</v>
      </c>
      <c r="Q57" s="110">
        <v>0</v>
      </c>
      <c r="R57" s="110">
        <v>0</v>
      </c>
      <c r="S57" s="110">
        <v>0</v>
      </c>
      <c r="T57" s="110">
        <v>0</v>
      </c>
      <c r="U57" s="110">
        <v>0</v>
      </c>
      <c r="V57" s="110">
        <v>0</v>
      </c>
      <c r="W57" s="110">
        <v>0</v>
      </c>
      <c r="X57" s="110">
        <v>0</v>
      </c>
      <c r="Y57" s="110">
        <v>0</v>
      </c>
      <c r="Z57" s="110">
        <v>0</v>
      </c>
      <c r="AA57" s="110">
        <v>0</v>
      </c>
      <c r="AB57" s="110">
        <v>0</v>
      </c>
      <c r="AC57" s="110">
        <v>0</v>
      </c>
      <c r="AD57" s="110">
        <v>0</v>
      </c>
      <c r="AE57" s="110">
        <v>0</v>
      </c>
      <c r="AF57" s="110">
        <v>0</v>
      </c>
      <c r="AG57" s="110">
        <v>0</v>
      </c>
      <c r="AH57" s="110">
        <v>0</v>
      </c>
      <c r="AI57" s="110">
        <v>0</v>
      </c>
      <c r="AJ57" s="110">
        <v>0</v>
      </c>
      <c r="AK57" s="145">
        <f t="shared" si="1"/>
        <v>0</v>
      </c>
      <c r="AL57" s="146">
        <f t="shared" si="0"/>
        <v>0</v>
      </c>
      <c r="AM57" s="148"/>
    </row>
    <row r="58" ht="24.95" customHeight="1" spans="1:39">
      <c r="A58" s="23"/>
      <c r="B58" s="123"/>
      <c r="C58" s="120" t="s">
        <v>158</v>
      </c>
      <c r="D58" s="23" t="s">
        <v>72</v>
      </c>
      <c r="E58" s="23">
        <v>0.373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10">
        <v>0</v>
      </c>
      <c r="N58" s="110">
        <v>0</v>
      </c>
      <c r="O58" s="110">
        <v>0</v>
      </c>
      <c r="P58" s="110">
        <v>0</v>
      </c>
      <c r="Q58" s="110">
        <v>0</v>
      </c>
      <c r="R58" s="110">
        <v>0</v>
      </c>
      <c r="S58" s="110">
        <v>0</v>
      </c>
      <c r="T58" s="110">
        <v>0</v>
      </c>
      <c r="U58" s="110">
        <v>0</v>
      </c>
      <c r="V58" s="110">
        <v>0</v>
      </c>
      <c r="W58" s="110">
        <v>0</v>
      </c>
      <c r="X58" s="110">
        <v>0</v>
      </c>
      <c r="Y58" s="110">
        <v>0</v>
      </c>
      <c r="Z58" s="110">
        <v>0</v>
      </c>
      <c r="AA58" s="110">
        <v>0</v>
      </c>
      <c r="AB58" s="110">
        <v>0</v>
      </c>
      <c r="AC58" s="110">
        <v>0</v>
      </c>
      <c r="AD58" s="110">
        <v>0</v>
      </c>
      <c r="AE58" s="110">
        <v>0</v>
      </c>
      <c r="AF58" s="110">
        <v>0</v>
      </c>
      <c r="AG58" s="110">
        <v>0</v>
      </c>
      <c r="AH58" s="110">
        <v>0</v>
      </c>
      <c r="AI58" s="110">
        <v>0</v>
      </c>
      <c r="AJ58" s="110">
        <v>0</v>
      </c>
      <c r="AK58" s="145">
        <f t="shared" si="1"/>
        <v>0</v>
      </c>
      <c r="AL58" s="146">
        <f t="shared" si="0"/>
        <v>0</v>
      </c>
      <c r="AM58" s="148"/>
    </row>
    <row r="59" ht="24.95" customHeight="1" spans="1:39">
      <c r="A59" s="23"/>
      <c r="B59" s="123"/>
      <c r="C59" s="120" t="s">
        <v>159</v>
      </c>
      <c r="D59" s="23" t="s">
        <v>72</v>
      </c>
      <c r="E59" s="23">
        <v>0.373</v>
      </c>
      <c r="F59" s="110">
        <v>0</v>
      </c>
      <c r="G59" s="110">
        <v>0</v>
      </c>
      <c r="H59" s="110">
        <v>0</v>
      </c>
      <c r="I59" s="110">
        <v>0</v>
      </c>
      <c r="J59" s="110">
        <v>0</v>
      </c>
      <c r="K59" s="110">
        <v>0</v>
      </c>
      <c r="L59" s="110">
        <v>0</v>
      </c>
      <c r="M59" s="110">
        <v>0</v>
      </c>
      <c r="N59" s="110">
        <v>0</v>
      </c>
      <c r="O59" s="110">
        <v>0</v>
      </c>
      <c r="P59" s="110">
        <v>0</v>
      </c>
      <c r="Q59" s="110">
        <v>0</v>
      </c>
      <c r="R59" s="110">
        <v>0</v>
      </c>
      <c r="S59" s="110">
        <v>0</v>
      </c>
      <c r="T59" s="110">
        <v>0</v>
      </c>
      <c r="U59" s="110">
        <v>0</v>
      </c>
      <c r="V59" s="110">
        <v>0</v>
      </c>
      <c r="W59" s="110">
        <v>0</v>
      </c>
      <c r="X59" s="110">
        <v>0</v>
      </c>
      <c r="Y59" s="110">
        <v>0</v>
      </c>
      <c r="Z59" s="110">
        <v>0</v>
      </c>
      <c r="AA59" s="110">
        <v>0</v>
      </c>
      <c r="AB59" s="110">
        <v>0</v>
      </c>
      <c r="AC59" s="110">
        <v>0</v>
      </c>
      <c r="AD59" s="110">
        <v>0</v>
      </c>
      <c r="AE59" s="110">
        <v>0</v>
      </c>
      <c r="AF59" s="110">
        <v>0</v>
      </c>
      <c r="AG59" s="110">
        <v>0</v>
      </c>
      <c r="AH59" s="110">
        <v>0</v>
      </c>
      <c r="AI59" s="110">
        <v>0</v>
      </c>
      <c r="AJ59" s="110">
        <v>0</v>
      </c>
      <c r="AK59" s="145">
        <f t="shared" si="1"/>
        <v>0</v>
      </c>
      <c r="AL59" s="146">
        <f t="shared" si="0"/>
        <v>0</v>
      </c>
      <c r="AM59" s="148"/>
    </row>
    <row r="60" ht="24.95" customHeight="1" spans="1:39">
      <c r="A60" s="23">
        <v>28</v>
      </c>
      <c r="B60" s="123" t="s">
        <v>160</v>
      </c>
      <c r="C60" s="124" t="s">
        <v>161</v>
      </c>
      <c r="D60" s="23" t="s">
        <v>72</v>
      </c>
      <c r="E60" s="23">
        <v>0.133</v>
      </c>
      <c r="F60" s="110">
        <v>0</v>
      </c>
      <c r="G60" s="110">
        <v>0</v>
      </c>
      <c r="H60" s="110">
        <v>0</v>
      </c>
      <c r="I60" s="110">
        <v>0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110">
        <v>0</v>
      </c>
      <c r="P60" s="110">
        <v>0</v>
      </c>
      <c r="Q60" s="110">
        <v>0</v>
      </c>
      <c r="R60" s="110">
        <v>0</v>
      </c>
      <c r="S60" s="110">
        <v>0</v>
      </c>
      <c r="T60" s="110">
        <v>0</v>
      </c>
      <c r="U60" s="110">
        <v>0</v>
      </c>
      <c r="V60" s="110">
        <v>0</v>
      </c>
      <c r="W60" s="110">
        <v>0</v>
      </c>
      <c r="X60" s="110">
        <v>0</v>
      </c>
      <c r="Y60" s="110">
        <v>0</v>
      </c>
      <c r="Z60" s="110">
        <v>0</v>
      </c>
      <c r="AA60" s="110">
        <v>0</v>
      </c>
      <c r="AB60" s="110">
        <v>0</v>
      </c>
      <c r="AC60" s="110">
        <v>0</v>
      </c>
      <c r="AD60" s="110">
        <v>0</v>
      </c>
      <c r="AE60" s="110">
        <v>0</v>
      </c>
      <c r="AF60" s="110">
        <v>0</v>
      </c>
      <c r="AG60" s="110">
        <v>0</v>
      </c>
      <c r="AH60" s="110">
        <v>0</v>
      </c>
      <c r="AI60" s="110">
        <v>0</v>
      </c>
      <c r="AJ60" s="110">
        <v>0</v>
      </c>
      <c r="AK60" s="145">
        <f t="shared" ref="AK60:AK69" si="4">F60+G60+H60+I60+J60+K60+L60+M60+N60+O60+P60+Q60+R60+S60+T60+U60+V60+W60+X60+Y60+Z60+AA60+AB60+AC60+AD60+AE60+AF60+AG60+AH60+AI60+AJ60</f>
        <v>0</v>
      </c>
      <c r="AL60" s="146">
        <f t="shared" ref="AL60:AL69" si="5">AK60*E60</f>
        <v>0</v>
      </c>
      <c r="AM60" s="148"/>
    </row>
    <row r="61" ht="24.95" customHeight="1" spans="1:39">
      <c r="A61" s="23">
        <v>29</v>
      </c>
      <c r="B61" s="123" t="s">
        <v>162</v>
      </c>
      <c r="C61" s="124" t="s">
        <v>163</v>
      </c>
      <c r="D61" s="23" t="s">
        <v>72</v>
      </c>
      <c r="E61" s="23">
        <v>0.133</v>
      </c>
      <c r="F61" s="110">
        <v>0</v>
      </c>
      <c r="G61" s="110">
        <v>0</v>
      </c>
      <c r="H61" s="110">
        <v>0</v>
      </c>
      <c r="I61" s="110">
        <v>0</v>
      </c>
      <c r="J61" s="110">
        <v>0</v>
      </c>
      <c r="K61" s="110">
        <v>0</v>
      </c>
      <c r="L61" s="110">
        <v>0</v>
      </c>
      <c r="M61" s="110">
        <v>0</v>
      </c>
      <c r="N61" s="110">
        <v>0</v>
      </c>
      <c r="O61" s="110">
        <v>0</v>
      </c>
      <c r="P61" s="110">
        <v>0</v>
      </c>
      <c r="Q61" s="110">
        <v>0</v>
      </c>
      <c r="R61" s="110">
        <v>0</v>
      </c>
      <c r="S61" s="110">
        <v>0</v>
      </c>
      <c r="T61" s="110">
        <v>0</v>
      </c>
      <c r="U61" s="110">
        <v>0</v>
      </c>
      <c r="V61" s="110">
        <v>0</v>
      </c>
      <c r="W61" s="110">
        <v>0</v>
      </c>
      <c r="X61" s="110">
        <v>0</v>
      </c>
      <c r="Y61" s="110">
        <v>0</v>
      </c>
      <c r="Z61" s="110">
        <v>0</v>
      </c>
      <c r="AA61" s="110">
        <v>0</v>
      </c>
      <c r="AB61" s="110">
        <v>0</v>
      </c>
      <c r="AC61" s="110">
        <v>0</v>
      </c>
      <c r="AD61" s="110">
        <v>0</v>
      </c>
      <c r="AE61" s="110">
        <v>0</v>
      </c>
      <c r="AF61" s="110">
        <v>0</v>
      </c>
      <c r="AG61" s="110">
        <v>0</v>
      </c>
      <c r="AH61" s="110">
        <v>0</v>
      </c>
      <c r="AI61" s="110">
        <v>0</v>
      </c>
      <c r="AJ61" s="110">
        <v>0</v>
      </c>
      <c r="AK61" s="145">
        <f t="shared" si="4"/>
        <v>0</v>
      </c>
      <c r="AL61" s="146">
        <f t="shared" si="5"/>
        <v>0</v>
      </c>
      <c r="AM61" s="148"/>
    </row>
    <row r="62" ht="24.95" customHeight="1" spans="1:39">
      <c r="A62" s="23">
        <v>30</v>
      </c>
      <c r="B62" s="123" t="s">
        <v>164</v>
      </c>
      <c r="C62" s="124" t="s">
        <v>165</v>
      </c>
      <c r="D62" s="23" t="s">
        <v>72</v>
      </c>
      <c r="E62" s="23">
        <v>0.373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0">
        <v>0</v>
      </c>
      <c r="P62" s="110">
        <v>0</v>
      </c>
      <c r="Q62" s="110">
        <v>0</v>
      </c>
      <c r="R62" s="110">
        <v>0</v>
      </c>
      <c r="S62" s="110">
        <v>0</v>
      </c>
      <c r="T62" s="110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10">
        <v>0</v>
      </c>
      <c r="AD62" s="110">
        <v>0</v>
      </c>
      <c r="AE62" s="110">
        <v>0</v>
      </c>
      <c r="AF62" s="110">
        <v>0</v>
      </c>
      <c r="AG62" s="110">
        <v>0</v>
      </c>
      <c r="AH62" s="110">
        <v>0</v>
      </c>
      <c r="AI62" s="110">
        <v>0</v>
      </c>
      <c r="AJ62" s="110">
        <v>0</v>
      </c>
      <c r="AK62" s="145">
        <f t="shared" si="4"/>
        <v>0</v>
      </c>
      <c r="AL62" s="146">
        <f t="shared" si="5"/>
        <v>0</v>
      </c>
      <c r="AM62" s="148"/>
    </row>
    <row r="63" ht="24.95" customHeight="1" spans="1:39">
      <c r="A63" s="23">
        <v>31</v>
      </c>
      <c r="B63" s="123" t="s">
        <v>166</v>
      </c>
      <c r="C63" s="124" t="s">
        <v>167</v>
      </c>
      <c r="D63" s="23" t="s">
        <v>72</v>
      </c>
      <c r="E63" s="23">
        <v>0.373</v>
      </c>
      <c r="F63" s="110">
        <v>0</v>
      </c>
      <c r="G63" s="110">
        <v>0</v>
      </c>
      <c r="H63" s="110">
        <v>0</v>
      </c>
      <c r="I63" s="110">
        <v>0</v>
      </c>
      <c r="J63" s="110">
        <v>0</v>
      </c>
      <c r="K63" s="110">
        <v>0</v>
      </c>
      <c r="L63" s="110">
        <v>0</v>
      </c>
      <c r="M63" s="110">
        <v>0</v>
      </c>
      <c r="N63" s="110">
        <v>0</v>
      </c>
      <c r="O63" s="110">
        <v>0</v>
      </c>
      <c r="P63" s="110">
        <v>0</v>
      </c>
      <c r="Q63" s="110">
        <v>0</v>
      </c>
      <c r="R63" s="110">
        <v>0</v>
      </c>
      <c r="S63" s="110">
        <v>0</v>
      </c>
      <c r="T63" s="110">
        <v>0</v>
      </c>
      <c r="U63" s="110">
        <v>0</v>
      </c>
      <c r="V63" s="110">
        <v>0</v>
      </c>
      <c r="W63" s="110">
        <v>0</v>
      </c>
      <c r="X63" s="110">
        <v>0</v>
      </c>
      <c r="Y63" s="110">
        <v>0</v>
      </c>
      <c r="Z63" s="110">
        <v>0</v>
      </c>
      <c r="AA63" s="110">
        <v>0</v>
      </c>
      <c r="AB63" s="110">
        <v>0</v>
      </c>
      <c r="AC63" s="110">
        <v>0</v>
      </c>
      <c r="AD63" s="110">
        <v>0</v>
      </c>
      <c r="AE63" s="110">
        <v>0</v>
      </c>
      <c r="AF63" s="110">
        <v>0</v>
      </c>
      <c r="AG63" s="110">
        <v>0</v>
      </c>
      <c r="AH63" s="110">
        <v>0</v>
      </c>
      <c r="AI63" s="110">
        <v>0</v>
      </c>
      <c r="AJ63" s="110">
        <v>0</v>
      </c>
      <c r="AK63" s="145">
        <f t="shared" si="4"/>
        <v>0</v>
      </c>
      <c r="AL63" s="146">
        <f t="shared" si="5"/>
        <v>0</v>
      </c>
      <c r="AM63" s="148"/>
    </row>
    <row r="64" ht="24.95" customHeight="1" spans="1:39">
      <c r="A64" s="23">
        <v>32</v>
      </c>
      <c r="B64" s="123" t="s">
        <v>168</v>
      </c>
      <c r="C64" s="124" t="s">
        <v>153</v>
      </c>
      <c r="D64" s="23" t="s">
        <v>72</v>
      </c>
      <c r="E64" s="23">
        <v>0.373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  <c r="O64" s="110">
        <v>0</v>
      </c>
      <c r="P64" s="110">
        <v>0</v>
      </c>
      <c r="Q64" s="110">
        <v>0</v>
      </c>
      <c r="R64" s="110">
        <v>0</v>
      </c>
      <c r="S64" s="110">
        <v>0</v>
      </c>
      <c r="T64" s="110">
        <v>0</v>
      </c>
      <c r="U64" s="110">
        <v>0</v>
      </c>
      <c r="V64" s="110">
        <v>0</v>
      </c>
      <c r="W64" s="110">
        <v>0</v>
      </c>
      <c r="X64" s="110">
        <v>0</v>
      </c>
      <c r="Y64" s="110">
        <v>0</v>
      </c>
      <c r="Z64" s="110">
        <v>0</v>
      </c>
      <c r="AA64" s="110">
        <v>0</v>
      </c>
      <c r="AB64" s="110">
        <v>0</v>
      </c>
      <c r="AC64" s="110">
        <v>0</v>
      </c>
      <c r="AD64" s="110">
        <v>0</v>
      </c>
      <c r="AE64" s="110">
        <v>0</v>
      </c>
      <c r="AF64" s="110">
        <v>0</v>
      </c>
      <c r="AG64" s="110">
        <v>0</v>
      </c>
      <c r="AH64" s="110">
        <v>0</v>
      </c>
      <c r="AI64" s="110">
        <v>0</v>
      </c>
      <c r="AJ64" s="110">
        <v>0</v>
      </c>
      <c r="AK64" s="145">
        <f t="shared" si="4"/>
        <v>0</v>
      </c>
      <c r="AL64" s="146">
        <f t="shared" si="5"/>
        <v>0</v>
      </c>
      <c r="AM64" s="148"/>
    </row>
    <row r="65" ht="24.95" customHeight="1" spans="1:39">
      <c r="A65" s="23">
        <v>33</v>
      </c>
      <c r="B65" s="123" t="s">
        <v>169</v>
      </c>
      <c r="C65" s="124" t="s">
        <v>170</v>
      </c>
      <c r="D65" s="23" t="s">
        <v>72</v>
      </c>
      <c r="E65" s="23">
        <v>0.373</v>
      </c>
      <c r="F65" s="110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0</v>
      </c>
      <c r="M65" s="110">
        <v>0</v>
      </c>
      <c r="N65" s="110">
        <v>0</v>
      </c>
      <c r="O65" s="110">
        <v>0</v>
      </c>
      <c r="P65" s="110">
        <v>0</v>
      </c>
      <c r="Q65" s="110">
        <v>0</v>
      </c>
      <c r="R65" s="110">
        <v>0</v>
      </c>
      <c r="S65" s="110">
        <v>0</v>
      </c>
      <c r="T65" s="110">
        <v>0</v>
      </c>
      <c r="U65" s="110">
        <v>0</v>
      </c>
      <c r="V65" s="110">
        <v>0</v>
      </c>
      <c r="W65" s="110">
        <v>0</v>
      </c>
      <c r="X65" s="110">
        <v>0</v>
      </c>
      <c r="Y65" s="110">
        <v>0</v>
      </c>
      <c r="Z65" s="110">
        <v>0</v>
      </c>
      <c r="AA65" s="110">
        <v>0</v>
      </c>
      <c r="AB65" s="110">
        <v>0</v>
      </c>
      <c r="AC65" s="110">
        <v>0</v>
      </c>
      <c r="AD65" s="110">
        <v>0</v>
      </c>
      <c r="AE65" s="110">
        <v>0</v>
      </c>
      <c r="AF65" s="110">
        <v>0</v>
      </c>
      <c r="AG65" s="110">
        <v>0</v>
      </c>
      <c r="AH65" s="110">
        <v>0</v>
      </c>
      <c r="AI65" s="110">
        <v>0</v>
      </c>
      <c r="AJ65" s="110">
        <v>0</v>
      </c>
      <c r="AK65" s="145">
        <f t="shared" si="4"/>
        <v>0</v>
      </c>
      <c r="AL65" s="146">
        <f t="shared" si="5"/>
        <v>0</v>
      </c>
      <c r="AM65" s="148"/>
    </row>
    <row r="66" ht="24.95" customHeight="1" spans="1:39">
      <c r="A66" s="23">
        <v>34</v>
      </c>
      <c r="B66" s="123" t="s">
        <v>171</v>
      </c>
      <c r="C66" s="124" t="s">
        <v>172</v>
      </c>
      <c r="D66" s="23" t="s">
        <v>72</v>
      </c>
      <c r="E66" s="23">
        <v>0.373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0">
        <v>0</v>
      </c>
      <c r="P66" s="110">
        <v>0</v>
      </c>
      <c r="Q66" s="110">
        <v>0</v>
      </c>
      <c r="R66" s="110">
        <v>0</v>
      </c>
      <c r="S66" s="110">
        <v>0</v>
      </c>
      <c r="T66" s="110">
        <v>0</v>
      </c>
      <c r="U66" s="110">
        <v>0</v>
      </c>
      <c r="V66" s="110">
        <v>0</v>
      </c>
      <c r="W66" s="110">
        <v>0</v>
      </c>
      <c r="X66" s="110">
        <v>0</v>
      </c>
      <c r="Y66" s="110">
        <v>0</v>
      </c>
      <c r="Z66" s="110">
        <v>0</v>
      </c>
      <c r="AA66" s="110">
        <v>0</v>
      </c>
      <c r="AB66" s="110">
        <v>0</v>
      </c>
      <c r="AC66" s="110">
        <v>0</v>
      </c>
      <c r="AD66" s="110">
        <v>0</v>
      </c>
      <c r="AE66" s="110">
        <v>0</v>
      </c>
      <c r="AF66" s="110">
        <v>0</v>
      </c>
      <c r="AG66" s="110">
        <v>0</v>
      </c>
      <c r="AH66" s="110">
        <v>0</v>
      </c>
      <c r="AI66" s="110">
        <v>0</v>
      </c>
      <c r="AJ66" s="110">
        <v>0</v>
      </c>
      <c r="AK66" s="145">
        <f t="shared" si="4"/>
        <v>0</v>
      </c>
      <c r="AL66" s="146">
        <f t="shared" si="5"/>
        <v>0</v>
      </c>
      <c r="AM66" s="177"/>
    </row>
    <row r="67" ht="24.95" customHeight="1" spans="1:39">
      <c r="A67" s="23">
        <v>35</v>
      </c>
      <c r="B67" s="123" t="s">
        <v>173</v>
      </c>
      <c r="C67" s="124" t="s">
        <v>174</v>
      </c>
      <c r="D67" s="23" t="s">
        <v>72</v>
      </c>
      <c r="E67" s="23">
        <v>0.373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0">
        <v>0</v>
      </c>
      <c r="T67" s="110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10">
        <v>0</v>
      </c>
      <c r="AD67" s="110">
        <v>0</v>
      </c>
      <c r="AE67" s="110">
        <v>0</v>
      </c>
      <c r="AF67" s="110">
        <v>0</v>
      </c>
      <c r="AG67" s="110">
        <v>0</v>
      </c>
      <c r="AH67" s="110">
        <v>0</v>
      </c>
      <c r="AI67" s="110">
        <v>0</v>
      </c>
      <c r="AJ67" s="110">
        <v>0</v>
      </c>
      <c r="AK67" s="145">
        <f t="shared" si="4"/>
        <v>0</v>
      </c>
      <c r="AL67" s="146">
        <f t="shared" si="5"/>
        <v>0</v>
      </c>
      <c r="AM67" s="177"/>
    </row>
    <row r="68" ht="24.95" customHeight="1" spans="1:39">
      <c r="A68" s="23">
        <v>36</v>
      </c>
      <c r="B68" s="123"/>
      <c r="C68" s="124" t="s">
        <v>175</v>
      </c>
      <c r="D68" s="23" t="s">
        <v>72</v>
      </c>
      <c r="E68" s="23">
        <v>0.373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10">
        <v>0</v>
      </c>
      <c r="N68" s="110">
        <v>0</v>
      </c>
      <c r="O68" s="110">
        <v>0</v>
      </c>
      <c r="P68" s="110">
        <v>0</v>
      </c>
      <c r="Q68" s="110">
        <v>0</v>
      </c>
      <c r="R68" s="110">
        <v>0</v>
      </c>
      <c r="S68" s="110">
        <v>0</v>
      </c>
      <c r="T68" s="110">
        <v>0</v>
      </c>
      <c r="U68" s="110">
        <v>0</v>
      </c>
      <c r="V68" s="110">
        <v>0</v>
      </c>
      <c r="W68" s="110">
        <v>0</v>
      </c>
      <c r="X68" s="110">
        <v>0</v>
      </c>
      <c r="Y68" s="110">
        <v>0</v>
      </c>
      <c r="Z68" s="110">
        <v>0</v>
      </c>
      <c r="AA68" s="110">
        <v>0</v>
      </c>
      <c r="AB68" s="110">
        <v>0</v>
      </c>
      <c r="AC68" s="110">
        <v>0</v>
      </c>
      <c r="AD68" s="110">
        <v>0</v>
      </c>
      <c r="AE68" s="110">
        <v>0</v>
      </c>
      <c r="AF68" s="110">
        <v>0</v>
      </c>
      <c r="AG68" s="110">
        <v>0</v>
      </c>
      <c r="AH68" s="110">
        <v>0</v>
      </c>
      <c r="AI68" s="110">
        <v>0</v>
      </c>
      <c r="AJ68" s="110">
        <v>0</v>
      </c>
      <c r="AK68" s="145">
        <f t="shared" si="4"/>
        <v>0</v>
      </c>
      <c r="AL68" s="146">
        <f t="shared" si="5"/>
        <v>0</v>
      </c>
      <c r="AM68" s="177"/>
    </row>
    <row r="69" ht="24.95" customHeight="1" spans="1:39">
      <c r="A69" s="23">
        <v>37</v>
      </c>
      <c r="B69" s="123"/>
      <c r="C69" s="124" t="s">
        <v>176</v>
      </c>
      <c r="D69" s="23" t="s">
        <v>72</v>
      </c>
      <c r="E69" s="23">
        <v>0.373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0">
        <v>0</v>
      </c>
      <c r="P69" s="110">
        <v>0</v>
      </c>
      <c r="Q69" s="110">
        <v>0</v>
      </c>
      <c r="R69" s="110">
        <v>0</v>
      </c>
      <c r="S69" s="110">
        <v>0</v>
      </c>
      <c r="T69" s="110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10">
        <v>0</v>
      </c>
      <c r="AD69" s="110">
        <v>0</v>
      </c>
      <c r="AE69" s="110">
        <v>0</v>
      </c>
      <c r="AF69" s="110">
        <v>0</v>
      </c>
      <c r="AG69" s="110">
        <v>0</v>
      </c>
      <c r="AH69" s="110">
        <v>0</v>
      </c>
      <c r="AI69" s="110">
        <v>0</v>
      </c>
      <c r="AJ69" s="110">
        <v>0</v>
      </c>
      <c r="AK69" s="145">
        <f t="shared" si="4"/>
        <v>0</v>
      </c>
      <c r="AL69" s="146">
        <f t="shared" si="5"/>
        <v>0</v>
      </c>
      <c r="AM69" s="177"/>
    </row>
    <row r="70" ht="24.95" customHeight="1" spans="1:39">
      <c r="A70" s="150"/>
      <c r="B70" s="123"/>
      <c r="C70" s="151"/>
      <c r="D70" s="23"/>
      <c r="E70" s="23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45"/>
      <c r="AL70" s="146"/>
      <c r="AM70" s="178"/>
    </row>
    <row r="71" ht="24.95" customHeight="1" spans="1:39">
      <c r="A71" s="150"/>
      <c r="B71" s="123"/>
      <c r="C71" s="151"/>
      <c r="D71" s="23"/>
      <c r="E71" s="23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45"/>
      <c r="AL71" s="146"/>
      <c r="AM71" s="178"/>
    </row>
    <row r="72" ht="24.95" customHeight="1" spans="1:39">
      <c r="A72" s="150"/>
      <c r="B72" s="123"/>
      <c r="C72" s="151"/>
      <c r="D72" s="23"/>
      <c r="E72" s="23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45"/>
      <c r="AL72" s="146"/>
      <c r="AM72" s="178"/>
    </row>
    <row r="73" ht="24.95" customHeight="1" spans="1:39">
      <c r="A73" s="150" t="s">
        <v>5</v>
      </c>
      <c r="B73" s="152"/>
      <c r="C73" s="152"/>
      <c r="D73" s="153"/>
      <c r="E73" s="154"/>
      <c r="F73" s="154" t="e">
        <f>F6+F7+F8+F9+F10+F11+F12+F13+F14+F15+F16+F17+F18+F19+F20+F21+F22+F23+F24+F25+F26+F27+F28+F29+F30+F31+F32+F33+F34+F35+F36+F37+F38+F39+F40+F41+F42+F43+F44+F45+F46+F47+F48+F49+F50+F51+F52+F53+F54+F55+F56+F60+F61+F62+F63+F64+F65+F66+F67+F68+F69</f>
        <v>#N/A</v>
      </c>
      <c r="G73" s="154" t="e">
        <f>G6+G7+G8+G9+G10+G11+G12+G13+G14+G15+G16+G17+G18+G19+G20+G21+G22+G23+G24+G25+G26+G27+G28+G29+G30+G31+G32+G33+G34+G35+G36+G37+G38+G39+G40+G41+G42+G43+G44+G45+G46+G47+G48+G49+G50+G51+G52+G53+G54+G55+G56+G60+G61+G62+G63+G64+G65+G66+G67+G68+G69</f>
        <v>#N/A</v>
      </c>
      <c r="H73" s="154" t="e">
        <f>H6+H7+H8+H9+H10+H11+H12+H13+H14+H15+H16+H17+H18+H19+H20+H21+H22+H23+H24+H25+H26+H27+H28+H29+H30+H31+H32+H33+H34+H35+H36+H37+H38+H39+H40+H41+H42+H43+H44+H45+H46+H47+H48+H49+H50+H51+H52+H53+H54+H55+H56+H60+H61+H62+H63+H64+H65+H66+H67+H68+H69</f>
        <v>#N/A</v>
      </c>
      <c r="I73" s="154" t="e">
        <f>I6+I7+I8+I9+I10+I11+I12+I13+I14+I15+I16+I17+I18+I19+I20+I21+I22+I23+I24+I25+I26+I27+I28+I29+I30+I31+I32+I33+I34+I35+I36+I37+I38+I39+I40+I41+I42+I43+I44+I45+I46+I47+I48+I49+I50+I51+I52+I53+I54+I55+I56+I60+I61+I62+I63+I64+I65+I66+I67+I68+I69</f>
        <v>#N/A</v>
      </c>
      <c r="J73" s="154" t="e">
        <f>J6+J7+J8+J9+J10+J11+J12+J13+J14+J15+J16+J17+J18+J19+J20+J21+J22+J23+J24+J25+J26+J27+J28+J29+J30+J31+J32+J33+J34+J35+K36+J37+J38+J39+J40+J41+J42+J43+J44+J45+J46+J47+J48+J49+J50+J51+J52+J53+J54+J55+J56+J60+J61+J62+J63+J64+J65+J66+J67+J68+J69</f>
        <v>#N/A</v>
      </c>
      <c r="K73" s="154" t="e">
        <f>K6+K7+K8+K9+K10+K11+K12+K13+K14+K15+K16+K17+K18+K19+K20+K21+K22+K23+K24+K25+K26+K27+K28+K29+K30+K31+K32+K33+K34+K35+L36+K37+K38+K39+K40+K41+K42+K43+K44+K45+K46+K47+K48+K49+K50+K51+K52+K53+K54+K55+K56+K60+K61+K62+K63+K64+K65+K66+K67+K68+K69</f>
        <v>#N/A</v>
      </c>
      <c r="L73" s="154" t="e">
        <f>L6+L7+L8+L9+L10+L11+L12+L13+L14+L15+L16+L17+L18+L19+L20+L21+L22+L23+L24+L25+L26+L27+L28+L29+L30+L31+L32+L33+L34+L35+M36+L37+L38+L39+L40+L41+L42+L43+L44+L45+L46+L47+L48+L49+L50+L51+L52+L53+L54+L55+L56+L60+L61+L62+L63+L64+L65+L66+L67+L68+L69</f>
        <v>#N/A</v>
      </c>
      <c r="M73" s="154" t="e">
        <f>M6+M7+M8+M9+M10+M11+M12+M13+M14+M15+M16+M17+M18+M19+M20+M21+M22+M23+M24+M25+M26+M27+M28+M29+M30+M31+M32+M33+M34+M35+N36+M37+M38+M39+M40+M41+M42+M43+M44+M45+M46+M47+M48+M49+M50+M51+M52+M53+M54+M55+M56+M60+M61+M62+M63+M64+M65+M66+M67+M68+M69</f>
        <v>#N/A</v>
      </c>
      <c r="N73" s="154" t="e">
        <f>N6+N7+N8+N9+N10+N11+N12+N13+N14+N15+N16+N17+N18+N19+N20+N21+N22+N23+N24+N25+N26+N27+N28+N29+N30+N31+N32+N33+N34+N35+N36+N37+N38+N39+N40+N41+N42+N43+N44+N45+N46+N47+N48+N49+N50+N51+N52+N53+N54+N55+N56+N60+N61+N62+N63+N64+N65+N66+N67+N68+N69</f>
        <v>#N/A</v>
      </c>
      <c r="O73" s="154" t="e">
        <f t="shared" ref="O73:AL73" si="6">O6+O7+O8+O9+O10+O11+O12+O13+O14+O15+O16+O17+O18+O19+O20+O21+O22+O23+O24+O25+O26+O27+O28+O29+O30+O31+O32+O33+O34+O35+O36+O37+O38+O39+O40+O41+O42+O43+O44+O45+O46+O47+O48+O49+O50+O51+O52+O53+O54+O55+O56+O60+O61+O62+O63+O64+O65+O66+O67+O68+O69</f>
        <v>#N/A</v>
      </c>
      <c r="P73" s="154" t="e">
        <f t="shared" si="6"/>
        <v>#N/A</v>
      </c>
      <c r="Q73" s="154" t="e">
        <f t="shared" si="6"/>
        <v>#N/A</v>
      </c>
      <c r="R73" s="154" t="e">
        <f t="shared" si="6"/>
        <v>#N/A</v>
      </c>
      <c r="S73" s="154" t="e">
        <f t="shared" si="6"/>
        <v>#N/A</v>
      </c>
      <c r="T73" s="154" t="e">
        <f t="shared" si="6"/>
        <v>#N/A</v>
      </c>
      <c r="U73" s="154" t="e">
        <f t="shared" si="6"/>
        <v>#N/A</v>
      </c>
      <c r="V73" s="154" t="e">
        <f t="shared" si="6"/>
        <v>#N/A</v>
      </c>
      <c r="W73" s="154" t="e">
        <f t="shared" si="6"/>
        <v>#N/A</v>
      </c>
      <c r="X73" s="154" t="e">
        <f t="shared" si="6"/>
        <v>#N/A</v>
      </c>
      <c r="Y73" s="154" t="e">
        <f t="shared" si="6"/>
        <v>#N/A</v>
      </c>
      <c r="Z73" s="154" t="e">
        <f t="shared" si="6"/>
        <v>#N/A</v>
      </c>
      <c r="AA73" s="154" t="e">
        <f t="shared" si="6"/>
        <v>#N/A</v>
      </c>
      <c r="AB73" s="154" t="e">
        <f t="shared" si="6"/>
        <v>#N/A</v>
      </c>
      <c r="AC73" s="154" t="e">
        <f t="shared" si="6"/>
        <v>#N/A</v>
      </c>
      <c r="AD73" s="154" t="e">
        <f t="shared" si="6"/>
        <v>#N/A</v>
      </c>
      <c r="AE73" s="154" t="e">
        <f t="shared" si="6"/>
        <v>#N/A</v>
      </c>
      <c r="AF73" s="154" t="e">
        <f>AF6+AF7+AF8+AF9+AF10+AF11+AF12+AF13+AF14+AF15+AF16+AF17+AF18+AF19+AF20+AF21+AF22+AF23+AF24+AF25+AF26+AF27+AF28+AF29+AF30+AF31+AF32+AG33+AF34+AF35+AF36+AF37+AF38+AF39+AF40+AF41+AF42+AF43+AF44+AF45+AF46+AF47+AF48+AF49+AF50+AF51+AF52+AF53+AF54+AF55+AF56+AF60+AF61+AF62+AF63+AF64+AF65+AF66+AF67+AF68+AF69</f>
        <v>#N/A</v>
      </c>
      <c r="AG73" s="154" t="e">
        <f>AG6+AG7+AG8+AG9+AG10+AG11+AG12+AG13+AG14+AG15+AG16+AG17+AG18+AG19+AG20+AG21+AG22+AG23+AG24+AG25+AG26+AG27+AG28+AG29+AG30+AG31+AG32+AH33+AG34+AG35+AG36+AG37+AG38+AG39+AG40+AG41+AG42+AG43+AG44+AG45+AG46+AG47+AG48+AG49+AG50+AG51+AG52+AG53+AG54+AG55+AG56+AG60+AG61+AG62+AG63+AG64+AG65+AG66+AG67+AG68+AG69</f>
        <v>#N/A</v>
      </c>
      <c r="AH73" s="154" t="e">
        <f t="shared" si="6"/>
        <v>#N/A</v>
      </c>
      <c r="AI73" s="154" t="e">
        <f t="shared" si="6"/>
        <v>#N/A</v>
      </c>
      <c r="AJ73" s="154" t="e">
        <f t="shared" si="6"/>
        <v>#N/A</v>
      </c>
      <c r="AK73" s="154" t="e">
        <f t="shared" si="6"/>
        <v>#N/A</v>
      </c>
      <c r="AL73" s="154" t="e">
        <f t="shared" si="6"/>
        <v>#N/A</v>
      </c>
      <c r="AM73" s="141"/>
    </row>
    <row r="74" ht="24.95" hidden="1" customHeight="1" spans="1:38">
      <c r="A74" s="155"/>
      <c r="B74" s="155"/>
      <c r="C74" s="155"/>
      <c r="D74" s="155"/>
      <c r="E74" s="156"/>
      <c r="F74" s="110"/>
      <c r="G74" s="110"/>
      <c r="H74" s="110"/>
      <c r="I74" s="110">
        <v>2</v>
      </c>
      <c r="J74" s="110"/>
      <c r="K74" s="110">
        <v>43</v>
      </c>
      <c r="L74" s="110">
        <v>55</v>
      </c>
      <c r="M74" s="114"/>
      <c r="N74" s="114">
        <v>60</v>
      </c>
      <c r="O74" s="158"/>
      <c r="P74" s="158"/>
      <c r="Q74" s="158"/>
      <c r="R74" s="141"/>
      <c r="S74" s="175" t="s">
        <v>177</v>
      </c>
      <c r="T74" s="175"/>
      <c r="U74" s="158"/>
      <c r="V74" s="110"/>
      <c r="W74" s="158"/>
      <c r="X74" s="158"/>
      <c r="Y74" s="110">
        <v>5</v>
      </c>
      <c r="Z74" s="158"/>
      <c r="AA74" s="158"/>
      <c r="AB74" s="158"/>
      <c r="AC74" s="158"/>
      <c r="AD74" s="158"/>
      <c r="AE74" s="158"/>
      <c r="AF74" s="158"/>
      <c r="AG74" s="158"/>
      <c r="AH74" s="158"/>
      <c r="AI74" s="158"/>
      <c r="AJ74" s="158"/>
      <c r="AK74" s="155"/>
      <c r="AL74" s="155"/>
    </row>
    <row r="75" ht="12" hidden="1" customHeight="1" spans="1:38">
      <c r="A75" s="155"/>
      <c r="B75" s="155"/>
      <c r="C75" s="155"/>
      <c r="D75" s="155"/>
      <c r="E75" s="157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5"/>
      <c r="AL75" s="155"/>
    </row>
    <row r="76" s="85" customFormat="1" ht="20.1" hidden="1" customHeight="1" spans="1:38">
      <c r="A76" s="159" t="s">
        <v>67</v>
      </c>
      <c r="B76" s="159"/>
      <c r="C76" s="160" t="s">
        <v>40</v>
      </c>
      <c r="D76" s="160"/>
      <c r="E76" s="157"/>
      <c r="F76" s="161" t="s">
        <v>178</v>
      </c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60"/>
      <c r="AK76" s="160" t="s">
        <v>5</v>
      </c>
      <c r="AL76" s="160"/>
    </row>
    <row r="77" s="85" customFormat="1" ht="20.1" hidden="1" customHeight="1" spans="1:38">
      <c r="A77" s="159"/>
      <c r="B77" s="159"/>
      <c r="C77" s="160"/>
      <c r="D77" s="160"/>
      <c r="E77" s="162"/>
      <c r="F77" s="100">
        <v>1</v>
      </c>
      <c r="G77" s="100">
        <v>2</v>
      </c>
      <c r="H77" s="100">
        <v>3</v>
      </c>
      <c r="I77" s="100">
        <v>4</v>
      </c>
      <c r="J77" s="100">
        <v>5</v>
      </c>
      <c r="K77" s="100">
        <v>6</v>
      </c>
      <c r="L77" s="100">
        <v>7</v>
      </c>
      <c r="M77" s="100">
        <v>8</v>
      </c>
      <c r="N77" s="100">
        <v>9</v>
      </c>
      <c r="O77" s="100">
        <v>10</v>
      </c>
      <c r="P77" s="100">
        <v>11</v>
      </c>
      <c r="Q77" s="100">
        <v>12</v>
      </c>
      <c r="R77" s="100">
        <v>13</v>
      </c>
      <c r="S77" s="100">
        <v>14</v>
      </c>
      <c r="T77" s="100">
        <v>15</v>
      </c>
      <c r="U77" s="100">
        <v>16</v>
      </c>
      <c r="V77" s="100">
        <v>17</v>
      </c>
      <c r="W77" s="100">
        <v>18</v>
      </c>
      <c r="X77" s="100">
        <v>19</v>
      </c>
      <c r="Y77" s="100">
        <v>20</v>
      </c>
      <c r="Z77" s="100">
        <v>21</v>
      </c>
      <c r="AA77" s="100">
        <v>22</v>
      </c>
      <c r="AB77" s="100">
        <v>23</v>
      </c>
      <c r="AC77" s="100">
        <v>24</v>
      </c>
      <c r="AD77" s="100">
        <v>25</v>
      </c>
      <c r="AE77" s="100">
        <v>26</v>
      </c>
      <c r="AF77" s="100">
        <v>27</v>
      </c>
      <c r="AG77" s="100">
        <v>28</v>
      </c>
      <c r="AH77" s="100">
        <v>29</v>
      </c>
      <c r="AI77" s="100">
        <v>30</v>
      </c>
      <c r="AJ77" s="160">
        <v>31</v>
      </c>
      <c r="AK77" s="160"/>
      <c r="AL77" s="160"/>
    </row>
    <row r="78" ht="24.95" hidden="1" customHeight="1" spans="1:39">
      <c r="A78" s="162">
        <v>2</v>
      </c>
      <c r="B78" s="162"/>
      <c r="C78" s="162" t="s">
        <v>179</v>
      </c>
      <c r="D78" s="162" t="s">
        <v>180</v>
      </c>
      <c r="E78" s="162"/>
      <c r="F78" s="163"/>
      <c r="G78" s="164">
        <f>1+2</f>
        <v>3</v>
      </c>
      <c r="H78" s="164">
        <f t="shared" ref="H78:H82" si="7">1</f>
        <v>1</v>
      </c>
      <c r="I78" s="164">
        <v>2</v>
      </c>
      <c r="J78" s="164"/>
      <c r="K78" s="164"/>
      <c r="L78" s="164"/>
      <c r="M78" s="164">
        <v>8</v>
      </c>
      <c r="N78" s="164">
        <v>1</v>
      </c>
      <c r="O78" s="164">
        <v>5</v>
      </c>
      <c r="P78" s="164">
        <f>6</f>
        <v>6</v>
      </c>
      <c r="Q78" s="164">
        <v>2</v>
      </c>
      <c r="R78" s="164"/>
      <c r="S78" s="164">
        <f>2+5</f>
        <v>7</v>
      </c>
      <c r="T78" s="164">
        <f>2+5+1</f>
        <v>8</v>
      </c>
      <c r="U78" s="164">
        <v>9</v>
      </c>
      <c r="V78" s="164">
        <f>1+16</f>
        <v>17</v>
      </c>
      <c r="W78" s="164"/>
      <c r="X78" s="164">
        <f>1+1</f>
        <v>2</v>
      </c>
      <c r="Y78" s="164"/>
      <c r="Z78" s="164">
        <v>1</v>
      </c>
      <c r="AA78" s="164">
        <v>2</v>
      </c>
      <c r="AB78" s="164">
        <f>48+3</f>
        <v>51</v>
      </c>
      <c r="AC78" s="164">
        <f>24</f>
        <v>24</v>
      </c>
      <c r="AD78" s="164">
        <v>2</v>
      </c>
      <c r="AE78" s="164"/>
      <c r="AF78" s="164"/>
      <c r="AG78" s="164">
        <v>2</v>
      </c>
      <c r="AH78" s="163"/>
      <c r="AI78" s="163">
        <v>1</v>
      </c>
      <c r="AJ78" s="162"/>
      <c r="AK78" s="162">
        <f t="shared" ref="AK78:AK97" si="8">F78+G78+H78+I78+J78+K78+L78+M78+N78+O78+P78+Q78+R78+S78+T78+U78+V78+W78+X78+Y78+Z78+AA78+AB78+AC78+AD78+AE78+AF78+AG78+AH78+AI78+AJ78</f>
        <v>154</v>
      </c>
      <c r="AL78" s="162"/>
      <c r="AM78" s="179"/>
    </row>
    <row r="79" ht="24.95" hidden="1" customHeight="1" spans="1:39">
      <c r="A79" s="162"/>
      <c r="B79" s="162"/>
      <c r="C79" s="162" t="s">
        <v>181</v>
      </c>
      <c r="D79" s="162" t="s">
        <v>180</v>
      </c>
      <c r="E79" s="162"/>
      <c r="F79" s="163">
        <f>34+44</f>
        <v>78</v>
      </c>
      <c r="G79" s="164">
        <f>5</f>
        <v>5</v>
      </c>
      <c r="H79" s="164">
        <f>6+300</f>
        <v>306</v>
      </c>
      <c r="I79" s="164">
        <v>85</v>
      </c>
      <c r="J79" s="164">
        <f>15+38+16</f>
        <v>69</v>
      </c>
      <c r="K79" s="164">
        <f>118+1</f>
        <v>119</v>
      </c>
      <c r="L79" s="164">
        <v>45</v>
      </c>
      <c r="M79" s="164">
        <v>36</v>
      </c>
      <c r="N79" s="164">
        <v>30</v>
      </c>
      <c r="O79" s="164">
        <v>24</v>
      </c>
      <c r="P79" s="164">
        <f>38+8</f>
        <v>46</v>
      </c>
      <c r="Q79" s="164">
        <f>13+8</f>
        <v>21</v>
      </c>
      <c r="R79" s="164">
        <v>1</v>
      </c>
      <c r="S79" s="164">
        <f>2</f>
        <v>2</v>
      </c>
      <c r="T79" s="164">
        <f>1+1</f>
        <v>2</v>
      </c>
      <c r="U79" s="164">
        <v>4</v>
      </c>
      <c r="V79" s="164">
        <f>2+4</f>
        <v>6</v>
      </c>
      <c r="W79" s="164"/>
      <c r="X79" s="164">
        <f>4+4</f>
        <v>8</v>
      </c>
      <c r="Y79" s="164">
        <v>7</v>
      </c>
      <c r="Z79" s="164">
        <f>4+2</f>
        <v>6</v>
      </c>
      <c r="AA79" s="164"/>
      <c r="AB79" s="164"/>
      <c r="AC79" s="164">
        <f>7</f>
        <v>7</v>
      </c>
      <c r="AD79" s="164">
        <f>103+37</f>
        <v>140</v>
      </c>
      <c r="AE79" s="164">
        <f>16+12+12+14</f>
        <v>54</v>
      </c>
      <c r="AF79" s="164">
        <v>15</v>
      </c>
      <c r="AG79" s="164">
        <v>139</v>
      </c>
      <c r="AH79" s="163">
        <f>30+27+60+60+52+48+60+18</f>
        <v>355</v>
      </c>
      <c r="AI79" s="163">
        <f>14+48+34</f>
        <v>96</v>
      </c>
      <c r="AJ79" s="162"/>
      <c r="AK79" s="162">
        <f t="shared" si="8"/>
        <v>1706</v>
      </c>
      <c r="AL79" s="162"/>
      <c r="AM79" s="179"/>
    </row>
    <row r="80" ht="24.95" hidden="1" customHeight="1" spans="1:39">
      <c r="A80" s="100">
        <v>3</v>
      </c>
      <c r="B80" s="100"/>
      <c r="C80" s="165" t="s">
        <v>153</v>
      </c>
      <c r="D80" s="100" t="s">
        <v>180</v>
      </c>
      <c r="E80" s="162"/>
      <c r="F80" s="166">
        <v>2</v>
      </c>
      <c r="G80" s="154">
        <v>1</v>
      </c>
      <c r="H80" s="154">
        <f t="shared" si="7"/>
        <v>1</v>
      </c>
      <c r="I80" s="154">
        <v>32</v>
      </c>
      <c r="J80" s="154"/>
      <c r="K80" s="154">
        <f>20+1</f>
        <v>21</v>
      </c>
      <c r="L80" s="154">
        <v>2</v>
      </c>
      <c r="M80" s="154">
        <v>1</v>
      </c>
      <c r="N80" s="154">
        <v>1</v>
      </c>
      <c r="O80" s="154">
        <v>5</v>
      </c>
      <c r="P80" s="154">
        <f>28</f>
        <v>28</v>
      </c>
      <c r="Q80" s="154">
        <f>17</f>
        <v>17</v>
      </c>
      <c r="R80" s="154">
        <v>1</v>
      </c>
      <c r="S80" s="154">
        <f>6+1</f>
        <v>7</v>
      </c>
      <c r="T80" s="154">
        <f>0</f>
        <v>0</v>
      </c>
      <c r="U80" s="154"/>
      <c r="V80" s="154">
        <f>1</f>
        <v>1</v>
      </c>
      <c r="W80" s="154"/>
      <c r="X80" s="154">
        <f>15+1</f>
        <v>16</v>
      </c>
      <c r="Y80" s="154">
        <v>1</v>
      </c>
      <c r="Z80" s="154">
        <f>2</f>
        <v>2</v>
      </c>
      <c r="AA80" s="154">
        <v>27</v>
      </c>
      <c r="AB80" s="154">
        <f>17</f>
        <v>17</v>
      </c>
      <c r="AC80" s="154"/>
      <c r="AD80" s="154">
        <f>1</f>
        <v>1</v>
      </c>
      <c r="AE80" s="154">
        <f>3+1+1</f>
        <v>5</v>
      </c>
      <c r="AF80" s="154">
        <v>3</v>
      </c>
      <c r="AG80" s="154">
        <f>6</f>
        <v>6</v>
      </c>
      <c r="AH80" s="166">
        <f>2+4</f>
        <v>6</v>
      </c>
      <c r="AI80" s="166">
        <v>1</v>
      </c>
      <c r="AJ80" s="100"/>
      <c r="AK80" s="162">
        <f t="shared" si="8"/>
        <v>205</v>
      </c>
      <c r="AL80" s="162"/>
      <c r="AM80" s="180"/>
    </row>
    <row r="81" ht="24.95" hidden="1" customHeight="1" spans="1:39">
      <c r="A81" s="100">
        <v>4</v>
      </c>
      <c r="B81" s="100"/>
      <c r="C81" s="167" t="s">
        <v>182</v>
      </c>
      <c r="D81" s="100" t="s">
        <v>180</v>
      </c>
      <c r="E81" s="162"/>
      <c r="F81" s="166">
        <v>5</v>
      </c>
      <c r="G81" s="154">
        <f>3+23</f>
        <v>26</v>
      </c>
      <c r="H81" s="154">
        <f>3+3</f>
        <v>6</v>
      </c>
      <c r="I81" s="154">
        <v>21</v>
      </c>
      <c r="J81" s="154">
        <f>4</f>
        <v>4</v>
      </c>
      <c r="K81" s="154">
        <f>27+12</f>
        <v>39</v>
      </c>
      <c r="L81" s="154">
        <v>1</v>
      </c>
      <c r="M81" s="154">
        <v>12</v>
      </c>
      <c r="N81" s="154">
        <v>13</v>
      </c>
      <c r="O81" s="154">
        <f>18+6</f>
        <v>24</v>
      </c>
      <c r="P81" s="154">
        <f>41</f>
        <v>41</v>
      </c>
      <c r="Q81" s="154">
        <f>5</f>
        <v>5</v>
      </c>
      <c r="R81" s="154">
        <v>7</v>
      </c>
      <c r="S81" s="154">
        <f>8+8</f>
        <v>16</v>
      </c>
      <c r="T81" s="154">
        <f>4+5+7</f>
        <v>16</v>
      </c>
      <c r="U81" s="154">
        <v>25</v>
      </c>
      <c r="V81" s="154">
        <f>3+5</f>
        <v>8</v>
      </c>
      <c r="W81" s="154"/>
      <c r="X81" s="154">
        <f>4+4</f>
        <v>8</v>
      </c>
      <c r="Y81" s="154">
        <v>5</v>
      </c>
      <c r="Z81" s="154">
        <f>1</f>
        <v>1</v>
      </c>
      <c r="AA81" s="154">
        <v>4</v>
      </c>
      <c r="AB81" s="154">
        <f>14</f>
        <v>14</v>
      </c>
      <c r="AC81" s="154">
        <f>4</f>
        <v>4</v>
      </c>
      <c r="AD81" s="154">
        <f>1+3</f>
        <v>4</v>
      </c>
      <c r="AE81" s="154">
        <f>8+1+2</f>
        <v>11</v>
      </c>
      <c r="AF81" s="154">
        <v>7</v>
      </c>
      <c r="AG81" s="154">
        <f>8+7</f>
        <v>15</v>
      </c>
      <c r="AH81" s="166">
        <f>8+8</f>
        <v>16</v>
      </c>
      <c r="AI81" s="166">
        <v>18</v>
      </c>
      <c r="AJ81" s="100"/>
      <c r="AK81" s="162">
        <f t="shared" si="8"/>
        <v>376</v>
      </c>
      <c r="AL81" s="162"/>
      <c r="AM81" s="180"/>
    </row>
    <row r="82" ht="24.95" hidden="1" customHeight="1" spans="1:39">
      <c r="A82" s="100">
        <v>5</v>
      </c>
      <c r="B82" s="100"/>
      <c r="C82" s="100" t="s">
        <v>183</v>
      </c>
      <c r="D82" s="100" t="s">
        <v>180</v>
      </c>
      <c r="E82" s="162"/>
      <c r="F82" s="166">
        <f>1+3</f>
        <v>4</v>
      </c>
      <c r="G82" s="154">
        <f>1+5</f>
        <v>6</v>
      </c>
      <c r="H82" s="154">
        <f t="shared" si="7"/>
        <v>1</v>
      </c>
      <c r="I82" s="154">
        <v>16</v>
      </c>
      <c r="J82" s="154">
        <f>1+1</f>
        <v>2</v>
      </c>
      <c r="K82" s="154">
        <f>2+19</f>
        <v>21</v>
      </c>
      <c r="L82" s="154">
        <v>2</v>
      </c>
      <c r="M82" s="154">
        <v>7</v>
      </c>
      <c r="N82" s="154">
        <v>1</v>
      </c>
      <c r="O82" s="154">
        <v>1</v>
      </c>
      <c r="P82" s="154">
        <f>8+4</f>
        <v>12</v>
      </c>
      <c r="Q82" s="154">
        <f>9+1</f>
        <v>10</v>
      </c>
      <c r="R82" s="154">
        <v>6</v>
      </c>
      <c r="S82" s="154">
        <f>6</f>
        <v>6</v>
      </c>
      <c r="T82" s="154"/>
      <c r="U82" s="154">
        <v>1</v>
      </c>
      <c r="V82" s="154">
        <f>2+8</f>
        <v>10</v>
      </c>
      <c r="W82" s="154"/>
      <c r="X82" s="154">
        <f>6+4</f>
        <v>10</v>
      </c>
      <c r="Y82" s="154">
        <v>3</v>
      </c>
      <c r="Z82" s="154">
        <f>1</f>
        <v>1</v>
      </c>
      <c r="AA82" s="154">
        <v>3</v>
      </c>
      <c r="AB82" s="154">
        <f>2+6</f>
        <v>8</v>
      </c>
      <c r="AC82" s="154">
        <f>2</f>
        <v>2</v>
      </c>
      <c r="AD82" s="154">
        <f>1+1</f>
        <v>2</v>
      </c>
      <c r="AE82" s="154">
        <f>12+1</f>
        <v>13</v>
      </c>
      <c r="AF82" s="154">
        <v>2</v>
      </c>
      <c r="AG82" s="154"/>
      <c r="AH82" s="166">
        <v>1</v>
      </c>
      <c r="AI82" s="166">
        <v>5</v>
      </c>
      <c r="AJ82" s="100"/>
      <c r="AK82" s="162">
        <f t="shared" si="8"/>
        <v>156</v>
      </c>
      <c r="AL82" s="162"/>
      <c r="AM82" s="180"/>
    </row>
    <row r="83" ht="24.95" hidden="1" customHeight="1" spans="1:39">
      <c r="A83" s="100">
        <v>6</v>
      </c>
      <c r="B83" s="100"/>
      <c r="C83" s="100" t="s">
        <v>184</v>
      </c>
      <c r="D83" s="100" t="s">
        <v>180</v>
      </c>
      <c r="E83" s="162"/>
      <c r="F83" s="166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66"/>
      <c r="AI83" s="166"/>
      <c r="AJ83" s="100"/>
      <c r="AK83" s="162">
        <f t="shared" si="8"/>
        <v>0</v>
      </c>
      <c r="AL83" s="162"/>
      <c r="AM83" s="180"/>
    </row>
    <row r="84" ht="24.95" hidden="1" customHeight="1" spans="1:39">
      <c r="A84" s="100">
        <v>7</v>
      </c>
      <c r="B84" s="100"/>
      <c r="C84" s="100" t="s">
        <v>185</v>
      </c>
      <c r="D84" s="100" t="s">
        <v>180</v>
      </c>
      <c r="E84" s="162"/>
      <c r="F84" s="166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4"/>
      <c r="X84" s="154"/>
      <c r="Y84" s="154"/>
      <c r="Z84" s="154"/>
      <c r="AA84" s="154"/>
      <c r="AB84" s="154"/>
      <c r="AC84" s="154"/>
      <c r="AD84" s="154"/>
      <c r="AE84" s="154"/>
      <c r="AF84" s="154"/>
      <c r="AG84" s="154"/>
      <c r="AH84" s="166"/>
      <c r="AI84" s="166"/>
      <c r="AJ84" s="100"/>
      <c r="AK84" s="162">
        <f t="shared" si="8"/>
        <v>0</v>
      </c>
      <c r="AL84" s="162"/>
      <c r="AM84" s="180"/>
    </row>
    <row r="85" ht="24.95" hidden="1" customHeight="1" spans="1:39">
      <c r="A85" s="100">
        <v>8</v>
      </c>
      <c r="B85" s="100"/>
      <c r="C85" s="100" t="s">
        <v>186</v>
      </c>
      <c r="D85" s="100" t="s">
        <v>180</v>
      </c>
      <c r="E85" s="162"/>
      <c r="F85" s="166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54"/>
      <c r="AA85" s="154"/>
      <c r="AB85" s="154"/>
      <c r="AC85" s="154"/>
      <c r="AD85" s="154"/>
      <c r="AE85" s="154"/>
      <c r="AF85" s="154"/>
      <c r="AG85" s="154"/>
      <c r="AH85" s="166"/>
      <c r="AI85" s="166"/>
      <c r="AJ85" s="100"/>
      <c r="AK85" s="162">
        <f t="shared" si="8"/>
        <v>0</v>
      </c>
      <c r="AL85" s="162"/>
      <c r="AM85" s="180"/>
    </row>
    <row r="86" ht="24.95" hidden="1" customHeight="1" spans="1:39">
      <c r="A86" s="100">
        <v>9</v>
      </c>
      <c r="B86" s="100"/>
      <c r="C86" s="100" t="s">
        <v>187</v>
      </c>
      <c r="D86" s="100" t="s">
        <v>180</v>
      </c>
      <c r="E86" s="162"/>
      <c r="F86" s="166"/>
      <c r="G86" s="154"/>
      <c r="H86" s="154"/>
      <c r="I86" s="154"/>
      <c r="J86" s="154"/>
      <c r="K86" s="154"/>
      <c r="L86" s="154"/>
      <c r="M86" s="154"/>
      <c r="N86" s="154"/>
      <c r="O86" s="154"/>
      <c r="P86" s="154"/>
      <c r="Q86" s="154"/>
      <c r="R86" s="154"/>
      <c r="S86" s="154"/>
      <c r="T86" s="154"/>
      <c r="U86" s="154"/>
      <c r="V86" s="154"/>
      <c r="W86" s="154"/>
      <c r="X86" s="154"/>
      <c r="Y86" s="154"/>
      <c r="Z86" s="154"/>
      <c r="AA86" s="154"/>
      <c r="AB86" s="154"/>
      <c r="AC86" s="154"/>
      <c r="AD86" s="154"/>
      <c r="AE86" s="154"/>
      <c r="AF86" s="154"/>
      <c r="AG86" s="154"/>
      <c r="AH86" s="166"/>
      <c r="AI86" s="166"/>
      <c r="AJ86" s="100"/>
      <c r="AK86" s="162">
        <f t="shared" si="8"/>
        <v>0</v>
      </c>
      <c r="AL86" s="162"/>
      <c r="AM86" s="180"/>
    </row>
    <row r="87" ht="24.95" hidden="1" customHeight="1" spans="1:39">
      <c r="A87" s="100">
        <v>10</v>
      </c>
      <c r="B87" s="100"/>
      <c r="C87" s="100" t="s">
        <v>188</v>
      </c>
      <c r="D87" s="100" t="s">
        <v>180</v>
      </c>
      <c r="E87" s="162"/>
      <c r="F87" s="166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66"/>
      <c r="AI87" s="166"/>
      <c r="AJ87" s="100"/>
      <c r="AK87" s="162">
        <f t="shared" si="8"/>
        <v>0</v>
      </c>
      <c r="AL87" s="162"/>
      <c r="AM87" s="180"/>
    </row>
    <row r="88" ht="24.95" hidden="1" customHeight="1" spans="1:39">
      <c r="A88" s="100">
        <v>11</v>
      </c>
      <c r="B88" s="100"/>
      <c r="C88" s="100" t="s">
        <v>189</v>
      </c>
      <c r="D88" s="100" t="s">
        <v>180</v>
      </c>
      <c r="E88" s="162"/>
      <c r="F88" s="166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66"/>
      <c r="AI88" s="166"/>
      <c r="AJ88" s="100"/>
      <c r="AK88" s="162">
        <f t="shared" si="8"/>
        <v>0</v>
      </c>
      <c r="AL88" s="162"/>
      <c r="AM88" s="180"/>
    </row>
    <row r="89" ht="24.95" hidden="1" customHeight="1" spans="1:39">
      <c r="A89" s="100">
        <v>12</v>
      </c>
      <c r="B89" s="100"/>
      <c r="C89" s="100" t="s">
        <v>190</v>
      </c>
      <c r="D89" s="100" t="s">
        <v>180</v>
      </c>
      <c r="E89" s="162"/>
      <c r="F89" s="166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66"/>
      <c r="AI89" s="166"/>
      <c r="AJ89" s="100"/>
      <c r="AK89" s="162">
        <f t="shared" si="8"/>
        <v>0</v>
      </c>
      <c r="AL89" s="162"/>
      <c r="AM89" s="180"/>
    </row>
    <row r="90" ht="24.95" hidden="1" customHeight="1" spans="1:39">
      <c r="A90" s="100">
        <v>13</v>
      </c>
      <c r="B90" s="99"/>
      <c r="C90" s="99" t="s">
        <v>191</v>
      </c>
      <c r="D90" s="100" t="s">
        <v>180</v>
      </c>
      <c r="E90" s="162"/>
      <c r="F90" s="166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66"/>
      <c r="AI90" s="166"/>
      <c r="AJ90" s="100"/>
      <c r="AK90" s="162">
        <f t="shared" si="8"/>
        <v>0</v>
      </c>
      <c r="AL90" s="162"/>
      <c r="AM90" s="180"/>
    </row>
    <row r="91" ht="24.95" hidden="1" customHeight="1" spans="1:39">
      <c r="A91" s="100">
        <v>14</v>
      </c>
      <c r="B91" s="99"/>
      <c r="C91" s="99" t="s">
        <v>192</v>
      </c>
      <c r="D91" s="100" t="s">
        <v>180</v>
      </c>
      <c r="E91" s="162"/>
      <c r="F91" s="166"/>
      <c r="G91" s="154"/>
      <c r="H91" s="154"/>
      <c r="I91" s="154"/>
      <c r="J91" s="154"/>
      <c r="K91" s="154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66"/>
      <c r="AI91" s="166"/>
      <c r="AJ91" s="100"/>
      <c r="AK91" s="162">
        <f t="shared" si="8"/>
        <v>0</v>
      </c>
      <c r="AL91" s="162"/>
      <c r="AM91" s="180"/>
    </row>
    <row r="92" ht="24.95" hidden="1" customHeight="1" spans="1:39">
      <c r="A92" s="100">
        <v>15</v>
      </c>
      <c r="B92" s="99"/>
      <c r="C92" s="99" t="s">
        <v>193</v>
      </c>
      <c r="D92" s="100" t="s">
        <v>180</v>
      </c>
      <c r="E92" s="162"/>
      <c r="F92" s="166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66"/>
      <c r="AI92" s="166"/>
      <c r="AJ92" s="100"/>
      <c r="AK92" s="162">
        <f t="shared" si="8"/>
        <v>0</v>
      </c>
      <c r="AL92" s="162"/>
      <c r="AM92" s="180"/>
    </row>
    <row r="93" ht="24.95" hidden="1" customHeight="1" spans="1:39">
      <c r="A93" s="100">
        <v>16</v>
      </c>
      <c r="B93" s="100"/>
      <c r="C93" s="165" t="s">
        <v>194</v>
      </c>
      <c r="D93" s="100" t="s">
        <v>180</v>
      </c>
      <c r="E93" s="162"/>
      <c r="F93" s="166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66"/>
      <c r="AI93" s="166"/>
      <c r="AJ93" s="100"/>
      <c r="AK93" s="162">
        <f t="shared" si="8"/>
        <v>0</v>
      </c>
      <c r="AL93" s="162"/>
      <c r="AM93" s="180"/>
    </row>
    <row r="94" ht="24.95" hidden="1" customHeight="1" spans="1:39">
      <c r="A94" s="100">
        <v>17</v>
      </c>
      <c r="B94" s="99"/>
      <c r="C94" s="99" t="s">
        <v>54</v>
      </c>
      <c r="D94" s="100" t="s">
        <v>180</v>
      </c>
      <c r="E94" s="162"/>
      <c r="F94" s="166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66"/>
      <c r="AI94" s="166"/>
      <c r="AJ94" s="100"/>
      <c r="AK94" s="162">
        <f t="shared" si="8"/>
        <v>0</v>
      </c>
      <c r="AL94" s="162"/>
      <c r="AM94" s="180"/>
    </row>
    <row r="95" ht="24.95" hidden="1" customHeight="1" spans="1:39">
      <c r="A95" s="100">
        <v>18</v>
      </c>
      <c r="B95" s="99"/>
      <c r="C95" s="99" t="s">
        <v>195</v>
      </c>
      <c r="D95" s="100" t="s">
        <v>180</v>
      </c>
      <c r="E95" s="162"/>
      <c r="F95" s="166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66"/>
      <c r="AI95" s="166"/>
      <c r="AJ95" s="100"/>
      <c r="AK95" s="162">
        <f t="shared" si="8"/>
        <v>0</v>
      </c>
      <c r="AL95" s="162"/>
      <c r="AM95" s="180"/>
    </row>
    <row r="96" ht="24.95" hidden="1" customHeight="1" spans="1:39">
      <c r="A96" s="100">
        <v>19</v>
      </c>
      <c r="B96" s="99"/>
      <c r="C96" s="99" t="s">
        <v>176</v>
      </c>
      <c r="D96" s="100" t="s">
        <v>180</v>
      </c>
      <c r="E96" s="168"/>
      <c r="F96" s="166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66"/>
      <c r="AI96" s="166"/>
      <c r="AJ96" s="100"/>
      <c r="AK96" s="162">
        <f t="shared" si="8"/>
        <v>0</v>
      </c>
      <c r="AL96" s="162"/>
      <c r="AM96" s="180"/>
    </row>
    <row r="97" ht="24.95" hidden="1" customHeight="1" spans="1:38">
      <c r="A97" s="98" t="s">
        <v>5</v>
      </c>
      <c r="B97" s="99"/>
      <c r="C97" s="99"/>
      <c r="D97" s="168"/>
      <c r="E97" s="169"/>
      <c r="F97" s="166">
        <f t="shared" ref="F97:AJ97" si="9">F78+F79+F80+F81+F82+F83+F84+F85+F86+F87+F88+F89+F90+F91+F92+F93+F94+F95+F96</f>
        <v>89</v>
      </c>
      <c r="G97" s="166">
        <f t="shared" si="9"/>
        <v>41</v>
      </c>
      <c r="H97" s="166">
        <f t="shared" si="9"/>
        <v>315</v>
      </c>
      <c r="I97" s="166">
        <f t="shared" si="9"/>
        <v>156</v>
      </c>
      <c r="J97" s="166">
        <f t="shared" si="9"/>
        <v>75</v>
      </c>
      <c r="K97" s="166">
        <f t="shared" si="9"/>
        <v>200</v>
      </c>
      <c r="L97" s="166">
        <f t="shared" si="9"/>
        <v>50</v>
      </c>
      <c r="M97" s="166">
        <f t="shared" si="9"/>
        <v>64</v>
      </c>
      <c r="N97" s="166">
        <f t="shared" si="9"/>
        <v>46</v>
      </c>
      <c r="O97" s="166">
        <f t="shared" si="9"/>
        <v>59</v>
      </c>
      <c r="P97" s="166">
        <f t="shared" si="9"/>
        <v>133</v>
      </c>
      <c r="Q97" s="166">
        <f t="shared" si="9"/>
        <v>55</v>
      </c>
      <c r="R97" s="166">
        <f t="shared" si="9"/>
        <v>15</v>
      </c>
      <c r="S97" s="166">
        <f t="shared" si="9"/>
        <v>38</v>
      </c>
      <c r="T97" s="166">
        <f t="shared" si="9"/>
        <v>26</v>
      </c>
      <c r="U97" s="166">
        <f t="shared" si="9"/>
        <v>39</v>
      </c>
      <c r="V97" s="166">
        <f t="shared" si="9"/>
        <v>42</v>
      </c>
      <c r="W97" s="166">
        <f t="shared" si="9"/>
        <v>0</v>
      </c>
      <c r="X97" s="166">
        <f t="shared" si="9"/>
        <v>44</v>
      </c>
      <c r="Y97" s="166">
        <f t="shared" si="9"/>
        <v>16</v>
      </c>
      <c r="Z97" s="166">
        <f t="shared" si="9"/>
        <v>11</v>
      </c>
      <c r="AA97" s="166">
        <f t="shared" si="9"/>
        <v>36</v>
      </c>
      <c r="AB97" s="166">
        <f t="shared" si="9"/>
        <v>90</v>
      </c>
      <c r="AC97" s="166">
        <f t="shared" si="9"/>
        <v>37</v>
      </c>
      <c r="AD97" s="166">
        <f t="shared" si="9"/>
        <v>149</v>
      </c>
      <c r="AE97" s="166">
        <f t="shared" si="9"/>
        <v>83</v>
      </c>
      <c r="AF97" s="166">
        <f t="shared" si="9"/>
        <v>27</v>
      </c>
      <c r="AG97" s="166">
        <f t="shared" si="9"/>
        <v>162</v>
      </c>
      <c r="AH97" s="166">
        <f t="shared" si="9"/>
        <v>378</v>
      </c>
      <c r="AI97" s="166">
        <f t="shared" si="9"/>
        <v>121</v>
      </c>
      <c r="AJ97" s="166">
        <f t="shared" si="9"/>
        <v>0</v>
      </c>
      <c r="AK97" s="100">
        <f t="shared" si="8"/>
        <v>2597</v>
      </c>
      <c r="AL97" s="155"/>
    </row>
    <row r="98" ht="32.1" hidden="1" customHeight="1" spans="1:38">
      <c r="A98" s="170"/>
      <c r="B98" s="170"/>
      <c r="C98" s="170"/>
      <c r="D98" s="170"/>
      <c r="E98" s="171"/>
      <c r="F98" s="170"/>
      <c r="G98" s="170"/>
      <c r="H98" s="170"/>
      <c r="I98" s="170"/>
      <c r="J98" s="170"/>
      <c r="K98" s="170"/>
      <c r="L98" s="170"/>
      <c r="M98" s="170"/>
      <c r="N98" s="170"/>
      <c r="O98" s="170" t="s">
        <v>196</v>
      </c>
      <c r="P98" s="173" t="s">
        <v>197</v>
      </c>
      <c r="Q98" s="173"/>
      <c r="R98" s="170"/>
      <c r="S98" s="170" t="s">
        <v>198</v>
      </c>
      <c r="T98" s="141" t="s">
        <v>199</v>
      </c>
      <c r="U98" s="141"/>
      <c r="V98" s="141"/>
      <c r="W98" s="141"/>
      <c r="X98" s="141"/>
      <c r="Y98" s="170"/>
      <c r="Z98" s="170"/>
      <c r="AA98" s="170"/>
      <c r="AB98" s="170"/>
      <c r="AC98" s="170"/>
      <c r="AD98" s="170"/>
      <c r="AE98" s="170"/>
      <c r="AF98" s="170"/>
      <c r="AG98" s="170"/>
      <c r="AH98" s="170"/>
      <c r="AI98" s="170"/>
      <c r="AJ98" s="170"/>
      <c r="AK98" s="170"/>
      <c r="AL98" s="170"/>
    </row>
    <row r="99" s="85" customFormat="1" ht="20.1" hidden="1" customHeight="1" spans="1:38">
      <c r="A99" s="159" t="s">
        <v>67</v>
      </c>
      <c r="B99" s="159"/>
      <c r="C99" s="160" t="s">
        <v>40</v>
      </c>
      <c r="D99" s="160"/>
      <c r="E99" s="157"/>
      <c r="F99" s="161" t="s">
        <v>178</v>
      </c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60"/>
      <c r="AK99" s="160" t="s">
        <v>5</v>
      </c>
      <c r="AL99" s="160"/>
    </row>
    <row r="100" s="85" customFormat="1" ht="20.1" hidden="1" customHeight="1" spans="1:38">
      <c r="A100" s="159"/>
      <c r="B100" s="159"/>
      <c r="C100" s="160"/>
      <c r="D100" s="160"/>
      <c r="E100" s="157"/>
      <c r="F100" s="100">
        <v>1</v>
      </c>
      <c r="G100" s="100">
        <v>2</v>
      </c>
      <c r="H100" s="100">
        <v>3</v>
      </c>
      <c r="I100" s="100">
        <v>4</v>
      </c>
      <c r="J100" s="100">
        <v>5</v>
      </c>
      <c r="K100" s="100">
        <v>6</v>
      </c>
      <c r="L100" s="100">
        <v>7</v>
      </c>
      <c r="M100" s="100">
        <v>8</v>
      </c>
      <c r="N100" s="100">
        <v>9</v>
      </c>
      <c r="O100" s="100">
        <v>10</v>
      </c>
      <c r="P100" s="100">
        <v>11</v>
      </c>
      <c r="Q100" s="100">
        <v>12</v>
      </c>
      <c r="R100" s="100">
        <v>13</v>
      </c>
      <c r="S100" s="100">
        <v>14</v>
      </c>
      <c r="T100" s="100">
        <v>15</v>
      </c>
      <c r="U100" s="100">
        <v>16</v>
      </c>
      <c r="V100" s="100">
        <v>17</v>
      </c>
      <c r="W100" s="100">
        <v>18</v>
      </c>
      <c r="X100" s="100">
        <v>19</v>
      </c>
      <c r="Y100" s="100">
        <v>20</v>
      </c>
      <c r="Z100" s="100">
        <v>21</v>
      </c>
      <c r="AA100" s="100">
        <v>22</v>
      </c>
      <c r="AB100" s="100">
        <v>23</v>
      </c>
      <c r="AC100" s="100">
        <v>24</v>
      </c>
      <c r="AD100" s="100">
        <v>25</v>
      </c>
      <c r="AE100" s="100">
        <v>26</v>
      </c>
      <c r="AF100" s="100">
        <v>27</v>
      </c>
      <c r="AG100" s="100">
        <v>28</v>
      </c>
      <c r="AH100" s="100">
        <v>29</v>
      </c>
      <c r="AI100" s="100">
        <v>30</v>
      </c>
      <c r="AJ100" s="160">
        <v>31</v>
      </c>
      <c r="AK100" s="160"/>
      <c r="AL100" s="160"/>
    </row>
    <row r="101" ht="24.95" hidden="1" customHeight="1" spans="1:38">
      <c r="A101" s="100">
        <v>1</v>
      </c>
      <c r="B101" s="100"/>
      <c r="C101" s="100" t="s">
        <v>181</v>
      </c>
      <c r="D101" s="100" t="s">
        <v>200</v>
      </c>
      <c r="E101" s="162"/>
      <c r="F101" s="172" t="e">
        <f>F6-#REF!-#REF!-#REF!</f>
        <v>#REF!</v>
      </c>
      <c r="G101" s="172" t="e">
        <f>G6-#REF!-#REF!-#REF!</f>
        <v>#N/A</v>
      </c>
      <c r="H101" s="172" t="e">
        <f>H6-#REF!-#REF!-#REF!</f>
        <v>#N/A</v>
      </c>
      <c r="I101" s="172" t="e">
        <f>I6-#REF!-#REF!-#REF!</f>
        <v>#N/A</v>
      </c>
      <c r="J101" s="172" t="e">
        <f>J6-#REF!-#REF!-#REF!</f>
        <v>#N/A</v>
      </c>
      <c r="K101" s="172" t="e">
        <f>K6-#REF!-#REF!-#REF!</f>
        <v>#N/A</v>
      </c>
      <c r="L101" s="172" t="e">
        <f>L6-#REF!-#REF!-#REF!</f>
        <v>#N/A</v>
      </c>
      <c r="M101" s="172" t="e">
        <f>M6-#REF!-#REF!-#REF!</f>
        <v>#N/A</v>
      </c>
      <c r="N101" s="172" t="e">
        <f>N6-#REF!-#REF!-#REF!</f>
        <v>#N/A</v>
      </c>
      <c r="O101" s="172" t="e">
        <f>O6-#REF!-#REF!-#REF!</f>
        <v>#N/A</v>
      </c>
      <c r="P101" s="172" t="e">
        <f>P6-#REF!-#REF!-#REF!</f>
        <v>#N/A</v>
      </c>
      <c r="Q101" s="172" t="e">
        <f>Q6-#REF!-#REF!-#REF!</f>
        <v>#N/A</v>
      </c>
      <c r="R101" s="172" t="e">
        <f>R6-#REF!-#REF!-#REF!</f>
        <v>#N/A</v>
      </c>
      <c r="S101" s="172" t="e">
        <f>S6-#REF!-#REF!-#REF!</f>
        <v>#N/A</v>
      </c>
      <c r="T101" s="172" t="e">
        <f>T6-#REF!-#REF!-#REF!</f>
        <v>#N/A</v>
      </c>
      <c r="U101" s="172" t="e">
        <f>U6-#REF!-#REF!-#REF!</f>
        <v>#N/A</v>
      </c>
      <c r="V101" s="172" t="e">
        <f>V6-#REF!-#REF!-#REF!</f>
        <v>#N/A</v>
      </c>
      <c r="W101" s="172" t="e">
        <f>W6-#REF!-#REF!-#REF!</f>
        <v>#N/A</v>
      </c>
      <c r="X101" s="172" t="e">
        <f>X6-#REF!-#REF!-#REF!</f>
        <v>#N/A</v>
      </c>
      <c r="Y101" s="172" t="e">
        <f>Y6-#REF!-#REF!-#REF!</f>
        <v>#N/A</v>
      </c>
      <c r="Z101" s="172" t="e">
        <f>Z6-#REF!-#REF!-#REF!</f>
        <v>#N/A</v>
      </c>
      <c r="AA101" s="172" t="e">
        <f>AA6-#REF!-#REF!-#REF!</f>
        <v>#N/A</v>
      </c>
      <c r="AB101" s="172" t="e">
        <f>AB6-#REF!-#REF!-#REF!</f>
        <v>#N/A</v>
      </c>
      <c r="AC101" s="172" t="e">
        <f>AC6-#REF!-#REF!-#REF!</f>
        <v>#N/A</v>
      </c>
      <c r="AD101" s="172" t="e">
        <f>AD6-#REF!-#REF!-#REF!</f>
        <v>#N/A</v>
      </c>
      <c r="AE101" s="172" t="e">
        <f>AE6-#REF!-#REF!-#REF!</f>
        <v>#N/A</v>
      </c>
      <c r="AF101" s="172" t="e">
        <f>AF6-#REF!-#REF!-#REF!</f>
        <v>#N/A</v>
      </c>
      <c r="AG101" s="172" t="e">
        <f>AG6-#REF!-#REF!-#REF!</f>
        <v>#N/A</v>
      </c>
      <c r="AH101" s="172" t="e">
        <f>AH6-#REF!-#REF!-#REF!</f>
        <v>#N/A</v>
      </c>
      <c r="AI101" s="172" t="e">
        <f>AI6-#REF!-#REF!-#REF!</f>
        <v>#N/A</v>
      </c>
      <c r="AJ101" s="181" t="e">
        <f>AJ6-#REF!-#REF!</f>
        <v>#N/A</v>
      </c>
      <c r="AK101" s="100" t="e">
        <f t="shared" ref="AK101:AK120" si="10">F101+G101+H101+I101+J101+K101+L101+M101+N101+O101+P101+Q101+R101+S101+T101+U101+V101+W101+X101+Y101+Z101+AA101+AB101+AC101+AD101+AE101+AF101+AG101+AH101+AI101+AJ101</f>
        <v>#REF!</v>
      </c>
      <c r="AL101" s="155"/>
    </row>
    <row r="102" ht="24.95" hidden="1" customHeight="1" spans="1:38">
      <c r="A102" s="100">
        <v>2</v>
      </c>
      <c r="B102" s="100"/>
      <c r="C102" s="100" t="s">
        <v>179</v>
      </c>
      <c r="D102" s="100" t="s">
        <v>200</v>
      </c>
      <c r="E102" s="162"/>
      <c r="F102" s="172" t="e">
        <f>F9-#REF!-#REF!-#REF!</f>
        <v>#REF!</v>
      </c>
      <c r="G102" s="172" t="e">
        <f>G9-#REF!-#REF!-#REF!</f>
        <v>#REF!</v>
      </c>
      <c r="H102" s="172" t="e">
        <f>H9-#REF!-#REF!-#REF!</f>
        <v>#REF!</v>
      </c>
      <c r="I102" s="172" t="e">
        <f>I9-#REF!-#REF!-#REF!</f>
        <v>#REF!</v>
      </c>
      <c r="J102" s="172" t="e">
        <f>J9-#REF!-#REF!-#REF!</f>
        <v>#REF!</v>
      </c>
      <c r="K102" s="172" t="e">
        <f>K9-#REF!-#REF!-#REF!</f>
        <v>#REF!</v>
      </c>
      <c r="L102" s="172" t="e">
        <f>L9-#REF!-#REF!-#REF!</f>
        <v>#REF!</v>
      </c>
      <c r="M102" s="172" t="e">
        <f>M9-#REF!-#REF!-#REF!</f>
        <v>#REF!</v>
      </c>
      <c r="N102" s="172" t="e">
        <f>N9-#REF!-#REF!-#REF!</f>
        <v>#REF!</v>
      </c>
      <c r="O102" s="172" t="e">
        <f>O9-#REF!-#REF!-#REF!</f>
        <v>#REF!</v>
      </c>
      <c r="P102" s="172" t="e">
        <f>P9-#REF!-#REF!-#REF!</f>
        <v>#REF!</v>
      </c>
      <c r="Q102" s="172" t="e">
        <f>Q9-#REF!-#REF!-#REF!</f>
        <v>#REF!</v>
      </c>
      <c r="R102" s="172" t="e">
        <f>R9-#REF!-#REF!-#REF!</f>
        <v>#REF!</v>
      </c>
      <c r="S102" s="172" t="e">
        <f>S9-#REF!-#REF!-#REF!</f>
        <v>#REF!</v>
      </c>
      <c r="T102" s="172" t="e">
        <f>T9-#REF!-#REF!-#REF!</f>
        <v>#REF!</v>
      </c>
      <c r="U102" s="172" t="e">
        <f>U9-#REF!-#REF!-#REF!</f>
        <v>#REF!</v>
      </c>
      <c r="V102" s="172" t="e">
        <f>V9-#REF!-#REF!-#REF!</f>
        <v>#REF!</v>
      </c>
      <c r="W102" s="172" t="e">
        <f>W9-#REF!-#REF!-#REF!</f>
        <v>#REF!</v>
      </c>
      <c r="X102" s="172" t="e">
        <f>X9-#REF!-#REF!-#REF!</f>
        <v>#REF!</v>
      </c>
      <c r="Y102" s="172" t="e">
        <f>Y9-#REF!-#REF!-#REF!</f>
        <v>#REF!</v>
      </c>
      <c r="Z102" s="172" t="e">
        <f>Z9-#REF!-#REF!-#REF!</f>
        <v>#REF!</v>
      </c>
      <c r="AA102" s="172" t="e">
        <f>AA9-#REF!-#REF!-#REF!</f>
        <v>#REF!</v>
      </c>
      <c r="AB102" s="172" t="e">
        <f>AB9-#REF!-#REF!-#REF!</f>
        <v>#REF!</v>
      </c>
      <c r="AC102" s="172" t="e">
        <f>AC9-#REF!-#REF!-#REF!</f>
        <v>#REF!</v>
      </c>
      <c r="AD102" s="172" t="e">
        <f>AD9-#REF!-#REF!-#REF!</f>
        <v>#REF!</v>
      </c>
      <c r="AE102" s="172" t="e">
        <f>AE9-#REF!-#REF!-#REF!</f>
        <v>#REF!</v>
      </c>
      <c r="AF102" s="172" t="e">
        <f>AF9-#REF!-#REF!-#REF!</f>
        <v>#REF!</v>
      </c>
      <c r="AG102" s="172" t="e">
        <f>AG9-#REF!-#REF!-#REF!</f>
        <v>#REF!</v>
      </c>
      <c r="AH102" s="172" t="e">
        <f>AH9-#REF!-#REF!-#REF!</f>
        <v>#REF!</v>
      </c>
      <c r="AI102" s="172" t="e">
        <f>AI9-#REF!-#REF!-#REF!</f>
        <v>#REF!</v>
      </c>
      <c r="AJ102" s="172" t="e">
        <f>AJ9-#REF!-#REF!</f>
        <v>#REF!</v>
      </c>
      <c r="AK102" s="100" t="e">
        <f t="shared" si="10"/>
        <v>#REF!</v>
      </c>
      <c r="AL102" s="155"/>
    </row>
    <row r="103" ht="24.95" hidden="1" customHeight="1" spans="1:39">
      <c r="A103" s="100">
        <v>3</v>
      </c>
      <c r="B103" s="100"/>
      <c r="C103" s="165" t="s">
        <v>153</v>
      </c>
      <c r="D103" s="100" t="s">
        <v>200</v>
      </c>
      <c r="E103" s="162"/>
      <c r="F103" s="172" t="e">
        <f>F10-#REF!-#REF!-#REF!</f>
        <v>#REF!</v>
      </c>
      <c r="G103" s="172" t="e">
        <f>G10-#REF!-#REF!-#REF!</f>
        <v>#REF!</v>
      </c>
      <c r="H103" s="172" t="e">
        <f>H10-#REF!-#REF!-#REF!</f>
        <v>#REF!</v>
      </c>
      <c r="I103" s="172" t="e">
        <f>I10-#REF!-#REF!-#REF!</f>
        <v>#REF!</v>
      </c>
      <c r="J103" s="172" t="e">
        <f>J10-#REF!-#REF!-#REF!</f>
        <v>#REF!</v>
      </c>
      <c r="K103" s="172" t="e">
        <f>K10-#REF!-#REF!-#REF!</f>
        <v>#REF!</v>
      </c>
      <c r="L103" s="172" t="e">
        <f>L10-#REF!-#REF!-#REF!</f>
        <v>#REF!</v>
      </c>
      <c r="M103" s="172" t="e">
        <f>M10-#REF!-#REF!-#REF!</f>
        <v>#REF!</v>
      </c>
      <c r="N103" s="172" t="e">
        <f>N10-#REF!-#REF!-#REF!</f>
        <v>#REF!</v>
      </c>
      <c r="O103" s="172" t="e">
        <f>O10-#REF!-#REF!-#REF!</f>
        <v>#REF!</v>
      </c>
      <c r="P103" s="172" t="e">
        <f>P10-#REF!-#REF!-#REF!</f>
        <v>#REF!</v>
      </c>
      <c r="Q103" s="172" t="e">
        <f>Q10-#REF!-#REF!-#REF!</f>
        <v>#REF!</v>
      </c>
      <c r="R103" s="172" t="e">
        <f>R10-#REF!-#REF!-#REF!</f>
        <v>#REF!</v>
      </c>
      <c r="S103" s="172" t="e">
        <f>S10-#REF!-#REF!-#REF!</f>
        <v>#REF!</v>
      </c>
      <c r="T103" s="172" t="e">
        <f>T10-#REF!-#REF!-#REF!</f>
        <v>#REF!</v>
      </c>
      <c r="U103" s="172" t="e">
        <f>U10-#REF!-#REF!-#REF!</f>
        <v>#REF!</v>
      </c>
      <c r="V103" s="172" t="e">
        <f>V10-#REF!-#REF!-#REF!</f>
        <v>#REF!</v>
      </c>
      <c r="W103" s="172" t="e">
        <f>W10-#REF!-#REF!-#REF!</f>
        <v>#REF!</v>
      </c>
      <c r="X103" s="172" t="e">
        <f>X10-#REF!-#REF!-#REF!</f>
        <v>#REF!</v>
      </c>
      <c r="Y103" s="172" t="e">
        <f>Y10-#REF!-#REF!-#REF!</f>
        <v>#REF!</v>
      </c>
      <c r="Z103" s="172" t="e">
        <f>Z10-#REF!-#REF!-#REF!</f>
        <v>#REF!</v>
      </c>
      <c r="AA103" s="172" t="e">
        <f>AA10-#REF!-#REF!-#REF!</f>
        <v>#REF!</v>
      </c>
      <c r="AB103" s="172" t="e">
        <f>AB10-#REF!-#REF!-#REF!</f>
        <v>#REF!</v>
      </c>
      <c r="AC103" s="172" t="e">
        <f>AC10-#REF!-#REF!-#REF!</f>
        <v>#REF!</v>
      </c>
      <c r="AD103" s="172" t="e">
        <f>AD10-#REF!-#REF!-#REF!</f>
        <v>#REF!</v>
      </c>
      <c r="AE103" s="172" t="e">
        <f>AE10-#REF!-#REF!-#REF!</f>
        <v>#REF!</v>
      </c>
      <c r="AF103" s="172" t="e">
        <f>AF10-#REF!-#REF!-#REF!</f>
        <v>#REF!</v>
      </c>
      <c r="AG103" s="172" t="e">
        <f>AG10-#REF!-#REF!-#REF!</f>
        <v>#REF!</v>
      </c>
      <c r="AH103" s="172" t="e">
        <f>AH10-#REF!-#REF!-#REF!</f>
        <v>#REF!</v>
      </c>
      <c r="AI103" s="172" t="e">
        <f>AI10-#REF!-#REF!-#REF!</f>
        <v>#REF!</v>
      </c>
      <c r="AJ103" s="172" t="e">
        <f>AJ10-#REF!-#REF!</f>
        <v>#REF!</v>
      </c>
      <c r="AK103" s="100" t="e">
        <f t="shared" si="10"/>
        <v>#REF!</v>
      </c>
      <c r="AL103" s="100"/>
      <c r="AM103" s="180" t="s">
        <v>201</v>
      </c>
    </row>
    <row r="104" ht="24.95" hidden="1" customHeight="1" spans="1:39">
      <c r="A104" s="100">
        <v>4</v>
      </c>
      <c r="B104" s="100"/>
      <c r="C104" s="167" t="s">
        <v>182</v>
      </c>
      <c r="D104" s="100" t="s">
        <v>200</v>
      </c>
      <c r="E104" s="162"/>
      <c r="F104" s="172" t="e">
        <f>F11-#REF!-#REF!-#REF!</f>
        <v>#REF!</v>
      </c>
      <c r="G104" s="172" t="e">
        <f>G11-#REF!-#REF!-#REF!</f>
        <v>#REF!</v>
      </c>
      <c r="H104" s="172" t="e">
        <f>H11-#REF!-#REF!-#REF!</f>
        <v>#REF!</v>
      </c>
      <c r="I104" s="172" t="e">
        <f>I11-#REF!-#REF!-#REF!</f>
        <v>#REF!</v>
      </c>
      <c r="J104" s="172" t="e">
        <f>J11-#REF!-#REF!-#REF!</f>
        <v>#REF!</v>
      </c>
      <c r="K104" s="172" t="e">
        <f>K11-#REF!-#REF!-#REF!</f>
        <v>#REF!</v>
      </c>
      <c r="L104" s="172" t="e">
        <f>L11-#REF!-#REF!-#REF!</f>
        <v>#REF!</v>
      </c>
      <c r="M104" s="172" t="e">
        <f>M11-#REF!-#REF!-#REF!</f>
        <v>#REF!</v>
      </c>
      <c r="N104" s="172" t="e">
        <f>N11-#REF!-#REF!-#REF!</f>
        <v>#REF!</v>
      </c>
      <c r="O104" s="172" t="e">
        <f>O11-#REF!-#REF!-#REF!</f>
        <v>#REF!</v>
      </c>
      <c r="P104" s="172" t="e">
        <f>P11-#REF!-#REF!-#REF!</f>
        <v>#REF!</v>
      </c>
      <c r="Q104" s="172" t="e">
        <f>Q11-#REF!-#REF!-#REF!</f>
        <v>#REF!</v>
      </c>
      <c r="R104" s="172" t="e">
        <f>R11-#REF!-#REF!-#REF!</f>
        <v>#REF!</v>
      </c>
      <c r="S104" s="172" t="e">
        <f>S11-#REF!-#REF!-#REF!</f>
        <v>#REF!</v>
      </c>
      <c r="T104" s="172" t="e">
        <f>T11-#REF!-#REF!-#REF!</f>
        <v>#REF!</v>
      </c>
      <c r="U104" s="172" t="e">
        <f>U11-#REF!-#REF!-#REF!</f>
        <v>#REF!</v>
      </c>
      <c r="V104" s="172" t="e">
        <f>V11-#REF!-#REF!-#REF!</f>
        <v>#REF!</v>
      </c>
      <c r="W104" s="172" t="e">
        <f>W11-#REF!-#REF!-#REF!</f>
        <v>#REF!</v>
      </c>
      <c r="X104" s="172" t="e">
        <f>X11-#REF!-#REF!-#REF!</f>
        <v>#REF!</v>
      </c>
      <c r="Y104" s="172" t="e">
        <f>Y11-#REF!-#REF!-#REF!</f>
        <v>#REF!</v>
      </c>
      <c r="Z104" s="172" t="e">
        <f>Z11-#REF!-#REF!-#REF!</f>
        <v>#REF!</v>
      </c>
      <c r="AA104" s="172" t="e">
        <f>AA11-#REF!-#REF!-#REF!</f>
        <v>#REF!</v>
      </c>
      <c r="AB104" s="172" t="e">
        <f>AB11-#REF!-#REF!-#REF!</f>
        <v>#REF!</v>
      </c>
      <c r="AC104" s="172" t="e">
        <f>AC11-#REF!-#REF!-#REF!</f>
        <v>#REF!</v>
      </c>
      <c r="AD104" s="172" t="e">
        <f>AD11-#REF!-#REF!-#REF!</f>
        <v>#REF!</v>
      </c>
      <c r="AE104" s="172" t="e">
        <f>AE11-#REF!-#REF!-#REF!</f>
        <v>#REF!</v>
      </c>
      <c r="AF104" s="172" t="e">
        <f>AF11-#REF!-#REF!-#REF!</f>
        <v>#REF!</v>
      </c>
      <c r="AG104" s="172" t="e">
        <f>AG11-#REF!-#REF!-#REF!</f>
        <v>#REF!</v>
      </c>
      <c r="AH104" s="172" t="e">
        <f>AH11-#REF!-#REF!-#REF!</f>
        <v>#REF!</v>
      </c>
      <c r="AI104" s="172" t="e">
        <f>AI11-#REF!-#REF!-#REF!</f>
        <v>#REF!</v>
      </c>
      <c r="AJ104" s="172" t="e">
        <f>AJ11-#REF!-#REF!</f>
        <v>#REF!</v>
      </c>
      <c r="AK104" s="100" t="e">
        <f t="shared" si="10"/>
        <v>#REF!</v>
      </c>
      <c r="AL104" s="100"/>
      <c r="AM104" s="180"/>
    </row>
    <row r="105" ht="24.95" hidden="1" customHeight="1" spans="1:39">
      <c r="A105" s="100">
        <v>5</v>
      </c>
      <c r="B105" s="100"/>
      <c r="C105" s="100" t="s">
        <v>183</v>
      </c>
      <c r="D105" s="100" t="s">
        <v>200</v>
      </c>
      <c r="E105" s="162"/>
      <c r="F105" s="172" t="e">
        <f>F12-#REF!-#REF!-#REF!</f>
        <v>#REF!</v>
      </c>
      <c r="G105" s="172" t="e">
        <f>G12-#REF!-#REF!-#REF!</f>
        <v>#REF!</v>
      </c>
      <c r="H105" s="172" t="e">
        <f>H12-#REF!-#REF!-#REF!</f>
        <v>#REF!</v>
      </c>
      <c r="I105" s="172" t="e">
        <f>I12-#REF!-#REF!-#REF!</f>
        <v>#REF!</v>
      </c>
      <c r="J105" s="172" t="e">
        <f>J12-#REF!-#REF!-#REF!</f>
        <v>#REF!</v>
      </c>
      <c r="K105" s="172" t="e">
        <f>K12-#REF!-#REF!-#REF!</f>
        <v>#REF!</v>
      </c>
      <c r="L105" s="172" t="e">
        <f>L12-#REF!-#REF!-#REF!</f>
        <v>#REF!</v>
      </c>
      <c r="M105" s="172" t="e">
        <f>M12-#REF!-#REF!-#REF!</f>
        <v>#REF!</v>
      </c>
      <c r="N105" s="172" t="e">
        <f>N12-#REF!-#REF!-#REF!</f>
        <v>#REF!</v>
      </c>
      <c r="O105" s="172" t="e">
        <f>O12-#REF!-#REF!-#REF!</f>
        <v>#REF!</v>
      </c>
      <c r="P105" s="172" t="e">
        <f>P12-#REF!-#REF!-#REF!</f>
        <v>#REF!</v>
      </c>
      <c r="Q105" s="172" t="e">
        <f>Q12-#REF!-#REF!-#REF!</f>
        <v>#REF!</v>
      </c>
      <c r="R105" s="172" t="e">
        <f>R12-#REF!-#REF!-#REF!</f>
        <v>#REF!</v>
      </c>
      <c r="S105" s="172" t="e">
        <f>S12-#REF!-#REF!-#REF!</f>
        <v>#REF!</v>
      </c>
      <c r="T105" s="172" t="e">
        <f>T12-#REF!-#REF!-#REF!</f>
        <v>#REF!</v>
      </c>
      <c r="U105" s="172" t="e">
        <f>U12-#REF!-#REF!-#REF!</f>
        <v>#REF!</v>
      </c>
      <c r="V105" s="172" t="e">
        <f>V12-#REF!-#REF!-#REF!</f>
        <v>#REF!</v>
      </c>
      <c r="W105" s="172" t="e">
        <f>W12-#REF!-#REF!-#REF!</f>
        <v>#REF!</v>
      </c>
      <c r="X105" s="172" t="e">
        <f>X12-#REF!-#REF!-#REF!</f>
        <v>#REF!</v>
      </c>
      <c r="Y105" s="172" t="e">
        <f>Y12-#REF!-#REF!-#REF!</f>
        <v>#REF!</v>
      </c>
      <c r="Z105" s="172" t="e">
        <f>Z12-#REF!-#REF!-#REF!</f>
        <v>#REF!</v>
      </c>
      <c r="AA105" s="172" t="e">
        <f>AA12-#REF!-#REF!-#REF!</f>
        <v>#REF!</v>
      </c>
      <c r="AB105" s="172" t="e">
        <f>AB12-#REF!-#REF!-#REF!</f>
        <v>#REF!</v>
      </c>
      <c r="AC105" s="172" t="e">
        <f>AC12-#REF!-#REF!-#REF!</f>
        <v>#REF!</v>
      </c>
      <c r="AD105" s="172" t="e">
        <f>AD12-#REF!-#REF!-#REF!</f>
        <v>#REF!</v>
      </c>
      <c r="AE105" s="172" t="e">
        <f>AE12-#REF!-#REF!-#REF!</f>
        <v>#REF!</v>
      </c>
      <c r="AF105" s="172" t="e">
        <f>AF12-#REF!-#REF!-#REF!</f>
        <v>#REF!</v>
      </c>
      <c r="AG105" s="172" t="e">
        <f>AG12-#REF!-#REF!-#REF!</f>
        <v>#REF!</v>
      </c>
      <c r="AH105" s="172" t="e">
        <f>AH12-#REF!-#REF!-#REF!</f>
        <v>#REF!</v>
      </c>
      <c r="AI105" s="172" t="e">
        <f>AI12-#REF!-#REF!-#REF!</f>
        <v>#REF!</v>
      </c>
      <c r="AJ105" s="172" t="e">
        <f>AJ12-#REF!-#REF!</f>
        <v>#REF!</v>
      </c>
      <c r="AK105" s="100" t="e">
        <f t="shared" si="10"/>
        <v>#REF!</v>
      </c>
      <c r="AL105" s="100"/>
      <c r="AM105" s="180"/>
    </row>
    <row r="106" ht="24.95" hidden="1" customHeight="1" spans="1:39">
      <c r="A106" s="100">
        <v>6</v>
      </c>
      <c r="B106" s="100"/>
      <c r="C106" s="100" t="s">
        <v>184</v>
      </c>
      <c r="D106" s="100" t="s">
        <v>200</v>
      </c>
      <c r="E106" s="162"/>
      <c r="F106" s="172" t="e">
        <f>F13-#REF!-#REF!-#REF!</f>
        <v>#REF!</v>
      </c>
      <c r="G106" s="172" t="e">
        <f>G13-#REF!-#REF!-#REF!</f>
        <v>#REF!</v>
      </c>
      <c r="H106" s="172" t="e">
        <f>H13-#REF!-#REF!-#REF!</f>
        <v>#REF!</v>
      </c>
      <c r="I106" s="172" t="e">
        <f>I13-#REF!-#REF!-#REF!</f>
        <v>#REF!</v>
      </c>
      <c r="J106" s="172" t="e">
        <f>J13-#REF!-#REF!-#REF!</f>
        <v>#REF!</v>
      </c>
      <c r="K106" s="172" t="e">
        <f>K13-#REF!-#REF!-#REF!</f>
        <v>#REF!</v>
      </c>
      <c r="L106" s="172" t="e">
        <f>L13-#REF!-#REF!-#REF!</f>
        <v>#REF!</v>
      </c>
      <c r="M106" s="172" t="e">
        <f>M13-#REF!-#REF!-#REF!</f>
        <v>#REF!</v>
      </c>
      <c r="N106" s="172" t="e">
        <f>N13-#REF!-#REF!-#REF!</f>
        <v>#REF!</v>
      </c>
      <c r="O106" s="172" t="e">
        <f>O13-#REF!-#REF!-#REF!</f>
        <v>#REF!</v>
      </c>
      <c r="P106" s="172" t="e">
        <f>P13-#REF!-#REF!-#REF!</f>
        <v>#REF!</v>
      </c>
      <c r="Q106" s="172" t="e">
        <f>Q13-#REF!-#REF!-#REF!</f>
        <v>#REF!</v>
      </c>
      <c r="R106" s="172" t="e">
        <f>R13-#REF!-#REF!-#REF!</f>
        <v>#REF!</v>
      </c>
      <c r="S106" s="172" t="e">
        <f>S13-#REF!-#REF!-#REF!</f>
        <v>#REF!</v>
      </c>
      <c r="T106" s="172" t="e">
        <f>T13-#REF!-#REF!-#REF!</f>
        <v>#REF!</v>
      </c>
      <c r="U106" s="172" t="e">
        <f>U13-#REF!-#REF!-#REF!</f>
        <v>#REF!</v>
      </c>
      <c r="V106" s="172" t="e">
        <f>V13-#REF!-#REF!-#REF!</f>
        <v>#REF!</v>
      </c>
      <c r="W106" s="172" t="e">
        <f>W13-#REF!-#REF!-#REF!</f>
        <v>#REF!</v>
      </c>
      <c r="X106" s="172" t="e">
        <f>X13-#REF!-#REF!-#REF!</f>
        <v>#REF!</v>
      </c>
      <c r="Y106" s="172" t="e">
        <f>Y13-#REF!-#REF!-#REF!</f>
        <v>#REF!</v>
      </c>
      <c r="Z106" s="172" t="e">
        <f>Z13-#REF!-#REF!-#REF!</f>
        <v>#REF!</v>
      </c>
      <c r="AA106" s="172" t="e">
        <f>AA13-#REF!-#REF!-#REF!</f>
        <v>#REF!</v>
      </c>
      <c r="AB106" s="172" t="e">
        <f>AB13-#REF!-#REF!-#REF!</f>
        <v>#REF!</v>
      </c>
      <c r="AC106" s="172" t="e">
        <f>AC13-#REF!-#REF!-#REF!</f>
        <v>#REF!</v>
      </c>
      <c r="AD106" s="172" t="e">
        <f>AD13-#REF!-#REF!-#REF!</f>
        <v>#REF!</v>
      </c>
      <c r="AE106" s="172" t="e">
        <f>AE13-#REF!-#REF!-#REF!</f>
        <v>#REF!</v>
      </c>
      <c r="AF106" s="172" t="e">
        <f>AF13-#REF!-#REF!-#REF!</f>
        <v>#REF!</v>
      </c>
      <c r="AG106" s="172" t="e">
        <f>AG13-#REF!-#REF!-#REF!</f>
        <v>#REF!</v>
      </c>
      <c r="AH106" s="172" t="e">
        <f>AH13-#REF!-#REF!-#REF!</f>
        <v>#REF!</v>
      </c>
      <c r="AI106" s="172" t="e">
        <f>AI13-#REF!-#REF!-#REF!</f>
        <v>#REF!</v>
      </c>
      <c r="AJ106" s="172" t="e">
        <f>#REF!-#REF!</f>
        <v>#REF!</v>
      </c>
      <c r="AK106" s="100" t="e">
        <f t="shared" si="10"/>
        <v>#REF!</v>
      </c>
      <c r="AL106" s="100"/>
      <c r="AM106" s="180"/>
    </row>
    <row r="107" ht="24.95" hidden="1" customHeight="1" spans="1:39">
      <c r="A107" s="100">
        <v>7</v>
      </c>
      <c r="B107" s="100"/>
      <c r="C107" s="100" t="s">
        <v>185</v>
      </c>
      <c r="D107" s="100" t="s">
        <v>200</v>
      </c>
      <c r="E107" s="162"/>
      <c r="F107" s="172" t="e">
        <f>F14-#REF!-#REF!-#REF!</f>
        <v>#REF!</v>
      </c>
      <c r="G107" s="172" t="e">
        <f>G14-#REF!-#REF!-#REF!</f>
        <v>#REF!</v>
      </c>
      <c r="H107" s="172" t="e">
        <f>H14-#REF!-#REF!-#REF!</f>
        <v>#REF!</v>
      </c>
      <c r="I107" s="172" t="e">
        <f>I14-#REF!-#REF!-#REF!</f>
        <v>#REF!</v>
      </c>
      <c r="J107" s="172" t="e">
        <f>J14-#REF!-#REF!-#REF!</f>
        <v>#REF!</v>
      </c>
      <c r="K107" s="172" t="e">
        <f>K14-#REF!-#REF!-#REF!</f>
        <v>#REF!</v>
      </c>
      <c r="L107" s="172" t="e">
        <f>L14-#REF!-#REF!-#REF!</f>
        <v>#REF!</v>
      </c>
      <c r="M107" s="172" t="e">
        <f>M14-#REF!-#REF!-#REF!</f>
        <v>#REF!</v>
      </c>
      <c r="N107" s="172" t="e">
        <f>N14-#REF!-#REF!-#REF!</f>
        <v>#REF!</v>
      </c>
      <c r="O107" s="172" t="e">
        <f>O14-#REF!-#REF!-#REF!</f>
        <v>#REF!</v>
      </c>
      <c r="P107" s="172" t="e">
        <f>P14-#REF!-#REF!-#REF!</f>
        <v>#REF!</v>
      </c>
      <c r="Q107" s="172" t="e">
        <f>Q14-#REF!-#REF!-#REF!</f>
        <v>#REF!</v>
      </c>
      <c r="R107" s="172" t="e">
        <f>R14-#REF!-#REF!-#REF!</f>
        <v>#REF!</v>
      </c>
      <c r="S107" s="172" t="e">
        <f>S14-#REF!-#REF!-#REF!</f>
        <v>#REF!</v>
      </c>
      <c r="T107" s="172" t="e">
        <f>T14-#REF!-#REF!-#REF!</f>
        <v>#REF!</v>
      </c>
      <c r="U107" s="172" t="e">
        <f>U14-#REF!-#REF!-#REF!</f>
        <v>#REF!</v>
      </c>
      <c r="V107" s="172" t="e">
        <f>V14-#REF!-#REF!-#REF!</f>
        <v>#REF!</v>
      </c>
      <c r="W107" s="172" t="e">
        <f>W14-#REF!-#REF!-#REF!</f>
        <v>#REF!</v>
      </c>
      <c r="X107" s="172" t="e">
        <f>X14-#REF!-#REF!-#REF!</f>
        <v>#REF!</v>
      </c>
      <c r="Y107" s="172" t="e">
        <f>Y14-#REF!-#REF!-#REF!</f>
        <v>#REF!</v>
      </c>
      <c r="Z107" s="172" t="e">
        <f>Z14-#REF!-#REF!-#REF!</f>
        <v>#REF!</v>
      </c>
      <c r="AA107" s="172" t="e">
        <f>AA14-#REF!-#REF!-#REF!</f>
        <v>#REF!</v>
      </c>
      <c r="AB107" s="172" t="e">
        <f>AB14-#REF!-#REF!-#REF!</f>
        <v>#REF!</v>
      </c>
      <c r="AC107" s="172" t="e">
        <f>AC14-#REF!-#REF!-#REF!</f>
        <v>#REF!</v>
      </c>
      <c r="AD107" s="172" t="e">
        <f>AD14-#REF!-#REF!-#REF!</f>
        <v>#REF!</v>
      </c>
      <c r="AE107" s="172" t="e">
        <f>AE14-#REF!-#REF!-#REF!</f>
        <v>#REF!</v>
      </c>
      <c r="AF107" s="172" t="e">
        <f>AF14-#REF!-#REF!-#REF!</f>
        <v>#REF!</v>
      </c>
      <c r="AG107" s="172" t="e">
        <f>AG14-#REF!-#REF!-#REF!</f>
        <v>#REF!</v>
      </c>
      <c r="AH107" s="172" t="e">
        <f>AH14-#REF!-#REF!-#REF!</f>
        <v>#REF!</v>
      </c>
      <c r="AI107" s="172" t="e">
        <f>AI14-#REF!-#REF!-#REF!</f>
        <v>#REF!</v>
      </c>
      <c r="AJ107" s="172" t="e">
        <f>AJ14-#REF!-#REF!</f>
        <v>#REF!</v>
      </c>
      <c r="AK107" s="100" t="e">
        <f t="shared" si="10"/>
        <v>#REF!</v>
      </c>
      <c r="AL107" s="100"/>
      <c r="AM107" s="180"/>
    </row>
    <row r="108" ht="24.95" hidden="1" customHeight="1" spans="1:39">
      <c r="A108" s="100">
        <v>8</v>
      </c>
      <c r="B108" s="100"/>
      <c r="C108" s="100" t="s">
        <v>186</v>
      </c>
      <c r="D108" s="100" t="s">
        <v>200</v>
      </c>
      <c r="E108" s="162"/>
      <c r="F108" s="172" t="e">
        <f>F15-#REF!-#REF!-#REF!</f>
        <v>#REF!</v>
      </c>
      <c r="G108" s="172" t="e">
        <f>G15-#REF!-#REF!-#REF!</f>
        <v>#REF!</v>
      </c>
      <c r="H108" s="172" t="e">
        <f>H15-#REF!-#REF!-#REF!</f>
        <v>#REF!</v>
      </c>
      <c r="I108" s="172" t="e">
        <f>I15-#REF!-#REF!-#REF!</f>
        <v>#REF!</v>
      </c>
      <c r="J108" s="172" t="e">
        <f>J15-#REF!-#REF!-#REF!</f>
        <v>#REF!</v>
      </c>
      <c r="K108" s="172" t="e">
        <f>K15-#REF!-#REF!-#REF!</f>
        <v>#REF!</v>
      </c>
      <c r="L108" s="172" t="e">
        <f>L15-#REF!-#REF!-#REF!</f>
        <v>#REF!</v>
      </c>
      <c r="M108" s="172" t="e">
        <f>M15-#REF!-#REF!-#REF!</f>
        <v>#REF!</v>
      </c>
      <c r="N108" s="172" t="e">
        <f>N15-#REF!-#REF!-#REF!</f>
        <v>#REF!</v>
      </c>
      <c r="O108" s="172" t="e">
        <f>O15-#REF!-#REF!-#REF!</f>
        <v>#REF!</v>
      </c>
      <c r="P108" s="172" t="e">
        <f>P15-#REF!-#REF!-#REF!</f>
        <v>#REF!</v>
      </c>
      <c r="Q108" s="172" t="e">
        <f>Q15-#REF!-#REF!-#REF!</f>
        <v>#REF!</v>
      </c>
      <c r="R108" s="172" t="e">
        <f>R15-#REF!-#REF!-#REF!</f>
        <v>#REF!</v>
      </c>
      <c r="S108" s="172" t="e">
        <f>S15-#REF!-#REF!-#REF!</f>
        <v>#REF!</v>
      </c>
      <c r="T108" s="172" t="e">
        <f>T15-#REF!-#REF!-#REF!</f>
        <v>#REF!</v>
      </c>
      <c r="U108" s="172" t="e">
        <f>U15-#REF!-#REF!-#REF!</f>
        <v>#REF!</v>
      </c>
      <c r="V108" s="172" t="e">
        <f>V15-#REF!-#REF!-#REF!</f>
        <v>#REF!</v>
      </c>
      <c r="W108" s="172" t="e">
        <f>W15-#REF!-#REF!-#REF!</f>
        <v>#REF!</v>
      </c>
      <c r="X108" s="172" t="e">
        <f>X15-#REF!-#REF!-#REF!</f>
        <v>#REF!</v>
      </c>
      <c r="Y108" s="172" t="e">
        <f>Y15-#REF!-#REF!-#REF!</f>
        <v>#REF!</v>
      </c>
      <c r="Z108" s="172" t="e">
        <f>Z15-#REF!-#REF!-#REF!</f>
        <v>#REF!</v>
      </c>
      <c r="AA108" s="172" t="e">
        <f>AA15-#REF!-#REF!-#REF!</f>
        <v>#REF!</v>
      </c>
      <c r="AB108" s="172" t="e">
        <f>AB15-#REF!-#REF!-#REF!</f>
        <v>#REF!</v>
      </c>
      <c r="AC108" s="172" t="e">
        <f>AC15-#REF!-#REF!-#REF!</f>
        <v>#REF!</v>
      </c>
      <c r="AD108" s="172" t="e">
        <f>AD15-#REF!-#REF!-#REF!</f>
        <v>#REF!</v>
      </c>
      <c r="AE108" s="172" t="e">
        <f>AE15-#REF!-#REF!-#REF!</f>
        <v>#REF!</v>
      </c>
      <c r="AF108" s="172" t="e">
        <f>AF15-#REF!-#REF!-#REF!</f>
        <v>#REF!</v>
      </c>
      <c r="AG108" s="172" t="e">
        <f>AG15-#REF!-#REF!-#REF!</f>
        <v>#REF!</v>
      </c>
      <c r="AH108" s="172" t="e">
        <f>AH15-#REF!-#REF!-#REF!</f>
        <v>#REF!</v>
      </c>
      <c r="AI108" s="172" t="e">
        <f>AI15-#REF!-#REF!-#REF!</f>
        <v>#REF!</v>
      </c>
      <c r="AJ108" s="172" t="e">
        <f>AJ15-#REF!-#REF!</f>
        <v>#REF!</v>
      </c>
      <c r="AK108" s="100" t="e">
        <f t="shared" si="10"/>
        <v>#REF!</v>
      </c>
      <c r="AL108" s="100"/>
      <c r="AM108" s="180"/>
    </row>
    <row r="109" ht="24.95" hidden="1" customHeight="1" spans="1:39">
      <c r="A109" s="100">
        <v>9</v>
      </c>
      <c r="B109" s="100"/>
      <c r="C109" s="100" t="s">
        <v>187</v>
      </c>
      <c r="D109" s="100" t="s">
        <v>200</v>
      </c>
      <c r="E109" s="162"/>
      <c r="F109" s="172" t="e">
        <f>F16-#REF!-#REF!-#REF!</f>
        <v>#REF!</v>
      </c>
      <c r="G109" s="172" t="e">
        <f>G16-#REF!-#REF!-#REF!</f>
        <v>#REF!</v>
      </c>
      <c r="H109" s="172" t="e">
        <f>H16-#REF!-#REF!-#REF!</f>
        <v>#REF!</v>
      </c>
      <c r="I109" s="172" t="e">
        <f>I16-#REF!-#REF!-#REF!</f>
        <v>#REF!</v>
      </c>
      <c r="J109" s="172" t="e">
        <f>J16-#REF!-#REF!-#REF!</f>
        <v>#REF!</v>
      </c>
      <c r="K109" s="172" t="e">
        <f>K16-#REF!-#REF!-#REF!</f>
        <v>#REF!</v>
      </c>
      <c r="L109" s="172" t="e">
        <f>L16-#REF!-#REF!-#REF!</f>
        <v>#REF!</v>
      </c>
      <c r="M109" s="172" t="e">
        <f>M16-#REF!-#REF!-#REF!</f>
        <v>#REF!</v>
      </c>
      <c r="N109" s="172" t="e">
        <f>N16-#REF!-#REF!-#REF!</f>
        <v>#REF!</v>
      </c>
      <c r="O109" s="172" t="e">
        <f>O16-#REF!-#REF!-#REF!</f>
        <v>#REF!</v>
      </c>
      <c r="P109" s="172" t="e">
        <f>P16-#REF!-#REF!-#REF!</f>
        <v>#REF!</v>
      </c>
      <c r="Q109" s="172" t="e">
        <f>Q16-#REF!-#REF!-#REF!</f>
        <v>#REF!</v>
      </c>
      <c r="R109" s="172" t="e">
        <f>R16-#REF!-#REF!-#REF!</f>
        <v>#REF!</v>
      </c>
      <c r="S109" s="172" t="e">
        <f>S16-#REF!-#REF!-#REF!</f>
        <v>#REF!</v>
      </c>
      <c r="T109" s="172" t="e">
        <f>T16-#REF!-#REF!-#REF!</f>
        <v>#REF!</v>
      </c>
      <c r="U109" s="172" t="e">
        <f>U16-#REF!-#REF!-#REF!</f>
        <v>#REF!</v>
      </c>
      <c r="V109" s="172" t="e">
        <f>V16-#REF!-#REF!-#REF!</f>
        <v>#REF!</v>
      </c>
      <c r="W109" s="172" t="e">
        <f>W16-#REF!-#REF!-#REF!</f>
        <v>#REF!</v>
      </c>
      <c r="X109" s="172" t="e">
        <f>X16-#REF!-#REF!-#REF!</f>
        <v>#REF!</v>
      </c>
      <c r="Y109" s="172" t="e">
        <f>Y16-#REF!-#REF!-#REF!</f>
        <v>#REF!</v>
      </c>
      <c r="Z109" s="172" t="e">
        <f>Z16-#REF!-#REF!-#REF!</f>
        <v>#REF!</v>
      </c>
      <c r="AA109" s="172" t="e">
        <f>AA16-#REF!-#REF!-#REF!</f>
        <v>#REF!</v>
      </c>
      <c r="AB109" s="172" t="e">
        <f>AB16-#REF!-#REF!-#REF!</f>
        <v>#REF!</v>
      </c>
      <c r="AC109" s="172" t="e">
        <f>AC16-#REF!-#REF!-#REF!</f>
        <v>#REF!</v>
      </c>
      <c r="AD109" s="172" t="e">
        <f>AD16-#REF!-#REF!-#REF!</f>
        <v>#REF!</v>
      </c>
      <c r="AE109" s="172" t="e">
        <f>AE16-#REF!-#REF!-#REF!</f>
        <v>#REF!</v>
      </c>
      <c r="AF109" s="172" t="e">
        <f>AF16-#REF!-#REF!-#REF!</f>
        <v>#REF!</v>
      </c>
      <c r="AG109" s="172" t="e">
        <f>AG16-#REF!-#REF!-#REF!</f>
        <v>#REF!</v>
      </c>
      <c r="AH109" s="172" t="e">
        <f>AH16-#REF!-#REF!-#REF!</f>
        <v>#REF!</v>
      </c>
      <c r="AI109" s="172" t="e">
        <f>AI16-#REF!-#REF!-#REF!</f>
        <v>#REF!</v>
      </c>
      <c r="AJ109" s="172" t="e">
        <f>AJ16-#REF!-#REF!</f>
        <v>#REF!</v>
      </c>
      <c r="AK109" s="100" t="e">
        <f t="shared" si="10"/>
        <v>#REF!</v>
      </c>
      <c r="AL109" s="100"/>
      <c r="AM109" s="180"/>
    </row>
    <row r="110" ht="24.95" hidden="1" customHeight="1" spans="1:39">
      <c r="A110" s="100">
        <v>10</v>
      </c>
      <c r="B110" s="100"/>
      <c r="C110" s="100" t="s">
        <v>188</v>
      </c>
      <c r="D110" s="100" t="s">
        <v>200</v>
      </c>
      <c r="E110" s="162"/>
      <c r="F110" s="172" t="e">
        <f>F17-#REF!-#REF!-#REF!</f>
        <v>#REF!</v>
      </c>
      <c r="G110" s="172" t="e">
        <f>G17-#REF!-#REF!-#REF!</f>
        <v>#REF!</v>
      </c>
      <c r="H110" s="172" t="e">
        <f>H17-#REF!-#REF!-#REF!</f>
        <v>#REF!</v>
      </c>
      <c r="I110" s="172" t="e">
        <f>I17-#REF!-#REF!-#REF!</f>
        <v>#REF!</v>
      </c>
      <c r="J110" s="172" t="e">
        <f>J17-#REF!-#REF!-#REF!</f>
        <v>#REF!</v>
      </c>
      <c r="K110" s="172" t="e">
        <f>K17-#REF!-#REF!-#REF!</f>
        <v>#REF!</v>
      </c>
      <c r="L110" s="172" t="e">
        <f>L17-#REF!-#REF!-#REF!</f>
        <v>#REF!</v>
      </c>
      <c r="M110" s="172" t="e">
        <f>M17-#REF!-#REF!-#REF!</f>
        <v>#REF!</v>
      </c>
      <c r="N110" s="172" t="e">
        <f>N17-#REF!-#REF!-#REF!</f>
        <v>#REF!</v>
      </c>
      <c r="O110" s="172" t="e">
        <f>O17-#REF!-#REF!-#REF!</f>
        <v>#REF!</v>
      </c>
      <c r="P110" s="172" t="e">
        <f>P17-#REF!-#REF!-#REF!</f>
        <v>#REF!</v>
      </c>
      <c r="Q110" s="172" t="e">
        <f>Q17-#REF!-#REF!-#REF!</f>
        <v>#REF!</v>
      </c>
      <c r="R110" s="172" t="e">
        <f>R17-#REF!-#REF!-#REF!</f>
        <v>#REF!</v>
      </c>
      <c r="S110" s="172" t="e">
        <f>S17-#REF!-#REF!-#REF!</f>
        <v>#REF!</v>
      </c>
      <c r="T110" s="172" t="e">
        <f>T17-#REF!-#REF!-#REF!</f>
        <v>#REF!</v>
      </c>
      <c r="U110" s="172" t="e">
        <f>U17-#REF!-#REF!-#REF!</f>
        <v>#REF!</v>
      </c>
      <c r="V110" s="172" t="e">
        <f>V17-#REF!-#REF!-#REF!</f>
        <v>#REF!</v>
      </c>
      <c r="W110" s="172" t="e">
        <f>W17-#REF!-#REF!-#REF!</f>
        <v>#REF!</v>
      </c>
      <c r="X110" s="172" t="e">
        <f>X17-#REF!-#REF!-#REF!</f>
        <v>#REF!</v>
      </c>
      <c r="Y110" s="172" t="e">
        <f>Y17-#REF!-#REF!-#REF!</f>
        <v>#REF!</v>
      </c>
      <c r="Z110" s="172" t="e">
        <f>Z17-#REF!-#REF!-#REF!</f>
        <v>#REF!</v>
      </c>
      <c r="AA110" s="172" t="e">
        <f>AA17-#REF!-#REF!-#REF!</f>
        <v>#REF!</v>
      </c>
      <c r="AB110" s="172" t="e">
        <f>AB17-#REF!-#REF!-#REF!</f>
        <v>#REF!</v>
      </c>
      <c r="AC110" s="172" t="e">
        <f>AC17-#REF!-#REF!-#REF!</f>
        <v>#REF!</v>
      </c>
      <c r="AD110" s="172" t="e">
        <f>AD17-#REF!-#REF!-#REF!</f>
        <v>#REF!</v>
      </c>
      <c r="AE110" s="172" t="e">
        <f>AE17-#REF!-#REF!-#REF!</f>
        <v>#REF!</v>
      </c>
      <c r="AF110" s="172" t="e">
        <f>AF17-#REF!-#REF!-#REF!</f>
        <v>#REF!</v>
      </c>
      <c r="AG110" s="172" t="e">
        <f>AG17-#REF!-#REF!-#REF!</f>
        <v>#REF!</v>
      </c>
      <c r="AH110" s="172" t="e">
        <f>AH17-#REF!-#REF!-#REF!</f>
        <v>#REF!</v>
      </c>
      <c r="AI110" s="172" t="e">
        <f>AI17-#REF!-#REF!-#REF!</f>
        <v>#REF!</v>
      </c>
      <c r="AJ110" s="172" t="e">
        <f>AJ17-#REF!-#REF!</f>
        <v>#REF!</v>
      </c>
      <c r="AK110" s="100" t="e">
        <f t="shared" si="10"/>
        <v>#REF!</v>
      </c>
      <c r="AL110" s="100"/>
      <c r="AM110" s="180"/>
    </row>
    <row r="111" ht="24.95" hidden="1" customHeight="1" spans="1:39">
      <c r="A111" s="100">
        <v>11</v>
      </c>
      <c r="B111" s="100"/>
      <c r="C111" s="100" t="s">
        <v>189</v>
      </c>
      <c r="D111" s="100" t="s">
        <v>200</v>
      </c>
      <c r="E111" s="162"/>
      <c r="F111" s="172" t="e">
        <f>F18-#REF!-#REF!-#REF!</f>
        <v>#REF!</v>
      </c>
      <c r="G111" s="172" t="e">
        <f>G18-#REF!-#REF!-#REF!</f>
        <v>#REF!</v>
      </c>
      <c r="H111" s="172" t="e">
        <f>H18-#REF!-#REF!-#REF!</f>
        <v>#REF!</v>
      </c>
      <c r="I111" s="172" t="e">
        <f>I18-#REF!-#REF!-#REF!</f>
        <v>#REF!</v>
      </c>
      <c r="J111" s="172" t="e">
        <f>J18-#REF!-#REF!-#REF!</f>
        <v>#REF!</v>
      </c>
      <c r="K111" s="172" t="e">
        <f>K18-#REF!-#REF!-#REF!</f>
        <v>#REF!</v>
      </c>
      <c r="L111" s="172" t="e">
        <f>L18-#REF!-#REF!-#REF!</f>
        <v>#REF!</v>
      </c>
      <c r="M111" s="172" t="e">
        <f>M18-#REF!-#REF!-#REF!</f>
        <v>#REF!</v>
      </c>
      <c r="N111" s="172" t="e">
        <f>N18-#REF!-#REF!-#REF!</f>
        <v>#REF!</v>
      </c>
      <c r="O111" s="172" t="e">
        <f>O18-#REF!-#REF!-#REF!</f>
        <v>#REF!</v>
      </c>
      <c r="P111" s="172" t="e">
        <f>P18-#REF!-#REF!-#REF!</f>
        <v>#REF!</v>
      </c>
      <c r="Q111" s="172" t="e">
        <f>Q18-#REF!-#REF!-#REF!</f>
        <v>#REF!</v>
      </c>
      <c r="R111" s="172" t="e">
        <f>R18-#REF!-#REF!-#REF!</f>
        <v>#REF!</v>
      </c>
      <c r="S111" s="172" t="e">
        <f>S18-#REF!-#REF!-#REF!</f>
        <v>#REF!</v>
      </c>
      <c r="T111" s="172" t="e">
        <f>T18-#REF!-#REF!-#REF!</f>
        <v>#REF!</v>
      </c>
      <c r="U111" s="172" t="e">
        <f>U18-#REF!-#REF!-#REF!</f>
        <v>#REF!</v>
      </c>
      <c r="V111" s="172" t="e">
        <f>V18-#REF!-#REF!-#REF!</f>
        <v>#REF!</v>
      </c>
      <c r="W111" s="172" t="e">
        <f>W18-#REF!-#REF!-#REF!</f>
        <v>#REF!</v>
      </c>
      <c r="X111" s="172" t="e">
        <f>X18-#REF!-#REF!-#REF!</f>
        <v>#REF!</v>
      </c>
      <c r="Y111" s="172" t="e">
        <f>Y18-#REF!-#REF!-#REF!</f>
        <v>#REF!</v>
      </c>
      <c r="Z111" s="172" t="e">
        <f>Z18-#REF!-#REF!-#REF!</f>
        <v>#REF!</v>
      </c>
      <c r="AA111" s="172" t="e">
        <f>AA18-#REF!-#REF!-#REF!</f>
        <v>#REF!</v>
      </c>
      <c r="AB111" s="172" t="e">
        <f>AB18-#REF!-#REF!-#REF!</f>
        <v>#REF!</v>
      </c>
      <c r="AC111" s="172" t="e">
        <f>AC18-#REF!-#REF!-#REF!</f>
        <v>#REF!</v>
      </c>
      <c r="AD111" s="172" t="e">
        <f>AD18-#REF!-#REF!-#REF!</f>
        <v>#REF!</v>
      </c>
      <c r="AE111" s="172" t="e">
        <f>AE18-#REF!-#REF!-#REF!</f>
        <v>#REF!</v>
      </c>
      <c r="AF111" s="172" t="e">
        <f>AF18-#REF!-#REF!-#REF!</f>
        <v>#REF!</v>
      </c>
      <c r="AG111" s="172" t="e">
        <f>AG18-#REF!-#REF!-#REF!</f>
        <v>#REF!</v>
      </c>
      <c r="AH111" s="172" t="e">
        <f>AH18-#REF!-#REF!-#REF!</f>
        <v>#REF!</v>
      </c>
      <c r="AI111" s="172" t="e">
        <f>AI18-#REF!-#REF!-#REF!</f>
        <v>#REF!</v>
      </c>
      <c r="AJ111" s="172" t="e">
        <f>AJ18-#REF!-#REF!</f>
        <v>#REF!</v>
      </c>
      <c r="AK111" s="100" t="e">
        <f t="shared" si="10"/>
        <v>#REF!</v>
      </c>
      <c r="AL111" s="100"/>
      <c r="AM111" s="180"/>
    </row>
    <row r="112" ht="24.95" hidden="1" customHeight="1" spans="1:39">
      <c r="A112" s="100">
        <v>12</v>
      </c>
      <c r="B112" s="100"/>
      <c r="C112" s="100" t="s">
        <v>190</v>
      </c>
      <c r="D112" s="100" t="s">
        <v>200</v>
      </c>
      <c r="E112" s="162"/>
      <c r="F112" s="172" t="e">
        <f>F22-#REF!-#REF!-#REF!</f>
        <v>#REF!</v>
      </c>
      <c r="G112" s="172" t="e">
        <f>G22-#REF!-#REF!-#REF!</f>
        <v>#REF!</v>
      </c>
      <c r="H112" s="172">
        <v>3</v>
      </c>
      <c r="I112" s="172" t="e">
        <f>I22-#REF!-#REF!-#REF!</f>
        <v>#REF!</v>
      </c>
      <c r="J112" s="172" t="e">
        <f>J22-#REF!-#REF!-#REF!</f>
        <v>#REF!</v>
      </c>
      <c r="K112" s="172" t="e">
        <f>K22-#REF!-#REF!-#REF!</f>
        <v>#REF!</v>
      </c>
      <c r="L112" s="172" t="e">
        <f>L22-#REF!-#REF!-#REF!</f>
        <v>#REF!</v>
      </c>
      <c r="M112" s="172" t="e">
        <f>M22-#REF!-#REF!-#REF!</f>
        <v>#REF!</v>
      </c>
      <c r="N112" s="172" t="e">
        <f>N22-#REF!-#REF!-#REF!</f>
        <v>#REF!</v>
      </c>
      <c r="O112" s="172" t="e">
        <f>O22-#REF!-#REF!-#REF!</f>
        <v>#REF!</v>
      </c>
      <c r="P112" s="172" t="e">
        <f>P22-#REF!-#REF!-#REF!</f>
        <v>#REF!</v>
      </c>
      <c r="Q112" s="172" t="e">
        <f>Q22-#REF!-#REF!-#REF!</f>
        <v>#REF!</v>
      </c>
      <c r="R112" s="172" t="e">
        <f>R22-#REF!-#REF!-#REF!</f>
        <v>#REF!</v>
      </c>
      <c r="S112" s="172" t="e">
        <f>S22-#REF!-#REF!-#REF!</f>
        <v>#REF!</v>
      </c>
      <c r="T112" s="172" t="e">
        <f>T22-#REF!-#REF!-#REF!</f>
        <v>#REF!</v>
      </c>
      <c r="U112" s="172" t="e">
        <f>U22-#REF!-#REF!-#REF!</f>
        <v>#REF!</v>
      </c>
      <c r="V112" s="172" t="e">
        <f>V22-#REF!-#REF!-#REF!</f>
        <v>#REF!</v>
      </c>
      <c r="W112" s="172" t="e">
        <f>W22-#REF!-#REF!-#REF!</f>
        <v>#REF!</v>
      </c>
      <c r="X112" s="172" t="e">
        <f>X22-#REF!-#REF!-#REF!</f>
        <v>#REF!</v>
      </c>
      <c r="Y112" s="172" t="e">
        <f>Y22-#REF!-#REF!-#REF!</f>
        <v>#REF!</v>
      </c>
      <c r="Z112" s="172" t="e">
        <f>Z22-#REF!-#REF!-#REF!</f>
        <v>#REF!</v>
      </c>
      <c r="AA112" s="172" t="e">
        <f>AA22-#REF!-#REF!-#REF!</f>
        <v>#REF!</v>
      </c>
      <c r="AB112" s="172" t="e">
        <f>AB22-#REF!-#REF!-#REF!</f>
        <v>#REF!</v>
      </c>
      <c r="AC112" s="172" t="e">
        <f>AC22-#REF!-#REF!-#REF!</f>
        <v>#REF!</v>
      </c>
      <c r="AD112" s="172" t="e">
        <f>AD22-#REF!-#REF!-#REF!</f>
        <v>#REF!</v>
      </c>
      <c r="AE112" s="172" t="e">
        <f>AE22-#REF!-#REF!-#REF!</f>
        <v>#REF!</v>
      </c>
      <c r="AF112" s="172" t="e">
        <f>AF22-#REF!-#REF!-#REF!</f>
        <v>#REF!</v>
      </c>
      <c r="AG112" s="172" t="e">
        <f>AG22-#REF!-#REF!-#REF!</f>
        <v>#REF!</v>
      </c>
      <c r="AH112" s="172" t="e">
        <f>AH22-#REF!-#REF!-#REF!</f>
        <v>#REF!</v>
      </c>
      <c r="AI112" s="172" t="e">
        <f>AI22-#REF!-#REF!-#REF!</f>
        <v>#REF!</v>
      </c>
      <c r="AJ112" s="172" t="e">
        <f>AJ22-#REF!-#REF!</f>
        <v>#REF!</v>
      </c>
      <c r="AK112" s="100" t="e">
        <f t="shared" si="10"/>
        <v>#REF!</v>
      </c>
      <c r="AL112" s="100"/>
      <c r="AM112" s="180"/>
    </row>
    <row r="113" ht="24.95" hidden="1" customHeight="1" spans="1:39">
      <c r="A113" s="100">
        <v>13</v>
      </c>
      <c r="B113" s="99"/>
      <c r="C113" s="99" t="s">
        <v>191</v>
      </c>
      <c r="D113" s="100" t="s">
        <v>200</v>
      </c>
      <c r="E113" s="162"/>
      <c r="F113" s="172" t="e">
        <f>F23-#REF!-#REF!-#REF!</f>
        <v>#REF!</v>
      </c>
      <c r="G113" s="172" t="e">
        <f>G23-#REF!-#REF!-#REF!</f>
        <v>#REF!</v>
      </c>
      <c r="H113" s="172" t="e">
        <f>H23-#REF!-#REF!-#REF!</f>
        <v>#REF!</v>
      </c>
      <c r="I113" s="172" t="e">
        <f>I23-#REF!-#REF!-#REF!</f>
        <v>#REF!</v>
      </c>
      <c r="J113" s="172" t="e">
        <f>J23-#REF!-#REF!-#REF!</f>
        <v>#REF!</v>
      </c>
      <c r="K113" s="172" t="e">
        <f>K23-#REF!-#REF!-#REF!</f>
        <v>#REF!</v>
      </c>
      <c r="L113" s="172" t="e">
        <f>L23-#REF!-#REF!-#REF!</f>
        <v>#REF!</v>
      </c>
      <c r="M113" s="172" t="e">
        <f>M23-#REF!-#REF!-#REF!</f>
        <v>#REF!</v>
      </c>
      <c r="N113" s="172" t="e">
        <f>N23-#REF!-#REF!-#REF!</f>
        <v>#REF!</v>
      </c>
      <c r="O113" s="172" t="e">
        <f>O23-#REF!-#REF!-#REF!</f>
        <v>#REF!</v>
      </c>
      <c r="P113" s="172" t="e">
        <f>P23-#REF!-#REF!-#REF!</f>
        <v>#REF!</v>
      </c>
      <c r="Q113" s="172" t="e">
        <f>Q23-#REF!-#REF!-#REF!</f>
        <v>#REF!</v>
      </c>
      <c r="R113" s="172" t="e">
        <f>R23-#REF!-#REF!-#REF!</f>
        <v>#REF!</v>
      </c>
      <c r="S113" s="172" t="e">
        <f>S23-#REF!-#REF!-#REF!</f>
        <v>#REF!</v>
      </c>
      <c r="T113" s="172" t="e">
        <f>T23-#REF!-#REF!-#REF!</f>
        <v>#REF!</v>
      </c>
      <c r="U113" s="172" t="e">
        <f>U23-#REF!-#REF!-#REF!</f>
        <v>#REF!</v>
      </c>
      <c r="V113" s="172" t="e">
        <f>V23-#REF!-#REF!-#REF!</f>
        <v>#REF!</v>
      </c>
      <c r="W113" s="172" t="e">
        <f>W23-#REF!-#REF!-#REF!</f>
        <v>#REF!</v>
      </c>
      <c r="X113" s="172" t="e">
        <f>X23-#REF!-#REF!-#REF!</f>
        <v>#REF!</v>
      </c>
      <c r="Y113" s="172" t="e">
        <f>Y23-#REF!-#REF!-#REF!</f>
        <v>#REF!</v>
      </c>
      <c r="Z113" s="172" t="e">
        <f>Z23-#REF!-#REF!-#REF!</f>
        <v>#REF!</v>
      </c>
      <c r="AA113" s="172" t="e">
        <f>AA23-#REF!-#REF!-#REF!</f>
        <v>#REF!</v>
      </c>
      <c r="AB113" s="172" t="e">
        <f>AB23-#REF!-#REF!-#REF!</f>
        <v>#REF!</v>
      </c>
      <c r="AC113" s="172" t="e">
        <f>AC23-#REF!-#REF!-#REF!</f>
        <v>#REF!</v>
      </c>
      <c r="AD113" s="172" t="e">
        <f>AD23-#REF!-#REF!-#REF!</f>
        <v>#REF!</v>
      </c>
      <c r="AE113" s="172" t="e">
        <f>AE23-#REF!-#REF!-#REF!</f>
        <v>#REF!</v>
      </c>
      <c r="AF113" s="172" t="e">
        <f>AF23-#REF!-#REF!-#REF!</f>
        <v>#REF!</v>
      </c>
      <c r="AG113" s="172" t="e">
        <f>AG24-#REF!-#REF!-#REF!</f>
        <v>#REF!</v>
      </c>
      <c r="AH113" s="172" t="e">
        <f>AH23-#REF!-#REF!-#REF!</f>
        <v>#REF!</v>
      </c>
      <c r="AI113" s="172" t="e">
        <f>AI23-#REF!-#REF!-#REF!</f>
        <v>#REF!</v>
      </c>
      <c r="AJ113" s="172" t="e">
        <f>AJ23-#REF!-#REF!</f>
        <v>#REF!</v>
      </c>
      <c r="AK113" s="100" t="e">
        <f t="shared" si="10"/>
        <v>#REF!</v>
      </c>
      <c r="AL113" s="100"/>
      <c r="AM113" s="180"/>
    </row>
    <row r="114" ht="24.95" hidden="1" customHeight="1" spans="1:39">
      <c r="A114" s="100">
        <v>14</v>
      </c>
      <c r="B114" s="99"/>
      <c r="C114" s="99" t="s">
        <v>192</v>
      </c>
      <c r="D114" s="100" t="s">
        <v>200</v>
      </c>
      <c r="E114" s="162"/>
      <c r="F114" s="172" t="e">
        <f>F24-#REF!-#REF!-#REF!</f>
        <v>#REF!</v>
      </c>
      <c r="G114" s="172" t="e">
        <f>G24-#REF!-#REF!-#REF!</f>
        <v>#REF!</v>
      </c>
      <c r="H114" s="172" t="e">
        <f>H24-#REF!-#REF!-#REF!</f>
        <v>#REF!</v>
      </c>
      <c r="I114" s="172" t="e">
        <f>I24-#REF!-#REF!-#REF!</f>
        <v>#REF!</v>
      </c>
      <c r="J114" s="172" t="e">
        <f>J24-#REF!-#REF!-#REF!</f>
        <v>#REF!</v>
      </c>
      <c r="K114" s="172" t="e">
        <f>K24-#REF!-#REF!-#REF!</f>
        <v>#REF!</v>
      </c>
      <c r="L114" s="172" t="e">
        <f>L24-#REF!-#REF!-#REF!</f>
        <v>#REF!</v>
      </c>
      <c r="M114" s="172" t="e">
        <f>M24-#REF!-#REF!-#REF!</f>
        <v>#REF!</v>
      </c>
      <c r="N114" s="172" t="e">
        <f>N24-#REF!-#REF!-#REF!</f>
        <v>#REF!</v>
      </c>
      <c r="O114" s="172" t="e">
        <f>O24-#REF!-#REF!-#REF!</f>
        <v>#REF!</v>
      </c>
      <c r="P114" s="172" t="e">
        <f>P24-#REF!-#REF!-#REF!</f>
        <v>#REF!</v>
      </c>
      <c r="Q114" s="172" t="e">
        <f>Q24-#REF!-#REF!-#REF!</f>
        <v>#REF!</v>
      </c>
      <c r="R114" s="172" t="e">
        <f>R62-#REF!-#REF!-#REF!</f>
        <v>#REF!</v>
      </c>
      <c r="S114" s="172" t="e">
        <f>S24-#REF!-#REF!-#REF!</f>
        <v>#REF!</v>
      </c>
      <c r="T114" s="172" t="e">
        <f>T24-#REF!-#REF!-#REF!</f>
        <v>#REF!</v>
      </c>
      <c r="U114" s="172" t="e">
        <f>U24-#REF!-#REF!-#REF!</f>
        <v>#REF!</v>
      </c>
      <c r="V114" s="172" t="e">
        <f>V24-#REF!-#REF!-#REF!</f>
        <v>#REF!</v>
      </c>
      <c r="W114" s="172" t="e">
        <f>W24-#REF!-#REF!-#REF!</f>
        <v>#REF!</v>
      </c>
      <c r="X114" s="172" t="e">
        <f>X24-#REF!-#REF!-#REF!</f>
        <v>#REF!</v>
      </c>
      <c r="Y114" s="172" t="e">
        <f>Y24-#REF!-#REF!-#REF!</f>
        <v>#REF!</v>
      </c>
      <c r="Z114" s="172" t="e">
        <f>Z24-#REF!-#REF!-#REF!</f>
        <v>#REF!</v>
      </c>
      <c r="AA114" s="172" t="e">
        <f>AA24-#REF!-#REF!-#REF!</f>
        <v>#REF!</v>
      </c>
      <c r="AB114" s="172" t="e">
        <f>AB24-#REF!-#REF!-#REF!</f>
        <v>#REF!</v>
      </c>
      <c r="AC114" s="172" t="e">
        <f>AC24-#REF!-#REF!-#REF!</f>
        <v>#REF!</v>
      </c>
      <c r="AD114" s="172" t="e">
        <f>AD24-#REF!-#REF!-#REF!</f>
        <v>#REF!</v>
      </c>
      <c r="AE114" s="172" t="e">
        <f>AE24-#REF!-#REF!-#REF!</f>
        <v>#REF!</v>
      </c>
      <c r="AF114" s="172" t="e">
        <f>AF24-#REF!-#REF!-#REF!</f>
        <v>#REF!</v>
      </c>
      <c r="AG114" s="172" t="e">
        <f>#REF!-#REF!-#REF!-#REF!</f>
        <v>#REF!</v>
      </c>
      <c r="AH114" s="172" t="e">
        <f>AH24-#REF!-#REF!-#REF!</f>
        <v>#REF!</v>
      </c>
      <c r="AI114" s="172" t="e">
        <f>AI24-#REF!-#REF!-#REF!</f>
        <v>#REF!</v>
      </c>
      <c r="AJ114" s="172" t="e">
        <f>AJ24-#REF!-#REF!</f>
        <v>#REF!</v>
      </c>
      <c r="AK114" s="100" t="e">
        <f t="shared" si="10"/>
        <v>#REF!</v>
      </c>
      <c r="AL114" s="100"/>
      <c r="AM114" s="180"/>
    </row>
    <row r="115" ht="24.95" hidden="1" customHeight="1" spans="1:39">
      <c r="A115" s="100">
        <v>15</v>
      </c>
      <c r="B115" s="99"/>
      <c r="C115" s="99" t="s">
        <v>193</v>
      </c>
      <c r="D115" s="100" t="s">
        <v>200</v>
      </c>
      <c r="E115" s="162"/>
      <c r="F115" s="172" t="e">
        <f>F62-#REF!-#REF!-#REF!</f>
        <v>#REF!</v>
      </c>
      <c r="G115" s="172" t="e">
        <f>G62-#REF!-#REF!-#REF!</f>
        <v>#REF!</v>
      </c>
      <c r="H115" s="172" t="e">
        <f>H62-#REF!-#REF!-#REF!</f>
        <v>#REF!</v>
      </c>
      <c r="I115" s="172" t="e">
        <f>I62-#REF!-#REF!-#REF!</f>
        <v>#REF!</v>
      </c>
      <c r="J115" s="172" t="e">
        <f>J62-#REF!-#REF!-#REF!</f>
        <v>#REF!</v>
      </c>
      <c r="K115" s="172" t="e">
        <f>K62-#REF!-#REF!-#REF!</f>
        <v>#REF!</v>
      </c>
      <c r="L115" s="172" t="e">
        <f>L62-#REF!-#REF!-#REF!</f>
        <v>#REF!</v>
      </c>
      <c r="M115" s="172" t="e">
        <f>M62-#REF!-#REF!-#REF!</f>
        <v>#REF!</v>
      </c>
      <c r="N115" s="172" t="e">
        <f>N62-#REF!-#REF!-#REF!</f>
        <v>#REF!</v>
      </c>
      <c r="O115" s="172" t="e">
        <f>O62-#REF!-#REF!-#REF!</f>
        <v>#REF!</v>
      </c>
      <c r="P115" s="172" t="e">
        <f>P62-#REF!-#REF!-#REF!</f>
        <v>#REF!</v>
      </c>
      <c r="Q115" s="172" t="e">
        <f>Q62-#REF!-#REF!-#REF!</f>
        <v>#REF!</v>
      </c>
      <c r="R115" s="172" t="e">
        <f>#REF!-#REF!-#REF!-#REF!</f>
        <v>#REF!</v>
      </c>
      <c r="S115" s="172" t="e">
        <f>S62-#REF!-#REF!-#REF!</f>
        <v>#REF!</v>
      </c>
      <c r="T115" s="172" t="e">
        <f>T62-#REF!-#REF!-#REF!</f>
        <v>#REF!</v>
      </c>
      <c r="U115" s="172" t="e">
        <f>U62-#REF!-#REF!-#REF!</f>
        <v>#REF!</v>
      </c>
      <c r="V115" s="172" t="e">
        <f>V62-#REF!-#REF!-#REF!</f>
        <v>#REF!</v>
      </c>
      <c r="W115" s="172" t="e">
        <f>W62-#REF!-#REF!-#REF!</f>
        <v>#REF!</v>
      </c>
      <c r="X115" s="172" t="e">
        <f>X62-#REF!-#REF!-#REF!</f>
        <v>#REF!</v>
      </c>
      <c r="Y115" s="172" t="e">
        <f>Y62-#REF!-#REF!-#REF!</f>
        <v>#REF!</v>
      </c>
      <c r="Z115" s="172" t="e">
        <f>Z62-#REF!-#REF!-#REF!</f>
        <v>#REF!</v>
      </c>
      <c r="AA115" s="172" t="e">
        <f>AA62-#REF!-#REF!-#REF!</f>
        <v>#REF!</v>
      </c>
      <c r="AB115" s="172" t="e">
        <f>AB62-#REF!-#REF!-#REF!</f>
        <v>#REF!</v>
      </c>
      <c r="AC115" s="172" t="e">
        <f>AC62-#REF!-#REF!-#REF!</f>
        <v>#REF!</v>
      </c>
      <c r="AD115" s="172" t="e">
        <f>AD62-#REF!-#REF!-#REF!</f>
        <v>#REF!</v>
      </c>
      <c r="AE115" s="172" t="e">
        <f>AE62-#REF!-#REF!-#REF!</f>
        <v>#REF!</v>
      </c>
      <c r="AF115" s="172" t="e">
        <f>AF62-#REF!-#REF!-#REF!</f>
        <v>#REF!</v>
      </c>
      <c r="AG115" s="172" t="e">
        <f>AG62-#REF!-#REF!-#REF!</f>
        <v>#REF!</v>
      </c>
      <c r="AH115" s="172" t="e">
        <f>AH62-#REF!-#REF!-#REF!</f>
        <v>#REF!</v>
      </c>
      <c r="AI115" s="172" t="e">
        <f>AI62-#REF!-#REF!-#REF!</f>
        <v>#REF!</v>
      </c>
      <c r="AJ115" s="172" t="e">
        <f>AJ62-#REF!-#REF!</f>
        <v>#REF!</v>
      </c>
      <c r="AK115" s="100" t="e">
        <f t="shared" si="10"/>
        <v>#REF!</v>
      </c>
      <c r="AL115" s="100"/>
      <c r="AM115" s="180"/>
    </row>
    <row r="116" ht="24.95" hidden="1" customHeight="1" spans="1:39">
      <c r="A116" s="100">
        <v>16</v>
      </c>
      <c r="B116" s="100"/>
      <c r="C116" s="165" t="s">
        <v>194</v>
      </c>
      <c r="D116" s="100" t="s">
        <v>200</v>
      </c>
      <c r="E116" s="162"/>
      <c r="F116" s="172" t="e">
        <f>F63-#REF!-#REF!-#REF!</f>
        <v>#REF!</v>
      </c>
      <c r="G116" s="172" t="e">
        <f>G63-#REF!-#REF!-#REF!</f>
        <v>#REF!</v>
      </c>
      <c r="H116" s="172" t="e">
        <f>H63-#REF!-#REF!-#REF!</f>
        <v>#REF!</v>
      </c>
      <c r="I116" s="172" t="e">
        <f>I63-#REF!-#REF!-#REF!</f>
        <v>#REF!</v>
      </c>
      <c r="J116" s="172" t="e">
        <f>J63-#REF!-#REF!-#REF!</f>
        <v>#REF!</v>
      </c>
      <c r="K116" s="172" t="e">
        <f>K63-#REF!-#REF!-#REF!</f>
        <v>#REF!</v>
      </c>
      <c r="L116" s="172" t="e">
        <f>L63-#REF!-#REF!-#REF!</f>
        <v>#REF!</v>
      </c>
      <c r="M116" s="172" t="e">
        <f>M63-#REF!-#REF!-#REF!</f>
        <v>#REF!</v>
      </c>
      <c r="N116" s="172" t="e">
        <f>N63-#REF!-#REF!-#REF!</f>
        <v>#REF!</v>
      </c>
      <c r="O116" s="172" t="e">
        <f>O63-#REF!-#REF!-#REF!</f>
        <v>#REF!</v>
      </c>
      <c r="P116" s="172" t="e">
        <f>P63-#REF!-#REF!-#REF!</f>
        <v>#REF!</v>
      </c>
      <c r="Q116" s="172" t="e">
        <f>Q63-#REF!-#REF!-#REF!</f>
        <v>#REF!</v>
      </c>
      <c r="R116" s="172" t="e">
        <f>R63-#REF!-#REF!-#REF!</f>
        <v>#REF!</v>
      </c>
      <c r="S116" s="172" t="e">
        <f>S63-#REF!-#REF!-#REF!</f>
        <v>#REF!</v>
      </c>
      <c r="T116" s="172" t="e">
        <f>T63-#REF!-#REF!-#REF!</f>
        <v>#REF!</v>
      </c>
      <c r="U116" s="172" t="e">
        <f>U63-#REF!-#REF!-#REF!</f>
        <v>#REF!</v>
      </c>
      <c r="V116" s="172" t="e">
        <f>V63-#REF!-#REF!-#REF!</f>
        <v>#REF!</v>
      </c>
      <c r="W116" s="172" t="e">
        <f>W63-#REF!-#REF!-#REF!</f>
        <v>#REF!</v>
      </c>
      <c r="X116" s="172" t="e">
        <f>X63-#REF!-#REF!-#REF!</f>
        <v>#REF!</v>
      </c>
      <c r="Y116" s="172" t="e">
        <f>Y64-#REF!-#REF!-#REF!</f>
        <v>#REF!</v>
      </c>
      <c r="Z116" s="172" t="e">
        <f>Z63-#REF!-#REF!-#REF!</f>
        <v>#REF!</v>
      </c>
      <c r="AA116" s="172" t="e">
        <f>AA63-#REF!-#REF!-#REF!</f>
        <v>#REF!</v>
      </c>
      <c r="AB116" s="172" t="e">
        <f>AB63-#REF!-#REF!-#REF!</f>
        <v>#REF!</v>
      </c>
      <c r="AC116" s="172" t="e">
        <f>AC63-#REF!-#REF!-#REF!</f>
        <v>#REF!</v>
      </c>
      <c r="AD116" s="172" t="e">
        <f>AD63-#REF!-#REF!-#REF!</f>
        <v>#REF!</v>
      </c>
      <c r="AE116" s="172" t="e">
        <f>AE63-#REF!-#REF!-#REF!</f>
        <v>#REF!</v>
      </c>
      <c r="AF116" s="172" t="e">
        <f>AF63-#REF!-#REF!-#REF!</f>
        <v>#REF!</v>
      </c>
      <c r="AG116" s="172" t="e">
        <f>AG63-#REF!-#REF!-#REF!</f>
        <v>#REF!</v>
      </c>
      <c r="AH116" s="172" t="e">
        <f>AH63-#REF!-#REF!-#REF!</f>
        <v>#REF!</v>
      </c>
      <c r="AI116" s="172" t="e">
        <f>AI63-#REF!-#REF!-#REF!</f>
        <v>#REF!</v>
      </c>
      <c r="AJ116" s="172" t="e">
        <f>AJ63-#REF!-#REF!</f>
        <v>#REF!</v>
      </c>
      <c r="AK116" s="100" t="e">
        <f t="shared" si="10"/>
        <v>#REF!</v>
      </c>
      <c r="AL116" s="100"/>
      <c r="AM116" s="180"/>
    </row>
    <row r="117" ht="24.95" hidden="1" customHeight="1" spans="1:39">
      <c r="A117" s="100">
        <v>17</v>
      </c>
      <c r="B117" s="99"/>
      <c r="C117" s="99" t="s">
        <v>54</v>
      </c>
      <c r="D117" s="100" t="s">
        <v>200</v>
      </c>
      <c r="E117" s="162"/>
      <c r="F117" s="172" t="e">
        <f>F64-#REF!-#REF!-#REF!</f>
        <v>#REF!</v>
      </c>
      <c r="G117" s="172" t="e">
        <f>G64-#REF!-#REF!-#REF!</f>
        <v>#REF!</v>
      </c>
      <c r="H117" s="172" t="e">
        <f>H64-#REF!-#REF!-#REF!</f>
        <v>#REF!</v>
      </c>
      <c r="I117" s="172" t="e">
        <f>I64-#REF!-#REF!-#REF!</f>
        <v>#REF!</v>
      </c>
      <c r="J117" s="172" t="e">
        <f>J64-#REF!-#REF!-#REF!</f>
        <v>#REF!</v>
      </c>
      <c r="K117" s="172" t="e">
        <f>K64-#REF!-#REF!-#REF!</f>
        <v>#REF!</v>
      </c>
      <c r="L117" s="172" t="e">
        <f>L64-#REF!-#REF!-#REF!</f>
        <v>#REF!</v>
      </c>
      <c r="M117" s="172" t="e">
        <f>M64-#REF!-#REF!-#REF!</f>
        <v>#REF!</v>
      </c>
      <c r="N117" s="172" t="e">
        <f>N64-#REF!-#REF!-#REF!</f>
        <v>#REF!</v>
      </c>
      <c r="O117" s="172" t="e">
        <f>O64-#REF!-#REF!-#REF!</f>
        <v>#REF!</v>
      </c>
      <c r="P117" s="172" t="e">
        <f>P64-#REF!-#REF!-#REF!</f>
        <v>#REF!</v>
      </c>
      <c r="Q117" s="172" t="e">
        <f>Q64-#REF!-#REF!-#REF!</f>
        <v>#REF!</v>
      </c>
      <c r="R117" s="172" t="e">
        <f>R64-#REF!-#REF!-#REF!</f>
        <v>#REF!</v>
      </c>
      <c r="S117" s="172" t="e">
        <f>S64-#REF!-#REF!-#REF!</f>
        <v>#REF!</v>
      </c>
      <c r="T117" s="172" t="e">
        <f>T64-#REF!-#REF!-#REF!</f>
        <v>#REF!</v>
      </c>
      <c r="U117" s="172" t="e">
        <f>U64-#REF!-#REF!-#REF!</f>
        <v>#REF!</v>
      </c>
      <c r="V117" s="172" t="e">
        <f>V64-#REF!-#REF!-#REF!</f>
        <v>#REF!</v>
      </c>
      <c r="W117" s="172" t="e">
        <f>W64-#REF!-#REF!-#REF!</f>
        <v>#REF!</v>
      </c>
      <c r="X117" s="172" t="e">
        <f>X64-#REF!-#REF!-#REF!</f>
        <v>#REF!</v>
      </c>
      <c r="Y117" s="172" t="e">
        <f>#REF!-#REF!-#REF!-#REF!</f>
        <v>#REF!</v>
      </c>
      <c r="Z117" s="172" t="e">
        <f>Z64-#REF!-#REF!-#REF!</f>
        <v>#REF!</v>
      </c>
      <c r="AA117" s="172" t="e">
        <f>AA64-#REF!-#REF!-#REF!</f>
        <v>#REF!</v>
      </c>
      <c r="AB117" s="172" t="e">
        <f>AB64-#REF!-#REF!-#REF!</f>
        <v>#REF!</v>
      </c>
      <c r="AC117" s="172" t="e">
        <f>AC64-#REF!-#REF!-#REF!</f>
        <v>#REF!</v>
      </c>
      <c r="AD117" s="172" t="e">
        <f>AD64-#REF!-#REF!-#REF!</f>
        <v>#REF!</v>
      </c>
      <c r="AE117" s="172" t="e">
        <f>AE64-#REF!-#REF!-#REF!</f>
        <v>#REF!</v>
      </c>
      <c r="AF117" s="172" t="e">
        <f>AF64-#REF!-#REF!-#REF!</f>
        <v>#REF!</v>
      </c>
      <c r="AG117" s="172" t="e">
        <f>AG64-#REF!-#REF!-#REF!</f>
        <v>#REF!</v>
      </c>
      <c r="AH117" s="172" t="e">
        <f>AH64-#REF!-#REF!-#REF!</f>
        <v>#REF!</v>
      </c>
      <c r="AI117" s="172" t="e">
        <f>AI64-#REF!-#REF!-#REF!</f>
        <v>#REF!</v>
      </c>
      <c r="AJ117" s="172" t="e">
        <f>AJ64-#REF!-#REF!</f>
        <v>#REF!</v>
      </c>
      <c r="AK117" s="100" t="e">
        <f t="shared" si="10"/>
        <v>#REF!</v>
      </c>
      <c r="AL117" s="100"/>
      <c r="AM117" s="180"/>
    </row>
    <row r="118" ht="24.95" hidden="1" customHeight="1" spans="1:39">
      <c r="A118" s="100">
        <v>18</v>
      </c>
      <c r="B118" s="99"/>
      <c r="C118" s="99" t="s">
        <v>195</v>
      </c>
      <c r="D118" s="100" t="s">
        <v>200</v>
      </c>
      <c r="E118" s="162"/>
      <c r="F118" s="172" t="e">
        <f>F65-#REF!-#REF!-#REF!</f>
        <v>#REF!</v>
      </c>
      <c r="G118" s="172" t="e">
        <f>G65-#REF!-#REF!-#REF!</f>
        <v>#REF!</v>
      </c>
      <c r="H118" s="172" t="e">
        <f>H65-#REF!-#REF!-#REF!</f>
        <v>#REF!</v>
      </c>
      <c r="I118" s="172" t="e">
        <f>I65-#REF!-#REF!-#REF!</f>
        <v>#REF!</v>
      </c>
      <c r="J118" s="172" t="e">
        <f>J65-#REF!-#REF!-#REF!</f>
        <v>#REF!</v>
      </c>
      <c r="K118" s="172" t="e">
        <f>K65-#REF!-#REF!-#REF!</f>
        <v>#REF!</v>
      </c>
      <c r="L118" s="172" t="e">
        <f>L65-#REF!-#REF!-#REF!</f>
        <v>#REF!</v>
      </c>
      <c r="M118" s="172" t="e">
        <f>M65-#REF!-#REF!-#REF!</f>
        <v>#REF!</v>
      </c>
      <c r="N118" s="172" t="e">
        <f>N65-#REF!-#REF!-#REF!</f>
        <v>#REF!</v>
      </c>
      <c r="O118" s="172" t="e">
        <f>O65-#REF!-#REF!-#REF!</f>
        <v>#REF!</v>
      </c>
      <c r="P118" s="172" t="e">
        <f>P65-#REF!-#REF!-#REF!</f>
        <v>#REF!</v>
      </c>
      <c r="Q118" s="172" t="e">
        <f>Q65-#REF!-#REF!-#REF!</f>
        <v>#REF!</v>
      </c>
      <c r="R118" s="172" t="e">
        <f>R65-#REF!-#REF!-#REF!</f>
        <v>#REF!</v>
      </c>
      <c r="S118" s="172" t="e">
        <f>S65-#REF!-#REF!-#REF!</f>
        <v>#REF!</v>
      </c>
      <c r="T118" s="172" t="e">
        <f>T65-#REF!-#REF!-#REF!</f>
        <v>#REF!</v>
      </c>
      <c r="U118" s="172" t="e">
        <f>U65-#REF!-#REF!-#REF!</f>
        <v>#REF!</v>
      </c>
      <c r="V118" s="172" t="e">
        <f>V65-#REF!-#REF!-#REF!</f>
        <v>#REF!</v>
      </c>
      <c r="W118" s="172" t="e">
        <f>W65-#REF!-#REF!-#REF!</f>
        <v>#REF!</v>
      </c>
      <c r="X118" s="172" t="e">
        <f>X65-#REF!-#REF!-#REF!</f>
        <v>#REF!</v>
      </c>
      <c r="Y118" s="172" t="e">
        <f>Y65-#REF!-#REF!-#REF!</f>
        <v>#REF!</v>
      </c>
      <c r="Z118" s="172" t="e">
        <f>Z65-#REF!-#REF!-#REF!</f>
        <v>#REF!</v>
      </c>
      <c r="AA118" s="172" t="e">
        <f>AA65-#REF!-#REF!-#REF!</f>
        <v>#REF!</v>
      </c>
      <c r="AB118" s="172" t="e">
        <f>AB65-#REF!-#REF!-#REF!</f>
        <v>#REF!</v>
      </c>
      <c r="AC118" s="172" t="e">
        <f>AC65-#REF!-#REF!-#REF!</f>
        <v>#REF!</v>
      </c>
      <c r="AD118" s="172" t="e">
        <f>AD65-#REF!-#REF!-#REF!</f>
        <v>#REF!</v>
      </c>
      <c r="AE118" s="172" t="e">
        <f>AE65-#REF!-#REF!-#REF!</f>
        <v>#REF!</v>
      </c>
      <c r="AF118" s="172" t="e">
        <f>AF65-#REF!-#REF!-#REF!</f>
        <v>#REF!</v>
      </c>
      <c r="AG118" s="172" t="e">
        <f>AG65-#REF!-#REF!-#REF!</f>
        <v>#REF!</v>
      </c>
      <c r="AH118" s="172" t="e">
        <f>AH65-#REF!-#REF!-#REF!</f>
        <v>#REF!</v>
      </c>
      <c r="AI118" s="172" t="e">
        <f>AI65-#REF!-#REF!-#REF!</f>
        <v>#REF!</v>
      </c>
      <c r="AJ118" s="172" t="e">
        <f>AJ65-#REF!-#REF!</f>
        <v>#REF!</v>
      </c>
      <c r="AK118" s="100" t="e">
        <f t="shared" si="10"/>
        <v>#REF!</v>
      </c>
      <c r="AL118" s="100"/>
      <c r="AM118" s="180"/>
    </row>
    <row r="119" ht="24.95" hidden="1" customHeight="1" spans="1:39">
      <c r="A119" s="100">
        <v>19</v>
      </c>
      <c r="B119" s="99"/>
      <c r="C119" s="99" t="s">
        <v>176</v>
      </c>
      <c r="D119" s="100" t="s">
        <v>200</v>
      </c>
      <c r="E119" s="162"/>
      <c r="F119" s="172" t="e">
        <f>#REF!-#REF!-#REF!-#REF!</f>
        <v>#REF!</v>
      </c>
      <c r="G119" s="172" t="e">
        <f>#REF!-#REF!-#REF!-#REF!</f>
        <v>#REF!</v>
      </c>
      <c r="H119" s="172" t="e">
        <f>#REF!-#REF!-#REF!-#REF!</f>
        <v>#REF!</v>
      </c>
      <c r="I119" s="172" t="e">
        <f>#REF!-#REF!-#REF!-#REF!</f>
        <v>#REF!</v>
      </c>
      <c r="J119" s="172" t="e">
        <f>#REF!-#REF!-#REF!-#REF!</f>
        <v>#REF!</v>
      </c>
      <c r="K119" s="172" t="e">
        <f>#REF!-#REF!-#REF!-#REF!</f>
        <v>#REF!</v>
      </c>
      <c r="L119" s="172" t="e">
        <f>#REF!-#REF!-#REF!-#REF!</f>
        <v>#REF!</v>
      </c>
      <c r="M119" s="172" t="e">
        <f>#REF!-#REF!-#REF!-#REF!</f>
        <v>#REF!</v>
      </c>
      <c r="N119" s="172" t="e">
        <f>#REF!-#REF!-#REF!-#REF!</f>
        <v>#REF!</v>
      </c>
      <c r="O119" s="172" t="e">
        <f>#REF!-#REF!-#REF!-#REF!</f>
        <v>#REF!</v>
      </c>
      <c r="P119" s="172" t="e">
        <f>#REF!-#REF!-#REF!-#REF!</f>
        <v>#REF!</v>
      </c>
      <c r="Q119" s="172" t="e">
        <f>#REF!-#REF!-#REF!-#REF!</f>
        <v>#REF!</v>
      </c>
      <c r="R119" s="172" t="e">
        <f>#REF!-#REF!-#REF!-#REF!</f>
        <v>#REF!</v>
      </c>
      <c r="S119" s="172" t="e">
        <f>#REF!-#REF!-#REF!-#REF!</f>
        <v>#REF!</v>
      </c>
      <c r="T119" s="172" t="e">
        <f>#REF!-#REF!-#REF!-#REF!</f>
        <v>#REF!</v>
      </c>
      <c r="U119" s="172" t="e">
        <f>#REF!-#REF!-#REF!-#REF!</f>
        <v>#REF!</v>
      </c>
      <c r="V119" s="172" t="e">
        <f>#REF!-#REF!-#REF!-#REF!</f>
        <v>#REF!</v>
      </c>
      <c r="W119" s="172" t="e">
        <f>#REF!-#REF!-#REF!-#REF!</f>
        <v>#REF!</v>
      </c>
      <c r="X119" s="172" t="e">
        <f>#REF!-#REF!-#REF!-#REF!</f>
        <v>#REF!</v>
      </c>
      <c r="Y119" s="172" t="e">
        <f>#REF!-#REF!-#REF!-#REF!</f>
        <v>#REF!</v>
      </c>
      <c r="Z119" s="172" t="e">
        <f>#REF!-#REF!-#REF!-#REF!</f>
        <v>#REF!</v>
      </c>
      <c r="AA119" s="172" t="e">
        <f>#REF!-#REF!-#REF!-#REF!</f>
        <v>#REF!</v>
      </c>
      <c r="AB119" s="172" t="e">
        <f>#REF!-#REF!-#REF!-#REF!</f>
        <v>#REF!</v>
      </c>
      <c r="AC119" s="172" t="e">
        <f>#REF!-#REF!-#REF!-#REF!</f>
        <v>#REF!</v>
      </c>
      <c r="AD119" s="172" t="e">
        <f>#REF!-#REF!-#REF!-#REF!</f>
        <v>#REF!</v>
      </c>
      <c r="AE119" s="172" t="e">
        <f>#REF!-#REF!-#REF!-#REF!</f>
        <v>#REF!</v>
      </c>
      <c r="AF119" s="172" t="e">
        <f>#REF!-#REF!-#REF!-#REF!</f>
        <v>#REF!</v>
      </c>
      <c r="AG119" s="172" t="e">
        <f>#REF!-#REF!-#REF!-#REF!</f>
        <v>#REF!</v>
      </c>
      <c r="AH119" s="172" t="e">
        <f>#REF!-#REF!-#REF!-#REF!</f>
        <v>#REF!</v>
      </c>
      <c r="AI119" s="172" t="e">
        <f>#REF!-#REF!-#REF!-#REF!</f>
        <v>#REF!</v>
      </c>
      <c r="AJ119" s="172" t="e">
        <f>#REF!-#REF!-#REF!</f>
        <v>#REF!</v>
      </c>
      <c r="AK119" s="100" t="e">
        <f t="shared" si="10"/>
        <v>#REF!</v>
      </c>
      <c r="AL119" s="100"/>
      <c r="AM119" s="180"/>
    </row>
    <row r="120" ht="24.95" hidden="1" customHeight="1" spans="1:39">
      <c r="A120" s="100" t="s">
        <v>5</v>
      </c>
      <c r="B120" s="100"/>
      <c r="C120" s="100"/>
      <c r="D120" s="100"/>
      <c r="E120" s="162"/>
      <c r="F120" s="172" t="e">
        <f t="shared" ref="F120:N120" si="11">F101+F102+F103+F104+F105+F106+F107+F108+F109+F110+AC111+F112+F113+F114+F115+F116+F117+F118+F119</f>
        <v>#REF!</v>
      </c>
      <c r="G120" s="172" t="e">
        <f t="shared" si="11"/>
        <v>#N/A</v>
      </c>
      <c r="H120" s="172" t="e">
        <f t="shared" si="11"/>
        <v>#N/A</v>
      </c>
      <c r="I120" s="172" t="e">
        <f t="shared" si="11"/>
        <v>#N/A</v>
      </c>
      <c r="J120" s="172" t="e">
        <f t="shared" si="11"/>
        <v>#N/A</v>
      </c>
      <c r="K120" s="172" t="e">
        <f t="shared" si="11"/>
        <v>#N/A</v>
      </c>
      <c r="L120" s="172" t="e">
        <f t="shared" si="11"/>
        <v>#N/A</v>
      </c>
      <c r="M120" s="172" t="e">
        <f t="shared" si="11"/>
        <v>#N/A</v>
      </c>
      <c r="N120" s="172" t="e">
        <f t="shared" si="11"/>
        <v>#N/A</v>
      </c>
      <c r="O120" s="172" t="e">
        <f t="shared" ref="O120:AJ120" si="12">O101+O102+O103+O104+O105+O106+O107+O108+O109+O110+AM111+O112+O113+O114+O115+O116+O117+O118+O119</f>
        <v>#N/A</v>
      </c>
      <c r="P120" s="172" t="e">
        <f t="shared" si="12"/>
        <v>#N/A</v>
      </c>
      <c r="Q120" s="172" t="e">
        <f t="shared" si="12"/>
        <v>#N/A</v>
      </c>
      <c r="R120" s="172" t="e">
        <f t="shared" si="12"/>
        <v>#N/A</v>
      </c>
      <c r="S120" s="172" t="e">
        <f t="shared" si="12"/>
        <v>#N/A</v>
      </c>
      <c r="T120" s="172" t="e">
        <f t="shared" si="12"/>
        <v>#N/A</v>
      </c>
      <c r="U120" s="172" t="e">
        <f t="shared" si="12"/>
        <v>#N/A</v>
      </c>
      <c r="V120" s="172" t="e">
        <f t="shared" si="12"/>
        <v>#N/A</v>
      </c>
      <c r="W120" s="172" t="e">
        <f t="shared" si="12"/>
        <v>#N/A</v>
      </c>
      <c r="X120" s="172" t="e">
        <f t="shared" si="12"/>
        <v>#N/A</v>
      </c>
      <c r="Y120" s="172" t="e">
        <f t="shared" si="12"/>
        <v>#N/A</v>
      </c>
      <c r="Z120" s="172" t="e">
        <f t="shared" si="12"/>
        <v>#N/A</v>
      </c>
      <c r="AA120" s="172" t="e">
        <f t="shared" si="12"/>
        <v>#N/A</v>
      </c>
      <c r="AB120" s="172" t="e">
        <f t="shared" si="12"/>
        <v>#N/A</v>
      </c>
      <c r="AC120" s="172" t="e">
        <f t="shared" si="12"/>
        <v>#N/A</v>
      </c>
      <c r="AD120" s="172" t="e">
        <f t="shared" si="12"/>
        <v>#N/A</v>
      </c>
      <c r="AE120" s="172" t="e">
        <f t="shared" si="12"/>
        <v>#N/A</v>
      </c>
      <c r="AF120" s="172" t="e">
        <f t="shared" si="12"/>
        <v>#N/A</v>
      </c>
      <c r="AG120" s="172" t="e">
        <f t="shared" si="12"/>
        <v>#N/A</v>
      </c>
      <c r="AH120" s="172" t="e">
        <f t="shared" si="12"/>
        <v>#N/A</v>
      </c>
      <c r="AI120" s="172" t="e">
        <f t="shared" si="12"/>
        <v>#N/A</v>
      </c>
      <c r="AJ120" s="172" t="e">
        <f t="shared" si="12"/>
        <v>#N/A</v>
      </c>
      <c r="AK120" s="100" t="e">
        <f t="shared" si="10"/>
        <v>#REF!</v>
      </c>
      <c r="AL120" s="100"/>
      <c r="AM120" s="180"/>
    </row>
    <row r="121" ht="20.4" hidden="1" spans="5:22">
      <c r="E121" s="162"/>
      <c r="P121" s="174" t="s">
        <v>202</v>
      </c>
      <c r="Q121" s="174"/>
      <c r="S121" s="176" t="s">
        <v>203</v>
      </c>
      <c r="T121" s="176"/>
      <c r="U121" s="176"/>
      <c r="V121" s="176"/>
    </row>
    <row r="122" ht="15.6" hidden="1" spans="5:5">
      <c r="E122" s="168"/>
    </row>
    <row r="123" hidden="1"/>
    <row r="124" ht="6" hidden="1" customHeight="1"/>
    <row r="125" hidden="1"/>
    <row r="126" s="85" customFormat="1" ht="20.1" hidden="1" customHeight="1" spans="1:39">
      <c r="A126" s="159" t="s">
        <v>67</v>
      </c>
      <c r="B126" s="159"/>
      <c r="C126" s="160" t="s">
        <v>40</v>
      </c>
      <c r="D126" s="160"/>
      <c r="E126" s="86"/>
      <c r="F126" s="161" t="s">
        <v>204</v>
      </c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60"/>
      <c r="AK126" s="160" t="s">
        <v>5</v>
      </c>
      <c r="AL126" s="182"/>
      <c r="AM126" s="183"/>
    </row>
    <row r="127" s="85" customFormat="1" ht="20.1" hidden="1" customHeight="1" spans="1:39">
      <c r="A127" s="159"/>
      <c r="B127" s="159"/>
      <c r="C127" s="160"/>
      <c r="D127" s="160"/>
      <c r="E127" s="86"/>
      <c r="F127" s="85">
        <v>1</v>
      </c>
      <c r="G127" s="100">
        <v>2</v>
      </c>
      <c r="H127" s="100">
        <v>3</v>
      </c>
      <c r="I127" s="100">
        <v>4</v>
      </c>
      <c r="J127" s="100">
        <v>5</v>
      </c>
      <c r="K127" s="100">
        <v>6</v>
      </c>
      <c r="L127" s="100">
        <v>7</v>
      </c>
      <c r="M127" s="100">
        <v>8</v>
      </c>
      <c r="N127" s="100">
        <v>9</v>
      </c>
      <c r="O127" s="100">
        <v>10</v>
      </c>
      <c r="P127" s="100">
        <v>11</v>
      </c>
      <c r="Q127" s="100">
        <v>12</v>
      </c>
      <c r="R127" s="100">
        <v>13</v>
      </c>
      <c r="S127" s="100">
        <v>14</v>
      </c>
      <c r="T127" s="100">
        <v>15</v>
      </c>
      <c r="U127" s="100">
        <v>16</v>
      </c>
      <c r="V127" s="100">
        <v>17</v>
      </c>
      <c r="W127" s="100">
        <v>18</v>
      </c>
      <c r="X127" s="100">
        <v>19</v>
      </c>
      <c r="Y127" s="100">
        <v>20</v>
      </c>
      <c r="Z127" s="100">
        <v>21</v>
      </c>
      <c r="AA127" s="100">
        <v>22</v>
      </c>
      <c r="AB127" s="100">
        <v>23</v>
      </c>
      <c r="AC127" s="100">
        <v>24</v>
      </c>
      <c r="AD127" s="100">
        <v>25</v>
      </c>
      <c r="AE127" s="100">
        <v>26</v>
      </c>
      <c r="AF127" s="100">
        <v>27</v>
      </c>
      <c r="AG127" s="100">
        <v>28</v>
      </c>
      <c r="AH127" s="100">
        <v>29</v>
      </c>
      <c r="AI127" s="100">
        <v>30</v>
      </c>
      <c r="AJ127" s="160">
        <v>31</v>
      </c>
      <c r="AK127" s="160"/>
      <c r="AL127" s="182"/>
      <c r="AM127" s="183"/>
    </row>
    <row r="128" s="85" customFormat="1" ht="24.95" hidden="1" customHeight="1" spans="1:39">
      <c r="A128" s="145">
        <v>2</v>
      </c>
      <c r="B128" s="145"/>
      <c r="C128" s="100" t="s">
        <v>179</v>
      </c>
      <c r="D128" s="172" t="s">
        <v>205</v>
      </c>
      <c r="E128" s="86"/>
      <c r="G128" s="100"/>
      <c r="H128" s="146"/>
      <c r="AG128" s="85">
        <v>405</v>
      </c>
      <c r="AI128" s="184"/>
      <c r="AJ128" s="184"/>
      <c r="AK128" s="184"/>
      <c r="AL128" s="185"/>
      <c r="AM128" s="183"/>
    </row>
    <row r="129" ht="24.95" hidden="1" customHeight="1" spans="1:38">
      <c r="A129" s="186"/>
      <c r="B129" s="186"/>
      <c r="C129" s="100" t="s">
        <v>181</v>
      </c>
      <c r="D129" s="172" t="s">
        <v>205</v>
      </c>
      <c r="F129" s="172"/>
      <c r="G129" s="172"/>
      <c r="H129" s="146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>
        <v>420</v>
      </c>
      <c r="AH129" s="85"/>
      <c r="AI129" s="184"/>
      <c r="AJ129" s="184"/>
      <c r="AK129" s="184"/>
      <c r="AL129" s="137"/>
    </row>
    <row r="130" ht="24.95" hidden="1" customHeight="1" spans="1:38">
      <c r="A130" s="186">
        <v>3</v>
      </c>
      <c r="B130" s="186"/>
      <c r="C130" s="187" t="s">
        <v>153</v>
      </c>
      <c r="D130" s="188" t="s">
        <v>205</v>
      </c>
      <c r="F130" s="172"/>
      <c r="G130" s="85"/>
      <c r="H130" s="146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>
        <v>198</v>
      </c>
      <c r="AH130" s="85"/>
      <c r="AI130" s="184"/>
      <c r="AJ130" s="184"/>
      <c r="AK130" s="184"/>
      <c r="AL130" s="137"/>
    </row>
    <row r="131" ht="24.95" hidden="1" customHeight="1" spans="1:38">
      <c r="A131" s="145">
        <v>4</v>
      </c>
      <c r="B131" s="145"/>
      <c r="C131" s="167" t="s">
        <v>182</v>
      </c>
      <c r="D131" s="172" t="s">
        <v>205</v>
      </c>
      <c r="F131" s="172"/>
      <c r="G131" s="85"/>
      <c r="H131" s="146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>
        <v>396</v>
      </c>
      <c r="AH131" s="85"/>
      <c r="AI131" s="184"/>
      <c r="AJ131" s="184"/>
      <c r="AK131" s="184"/>
      <c r="AL131" s="137"/>
    </row>
    <row r="132" ht="24.95" hidden="1" customHeight="1" spans="1:38">
      <c r="A132" s="145">
        <v>5</v>
      </c>
      <c r="B132" s="145"/>
      <c r="C132" s="100" t="s">
        <v>183</v>
      </c>
      <c r="D132" s="172" t="s">
        <v>205</v>
      </c>
      <c r="F132" s="172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>
        <v>118</v>
      </c>
      <c r="AH132" s="85"/>
      <c r="AI132" s="184"/>
      <c r="AJ132" s="184"/>
      <c r="AK132" s="184"/>
      <c r="AL132" s="137"/>
    </row>
    <row r="133" ht="24.95" hidden="1" customHeight="1" spans="1:38">
      <c r="A133" s="145">
        <v>6</v>
      </c>
      <c r="B133" s="145"/>
      <c r="C133" s="100" t="s">
        <v>184</v>
      </c>
      <c r="D133" s="172" t="s">
        <v>205</v>
      </c>
      <c r="F133" s="172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184"/>
      <c r="AJ133" s="184"/>
      <c r="AK133" s="184"/>
      <c r="AL133" s="137"/>
    </row>
    <row r="134" ht="24.95" hidden="1" customHeight="1" spans="1:38">
      <c r="A134" s="145">
        <v>7</v>
      </c>
      <c r="B134" s="145"/>
      <c r="C134" s="100" t="s">
        <v>185</v>
      </c>
      <c r="D134" s="172" t="s">
        <v>205</v>
      </c>
      <c r="F134" s="172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184"/>
      <c r="AJ134" s="184"/>
      <c r="AK134" s="184"/>
      <c r="AL134" s="137"/>
    </row>
    <row r="135" ht="24.95" hidden="1" customHeight="1" spans="1:38">
      <c r="A135" s="145">
        <v>8</v>
      </c>
      <c r="B135" s="145"/>
      <c r="C135" s="100" t="s">
        <v>186</v>
      </c>
      <c r="D135" s="172" t="s">
        <v>205</v>
      </c>
      <c r="F135" s="172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184"/>
      <c r="AJ135" s="184"/>
      <c r="AK135" s="184"/>
      <c r="AL135" s="137"/>
    </row>
    <row r="136" ht="24.95" hidden="1" customHeight="1" spans="1:38">
      <c r="A136" s="145">
        <v>9</v>
      </c>
      <c r="B136" s="145"/>
      <c r="C136" s="100" t="s">
        <v>187</v>
      </c>
      <c r="D136" s="172" t="s">
        <v>205</v>
      </c>
      <c r="F136" s="172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184"/>
      <c r="AJ136" s="184"/>
      <c r="AK136" s="184"/>
      <c r="AL136" s="137"/>
    </row>
    <row r="137" ht="24.95" hidden="1" customHeight="1" spans="1:38">
      <c r="A137" s="145">
        <v>10</v>
      </c>
      <c r="B137" s="145"/>
      <c r="C137" s="100" t="s">
        <v>188</v>
      </c>
      <c r="D137" s="172" t="s">
        <v>205</v>
      </c>
      <c r="F137" s="172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184"/>
      <c r="AJ137" s="184"/>
      <c r="AK137" s="184"/>
      <c r="AL137" s="137"/>
    </row>
    <row r="138" ht="24.95" hidden="1" customHeight="1" spans="1:38">
      <c r="A138" s="145">
        <v>11</v>
      </c>
      <c r="B138" s="145"/>
      <c r="C138" s="100" t="s">
        <v>189</v>
      </c>
      <c r="D138" s="172" t="s">
        <v>205</v>
      </c>
      <c r="F138" s="172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184"/>
      <c r="AJ138" s="184"/>
      <c r="AK138" s="184"/>
      <c r="AL138" s="137"/>
    </row>
    <row r="139" ht="24.95" hidden="1" customHeight="1" spans="1:38">
      <c r="A139" s="145">
        <v>12</v>
      </c>
      <c r="B139" s="145"/>
      <c r="C139" s="100" t="s">
        <v>190</v>
      </c>
      <c r="D139" s="172" t="s">
        <v>205</v>
      </c>
      <c r="F139" s="172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184"/>
      <c r="AJ139" s="184"/>
      <c r="AK139" s="184"/>
      <c r="AL139" s="137"/>
    </row>
    <row r="140" ht="24.95" hidden="1" customHeight="1" spans="1:38">
      <c r="A140" s="145">
        <v>13</v>
      </c>
      <c r="B140" s="189"/>
      <c r="C140" s="99" t="s">
        <v>191</v>
      </c>
      <c r="D140" s="172" t="s">
        <v>205</v>
      </c>
      <c r="F140" s="172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184"/>
      <c r="AJ140" s="184"/>
      <c r="AK140" s="184"/>
      <c r="AL140" s="137"/>
    </row>
    <row r="141" ht="24.95" hidden="1" customHeight="1" spans="1:38">
      <c r="A141" s="145">
        <v>14</v>
      </c>
      <c r="B141" s="189"/>
      <c r="C141" s="99" t="s">
        <v>192</v>
      </c>
      <c r="D141" s="172" t="s">
        <v>205</v>
      </c>
      <c r="F141" s="172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184"/>
      <c r="AJ141" s="184"/>
      <c r="AK141" s="184"/>
      <c r="AL141" s="137"/>
    </row>
    <row r="142" ht="24.95" hidden="1" customHeight="1" spans="1:38">
      <c r="A142" s="145">
        <v>15</v>
      </c>
      <c r="B142" s="189"/>
      <c r="C142" s="99" t="s">
        <v>193</v>
      </c>
      <c r="D142" s="172" t="s">
        <v>205</v>
      </c>
      <c r="F142" s="172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184"/>
      <c r="AJ142" s="184"/>
      <c r="AK142" s="184"/>
      <c r="AL142" s="137"/>
    </row>
    <row r="143" ht="24.95" hidden="1" customHeight="1" spans="1:38">
      <c r="A143" s="145">
        <v>16</v>
      </c>
      <c r="B143" s="145"/>
      <c r="C143" s="165" t="s">
        <v>194</v>
      </c>
      <c r="D143" s="172" t="s">
        <v>205</v>
      </c>
      <c r="F143" s="172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184"/>
      <c r="AJ143" s="184"/>
      <c r="AK143" s="184"/>
      <c r="AL143" s="137"/>
    </row>
    <row r="144" ht="24.95" hidden="1" customHeight="1" spans="1:38">
      <c r="A144" s="145">
        <v>17</v>
      </c>
      <c r="B144" s="189"/>
      <c r="C144" s="99" t="s">
        <v>54</v>
      </c>
      <c r="D144" s="172" t="s">
        <v>205</v>
      </c>
      <c r="F144" s="172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184"/>
      <c r="AJ144" s="184"/>
      <c r="AK144" s="184"/>
      <c r="AL144" s="137"/>
    </row>
    <row r="145" ht="24.95" hidden="1" customHeight="1" spans="1:38">
      <c r="A145" s="145">
        <v>18</v>
      </c>
      <c r="B145" s="189"/>
      <c r="C145" s="99" t="s">
        <v>195</v>
      </c>
      <c r="D145" s="172" t="s">
        <v>205</v>
      </c>
      <c r="F145" s="172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184"/>
      <c r="AJ145" s="184"/>
      <c r="AK145" s="184"/>
      <c r="AL145" s="137"/>
    </row>
    <row r="146" ht="24.95" hidden="1" customHeight="1" spans="1:38">
      <c r="A146" s="145">
        <v>19</v>
      </c>
      <c r="B146" s="189"/>
      <c r="C146" s="99" t="s">
        <v>176</v>
      </c>
      <c r="D146" s="172" t="s">
        <v>205</v>
      </c>
      <c r="F146" s="172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>
        <v>57</v>
      </c>
      <c r="AH146" s="85"/>
      <c r="AI146" s="184"/>
      <c r="AJ146" s="184"/>
      <c r="AK146" s="184"/>
      <c r="AL146" s="137"/>
    </row>
    <row r="147" ht="24.95" hidden="1" customHeight="1" spans="1:38">
      <c r="A147" s="98" t="s">
        <v>5</v>
      </c>
      <c r="B147" s="99"/>
      <c r="C147" s="99"/>
      <c r="D147" s="168"/>
      <c r="F147" s="166">
        <f t="shared" ref="F147:H147" si="13">G129+F129+F130+F131+F132+F133+F134+F135+F136+F137+F138+F139+F140+F141+F142+F143+F144+F145+F146</f>
        <v>0</v>
      </c>
      <c r="G147" s="166">
        <f t="shared" si="13"/>
        <v>0</v>
      </c>
      <c r="H147" s="166">
        <f t="shared" si="13"/>
        <v>0</v>
      </c>
      <c r="I147" s="166">
        <f t="shared" ref="I147:AJ147" si="14">I128+I129+I130+I131+I132+I133+I134+I135+I136+I137+I138+I139+I140+I141+I142+I143+I144+I145+I146</f>
        <v>0</v>
      </c>
      <c r="J147" s="166">
        <f t="shared" si="14"/>
        <v>0</v>
      </c>
      <c r="K147" s="166">
        <f t="shared" si="14"/>
        <v>0</v>
      </c>
      <c r="L147" s="166">
        <f t="shared" si="14"/>
        <v>0</v>
      </c>
      <c r="M147" s="166">
        <f t="shared" si="14"/>
        <v>0</v>
      </c>
      <c r="N147" s="166">
        <f t="shared" si="14"/>
        <v>0</v>
      </c>
      <c r="O147" s="166">
        <f t="shared" si="14"/>
        <v>0</v>
      </c>
      <c r="P147" s="166">
        <f t="shared" si="14"/>
        <v>0</v>
      </c>
      <c r="Q147" s="166">
        <f t="shared" si="14"/>
        <v>0</v>
      </c>
      <c r="R147" s="166">
        <f t="shared" si="14"/>
        <v>0</v>
      </c>
      <c r="S147" s="166">
        <f t="shared" si="14"/>
        <v>0</v>
      </c>
      <c r="T147" s="166">
        <f t="shared" si="14"/>
        <v>0</v>
      </c>
      <c r="U147" s="166">
        <f t="shared" si="14"/>
        <v>0</v>
      </c>
      <c r="V147" s="166">
        <f t="shared" si="14"/>
        <v>0</v>
      </c>
      <c r="W147" s="166">
        <f t="shared" si="14"/>
        <v>0</v>
      </c>
      <c r="X147" s="166">
        <f t="shared" si="14"/>
        <v>0</v>
      </c>
      <c r="Y147" s="166">
        <f t="shared" si="14"/>
        <v>0</v>
      </c>
      <c r="Z147" s="166">
        <f t="shared" si="14"/>
        <v>0</v>
      </c>
      <c r="AA147" s="166">
        <f t="shared" si="14"/>
        <v>0</v>
      </c>
      <c r="AB147" s="166">
        <f t="shared" si="14"/>
        <v>0</v>
      </c>
      <c r="AC147" s="166">
        <f t="shared" si="14"/>
        <v>0</v>
      </c>
      <c r="AD147" s="166">
        <f t="shared" si="14"/>
        <v>0</v>
      </c>
      <c r="AE147" s="166">
        <f t="shared" si="14"/>
        <v>0</v>
      </c>
      <c r="AF147" s="166">
        <f t="shared" si="14"/>
        <v>0</v>
      </c>
      <c r="AG147" s="166">
        <f t="shared" si="14"/>
        <v>1594</v>
      </c>
      <c r="AH147" s="166">
        <f t="shared" si="14"/>
        <v>0</v>
      </c>
      <c r="AI147" s="166">
        <f t="shared" si="14"/>
        <v>0</v>
      </c>
      <c r="AJ147" s="166">
        <f t="shared" si="14"/>
        <v>0</v>
      </c>
      <c r="AK147" s="100">
        <f t="shared" ref="AK147:AK181" si="15">F147+G147+H147+I147+J147+K147+L147+M147+N147+O147+P147+Q147+R147+S147+T147+U147+V147+W147+X147+Y147+Z147+AA147+AB147+AC147+AD147+AE147+AF147+AG147+AH147+AI147+AJ147</f>
        <v>1594</v>
      </c>
      <c r="AL147" s="155"/>
    </row>
    <row r="148" ht="30.95" hidden="1" customHeight="1" spans="1:38">
      <c r="A148" s="190"/>
      <c r="B148" s="156"/>
      <c r="C148" s="156"/>
      <c r="D148" s="156"/>
      <c r="E148" s="156"/>
      <c r="F148" s="156"/>
      <c r="G148" s="191" t="s">
        <v>206</v>
      </c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</row>
    <row r="149" ht="20.4" hidden="1" spans="1:38">
      <c r="A149" s="192" t="s">
        <v>67</v>
      </c>
      <c r="B149" s="192"/>
      <c r="C149" s="193" t="s">
        <v>40</v>
      </c>
      <c r="D149" s="193"/>
      <c r="E149" s="194" t="s">
        <v>6</v>
      </c>
      <c r="F149" s="195"/>
      <c r="G149" s="195"/>
      <c r="H149" s="195"/>
      <c r="I149" s="193"/>
      <c r="J149" s="193"/>
      <c r="K149" s="193"/>
      <c r="L149" s="193"/>
      <c r="M149" s="193"/>
      <c r="N149" s="193"/>
      <c r="O149" s="193"/>
      <c r="P149" s="193"/>
      <c r="Q149" s="193"/>
      <c r="R149" s="193"/>
      <c r="S149" s="193"/>
      <c r="T149" s="193"/>
      <c r="U149" s="193"/>
      <c r="V149" s="193"/>
      <c r="W149" s="193"/>
      <c r="X149" s="193"/>
      <c r="Y149" s="193"/>
      <c r="Z149" s="193"/>
      <c r="AA149" s="193"/>
      <c r="AB149" s="193"/>
      <c r="AC149" s="193"/>
      <c r="AD149" s="193"/>
      <c r="AE149" s="193"/>
      <c r="AF149" s="203"/>
      <c r="AG149" s="203"/>
      <c r="AH149" s="203"/>
      <c r="AI149" s="203"/>
      <c r="AJ149" s="193"/>
      <c r="AK149" s="204" t="s">
        <v>207</v>
      </c>
      <c r="AL149" s="160" t="s">
        <v>69</v>
      </c>
    </row>
    <row r="150" ht="21.95" hidden="1" customHeight="1" spans="1:38">
      <c r="A150" s="192"/>
      <c r="B150" s="192"/>
      <c r="C150" s="193"/>
      <c r="D150" s="193"/>
      <c r="E150" s="196"/>
      <c r="F150" s="197">
        <v>1</v>
      </c>
      <c r="G150" s="197">
        <v>2</v>
      </c>
      <c r="H150" s="197">
        <v>3</v>
      </c>
      <c r="I150" s="197">
        <v>4</v>
      </c>
      <c r="J150" s="197">
        <v>5</v>
      </c>
      <c r="K150" s="197">
        <v>6</v>
      </c>
      <c r="L150" s="197">
        <v>7</v>
      </c>
      <c r="M150" s="197">
        <v>8</v>
      </c>
      <c r="N150" s="197">
        <v>9</v>
      </c>
      <c r="O150" s="197">
        <v>10</v>
      </c>
      <c r="P150" s="197">
        <v>11</v>
      </c>
      <c r="Q150" s="197">
        <v>12</v>
      </c>
      <c r="R150" s="197">
        <v>13</v>
      </c>
      <c r="S150" s="197">
        <v>14</v>
      </c>
      <c r="T150" s="197">
        <v>15</v>
      </c>
      <c r="U150" s="197">
        <v>16</v>
      </c>
      <c r="V150" s="197">
        <v>17</v>
      </c>
      <c r="W150" s="197">
        <v>18</v>
      </c>
      <c r="X150" s="197">
        <v>19</v>
      </c>
      <c r="Y150" s="197">
        <v>20</v>
      </c>
      <c r="Z150" s="197">
        <v>21</v>
      </c>
      <c r="AA150" s="197">
        <v>22</v>
      </c>
      <c r="AB150" s="197">
        <v>23</v>
      </c>
      <c r="AC150" s="197">
        <v>24</v>
      </c>
      <c r="AD150" s="197">
        <v>25</v>
      </c>
      <c r="AE150" s="197">
        <v>26</v>
      </c>
      <c r="AF150" s="197">
        <v>27</v>
      </c>
      <c r="AG150" s="197">
        <v>28</v>
      </c>
      <c r="AH150" s="197">
        <v>29</v>
      </c>
      <c r="AI150" s="197">
        <v>30</v>
      </c>
      <c r="AJ150" s="197">
        <v>31</v>
      </c>
      <c r="AK150" s="205"/>
      <c r="AL150" s="160"/>
    </row>
    <row r="151" ht="32.1" hidden="1" customHeight="1" spans="1:38">
      <c r="A151" s="23">
        <v>1</v>
      </c>
      <c r="B151" s="23"/>
      <c r="C151" s="23" t="s">
        <v>161</v>
      </c>
      <c r="D151" s="23" t="s">
        <v>72</v>
      </c>
      <c r="E151" s="23">
        <v>0.4</v>
      </c>
      <c r="F151" s="198" t="e">
        <f>F6-#REF!</f>
        <v>#REF!</v>
      </c>
      <c r="G151" s="198" t="e">
        <f>G6-#REF!</f>
        <v>#N/A</v>
      </c>
      <c r="H151" s="198" t="e">
        <f>H6-#REF!</f>
        <v>#N/A</v>
      </c>
      <c r="I151" s="198" t="e">
        <f>I6-#REF!</f>
        <v>#N/A</v>
      </c>
      <c r="J151" s="198" t="e">
        <f>J6-#REF!</f>
        <v>#N/A</v>
      </c>
      <c r="K151" s="198" t="e">
        <f>K6-#REF!</f>
        <v>#N/A</v>
      </c>
      <c r="L151" s="198" t="e">
        <f>L6-#REF!</f>
        <v>#N/A</v>
      </c>
      <c r="M151" s="198" t="e">
        <f>M6-#REF!</f>
        <v>#N/A</v>
      </c>
      <c r="N151" s="198" t="e">
        <f>N6-#REF!</f>
        <v>#N/A</v>
      </c>
      <c r="O151" s="198" t="e">
        <f>O6-#REF!</f>
        <v>#N/A</v>
      </c>
      <c r="P151" s="198" t="e">
        <f>P6-#REF!</f>
        <v>#N/A</v>
      </c>
      <c r="Q151" s="198" t="e">
        <f>Q6-#REF!</f>
        <v>#N/A</v>
      </c>
      <c r="R151" s="198" t="e">
        <f>R6-#REF!</f>
        <v>#N/A</v>
      </c>
      <c r="S151" s="198" t="e">
        <f>S6-#REF!</f>
        <v>#N/A</v>
      </c>
      <c r="T151" s="198" t="e">
        <f>T6-#REF!</f>
        <v>#N/A</v>
      </c>
      <c r="U151" s="198" t="e">
        <f>U6-#REF!</f>
        <v>#N/A</v>
      </c>
      <c r="V151" s="198" t="e">
        <f>V6-#REF!</f>
        <v>#N/A</v>
      </c>
      <c r="W151" s="198" t="e">
        <f>W6-#REF!</f>
        <v>#N/A</v>
      </c>
      <c r="X151" s="198" t="e">
        <f>X6-#REF!</f>
        <v>#N/A</v>
      </c>
      <c r="Y151" s="198" t="e">
        <f>Y6-#REF!</f>
        <v>#N/A</v>
      </c>
      <c r="Z151" s="198" t="e">
        <f>Z6-#REF!</f>
        <v>#N/A</v>
      </c>
      <c r="AA151" s="198" t="e">
        <f>AA6-#REF!</f>
        <v>#N/A</v>
      </c>
      <c r="AB151" s="198" t="e">
        <f>AB6-#REF!</f>
        <v>#N/A</v>
      </c>
      <c r="AC151" s="198" t="e">
        <f>AC6-#REF!</f>
        <v>#N/A</v>
      </c>
      <c r="AD151" s="198" t="e">
        <f>AD6-#REF!</f>
        <v>#N/A</v>
      </c>
      <c r="AE151" s="198" t="e">
        <f>AE6-#REF!</f>
        <v>#N/A</v>
      </c>
      <c r="AF151" s="198" t="e">
        <f>AF6-#REF!</f>
        <v>#N/A</v>
      </c>
      <c r="AG151" s="198" t="e">
        <f>AG6-#REF!</f>
        <v>#N/A</v>
      </c>
      <c r="AH151" s="198" t="e">
        <f>AH6-#REF!</f>
        <v>#N/A</v>
      </c>
      <c r="AI151" s="198" t="e">
        <f>AI6-#REF!</f>
        <v>#N/A</v>
      </c>
      <c r="AJ151" s="198" t="e">
        <f>AJ6-#REF!</f>
        <v>#N/A</v>
      </c>
      <c r="AK151" s="205" t="e">
        <f t="shared" si="15"/>
        <v>#REF!</v>
      </c>
      <c r="AL151" s="206" t="e">
        <f t="shared" ref="AL151:AL181" si="16">AK151*E151</f>
        <v>#REF!</v>
      </c>
    </row>
    <row r="152" ht="32.1" hidden="1" customHeight="1" spans="1:38">
      <c r="A152" s="23">
        <v>2</v>
      </c>
      <c r="B152" s="23"/>
      <c r="C152" s="23" t="s">
        <v>163</v>
      </c>
      <c r="D152" s="23" t="s">
        <v>72</v>
      </c>
      <c r="E152" s="23">
        <v>0.4</v>
      </c>
      <c r="F152" s="198" t="e">
        <f>F7-#REF!</f>
        <v>#REF!</v>
      </c>
      <c r="G152" s="198" t="e">
        <f>G7-#REF!</f>
        <v>#REF!</v>
      </c>
      <c r="H152" s="198" t="e">
        <f>H7-#REF!</f>
        <v>#REF!</v>
      </c>
      <c r="I152" s="198" t="e">
        <f>I7-#REF!</f>
        <v>#REF!</v>
      </c>
      <c r="J152" s="198" t="e">
        <f>J7-#REF!</f>
        <v>#REF!</v>
      </c>
      <c r="K152" s="198" t="e">
        <f>K7-#REF!</f>
        <v>#REF!</v>
      </c>
      <c r="L152" s="198" t="e">
        <f>L7-#REF!</f>
        <v>#REF!</v>
      </c>
      <c r="M152" s="198" t="e">
        <f>M7-#REF!</f>
        <v>#REF!</v>
      </c>
      <c r="N152" s="198" t="e">
        <f>N7-#REF!</f>
        <v>#REF!</v>
      </c>
      <c r="O152" s="198" t="e">
        <f>O7-#REF!</f>
        <v>#REF!</v>
      </c>
      <c r="P152" s="198" t="e">
        <f>P7-#REF!</f>
        <v>#REF!</v>
      </c>
      <c r="Q152" s="198" t="e">
        <f>Q7-#REF!</f>
        <v>#REF!</v>
      </c>
      <c r="R152" s="198" t="e">
        <f>R7-#REF!</f>
        <v>#REF!</v>
      </c>
      <c r="S152" s="198" t="e">
        <f>S7-#REF!</f>
        <v>#REF!</v>
      </c>
      <c r="T152" s="198" t="e">
        <f>T7-#REF!</f>
        <v>#REF!</v>
      </c>
      <c r="U152" s="198" t="e">
        <f>U7-#REF!</f>
        <v>#REF!</v>
      </c>
      <c r="V152" s="198" t="e">
        <f>V7-#REF!</f>
        <v>#REF!</v>
      </c>
      <c r="W152" s="198" t="e">
        <f>W7-#REF!</f>
        <v>#REF!</v>
      </c>
      <c r="X152" s="198" t="e">
        <f>X7-#REF!</f>
        <v>#REF!</v>
      </c>
      <c r="Y152" s="198" t="e">
        <f>Y7-#REF!</f>
        <v>#REF!</v>
      </c>
      <c r="Z152" s="198" t="e">
        <f>Z7-#REF!</f>
        <v>#REF!</v>
      </c>
      <c r="AA152" s="198" t="e">
        <f>AA7-#REF!</f>
        <v>#REF!</v>
      </c>
      <c r="AB152" s="198" t="e">
        <f>AB7-#REF!</f>
        <v>#REF!</v>
      </c>
      <c r="AC152" s="198" t="e">
        <f>AC7-#REF!</f>
        <v>#REF!</v>
      </c>
      <c r="AD152" s="198" t="e">
        <f>AD7-#REF!</f>
        <v>#REF!</v>
      </c>
      <c r="AE152" s="198" t="e">
        <f>AE7-#REF!</f>
        <v>#REF!</v>
      </c>
      <c r="AF152" s="198" t="e">
        <f>AF7-#REF!</f>
        <v>#REF!</v>
      </c>
      <c r="AG152" s="198" t="e">
        <f>AG7-#REF!</f>
        <v>#REF!</v>
      </c>
      <c r="AH152" s="198" t="e">
        <f>AH7-#REF!</f>
        <v>#REF!</v>
      </c>
      <c r="AI152" s="198" t="e">
        <f>AI7-#REF!</f>
        <v>#REF!</v>
      </c>
      <c r="AJ152" s="198" t="e">
        <f>AJ7-#REF!</f>
        <v>#REF!</v>
      </c>
      <c r="AK152" s="205" t="e">
        <f t="shared" si="15"/>
        <v>#REF!</v>
      </c>
      <c r="AL152" s="206" t="e">
        <f t="shared" si="16"/>
        <v>#REF!</v>
      </c>
    </row>
    <row r="153" ht="29.1" hidden="1" customHeight="1" spans="1:38">
      <c r="A153" s="23">
        <v>3</v>
      </c>
      <c r="B153" s="23"/>
      <c r="C153" s="23" t="s">
        <v>179</v>
      </c>
      <c r="D153" s="23" t="s">
        <v>72</v>
      </c>
      <c r="E153" s="23">
        <v>0.133</v>
      </c>
      <c r="F153" s="198" t="e">
        <f>F8-#REF!</f>
        <v>#REF!</v>
      </c>
      <c r="G153" s="198" t="e">
        <f>G8-#REF!</f>
        <v>#REF!</v>
      </c>
      <c r="H153" s="198" t="e">
        <f>H8-#REF!</f>
        <v>#REF!</v>
      </c>
      <c r="I153" s="198" t="e">
        <f>I8-#REF!</f>
        <v>#REF!</v>
      </c>
      <c r="J153" s="198" t="e">
        <f>J8-#REF!</f>
        <v>#REF!</v>
      </c>
      <c r="K153" s="198" t="e">
        <f>K8-#REF!</f>
        <v>#REF!</v>
      </c>
      <c r="L153" s="198" t="e">
        <f>L8-#REF!</f>
        <v>#REF!</v>
      </c>
      <c r="M153" s="198" t="e">
        <f>M8-#REF!</f>
        <v>#REF!</v>
      </c>
      <c r="N153" s="198" t="e">
        <f>N8-#REF!</f>
        <v>#REF!</v>
      </c>
      <c r="O153" s="198" t="e">
        <f>O8-#REF!</f>
        <v>#REF!</v>
      </c>
      <c r="P153" s="198" t="e">
        <f>P8-#REF!</f>
        <v>#REF!</v>
      </c>
      <c r="Q153" s="198" t="e">
        <f>Q8-#REF!</f>
        <v>#REF!</v>
      </c>
      <c r="R153" s="198" t="e">
        <f>R8-#REF!</f>
        <v>#REF!</v>
      </c>
      <c r="S153" s="198" t="e">
        <f>S8-#REF!</f>
        <v>#REF!</v>
      </c>
      <c r="T153" s="198" t="e">
        <f>T8-#REF!</f>
        <v>#REF!</v>
      </c>
      <c r="U153" s="198" t="e">
        <f>U8-#REF!</f>
        <v>#REF!</v>
      </c>
      <c r="V153" s="198" t="e">
        <f>V8-#REF!</f>
        <v>#REF!</v>
      </c>
      <c r="W153" s="198" t="e">
        <f>W8-#REF!</f>
        <v>#REF!</v>
      </c>
      <c r="X153" s="198" t="e">
        <f>X8-#REF!</f>
        <v>#REF!</v>
      </c>
      <c r="Y153" s="198" t="e">
        <f>Y8-#REF!</f>
        <v>#REF!</v>
      </c>
      <c r="Z153" s="198" t="e">
        <f>Z8-#REF!</f>
        <v>#REF!</v>
      </c>
      <c r="AA153" s="198" t="e">
        <f>AA8-#REF!</f>
        <v>#REF!</v>
      </c>
      <c r="AB153" s="198" t="e">
        <f>AB8-#REF!</f>
        <v>#REF!</v>
      </c>
      <c r="AC153" s="198" t="e">
        <f>AC8-#REF!</f>
        <v>#REF!</v>
      </c>
      <c r="AD153" s="198" t="e">
        <f>AD8-#REF!</f>
        <v>#REF!</v>
      </c>
      <c r="AE153" s="198" t="e">
        <f>AE8-#REF!</f>
        <v>#REF!</v>
      </c>
      <c r="AF153" s="198" t="e">
        <f>AF8-#REF!</f>
        <v>#REF!</v>
      </c>
      <c r="AG153" s="198" t="e">
        <f>AG8-#REF!</f>
        <v>#REF!</v>
      </c>
      <c r="AH153" s="198" t="e">
        <f>AH8-#REF!</f>
        <v>#REF!</v>
      </c>
      <c r="AI153" s="198" t="e">
        <f>AI8-#REF!</f>
        <v>#REF!</v>
      </c>
      <c r="AJ153" s="198" t="e">
        <f>AJ8-#REF!</f>
        <v>#REF!</v>
      </c>
      <c r="AK153" s="205" t="e">
        <f t="shared" si="15"/>
        <v>#REF!</v>
      </c>
      <c r="AL153" s="206" t="e">
        <f t="shared" si="16"/>
        <v>#REF!</v>
      </c>
    </row>
    <row r="154" ht="29.1" hidden="1" customHeight="1" spans="1:38">
      <c r="A154" s="23">
        <v>4</v>
      </c>
      <c r="B154" s="23"/>
      <c r="C154" s="23" t="s">
        <v>10</v>
      </c>
      <c r="D154" s="23" t="s">
        <v>72</v>
      </c>
      <c r="E154" s="23">
        <v>0.133</v>
      </c>
      <c r="F154" s="198" t="e">
        <f>F9-#REF!</f>
        <v>#REF!</v>
      </c>
      <c r="G154" s="198" t="e">
        <f>G9-#REF!</f>
        <v>#REF!</v>
      </c>
      <c r="H154" s="198" t="e">
        <f>H9-#REF!</f>
        <v>#REF!</v>
      </c>
      <c r="I154" s="198" t="e">
        <f>I9-#REF!</f>
        <v>#REF!</v>
      </c>
      <c r="J154" s="198" t="e">
        <f>J9-#REF!</f>
        <v>#REF!</v>
      </c>
      <c r="K154" s="198" t="e">
        <f>K9-#REF!</f>
        <v>#REF!</v>
      </c>
      <c r="L154" s="198" t="e">
        <f>L9-#REF!</f>
        <v>#REF!</v>
      </c>
      <c r="M154" s="198" t="e">
        <f>M9-#REF!</f>
        <v>#REF!</v>
      </c>
      <c r="N154" s="198" t="e">
        <f>N9-#REF!</f>
        <v>#REF!</v>
      </c>
      <c r="O154" s="198" t="e">
        <f>O9-#REF!</f>
        <v>#REF!</v>
      </c>
      <c r="P154" s="198" t="e">
        <f>P9-#REF!</f>
        <v>#REF!</v>
      </c>
      <c r="Q154" s="198" t="e">
        <f>Q9-#REF!</f>
        <v>#REF!</v>
      </c>
      <c r="R154" s="198" t="e">
        <f>R9-#REF!</f>
        <v>#REF!</v>
      </c>
      <c r="S154" s="198" t="e">
        <f>S9-#REF!</f>
        <v>#REF!</v>
      </c>
      <c r="T154" s="198" t="e">
        <f>T9-#REF!</f>
        <v>#REF!</v>
      </c>
      <c r="U154" s="198" t="e">
        <f>U9-#REF!</f>
        <v>#REF!</v>
      </c>
      <c r="V154" s="198" t="e">
        <f>V9-#REF!</f>
        <v>#REF!</v>
      </c>
      <c r="W154" s="198" t="e">
        <f>W9-#REF!</f>
        <v>#REF!</v>
      </c>
      <c r="X154" s="198" t="e">
        <f>X9-#REF!</f>
        <v>#REF!</v>
      </c>
      <c r="Y154" s="198" t="e">
        <f>Y9-#REF!</f>
        <v>#REF!</v>
      </c>
      <c r="Z154" s="198" t="e">
        <f>Z9-#REF!</f>
        <v>#REF!</v>
      </c>
      <c r="AA154" s="198" t="e">
        <f>AA9-#REF!</f>
        <v>#REF!</v>
      </c>
      <c r="AB154" s="198" t="e">
        <f>AB9-#REF!</f>
        <v>#REF!</v>
      </c>
      <c r="AC154" s="198" t="e">
        <f>AC9-#REF!</f>
        <v>#REF!</v>
      </c>
      <c r="AD154" s="198" t="e">
        <f>AD9-#REF!</f>
        <v>#REF!</v>
      </c>
      <c r="AE154" s="198" t="e">
        <f>AE9-#REF!</f>
        <v>#REF!</v>
      </c>
      <c r="AF154" s="198" t="e">
        <f>AF9-#REF!</f>
        <v>#REF!</v>
      </c>
      <c r="AG154" s="198" t="e">
        <f>AG9-#REF!</f>
        <v>#REF!</v>
      </c>
      <c r="AH154" s="198" t="e">
        <f>AH9-#REF!</f>
        <v>#REF!</v>
      </c>
      <c r="AI154" s="198" t="e">
        <f>AI9-#REF!</f>
        <v>#REF!</v>
      </c>
      <c r="AJ154" s="198" t="e">
        <f>AJ9-#REF!</f>
        <v>#REF!</v>
      </c>
      <c r="AK154" s="205" t="e">
        <f t="shared" si="15"/>
        <v>#REF!</v>
      </c>
      <c r="AL154" s="206" t="e">
        <f t="shared" si="16"/>
        <v>#REF!</v>
      </c>
    </row>
    <row r="155" ht="33.95" hidden="1" customHeight="1" spans="1:38">
      <c r="A155" s="23">
        <v>5</v>
      </c>
      <c r="B155" s="23"/>
      <c r="C155" s="199" t="s">
        <v>153</v>
      </c>
      <c r="D155" s="23" t="s">
        <v>72</v>
      </c>
      <c r="E155" s="23">
        <v>0.23</v>
      </c>
      <c r="F155" s="198" t="e">
        <f>F10-#REF!</f>
        <v>#REF!</v>
      </c>
      <c r="G155" s="198" t="e">
        <f>G10-#REF!</f>
        <v>#REF!</v>
      </c>
      <c r="H155" s="198" t="e">
        <f>H10-#REF!</f>
        <v>#REF!</v>
      </c>
      <c r="I155" s="198" t="e">
        <f>I10-#REF!</f>
        <v>#REF!</v>
      </c>
      <c r="J155" s="198" t="e">
        <f>J10-#REF!</f>
        <v>#REF!</v>
      </c>
      <c r="K155" s="198" t="e">
        <f>K10-#REF!</f>
        <v>#REF!</v>
      </c>
      <c r="L155" s="198" t="e">
        <f>L10-#REF!</f>
        <v>#REF!</v>
      </c>
      <c r="M155" s="198" t="e">
        <f>M10-#REF!</f>
        <v>#REF!</v>
      </c>
      <c r="N155" s="198" t="e">
        <f>N10-#REF!</f>
        <v>#REF!</v>
      </c>
      <c r="O155" s="198" t="e">
        <f>O10-#REF!</f>
        <v>#REF!</v>
      </c>
      <c r="P155" s="198" t="e">
        <f>P10-#REF!</f>
        <v>#REF!</v>
      </c>
      <c r="Q155" s="198" t="e">
        <f>Q10-#REF!</f>
        <v>#REF!</v>
      </c>
      <c r="R155" s="198" t="e">
        <f>R10-#REF!</f>
        <v>#REF!</v>
      </c>
      <c r="S155" s="198" t="e">
        <f>S10-#REF!</f>
        <v>#REF!</v>
      </c>
      <c r="T155" s="198" t="e">
        <f>T10-#REF!</f>
        <v>#REF!</v>
      </c>
      <c r="U155" s="198" t="e">
        <f>U10-#REF!</f>
        <v>#REF!</v>
      </c>
      <c r="V155" s="198" t="e">
        <f>V10-#REF!</f>
        <v>#REF!</v>
      </c>
      <c r="W155" s="198" t="e">
        <f>W10-#REF!</f>
        <v>#REF!</v>
      </c>
      <c r="X155" s="198" t="e">
        <f>X10-#REF!</f>
        <v>#REF!</v>
      </c>
      <c r="Y155" s="198" t="e">
        <f>Y10-#REF!</f>
        <v>#REF!</v>
      </c>
      <c r="Z155" s="198" t="e">
        <f>Z10-#REF!</f>
        <v>#REF!</v>
      </c>
      <c r="AA155" s="198" t="e">
        <f>AA10-#REF!</f>
        <v>#REF!</v>
      </c>
      <c r="AB155" s="198" t="e">
        <f>AB10-#REF!</f>
        <v>#REF!</v>
      </c>
      <c r="AC155" s="198" t="e">
        <f>AC10-#REF!</f>
        <v>#REF!</v>
      </c>
      <c r="AD155" s="198" t="e">
        <f>AD10-#REF!</f>
        <v>#REF!</v>
      </c>
      <c r="AE155" s="198" t="e">
        <f>AE10-#REF!</f>
        <v>#REF!</v>
      </c>
      <c r="AF155" s="198" t="e">
        <f>AF10-#REF!</f>
        <v>#REF!</v>
      </c>
      <c r="AG155" s="198" t="e">
        <f>AG10-#REF!</f>
        <v>#REF!</v>
      </c>
      <c r="AH155" s="198" t="e">
        <f>AH10-#REF!</f>
        <v>#REF!</v>
      </c>
      <c r="AI155" s="198" t="e">
        <f>AI10-#REF!</f>
        <v>#REF!</v>
      </c>
      <c r="AJ155" s="198" t="e">
        <f>AJ10-#REF!</f>
        <v>#REF!</v>
      </c>
      <c r="AK155" s="205" t="e">
        <f t="shared" si="15"/>
        <v>#REF!</v>
      </c>
      <c r="AL155" s="206" t="e">
        <f t="shared" si="16"/>
        <v>#REF!</v>
      </c>
    </row>
    <row r="156" ht="35.1" hidden="1" customHeight="1" spans="1:38">
      <c r="A156" s="23">
        <v>6</v>
      </c>
      <c r="B156" s="23"/>
      <c r="C156" s="200" t="s">
        <v>182</v>
      </c>
      <c r="D156" s="23" t="s">
        <v>72</v>
      </c>
      <c r="E156" s="23">
        <v>0.25</v>
      </c>
      <c r="F156" s="198" t="e">
        <f>F11-#REF!</f>
        <v>#REF!</v>
      </c>
      <c r="G156" s="198" t="e">
        <f>G11-#REF!</f>
        <v>#REF!</v>
      </c>
      <c r="H156" s="198" t="e">
        <f>H11-#REF!</f>
        <v>#REF!</v>
      </c>
      <c r="I156" s="198" t="e">
        <f>I11-#REF!</f>
        <v>#REF!</v>
      </c>
      <c r="J156" s="198" t="e">
        <f>J11-#REF!</f>
        <v>#REF!</v>
      </c>
      <c r="K156" s="198" t="e">
        <f>K11-#REF!</f>
        <v>#REF!</v>
      </c>
      <c r="L156" s="198" t="e">
        <f>L11-#REF!</f>
        <v>#REF!</v>
      </c>
      <c r="M156" s="198" t="e">
        <f>M11-#REF!</f>
        <v>#REF!</v>
      </c>
      <c r="N156" s="198" t="e">
        <f>N11-#REF!</f>
        <v>#REF!</v>
      </c>
      <c r="O156" s="198" t="e">
        <f>O11-#REF!</f>
        <v>#REF!</v>
      </c>
      <c r="P156" s="198" t="e">
        <f>P11-#REF!</f>
        <v>#REF!</v>
      </c>
      <c r="Q156" s="198" t="e">
        <f>Q11-#REF!</f>
        <v>#REF!</v>
      </c>
      <c r="R156" s="198" t="e">
        <f>R11-#REF!</f>
        <v>#REF!</v>
      </c>
      <c r="S156" s="198" t="e">
        <f>S11-#REF!</f>
        <v>#REF!</v>
      </c>
      <c r="T156" s="198" t="e">
        <f>T11-#REF!</f>
        <v>#REF!</v>
      </c>
      <c r="U156" s="198" t="e">
        <f>U11-#REF!</f>
        <v>#REF!</v>
      </c>
      <c r="V156" s="198" t="e">
        <f>V11-#REF!</f>
        <v>#REF!</v>
      </c>
      <c r="W156" s="198" t="e">
        <f>W11-#REF!</f>
        <v>#REF!</v>
      </c>
      <c r="X156" s="198" t="e">
        <f>X11-#REF!</f>
        <v>#REF!</v>
      </c>
      <c r="Y156" s="198" t="e">
        <f>Y11-#REF!</f>
        <v>#REF!</v>
      </c>
      <c r="Z156" s="198" t="e">
        <f>Z11-#REF!</f>
        <v>#REF!</v>
      </c>
      <c r="AA156" s="198" t="e">
        <f>AA11-#REF!</f>
        <v>#REF!</v>
      </c>
      <c r="AB156" s="198" t="e">
        <f>AB11-#REF!</f>
        <v>#REF!</v>
      </c>
      <c r="AC156" s="198" t="e">
        <f>AC11-#REF!</f>
        <v>#REF!</v>
      </c>
      <c r="AD156" s="198" t="e">
        <f>AD11-#REF!</f>
        <v>#REF!</v>
      </c>
      <c r="AE156" s="198" t="e">
        <f>AE11-#REF!</f>
        <v>#REF!</v>
      </c>
      <c r="AF156" s="198" t="e">
        <f>AF11-#REF!</f>
        <v>#REF!</v>
      </c>
      <c r="AG156" s="198" t="e">
        <f>AG11-#REF!</f>
        <v>#REF!</v>
      </c>
      <c r="AH156" s="198" t="e">
        <f>AH11-#REF!</f>
        <v>#REF!</v>
      </c>
      <c r="AI156" s="198" t="e">
        <f>AI11-#REF!</f>
        <v>#REF!</v>
      </c>
      <c r="AJ156" s="198" t="e">
        <f>AJ11-#REF!</f>
        <v>#REF!</v>
      </c>
      <c r="AK156" s="205" t="e">
        <f t="shared" si="15"/>
        <v>#REF!</v>
      </c>
      <c r="AL156" s="206" t="e">
        <f t="shared" si="16"/>
        <v>#REF!</v>
      </c>
    </row>
    <row r="157" ht="35.1" hidden="1" customHeight="1" spans="1:38">
      <c r="A157" s="23">
        <v>7</v>
      </c>
      <c r="B157" s="23"/>
      <c r="C157" s="23" t="s">
        <v>183</v>
      </c>
      <c r="D157" s="23" t="s">
        <v>72</v>
      </c>
      <c r="E157" s="23">
        <v>0.373</v>
      </c>
      <c r="F157" s="198" t="e">
        <f>F12-#REF!</f>
        <v>#REF!</v>
      </c>
      <c r="G157" s="198" t="e">
        <f>G12-#REF!</f>
        <v>#REF!</v>
      </c>
      <c r="H157" s="198" t="e">
        <f>H12-#REF!</f>
        <v>#REF!</v>
      </c>
      <c r="I157" s="198" t="e">
        <f>I12-#REF!</f>
        <v>#REF!</v>
      </c>
      <c r="J157" s="198" t="e">
        <f>J12-#REF!</f>
        <v>#REF!</v>
      </c>
      <c r="K157" s="198" t="e">
        <f>K12-#REF!</f>
        <v>#REF!</v>
      </c>
      <c r="L157" s="198" t="e">
        <f>L12-#REF!</f>
        <v>#REF!</v>
      </c>
      <c r="M157" s="198" t="e">
        <f>M12-#REF!</f>
        <v>#REF!</v>
      </c>
      <c r="N157" s="198" t="e">
        <f>N12-#REF!</f>
        <v>#REF!</v>
      </c>
      <c r="O157" s="198" t="e">
        <f>O12-#REF!</f>
        <v>#REF!</v>
      </c>
      <c r="P157" s="198" t="e">
        <f>P12-#REF!</f>
        <v>#REF!</v>
      </c>
      <c r="Q157" s="198" t="e">
        <f>Q12-#REF!</f>
        <v>#REF!</v>
      </c>
      <c r="R157" s="198" t="e">
        <f>R12-#REF!</f>
        <v>#REF!</v>
      </c>
      <c r="S157" s="198" t="e">
        <f>S12-#REF!</f>
        <v>#REF!</v>
      </c>
      <c r="T157" s="198" t="e">
        <f>T12-#REF!</f>
        <v>#REF!</v>
      </c>
      <c r="U157" s="198" t="e">
        <f>U12-#REF!</f>
        <v>#REF!</v>
      </c>
      <c r="V157" s="198" t="e">
        <f>V12-#REF!</f>
        <v>#REF!</v>
      </c>
      <c r="W157" s="198" t="e">
        <f>W12-#REF!</f>
        <v>#REF!</v>
      </c>
      <c r="X157" s="198" t="e">
        <f>X12-#REF!</f>
        <v>#REF!</v>
      </c>
      <c r="Y157" s="198" t="e">
        <f>Y12-#REF!</f>
        <v>#REF!</v>
      </c>
      <c r="Z157" s="198" t="e">
        <f>Z12-#REF!</f>
        <v>#REF!</v>
      </c>
      <c r="AA157" s="198" t="e">
        <f>AA12-#REF!</f>
        <v>#REF!</v>
      </c>
      <c r="AB157" s="198" t="e">
        <f>AB12-#REF!</f>
        <v>#REF!</v>
      </c>
      <c r="AC157" s="198" t="e">
        <f>AC12-#REF!</f>
        <v>#REF!</v>
      </c>
      <c r="AD157" s="198" t="e">
        <f>AD12-#REF!</f>
        <v>#REF!</v>
      </c>
      <c r="AE157" s="198" t="e">
        <f>AE12-#REF!</f>
        <v>#REF!</v>
      </c>
      <c r="AF157" s="198" t="e">
        <f>AF12-#REF!</f>
        <v>#REF!</v>
      </c>
      <c r="AG157" s="198" t="e">
        <f>AG12-#REF!</f>
        <v>#REF!</v>
      </c>
      <c r="AH157" s="198" t="e">
        <f>AH12-#REF!</f>
        <v>#REF!</v>
      </c>
      <c r="AI157" s="198" t="e">
        <f>AI12-#REF!</f>
        <v>#REF!</v>
      </c>
      <c r="AJ157" s="198" t="e">
        <f>AJ12-#REF!</f>
        <v>#REF!</v>
      </c>
      <c r="AK157" s="205" t="e">
        <f t="shared" si="15"/>
        <v>#REF!</v>
      </c>
      <c r="AL157" s="206" t="e">
        <f t="shared" si="16"/>
        <v>#REF!</v>
      </c>
    </row>
    <row r="158" ht="35.1" hidden="1" customHeight="1" spans="1:38">
      <c r="A158" s="23">
        <v>8</v>
      </c>
      <c r="B158" s="23"/>
      <c r="C158" s="23" t="s">
        <v>208</v>
      </c>
      <c r="D158" s="23" t="s">
        <v>72</v>
      </c>
      <c r="E158" s="23">
        <v>0.133</v>
      </c>
      <c r="F158" s="198" t="e">
        <f>F13-#REF!</f>
        <v>#REF!</v>
      </c>
      <c r="G158" s="198" t="e">
        <f>G13-#REF!</f>
        <v>#REF!</v>
      </c>
      <c r="H158" s="198" t="e">
        <f>H13-#REF!</f>
        <v>#REF!</v>
      </c>
      <c r="I158" s="198" t="e">
        <f>I13-#REF!</f>
        <v>#REF!</v>
      </c>
      <c r="J158" s="198" t="e">
        <f>J13-#REF!</f>
        <v>#REF!</v>
      </c>
      <c r="K158" s="198" t="e">
        <f>K13-#REF!</f>
        <v>#REF!</v>
      </c>
      <c r="L158" s="198" t="e">
        <f>L13-#REF!</f>
        <v>#REF!</v>
      </c>
      <c r="M158" s="198" t="e">
        <f>M13-#REF!</f>
        <v>#REF!</v>
      </c>
      <c r="N158" s="198" t="e">
        <f>N13-#REF!</f>
        <v>#REF!</v>
      </c>
      <c r="O158" s="198" t="e">
        <f>O13-#REF!</f>
        <v>#REF!</v>
      </c>
      <c r="P158" s="198" t="e">
        <f>P13-#REF!</f>
        <v>#REF!</v>
      </c>
      <c r="Q158" s="198" t="e">
        <f>Q13-#REF!</f>
        <v>#REF!</v>
      </c>
      <c r="R158" s="198" t="e">
        <f>R13-#REF!</f>
        <v>#REF!</v>
      </c>
      <c r="S158" s="198" t="e">
        <f>S13-#REF!</f>
        <v>#REF!</v>
      </c>
      <c r="T158" s="198" t="e">
        <f>T13-#REF!</f>
        <v>#REF!</v>
      </c>
      <c r="U158" s="198" t="e">
        <f>U13-#REF!</f>
        <v>#REF!</v>
      </c>
      <c r="V158" s="198" t="e">
        <f>V13-#REF!</f>
        <v>#REF!</v>
      </c>
      <c r="W158" s="198" t="e">
        <f>W13-#REF!</f>
        <v>#REF!</v>
      </c>
      <c r="X158" s="198" t="e">
        <f>X13-#REF!</f>
        <v>#REF!</v>
      </c>
      <c r="Y158" s="198" t="e">
        <f>Y13-#REF!</f>
        <v>#REF!</v>
      </c>
      <c r="Z158" s="198" t="e">
        <f>Z13-#REF!</f>
        <v>#REF!</v>
      </c>
      <c r="AA158" s="198" t="e">
        <f>AA13-#REF!</f>
        <v>#REF!</v>
      </c>
      <c r="AB158" s="198" t="e">
        <f>AB13-#REF!</f>
        <v>#REF!</v>
      </c>
      <c r="AC158" s="198" t="e">
        <f>AC13-#REF!</f>
        <v>#REF!</v>
      </c>
      <c r="AD158" s="198" t="e">
        <f>AD13-#REF!</f>
        <v>#REF!</v>
      </c>
      <c r="AE158" s="198" t="e">
        <f>AE13-#REF!</f>
        <v>#REF!</v>
      </c>
      <c r="AF158" s="198" t="e">
        <f>AF13-#REF!</f>
        <v>#REF!</v>
      </c>
      <c r="AG158" s="198" t="e">
        <f>AG13-#REF!</f>
        <v>#REF!</v>
      </c>
      <c r="AH158" s="198" t="e">
        <f>AH13-#REF!</f>
        <v>#REF!</v>
      </c>
      <c r="AI158" s="198" t="e">
        <f>AI13-#REF!</f>
        <v>#REF!</v>
      </c>
      <c r="AJ158" s="198" t="e">
        <f>AJ13-#REF!</f>
        <v>#REF!</v>
      </c>
      <c r="AK158" s="205" t="e">
        <f t="shared" si="15"/>
        <v>#REF!</v>
      </c>
      <c r="AL158" s="206" t="e">
        <f t="shared" si="16"/>
        <v>#REF!</v>
      </c>
    </row>
    <row r="159" ht="36" hidden="1" customHeight="1" spans="1:38">
      <c r="A159" s="23">
        <v>9</v>
      </c>
      <c r="B159" s="23"/>
      <c r="C159" s="23" t="s">
        <v>184</v>
      </c>
      <c r="D159" s="23" t="s">
        <v>72</v>
      </c>
      <c r="E159" s="23">
        <v>0.133</v>
      </c>
      <c r="F159" s="198" t="e">
        <f>F14-#REF!</f>
        <v>#REF!</v>
      </c>
      <c r="G159" s="198" t="e">
        <f>G14-#REF!</f>
        <v>#REF!</v>
      </c>
      <c r="H159" s="198" t="e">
        <f>H14-#REF!</f>
        <v>#REF!</v>
      </c>
      <c r="I159" s="198" t="e">
        <f>I14-#REF!</f>
        <v>#REF!</v>
      </c>
      <c r="J159" s="198" t="e">
        <f>J14-#REF!</f>
        <v>#REF!</v>
      </c>
      <c r="K159" s="198" t="e">
        <f>K14-#REF!</f>
        <v>#REF!</v>
      </c>
      <c r="L159" s="198" t="e">
        <f>L14-#REF!</f>
        <v>#REF!</v>
      </c>
      <c r="M159" s="198" t="e">
        <f>M14-#REF!</f>
        <v>#REF!</v>
      </c>
      <c r="N159" s="198" t="e">
        <f>N14-#REF!</f>
        <v>#REF!</v>
      </c>
      <c r="O159" s="198" t="e">
        <f>O14-#REF!</f>
        <v>#REF!</v>
      </c>
      <c r="P159" s="198" t="e">
        <f>P14-#REF!</f>
        <v>#REF!</v>
      </c>
      <c r="Q159" s="198" t="e">
        <f>Q14-#REF!</f>
        <v>#REF!</v>
      </c>
      <c r="R159" s="198" t="e">
        <f>R14-#REF!</f>
        <v>#REF!</v>
      </c>
      <c r="S159" s="198" t="e">
        <f>S14-#REF!</f>
        <v>#REF!</v>
      </c>
      <c r="T159" s="198" t="e">
        <f>T14-#REF!</f>
        <v>#REF!</v>
      </c>
      <c r="U159" s="198" t="e">
        <f>U14-#REF!</f>
        <v>#REF!</v>
      </c>
      <c r="V159" s="198" t="e">
        <f>V14-#REF!</f>
        <v>#REF!</v>
      </c>
      <c r="W159" s="198" t="e">
        <f>W14-#REF!</f>
        <v>#REF!</v>
      </c>
      <c r="X159" s="198" t="e">
        <f>X14-#REF!</f>
        <v>#REF!</v>
      </c>
      <c r="Y159" s="198" t="e">
        <f>Y14-#REF!</f>
        <v>#REF!</v>
      </c>
      <c r="Z159" s="198" t="e">
        <f>Z14-#REF!</f>
        <v>#REF!</v>
      </c>
      <c r="AA159" s="198" t="e">
        <f>AA14-#REF!</f>
        <v>#REF!</v>
      </c>
      <c r="AB159" s="198" t="e">
        <f>AB14-#REF!</f>
        <v>#REF!</v>
      </c>
      <c r="AC159" s="198" t="e">
        <f>AC14-#REF!</f>
        <v>#REF!</v>
      </c>
      <c r="AD159" s="198" t="e">
        <f>AD14-#REF!</f>
        <v>#REF!</v>
      </c>
      <c r="AE159" s="198" t="e">
        <f>AE14-#REF!</f>
        <v>#REF!</v>
      </c>
      <c r="AF159" s="198" t="e">
        <f>AF14-#REF!</f>
        <v>#REF!</v>
      </c>
      <c r="AG159" s="198" t="e">
        <f>AG14-#REF!</f>
        <v>#REF!</v>
      </c>
      <c r="AH159" s="198" t="e">
        <f>AH14-#REF!</f>
        <v>#REF!</v>
      </c>
      <c r="AI159" s="198" t="e">
        <f>AI14-#REF!</f>
        <v>#REF!</v>
      </c>
      <c r="AJ159" s="198" t="e">
        <f>AJ14-#REF!</f>
        <v>#REF!</v>
      </c>
      <c r="AK159" s="205" t="e">
        <f t="shared" si="15"/>
        <v>#REF!</v>
      </c>
      <c r="AL159" s="206" t="e">
        <f t="shared" si="16"/>
        <v>#REF!</v>
      </c>
    </row>
    <row r="160" ht="39" hidden="1" customHeight="1" spans="1:38">
      <c r="A160" s="23">
        <v>10</v>
      </c>
      <c r="B160" s="23"/>
      <c r="C160" s="23" t="s">
        <v>186</v>
      </c>
      <c r="D160" s="23" t="s">
        <v>72</v>
      </c>
      <c r="E160" s="23">
        <v>0.23</v>
      </c>
      <c r="F160" s="198" t="e">
        <f>F15-#REF!</f>
        <v>#REF!</v>
      </c>
      <c r="G160" s="198" t="e">
        <f>G15-#REF!</f>
        <v>#REF!</v>
      </c>
      <c r="H160" s="198" t="e">
        <f>H15-#REF!</f>
        <v>#REF!</v>
      </c>
      <c r="I160" s="198" t="e">
        <f>I15-#REF!</f>
        <v>#REF!</v>
      </c>
      <c r="J160" s="198" t="e">
        <f>J15-#REF!</f>
        <v>#REF!</v>
      </c>
      <c r="K160" s="198" t="e">
        <f>K15-#REF!</f>
        <v>#REF!</v>
      </c>
      <c r="L160" s="198" t="e">
        <f>L15-#REF!</f>
        <v>#REF!</v>
      </c>
      <c r="M160" s="198" t="e">
        <f>M15-#REF!</f>
        <v>#REF!</v>
      </c>
      <c r="N160" s="198" t="e">
        <f>N15-#REF!</f>
        <v>#REF!</v>
      </c>
      <c r="O160" s="198" t="e">
        <f>O15-#REF!</f>
        <v>#REF!</v>
      </c>
      <c r="P160" s="198" t="e">
        <f>P15-#REF!</f>
        <v>#REF!</v>
      </c>
      <c r="Q160" s="198" t="e">
        <f>Q15-#REF!</f>
        <v>#REF!</v>
      </c>
      <c r="R160" s="198" t="e">
        <f>R15-#REF!</f>
        <v>#REF!</v>
      </c>
      <c r="S160" s="198" t="e">
        <f>S15-#REF!</f>
        <v>#REF!</v>
      </c>
      <c r="T160" s="198" t="e">
        <f>T15-#REF!</f>
        <v>#REF!</v>
      </c>
      <c r="U160" s="198" t="e">
        <f>U15-#REF!</f>
        <v>#REF!</v>
      </c>
      <c r="V160" s="198" t="e">
        <f>V15-#REF!</f>
        <v>#REF!</v>
      </c>
      <c r="W160" s="198" t="e">
        <f>W15-#REF!</f>
        <v>#REF!</v>
      </c>
      <c r="X160" s="198" t="e">
        <f>X15-#REF!</f>
        <v>#REF!</v>
      </c>
      <c r="Y160" s="198" t="e">
        <f>Y15-#REF!</f>
        <v>#REF!</v>
      </c>
      <c r="Z160" s="198" t="e">
        <f>Z15-#REF!</f>
        <v>#REF!</v>
      </c>
      <c r="AA160" s="198" t="e">
        <f>AA15-#REF!</f>
        <v>#REF!</v>
      </c>
      <c r="AB160" s="198" t="e">
        <f>AB15-#REF!</f>
        <v>#REF!</v>
      </c>
      <c r="AC160" s="198" t="e">
        <f>AC15-#REF!</f>
        <v>#REF!</v>
      </c>
      <c r="AD160" s="198" t="e">
        <f>AD15-#REF!</f>
        <v>#REF!</v>
      </c>
      <c r="AE160" s="198" t="e">
        <f>AE15-#REF!</f>
        <v>#REF!</v>
      </c>
      <c r="AF160" s="198" t="e">
        <f>AF15-#REF!</f>
        <v>#REF!</v>
      </c>
      <c r="AG160" s="198" t="e">
        <f>AG15-#REF!</f>
        <v>#REF!</v>
      </c>
      <c r="AH160" s="198" t="e">
        <f>AH15-#REF!</f>
        <v>#REF!</v>
      </c>
      <c r="AI160" s="198" t="e">
        <f>AI15-#REF!</f>
        <v>#REF!</v>
      </c>
      <c r="AJ160" s="198" t="e">
        <f>AJ15-#REF!</f>
        <v>#REF!</v>
      </c>
      <c r="AK160" s="205" t="e">
        <f t="shared" si="15"/>
        <v>#REF!</v>
      </c>
      <c r="AL160" s="206" t="e">
        <f t="shared" si="16"/>
        <v>#REF!</v>
      </c>
    </row>
    <row r="161" ht="35.1" hidden="1" customHeight="1" spans="1:38">
      <c r="A161" s="23">
        <v>11</v>
      </c>
      <c r="B161" s="23"/>
      <c r="C161" s="23" t="s">
        <v>187</v>
      </c>
      <c r="D161" s="23" t="s">
        <v>72</v>
      </c>
      <c r="E161" s="23">
        <v>0.25</v>
      </c>
      <c r="F161" s="198" t="e">
        <f>F16-#REF!</f>
        <v>#REF!</v>
      </c>
      <c r="G161" s="198" t="e">
        <f>G16-#REF!</f>
        <v>#REF!</v>
      </c>
      <c r="H161" s="198" t="e">
        <f>H16-#REF!</f>
        <v>#REF!</v>
      </c>
      <c r="I161" s="198" t="e">
        <f>I16-#REF!</f>
        <v>#REF!</v>
      </c>
      <c r="J161" s="198" t="e">
        <f>J16-#REF!</f>
        <v>#REF!</v>
      </c>
      <c r="K161" s="198" t="e">
        <f>K16-#REF!</f>
        <v>#REF!</v>
      </c>
      <c r="L161" s="198" t="e">
        <f>L16-#REF!</f>
        <v>#REF!</v>
      </c>
      <c r="M161" s="198" t="e">
        <f>M16-#REF!</f>
        <v>#REF!</v>
      </c>
      <c r="N161" s="198" t="e">
        <f>N16-#REF!</f>
        <v>#REF!</v>
      </c>
      <c r="O161" s="198" t="e">
        <f>O16-#REF!</f>
        <v>#REF!</v>
      </c>
      <c r="P161" s="198" t="e">
        <f>P16-#REF!</f>
        <v>#REF!</v>
      </c>
      <c r="Q161" s="198" t="e">
        <f>Q16-#REF!</f>
        <v>#REF!</v>
      </c>
      <c r="R161" s="198" t="e">
        <f>R16-#REF!</f>
        <v>#REF!</v>
      </c>
      <c r="S161" s="198" t="e">
        <f>S16-#REF!</f>
        <v>#REF!</v>
      </c>
      <c r="T161" s="198" t="e">
        <f>T16-#REF!</f>
        <v>#REF!</v>
      </c>
      <c r="U161" s="198" t="e">
        <f>U16-#REF!</f>
        <v>#REF!</v>
      </c>
      <c r="V161" s="198" t="e">
        <f>V16-#REF!</f>
        <v>#REF!</v>
      </c>
      <c r="W161" s="198" t="e">
        <f>W16-#REF!</f>
        <v>#REF!</v>
      </c>
      <c r="X161" s="198" t="e">
        <f>X16-#REF!</f>
        <v>#REF!</v>
      </c>
      <c r="Y161" s="198" t="e">
        <f>Y16-#REF!</f>
        <v>#REF!</v>
      </c>
      <c r="Z161" s="198" t="e">
        <f>Z16-#REF!</f>
        <v>#REF!</v>
      </c>
      <c r="AA161" s="198" t="e">
        <f>AA16-#REF!</f>
        <v>#REF!</v>
      </c>
      <c r="AB161" s="198" t="e">
        <f>AB16-#REF!</f>
        <v>#REF!</v>
      </c>
      <c r="AC161" s="198" t="e">
        <f>AC16-#REF!</f>
        <v>#REF!</v>
      </c>
      <c r="AD161" s="198" t="e">
        <f>AD16-#REF!</f>
        <v>#REF!</v>
      </c>
      <c r="AE161" s="198" t="e">
        <f>AE16-#REF!</f>
        <v>#REF!</v>
      </c>
      <c r="AF161" s="198" t="e">
        <f>AF16-#REF!</f>
        <v>#REF!</v>
      </c>
      <c r="AG161" s="198" t="e">
        <f>AG16-#REF!</f>
        <v>#REF!</v>
      </c>
      <c r="AH161" s="198" t="e">
        <f>AH16-#REF!</f>
        <v>#REF!</v>
      </c>
      <c r="AI161" s="198" t="e">
        <f>AI16-#REF!</f>
        <v>#REF!</v>
      </c>
      <c r="AJ161" s="198" t="e">
        <f>AJ16-#REF!</f>
        <v>#REF!</v>
      </c>
      <c r="AK161" s="205" t="e">
        <f t="shared" si="15"/>
        <v>#REF!</v>
      </c>
      <c r="AL161" s="206" t="e">
        <f t="shared" si="16"/>
        <v>#REF!</v>
      </c>
    </row>
    <row r="162" ht="36.95" hidden="1" customHeight="1" spans="1:38">
      <c r="A162" s="23">
        <v>12</v>
      </c>
      <c r="B162" s="23"/>
      <c r="C162" s="23" t="s">
        <v>188</v>
      </c>
      <c r="D162" s="23" t="s">
        <v>72</v>
      </c>
      <c r="E162" s="23">
        <v>0.373</v>
      </c>
      <c r="F162" s="198" t="e">
        <f>F17-#REF!</f>
        <v>#REF!</v>
      </c>
      <c r="G162" s="198" t="e">
        <f>G17-#REF!</f>
        <v>#REF!</v>
      </c>
      <c r="H162" s="198" t="e">
        <f>H17-#REF!</f>
        <v>#REF!</v>
      </c>
      <c r="I162" s="198" t="e">
        <f>I17-#REF!</f>
        <v>#REF!</v>
      </c>
      <c r="J162" s="198" t="e">
        <f>J17-#REF!</f>
        <v>#REF!</v>
      </c>
      <c r="K162" s="198" t="e">
        <f>K17-#REF!</f>
        <v>#REF!</v>
      </c>
      <c r="L162" s="198" t="e">
        <f>L17-#REF!</f>
        <v>#REF!</v>
      </c>
      <c r="M162" s="198" t="e">
        <f>M17-#REF!</f>
        <v>#REF!</v>
      </c>
      <c r="N162" s="198" t="e">
        <f>N17-#REF!</f>
        <v>#REF!</v>
      </c>
      <c r="O162" s="198" t="e">
        <f>O17-#REF!</f>
        <v>#REF!</v>
      </c>
      <c r="P162" s="198" t="e">
        <f>P17-#REF!</f>
        <v>#REF!</v>
      </c>
      <c r="Q162" s="198" t="e">
        <f>Q17-#REF!</f>
        <v>#REF!</v>
      </c>
      <c r="R162" s="198" t="e">
        <f>R17-#REF!</f>
        <v>#REF!</v>
      </c>
      <c r="S162" s="198" t="e">
        <f>S17-#REF!</f>
        <v>#REF!</v>
      </c>
      <c r="T162" s="198" t="e">
        <f>T17-#REF!</f>
        <v>#REF!</v>
      </c>
      <c r="U162" s="198" t="e">
        <f>U17-#REF!</f>
        <v>#REF!</v>
      </c>
      <c r="V162" s="198" t="e">
        <f>V17-#REF!</f>
        <v>#REF!</v>
      </c>
      <c r="W162" s="198" t="e">
        <f>W17-#REF!</f>
        <v>#REF!</v>
      </c>
      <c r="X162" s="198" t="e">
        <f>X17-#REF!</f>
        <v>#REF!</v>
      </c>
      <c r="Y162" s="198" t="e">
        <f>Y17-#REF!</f>
        <v>#REF!</v>
      </c>
      <c r="Z162" s="198" t="e">
        <f>Z17-#REF!</f>
        <v>#REF!</v>
      </c>
      <c r="AA162" s="198" t="e">
        <f>AA17-#REF!</f>
        <v>#REF!</v>
      </c>
      <c r="AB162" s="198" t="e">
        <f>AB17-#REF!</f>
        <v>#REF!</v>
      </c>
      <c r="AC162" s="198" t="e">
        <f>AC17-#REF!</f>
        <v>#REF!</v>
      </c>
      <c r="AD162" s="198" t="e">
        <f>AD17-#REF!</f>
        <v>#REF!</v>
      </c>
      <c r="AE162" s="198" t="e">
        <f>AE17-#REF!</f>
        <v>#REF!</v>
      </c>
      <c r="AF162" s="198" t="e">
        <f>AF17-#REF!</f>
        <v>#REF!</v>
      </c>
      <c r="AG162" s="198" t="e">
        <f>AG17-#REF!</f>
        <v>#REF!</v>
      </c>
      <c r="AH162" s="198" t="e">
        <f>AH17-#REF!</f>
        <v>#REF!</v>
      </c>
      <c r="AI162" s="198" t="e">
        <f>AI17-#REF!</f>
        <v>#REF!</v>
      </c>
      <c r="AJ162" s="198" t="e">
        <f>AJ17-#REF!</f>
        <v>#REF!</v>
      </c>
      <c r="AK162" s="205" t="e">
        <f t="shared" si="15"/>
        <v>#REF!</v>
      </c>
      <c r="AL162" s="206" t="e">
        <f t="shared" si="16"/>
        <v>#REF!</v>
      </c>
    </row>
    <row r="163" ht="35.1" hidden="1" customHeight="1" spans="1:38">
      <c r="A163" s="23">
        <v>13</v>
      </c>
      <c r="B163" s="152"/>
      <c r="C163" s="152" t="s">
        <v>209</v>
      </c>
      <c r="D163" s="23" t="s">
        <v>72</v>
      </c>
      <c r="E163" s="23">
        <v>0.23</v>
      </c>
      <c r="F163" s="198" t="e">
        <f>F18-#REF!</f>
        <v>#REF!</v>
      </c>
      <c r="G163" s="201" t="e">
        <f>G18-#REF!</f>
        <v>#REF!</v>
      </c>
      <c r="H163" s="201" t="e">
        <f>H18-#REF!</f>
        <v>#REF!</v>
      </c>
      <c r="I163" s="201" t="e">
        <f>I18-#REF!</f>
        <v>#REF!</v>
      </c>
      <c r="J163" s="201" t="e">
        <f>J18-#REF!</f>
        <v>#REF!</v>
      </c>
      <c r="K163" s="201" t="e">
        <f>K18-#REF!</f>
        <v>#REF!</v>
      </c>
      <c r="L163" s="201" t="e">
        <f>L18-#REF!</f>
        <v>#REF!</v>
      </c>
      <c r="M163" s="201" t="e">
        <f>M18-#REF!</f>
        <v>#REF!</v>
      </c>
      <c r="N163" s="201" t="e">
        <f>N18-#REF!</f>
        <v>#REF!</v>
      </c>
      <c r="O163" s="201" t="e">
        <f>O18-#REF!</f>
        <v>#REF!</v>
      </c>
      <c r="P163" s="201" t="e">
        <f>P18-#REF!</f>
        <v>#REF!</v>
      </c>
      <c r="Q163" s="201" t="e">
        <f>Q18-#REF!</f>
        <v>#REF!</v>
      </c>
      <c r="R163" s="201" t="e">
        <f>R18-#REF!</f>
        <v>#REF!</v>
      </c>
      <c r="S163" s="201" t="e">
        <f>S18-#REF!</f>
        <v>#REF!</v>
      </c>
      <c r="T163" s="201" t="e">
        <f>T18-#REF!</f>
        <v>#REF!</v>
      </c>
      <c r="U163" s="201" t="e">
        <f>U18-#REF!</f>
        <v>#REF!</v>
      </c>
      <c r="V163" s="201" t="e">
        <f>V18-#REF!</f>
        <v>#REF!</v>
      </c>
      <c r="W163" s="201" t="e">
        <f>W18-#REF!</f>
        <v>#REF!</v>
      </c>
      <c r="X163" s="201" t="e">
        <f>X18-#REF!</f>
        <v>#REF!</v>
      </c>
      <c r="Y163" s="201" t="e">
        <f>Y18-#REF!</f>
        <v>#REF!</v>
      </c>
      <c r="Z163" s="201" t="e">
        <f>Z18-#REF!</f>
        <v>#REF!</v>
      </c>
      <c r="AA163" s="201" t="e">
        <f>AA18-#REF!</f>
        <v>#REF!</v>
      </c>
      <c r="AB163" s="201" t="e">
        <f>AB18-#REF!</f>
        <v>#REF!</v>
      </c>
      <c r="AC163" s="201" t="e">
        <f>AC18-#REF!</f>
        <v>#REF!</v>
      </c>
      <c r="AD163" s="201" t="e">
        <f>AD18-#REF!</f>
        <v>#REF!</v>
      </c>
      <c r="AE163" s="201" t="e">
        <f>AE18-#REF!</f>
        <v>#REF!</v>
      </c>
      <c r="AF163" s="201" t="e">
        <f>AF18-#REF!</f>
        <v>#REF!</v>
      </c>
      <c r="AG163" s="201" t="e">
        <f>AG18-#REF!</f>
        <v>#REF!</v>
      </c>
      <c r="AH163" s="201" t="e">
        <f>AH18-#REF!</f>
        <v>#REF!</v>
      </c>
      <c r="AI163" s="201" t="e">
        <f>AI18-#REF!</f>
        <v>#REF!</v>
      </c>
      <c r="AJ163" s="201" t="e">
        <f>AJ18-#REF!</f>
        <v>#REF!</v>
      </c>
      <c r="AK163" s="205" t="e">
        <f t="shared" si="15"/>
        <v>#REF!</v>
      </c>
      <c r="AL163" s="206" t="e">
        <f t="shared" si="16"/>
        <v>#REF!</v>
      </c>
    </row>
    <row r="164" ht="27" hidden="1" customHeight="1" spans="1:38">
      <c r="A164" s="23">
        <v>14</v>
      </c>
      <c r="B164" s="152"/>
      <c r="C164" s="152" t="s">
        <v>210</v>
      </c>
      <c r="D164" s="23" t="s">
        <v>72</v>
      </c>
      <c r="E164" s="23">
        <v>0.25</v>
      </c>
      <c r="F164" s="198" t="e">
        <f>F22-#REF!</f>
        <v>#REF!</v>
      </c>
      <c r="G164" s="201" t="e">
        <f>G22-#REF!</f>
        <v>#REF!</v>
      </c>
      <c r="H164" s="201" t="e">
        <f>H22-#REF!</f>
        <v>#REF!</v>
      </c>
      <c r="I164" s="201" t="e">
        <f>I22-#REF!</f>
        <v>#REF!</v>
      </c>
      <c r="J164" s="201" t="e">
        <f>J22-#REF!</f>
        <v>#REF!</v>
      </c>
      <c r="K164" s="201" t="e">
        <f>K22-#REF!</f>
        <v>#REF!</v>
      </c>
      <c r="L164" s="201" t="e">
        <f>L22-#REF!</f>
        <v>#REF!</v>
      </c>
      <c r="M164" s="201" t="e">
        <f>M22-#REF!</f>
        <v>#REF!</v>
      </c>
      <c r="N164" s="201" t="e">
        <f>N22-#REF!</f>
        <v>#REF!</v>
      </c>
      <c r="O164" s="201" t="e">
        <f>O22-#REF!</f>
        <v>#REF!</v>
      </c>
      <c r="P164" s="201" t="e">
        <f>P22-#REF!</f>
        <v>#REF!</v>
      </c>
      <c r="Q164" s="201" t="e">
        <f>Q22-#REF!</f>
        <v>#REF!</v>
      </c>
      <c r="R164" s="201" t="e">
        <f>R22-#REF!</f>
        <v>#REF!</v>
      </c>
      <c r="S164" s="201" t="e">
        <f>S22-#REF!</f>
        <v>#REF!</v>
      </c>
      <c r="T164" s="201" t="e">
        <f>T22-#REF!</f>
        <v>#REF!</v>
      </c>
      <c r="U164" s="201" t="e">
        <f>U22-#REF!</f>
        <v>#REF!</v>
      </c>
      <c r="V164" s="201" t="e">
        <f>V22-#REF!</f>
        <v>#REF!</v>
      </c>
      <c r="W164" s="201" t="e">
        <f>W22-#REF!</f>
        <v>#REF!</v>
      </c>
      <c r="X164" s="201" t="e">
        <f>X22-#REF!</f>
        <v>#REF!</v>
      </c>
      <c r="Y164" s="201" t="e">
        <f>Y22-#REF!</f>
        <v>#REF!</v>
      </c>
      <c r="Z164" s="201" t="e">
        <f>Z22-#REF!</f>
        <v>#REF!</v>
      </c>
      <c r="AA164" s="201" t="e">
        <f>AA22-#REF!</f>
        <v>#REF!</v>
      </c>
      <c r="AB164" s="201" t="e">
        <f>AB22-#REF!</f>
        <v>#REF!</v>
      </c>
      <c r="AC164" s="201" t="e">
        <f>AC22-#REF!</f>
        <v>#REF!</v>
      </c>
      <c r="AD164" s="201" t="e">
        <f>AD22-#REF!</f>
        <v>#REF!</v>
      </c>
      <c r="AE164" s="201" t="e">
        <f>AE22-#REF!</f>
        <v>#REF!</v>
      </c>
      <c r="AF164" s="201" t="e">
        <f>AF22-#REF!</f>
        <v>#REF!</v>
      </c>
      <c r="AG164" s="201" t="e">
        <f>AG22-#REF!</f>
        <v>#REF!</v>
      </c>
      <c r="AH164" s="201" t="e">
        <f>AH22-#REF!</f>
        <v>#REF!</v>
      </c>
      <c r="AI164" s="201" t="e">
        <f>AI22-#REF!</f>
        <v>#REF!</v>
      </c>
      <c r="AJ164" s="201" t="e">
        <f>AJ22-#REF!</f>
        <v>#REF!</v>
      </c>
      <c r="AK164" s="205" t="e">
        <f t="shared" si="15"/>
        <v>#REF!</v>
      </c>
      <c r="AL164" s="206" t="e">
        <f t="shared" si="16"/>
        <v>#REF!</v>
      </c>
    </row>
    <row r="165" ht="29.1" hidden="1" customHeight="1" spans="1:38">
      <c r="A165" s="23">
        <v>15</v>
      </c>
      <c r="B165" s="152"/>
      <c r="C165" s="152" t="s">
        <v>211</v>
      </c>
      <c r="D165" s="23" t="s">
        <v>72</v>
      </c>
      <c r="E165" s="23">
        <v>0.133</v>
      </c>
      <c r="F165" s="198" t="e">
        <f>F23-#REF!</f>
        <v>#REF!</v>
      </c>
      <c r="G165" s="201" t="e">
        <f>G23-#REF!</f>
        <v>#REF!</v>
      </c>
      <c r="H165" s="201" t="e">
        <f>H23-#REF!</f>
        <v>#REF!</v>
      </c>
      <c r="I165" s="201" t="e">
        <f>I23-#REF!</f>
        <v>#REF!</v>
      </c>
      <c r="J165" s="201" t="e">
        <f>J23-#REF!</f>
        <v>#REF!</v>
      </c>
      <c r="K165" s="201" t="e">
        <f>K23-#REF!</f>
        <v>#REF!</v>
      </c>
      <c r="L165" s="201" t="e">
        <f>L23-#REF!</f>
        <v>#REF!</v>
      </c>
      <c r="M165" s="201" t="e">
        <f>M23-#REF!</f>
        <v>#REF!</v>
      </c>
      <c r="N165" s="201" t="e">
        <f>N23-#REF!</f>
        <v>#REF!</v>
      </c>
      <c r="O165" s="201" t="e">
        <f>O23-#REF!</f>
        <v>#REF!</v>
      </c>
      <c r="P165" s="201" t="e">
        <f>P23-#REF!</f>
        <v>#REF!</v>
      </c>
      <c r="Q165" s="201" t="e">
        <f>Q23-#REF!</f>
        <v>#REF!</v>
      </c>
      <c r="R165" s="201" t="e">
        <f>R23-#REF!</f>
        <v>#REF!</v>
      </c>
      <c r="S165" s="201" t="e">
        <f>S23-#REF!</f>
        <v>#REF!</v>
      </c>
      <c r="T165" s="201" t="e">
        <f>T23-#REF!</f>
        <v>#REF!</v>
      </c>
      <c r="U165" s="201" t="e">
        <f>U23-#REF!</f>
        <v>#REF!</v>
      </c>
      <c r="V165" s="201" t="e">
        <f>V23-#REF!</f>
        <v>#REF!</v>
      </c>
      <c r="W165" s="201" t="e">
        <f>W23-#REF!</f>
        <v>#REF!</v>
      </c>
      <c r="X165" s="201" t="e">
        <f>X23-#REF!</f>
        <v>#REF!</v>
      </c>
      <c r="Y165" s="201" t="e">
        <f>Y23-#REF!</f>
        <v>#REF!</v>
      </c>
      <c r="Z165" s="201" t="e">
        <f>Z23-#REF!</f>
        <v>#REF!</v>
      </c>
      <c r="AA165" s="201" t="e">
        <f>AA23-#REF!</f>
        <v>#REF!</v>
      </c>
      <c r="AB165" s="201" t="e">
        <f>AB23-#REF!</f>
        <v>#REF!</v>
      </c>
      <c r="AC165" s="201" t="e">
        <f>AC23-#REF!</f>
        <v>#REF!</v>
      </c>
      <c r="AD165" s="201" t="e">
        <f>AD23-#REF!</f>
        <v>#REF!</v>
      </c>
      <c r="AE165" s="201" t="e">
        <f>AE23-#REF!</f>
        <v>#REF!</v>
      </c>
      <c r="AF165" s="201" t="e">
        <f>AF23-#REF!</f>
        <v>#REF!</v>
      </c>
      <c r="AG165" s="201" t="e">
        <f>AG24-#REF!</f>
        <v>#REF!</v>
      </c>
      <c r="AH165" s="201" t="e">
        <f>AH23-#REF!</f>
        <v>#REF!</v>
      </c>
      <c r="AI165" s="201" t="e">
        <f>AI23-#REF!</f>
        <v>#REF!</v>
      </c>
      <c r="AJ165" s="201" t="e">
        <f>AJ23-#REF!</f>
        <v>#REF!</v>
      </c>
      <c r="AK165" s="205" t="e">
        <f t="shared" si="15"/>
        <v>#REF!</v>
      </c>
      <c r="AL165" s="206" t="e">
        <f t="shared" si="16"/>
        <v>#REF!</v>
      </c>
    </row>
    <row r="166" ht="33.95" hidden="1" customHeight="1" spans="1:38">
      <c r="A166" s="23">
        <v>16</v>
      </c>
      <c r="B166" s="152"/>
      <c r="C166" s="152" t="s">
        <v>212</v>
      </c>
      <c r="D166" s="23" t="s">
        <v>72</v>
      </c>
      <c r="E166" s="202">
        <v>0.373</v>
      </c>
      <c r="F166" s="198" t="e">
        <f>F24-#REF!</f>
        <v>#REF!</v>
      </c>
      <c r="G166" s="201" t="e">
        <f>G24-#REF!</f>
        <v>#REF!</v>
      </c>
      <c r="H166" s="201" t="e">
        <f>H24-#REF!</f>
        <v>#REF!</v>
      </c>
      <c r="I166" s="201" t="e">
        <f>I24-#REF!</f>
        <v>#REF!</v>
      </c>
      <c r="J166" s="201" t="e">
        <f>J24-#REF!</f>
        <v>#REF!</v>
      </c>
      <c r="K166" s="201" t="e">
        <f>K24-#REF!</f>
        <v>#REF!</v>
      </c>
      <c r="L166" s="201" t="e">
        <f>L24-#REF!</f>
        <v>#REF!</v>
      </c>
      <c r="M166" s="201" t="e">
        <f>M24-#REF!</f>
        <v>#REF!</v>
      </c>
      <c r="N166" s="201" t="e">
        <f>N24-#REF!</f>
        <v>#REF!</v>
      </c>
      <c r="O166" s="201" t="e">
        <f>O24-#REF!</f>
        <v>#REF!</v>
      </c>
      <c r="P166" s="201" t="e">
        <f>P24-#REF!</f>
        <v>#REF!</v>
      </c>
      <c r="Q166" s="201" t="e">
        <f>Q24-#REF!</f>
        <v>#REF!</v>
      </c>
      <c r="R166" s="201" t="e">
        <f>R62-#REF!</f>
        <v>#REF!</v>
      </c>
      <c r="S166" s="201" t="e">
        <f>S24-#REF!</f>
        <v>#REF!</v>
      </c>
      <c r="T166" s="201" t="e">
        <f>T24-#REF!</f>
        <v>#REF!</v>
      </c>
      <c r="U166" s="201" t="e">
        <f>U24-#REF!</f>
        <v>#REF!</v>
      </c>
      <c r="V166" s="201" t="e">
        <f>V24-#REF!</f>
        <v>#REF!</v>
      </c>
      <c r="W166" s="201" t="e">
        <f>W24-#REF!</f>
        <v>#REF!</v>
      </c>
      <c r="X166" s="201" t="e">
        <f>X24-#REF!</f>
        <v>#REF!</v>
      </c>
      <c r="Y166" s="201" t="e">
        <f>Y24-#REF!</f>
        <v>#REF!</v>
      </c>
      <c r="Z166" s="201" t="e">
        <f>Z24-#REF!</f>
        <v>#REF!</v>
      </c>
      <c r="AA166" s="201" t="e">
        <f>AA24-#REF!</f>
        <v>#REF!</v>
      </c>
      <c r="AB166" s="201" t="e">
        <f>AB24-#REF!</f>
        <v>#REF!</v>
      </c>
      <c r="AC166" s="201" t="e">
        <f>AC24-#REF!</f>
        <v>#REF!</v>
      </c>
      <c r="AD166" s="201" t="e">
        <f>AD24-#REF!</f>
        <v>#REF!</v>
      </c>
      <c r="AE166" s="201" t="e">
        <f>AE24-#REF!</f>
        <v>#REF!</v>
      </c>
      <c r="AF166" s="201" t="e">
        <f>AF24-#REF!</f>
        <v>#REF!</v>
      </c>
      <c r="AG166" s="201" t="e">
        <f>AG24-#REF!</f>
        <v>#REF!</v>
      </c>
      <c r="AH166" s="201" t="e">
        <f>AH24-#REF!</f>
        <v>#REF!</v>
      </c>
      <c r="AI166" s="201" t="e">
        <f>AI24-#REF!</f>
        <v>#REF!</v>
      </c>
      <c r="AJ166" s="201" t="e">
        <f>AJ24-#REF!</f>
        <v>#REF!</v>
      </c>
      <c r="AK166" s="205" t="e">
        <f t="shared" si="15"/>
        <v>#REF!</v>
      </c>
      <c r="AL166" s="206" t="e">
        <f t="shared" si="16"/>
        <v>#REF!</v>
      </c>
    </row>
    <row r="167" ht="36" hidden="1" customHeight="1" spans="1:38">
      <c r="A167" s="23">
        <v>17</v>
      </c>
      <c r="B167" s="152"/>
      <c r="C167" s="152" t="s">
        <v>213</v>
      </c>
      <c r="D167" s="23" t="s">
        <v>72</v>
      </c>
      <c r="E167" s="23">
        <v>0.133</v>
      </c>
      <c r="F167" s="198" t="e">
        <f>F25-#REF!</f>
        <v>#REF!</v>
      </c>
      <c r="G167" s="201" t="e">
        <f>G62-#REF!</f>
        <v>#REF!</v>
      </c>
      <c r="H167" s="201" t="e">
        <f>H62-#REF!</f>
        <v>#REF!</v>
      </c>
      <c r="I167" s="201" t="e">
        <f>I62-#REF!</f>
        <v>#REF!</v>
      </c>
      <c r="J167" s="201" t="e">
        <f>J62-#REF!</f>
        <v>#REF!</v>
      </c>
      <c r="K167" s="201" t="e">
        <f>K62-#REF!</f>
        <v>#REF!</v>
      </c>
      <c r="L167" s="201" t="e">
        <f>L62-#REF!</f>
        <v>#REF!</v>
      </c>
      <c r="M167" s="201" t="e">
        <f>M62-#REF!</f>
        <v>#REF!</v>
      </c>
      <c r="N167" s="201" t="e">
        <f>N62-#REF!</f>
        <v>#REF!</v>
      </c>
      <c r="O167" s="201" t="e">
        <f>O62-#REF!</f>
        <v>#REF!</v>
      </c>
      <c r="P167" s="201" t="e">
        <f>P62-#REF!</f>
        <v>#REF!</v>
      </c>
      <c r="Q167" s="201" t="e">
        <f>Q62-#REF!</f>
        <v>#REF!</v>
      </c>
      <c r="R167" s="201" t="e">
        <f>R62-#REF!</f>
        <v>#REF!</v>
      </c>
      <c r="S167" s="201" t="e">
        <f>S62-#REF!</f>
        <v>#REF!</v>
      </c>
      <c r="T167" s="201" t="e">
        <f>T62-#REF!</f>
        <v>#REF!</v>
      </c>
      <c r="U167" s="201" t="e">
        <f>U62-#REF!</f>
        <v>#REF!</v>
      </c>
      <c r="V167" s="201" t="e">
        <f>V62-#REF!</f>
        <v>#REF!</v>
      </c>
      <c r="W167" s="201" t="e">
        <f>W62-#REF!</f>
        <v>#REF!</v>
      </c>
      <c r="X167" s="201" t="e">
        <f>X62-#REF!</f>
        <v>#REF!</v>
      </c>
      <c r="Y167" s="201" t="e">
        <f>Y62-#REF!</f>
        <v>#REF!</v>
      </c>
      <c r="Z167" s="201" t="e">
        <f>Z62-#REF!</f>
        <v>#REF!</v>
      </c>
      <c r="AA167" s="201" t="e">
        <f>AA62-#REF!</f>
        <v>#REF!</v>
      </c>
      <c r="AB167" s="201" t="e">
        <f>AB62-#REF!</f>
        <v>#REF!</v>
      </c>
      <c r="AC167" s="201" t="e">
        <f>AC62-#REF!</f>
        <v>#REF!</v>
      </c>
      <c r="AD167" s="201" t="e">
        <f>AD62-#REF!</f>
        <v>#REF!</v>
      </c>
      <c r="AE167" s="201" t="e">
        <f>AE62-#REF!</f>
        <v>#REF!</v>
      </c>
      <c r="AF167" s="201" t="e">
        <f>AF62-#REF!</f>
        <v>#REF!</v>
      </c>
      <c r="AG167" s="201" t="e">
        <f>AG62-#REF!</f>
        <v>#REF!</v>
      </c>
      <c r="AH167" s="201" t="e">
        <f>AH62-#REF!</f>
        <v>#REF!</v>
      </c>
      <c r="AI167" s="201" t="e">
        <f>AI62-#REF!</f>
        <v>#REF!</v>
      </c>
      <c r="AJ167" s="201" t="e">
        <f>AJ62-#REF!</f>
        <v>#REF!</v>
      </c>
      <c r="AK167" s="205" t="e">
        <f t="shared" si="15"/>
        <v>#REF!</v>
      </c>
      <c r="AL167" s="206" t="e">
        <f t="shared" si="16"/>
        <v>#REF!</v>
      </c>
    </row>
    <row r="168" ht="35.1" hidden="1" customHeight="1" spans="1:38">
      <c r="A168" s="23">
        <v>18</v>
      </c>
      <c r="B168" s="152"/>
      <c r="C168" s="152" t="s">
        <v>214</v>
      </c>
      <c r="D168" s="23" t="s">
        <v>72</v>
      </c>
      <c r="E168" s="23">
        <v>0.133</v>
      </c>
      <c r="F168" s="198" t="e">
        <f>F46-#REF!</f>
        <v>#REF!</v>
      </c>
      <c r="G168" s="201" t="e">
        <f>G63-#REF!</f>
        <v>#REF!</v>
      </c>
      <c r="H168" s="201" t="e">
        <f>H63-#REF!</f>
        <v>#REF!</v>
      </c>
      <c r="I168" s="201" t="e">
        <f>I63-#REF!</f>
        <v>#REF!</v>
      </c>
      <c r="J168" s="201" t="e">
        <f>J63-#REF!</f>
        <v>#REF!</v>
      </c>
      <c r="K168" s="201" t="e">
        <f>K63-#REF!</f>
        <v>#REF!</v>
      </c>
      <c r="L168" s="201" t="e">
        <f>L63-#REF!</f>
        <v>#REF!</v>
      </c>
      <c r="M168" s="201" t="e">
        <f>M63-#REF!</f>
        <v>#REF!</v>
      </c>
      <c r="N168" s="201" t="e">
        <f>N63-#REF!</f>
        <v>#REF!</v>
      </c>
      <c r="O168" s="201" t="e">
        <f>O63-#REF!</f>
        <v>#REF!</v>
      </c>
      <c r="P168" s="201" t="e">
        <f>P63-#REF!</f>
        <v>#REF!</v>
      </c>
      <c r="Q168" s="201" t="e">
        <f>Q63-#REF!</f>
        <v>#REF!</v>
      </c>
      <c r="R168" s="201" t="e">
        <f>R63-#REF!</f>
        <v>#REF!</v>
      </c>
      <c r="S168" s="201" t="e">
        <f>S63-#REF!</f>
        <v>#REF!</v>
      </c>
      <c r="T168" s="201" t="e">
        <f>T63-#REF!</f>
        <v>#REF!</v>
      </c>
      <c r="U168" s="201" t="e">
        <f>U63-#REF!</f>
        <v>#REF!</v>
      </c>
      <c r="V168" s="201" t="e">
        <f>V63-#REF!</f>
        <v>#REF!</v>
      </c>
      <c r="W168" s="201" t="e">
        <f>W63-#REF!</f>
        <v>#REF!</v>
      </c>
      <c r="X168" s="201" t="e">
        <f>X63-#REF!</f>
        <v>#REF!</v>
      </c>
      <c r="Y168" s="201" t="e">
        <f>Y64-#REF!</f>
        <v>#REF!</v>
      </c>
      <c r="Z168" s="201" t="e">
        <f>Z63-#REF!</f>
        <v>#REF!</v>
      </c>
      <c r="AA168" s="201" t="e">
        <f>AA63-#REF!</f>
        <v>#REF!</v>
      </c>
      <c r="AB168" s="201" t="e">
        <f>AB63-#REF!</f>
        <v>#REF!</v>
      </c>
      <c r="AC168" s="201" t="e">
        <f>AC63-#REF!</f>
        <v>#REF!</v>
      </c>
      <c r="AD168" s="201" t="e">
        <f>AD63-#REF!</f>
        <v>#REF!</v>
      </c>
      <c r="AE168" s="201" t="e">
        <f>AE63-#REF!</f>
        <v>#REF!</v>
      </c>
      <c r="AF168" s="201" t="e">
        <f>AF63-#REF!</f>
        <v>#REF!</v>
      </c>
      <c r="AG168" s="201" t="e">
        <f>AG63-#REF!</f>
        <v>#REF!</v>
      </c>
      <c r="AH168" s="201" t="e">
        <f>AH63-#REF!</f>
        <v>#REF!</v>
      </c>
      <c r="AI168" s="201" t="e">
        <f>AI63-#REF!</f>
        <v>#REF!</v>
      </c>
      <c r="AJ168" s="201" t="e">
        <f>AJ63-#REF!</f>
        <v>#REF!</v>
      </c>
      <c r="AK168" s="205" t="e">
        <f t="shared" si="15"/>
        <v>#REF!</v>
      </c>
      <c r="AL168" s="206" t="e">
        <f t="shared" si="16"/>
        <v>#REF!</v>
      </c>
    </row>
    <row r="169" ht="35.1" hidden="1" customHeight="1" spans="1:38">
      <c r="A169" s="23">
        <v>19</v>
      </c>
      <c r="B169" s="152"/>
      <c r="C169" s="152" t="s">
        <v>215</v>
      </c>
      <c r="D169" s="23" t="s">
        <v>72</v>
      </c>
      <c r="E169" s="23">
        <v>0.133</v>
      </c>
      <c r="F169" s="198" t="e">
        <f>F47-#REF!</f>
        <v>#REF!</v>
      </c>
      <c r="G169" s="201" t="e">
        <f>G64-#REF!</f>
        <v>#REF!</v>
      </c>
      <c r="H169" s="201" t="e">
        <f>H64-#REF!</f>
        <v>#REF!</v>
      </c>
      <c r="I169" s="201" t="e">
        <f>I64-#REF!</f>
        <v>#REF!</v>
      </c>
      <c r="J169" s="201" t="e">
        <f>J64-#REF!</f>
        <v>#REF!</v>
      </c>
      <c r="K169" s="201" t="e">
        <f>K64-#REF!</f>
        <v>#REF!</v>
      </c>
      <c r="L169" s="201" t="e">
        <f>L64-#REF!</f>
        <v>#REF!</v>
      </c>
      <c r="M169" s="201" t="e">
        <f>M64-#REF!</f>
        <v>#REF!</v>
      </c>
      <c r="N169" s="201" t="e">
        <f>N64-#REF!</f>
        <v>#REF!</v>
      </c>
      <c r="O169" s="201" t="e">
        <f>O64-#REF!</f>
        <v>#REF!</v>
      </c>
      <c r="P169" s="201" t="e">
        <f>P64-#REF!</f>
        <v>#REF!</v>
      </c>
      <c r="Q169" s="201" t="e">
        <f>Q64-#REF!</f>
        <v>#REF!</v>
      </c>
      <c r="R169" s="201" t="e">
        <f>R64-#REF!</f>
        <v>#REF!</v>
      </c>
      <c r="S169" s="201" t="e">
        <f>S64-#REF!</f>
        <v>#REF!</v>
      </c>
      <c r="T169" s="201" t="e">
        <f>T64-#REF!</f>
        <v>#REF!</v>
      </c>
      <c r="U169" s="201" t="e">
        <f>U64-#REF!</f>
        <v>#REF!</v>
      </c>
      <c r="V169" s="201" t="e">
        <f>V64-#REF!</f>
        <v>#REF!</v>
      </c>
      <c r="W169" s="201" t="e">
        <f>W64-#REF!</f>
        <v>#REF!</v>
      </c>
      <c r="X169" s="201" t="e">
        <f>X64-#REF!</f>
        <v>#REF!</v>
      </c>
      <c r="Y169" s="201" t="e">
        <f>Y64-#REF!</f>
        <v>#REF!</v>
      </c>
      <c r="Z169" s="201" t="e">
        <f>Z64-#REF!</f>
        <v>#REF!</v>
      </c>
      <c r="AA169" s="201" t="e">
        <f>AA64-#REF!</f>
        <v>#REF!</v>
      </c>
      <c r="AB169" s="201" t="e">
        <f>AB64-#REF!</f>
        <v>#REF!</v>
      </c>
      <c r="AC169" s="201" t="e">
        <f>AC64-#REF!</f>
        <v>#REF!</v>
      </c>
      <c r="AD169" s="201" t="e">
        <f>AD64-#REF!</f>
        <v>#REF!</v>
      </c>
      <c r="AE169" s="201" t="e">
        <f>AE64-#REF!</f>
        <v>#REF!</v>
      </c>
      <c r="AF169" s="201" t="e">
        <f>AF64-#REF!</f>
        <v>#REF!</v>
      </c>
      <c r="AG169" s="201" t="e">
        <f>AG64-#REF!</f>
        <v>#REF!</v>
      </c>
      <c r="AH169" s="201" t="e">
        <f>AH64-#REF!</f>
        <v>#REF!</v>
      </c>
      <c r="AI169" s="201" t="e">
        <f>AI64-#REF!</f>
        <v>#REF!</v>
      </c>
      <c r="AJ169" s="201" t="e">
        <f>AJ64-#REF!</f>
        <v>#REF!</v>
      </c>
      <c r="AK169" s="205" t="e">
        <f t="shared" si="15"/>
        <v>#REF!</v>
      </c>
      <c r="AL169" s="206" t="e">
        <f t="shared" si="16"/>
        <v>#REF!</v>
      </c>
    </row>
    <row r="170" ht="35.1" hidden="1" customHeight="1" spans="1:38">
      <c r="A170" s="23">
        <v>20</v>
      </c>
      <c r="B170" s="152"/>
      <c r="C170" s="152" t="s">
        <v>216</v>
      </c>
      <c r="D170" s="23" t="s">
        <v>72</v>
      </c>
      <c r="E170" s="23">
        <v>0.133</v>
      </c>
      <c r="F170" s="198" t="e">
        <f>F52-#REF!</f>
        <v>#REF!</v>
      </c>
      <c r="G170" s="201" t="e">
        <f>G65-#REF!</f>
        <v>#REF!</v>
      </c>
      <c r="H170" s="201" t="e">
        <f>H65-#REF!</f>
        <v>#REF!</v>
      </c>
      <c r="I170" s="201" t="e">
        <f>I65-#REF!</f>
        <v>#REF!</v>
      </c>
      <c r="J170" s="201" t="e">
        <f>J65-#REF!</f>
        <v>#REF!</v>
      </c>
      <c r="K170" s="201" t="e">
        <f>K65-#REF!</f>
        <v>#REF!</v>
      </c>
      <c r="L170" s="201" t="e">
        <f>L65-#REF!</f>
        <v>#REF!</v>
      </c>
      <c r="M170" s="201" t="e">
        <f>M65-#REF!</f>
        <v>#REF!</v>
      </c>
      <c r="N170" s="201" t="e">
        <f>N65-#REF!</f>
        <v>#REF!</v>
      </c>
      <c r="O170" s="201" t="e">
        <f>O65-#REF!</f>
        <v>#REF!</v>
      </c>
      <c r="P170" s="201" t="e">
        <f>P65-#REF!</f>
        <v>#REF!</v>
      </c>
      <c r="Q170" s="201" t="e">
        <f>Q65-#REF!</f>
        <v>#REF!</v>
      </c>
      <c r="R170" s="201" t="e">
        <f>R65-#REF!</f>
        <v>#REF!</v>
      </c>
      <c r="S170" s="201" t="e">
        <f>S65-#REF!</f>
        <v>#REF!</v>
      </c>
      <c r="T170" s="201" t="e">
        <f>T65-#REF!</f>
        <v>#REF!</v>
      </c>
      <c r="U170" s="201" t="e">
        <f>U65-#REF!</f>
        <v>#REF!</v>
      </c>
      <c r="V170" s="201" t="e">
        <f>V65-#REF!</f>
        <v>#REF!</v>
      </c>
      <c r="W170" s="201" t="e">
        <f>W65-#REF!</f>
        <v>#REF!</v>
      </c>
      <c r="X170" s="201" t="e">
        <f>X65-#REF!</f>
        <v>#REF!</v>
      </c>
      <c r="Y170" s="201" t="e">
        <f>Y65-#REF!</f>
        <v>#REF!</v>
      </c>
      <c r="Z170" s="201" t="e">
        <f>Z65-#REF!</f>
        <v>#REF!</v>
      </c>
      <c r="AA170" s="201" t="e">
        <f>AA65-#REF!</f>
        <v>#REF!</v>
      </c>
      <c r="AB170" s="201" t="e">
        <f>AB65-#REF!</f>
        <v>#REF!</v>
      </c>
      <c r="AC170" s="201" t="e">
        <f>AC65-#REF!</f>
        <v>#REF!</v>
      </c>
      <c r="AD170" s="201" t="e">
        <f>AD65-#REF!</f>
        <v>#REF!</v>
      </c>
      <c r="AE170" s="201" t="e">
        <f>AE65-#REF!</f>
        <v>#REF!</v>
      </c>
      <c r="AF170" s="201" t="e">
        <f>AF65-#REF!</f>
        <v>#REF!</v>
      </c>
      <c r="AG170" s="201" t="e">
        <f>AG65-#REF!</f>
        <v>#REF!</v>
      </c>
      <c r="AH170" s="201" t="e">
        <f>AH65-#REF!</f>
        <v>#REF!</v>
      </c>
      <c r="AI170" s="201" t="e">
        <f>AI65-#REF!</f>
        <v>#REF!</v>
      </c>
      <c r="AJ170" s="201" t="e">
        <f>AJ65-#REF!</f>
        <v>#REF!</v>
      </c>
      <c r="AK170" s="205" t="e">
        <f t="shared" si="15"/>
        <v>#REF!</v>
      </c>
      <c r="AL170" s="206" t="e">
        <f t="shared" si="16"/>
        <v>#REF!</v>
      </c>
    </row>
    <row r="171" ht="35.1" hidden="1" customHeight="1" spans="1:38">
      <c r="A171" s="23">
        <v>21</v>
      </c>
      <c r="B171" s="152"/>
      <c r="C171" s="152" t="s">
        <v>217</v>
      </c>
      <c r="D171" s="23" t="s">
        <v>72</v>
      </c>
      <c r="E171" s="23">
        <v>0.133</v>
      </c>
      <c r="F171" s="198" t="e">
        <f>F53-#REF!</f>
        <v>#REF!</v>
      </c>
      <c r="G171" s="201" t="e">
        <f>#REF!-#REF!</f>
        <v>#REF!</v>
      </c>
      <c r="H171" s="201" t="e">
        <f>#REF!-#REF!</f>
        <v>#REF!</v>
      </c>
      <c r="I171" s="201" t="e">
        <f>#REF!-#REF!</f>
        <v>#REF!</v>
      </c>
      <c r="J171" s="201" t="e">
        <f>#REF!-#REF!</f>
        <v>#REF!</v>
      </c>
      <c r="K171" s="201" t="e">
        <f>#REF!-#REF!</f>
        <v>#REF!</v>
      </c>
      <c r="L171" s="201" t="e">
        <f>#REF!-#REF!</f>
        <v>#REF!</v>
      </c>
      <c r="M171" s="201" t="e">
        <f>#REF!-#REF!</f>
        <v>#REF!</v>
      </c>
      <c r="N171" s="201" t="e">
        <f>#REF!-#REF!</f>
        <v>#REF!</v>
      </c>
      <c r="O171" s="201" t="e">
        <f>#REF!-#REF!</f>
        <v>#REF!</v>
      </c>
      <c r="P171" s="201" t="e">
        <f>#REF!-#REF!</f>
        <v>#REF!</v>
      </c>
      <c r="Q171" s="201" t="e">
        <f>#REF!-#REF!</f>
        <v>#REF!</v>
      </c>
      <c r="R171" s="201" t="e">
        <f>#REF!-#REF!</f>
        <v>#REF!</v>
      </c>
      <c r="S171" s="201" t="e">
        <f>#REF!-#REF!</f>
        <v>#REF!</v>
      </c>
      <c r="T171" s="201" t="e">
        <f>#REF!-#REF!</f>
        <v>#REF!</v>
      </c>
      <c r="U171" s="201" t="e">
        <f>#REF!-#REF!</f>
        <v>#REF!</v>
      </c>
      <c r="V171" s="201" t="e">
        <f>#REF!-#REF!</f>
        <v>#REF!</v>
      </c>
      <c r="W171" s="201" t="e">
        <f>#REF!-#REF!</f>
        <v>#REF!</v>
      </c>
      <c r="X171" s="201" t="e">
        <f>#REF!-#REF!</f>
        <v>#REF!</v>
      </c>
      <c r="Y171" s="201" t="e">
        <f>#REF!-#REF!</f>
        <v>#REF!</v>
      </c>
      <c r="Z171" s="201" t="e">
        <f>#REF!-#REF!</f>
        <v>#REF!</v>
      </c>
      <c r="AA171" s="201" t="e">
        <f>#REF!-#REF!</f>
        <v>#REF!</v>
      </c>
      <c r="AB171" s="201" t="e">
        <f>#REF!-#REF!</f>
        <v>#REF!</v>
      </c>
      <c r="AC171" s="201" t="e">
        <f>#REF!-#REF!</f>
        <v>#REF!</v>
      </c>
      <c r="AD171" s="201" t="e">
        <f>#REF!-#REF!</f>
        <v>#REF!</v>
      </c>
      <c r="AE171" s="201" t="e">
        <f>#REF!-#REF!</f>
        <v>#REF!</v>
      </c>
      <c r="AF171" s="201" t="e">
        <f>#REF!-#REF!</f>
        <v>#REF!</v>
      </c>
      <c r="AG171" s="201" t="e">
        <f>#REF!-#REF!</f>
        <v>#REF!</v>
      </c>
      <c r="AH171" s="201" t="e">
        <f>#REF!-#REF!</f>
        <v>#REF!</v>
      </c>
      <c r="AI171" s="201" t="e">
        <f>#REF!-#REF!</f>
        <v>#REF!</v>
      </c>
      <c r="AJ171" s="201" t="e">
        <f>#REF!-#REF!</f>
        <v>#REF!</v>
      </c>
      <c r="AK171" s="205" t="e">
        <f t="shared" si="15"/>
        <v>#REF!</v>
      </c>
      <c r="AL171" s="206" t="e">
        <f t="shared" si="16"/>
        <v>#REF!</v>
      </c>
    </row>
    <row r="172" ht="27.95" hidden="1" customHeight="1" spans="1:38">
      <c r="A172" s="23">
        <v>22</v>
      </c>
      <c r="B172" s="152"/>
      <c r="C172" s="152" t="s">
        <v>218</v>
      </c>
      <c r="D172" s="23" t="s">
        <v>72</v>
      </c>
      <c r="E172" s="23">
        <v>0.133</v>
      </c>
      <c r="F172" s="201" t="e">
        <f t="shared" ref="F172:AJ172" si="17">F151+F153+F155+F156+F157+F158+F159+F160+F161+F162+F163+F164+F165+F166+F167+F168+F169+F170+F171</f>
        <v>#REF!</v>
      </c>
      <c r="G172" s="201" t="e">
        <f t="shared" si="17"/>
        <v>#N/A</v>
      </c>
      <c r="H172" s="201" t="e">
        <f t="shared" si="17"/>
        <v>#N/A</v>
      </c>
      <c r="I172" s="201" t="e">
        <f t="shared" si="17"/>
        <v>#N/A</v>
      </c>
      <c r="J172" s="201" t="e">
        <f t="shared" si="17"/>
        <v>#N/A</v>
      </c>
      <c r="K172" s="201" t="e">
        <f t="shared" si="17"/>
        <v>#N/A</v>
      </c>
      <c r="L172" s="201" t="e">
        <f t="shared" si="17"/>
        <v>#N/A</v>
      </c>
      <c r="M172" s="201" t="e">
        <f t="shared" si="17"/>
        <v>#N/A</v>
      </c>
      <c r="N172" s="201" t="e">
        <f t="shared" si="17"/>
        <v>#N/A</v>
      </c>
      <c r="O172" s="201" t="e">
        <f t="shared" si="17"/>
        <v>#N/A</v>
      </c>
      <c r="P172" s="201" t="e">
        <f t="shared" si="17"/>
        <v>#N/A</v>
      </c>
      <c r="Q172" s="201" t="e">
        <f t="shared" si="17"/>
        <v>#N/A</v>
      </c>
      <c r="R172" s="201" t="e">
        <f t="shared" si="17"/>
        <v>#N/A</v>
      </c>
      <c r="S172" s="201" t="e">
        <f t="shared" si="17"/>
        <v>#N/A</v>
      </c>
      <c r="T172" s="201" t="e">
        <f t="shared" si="17"/>
        <v>#N/A</v>
      </c>
      <c r="U172" s="201" t="e">
        <f t="shared" si="17"/>
        <v>#N/A</v>
      </c>
      <c r="V172" s="201" t="e">
        <f t="shared" si="17"/>
        <v>#N/A</v>
      </c>
      <c r="W172" s="201" t="e">
        <f t="shared" si="17"/>
        <v>#N/A</v>
      </c>
      <c r="X172" s="201" t="e">
        <f t="shared" si="17"/>
        <v>#N/A</v>
      </c>
      <c r="Y172" s="201" t="e">
        <f t="shared" si="17"/>
        <v>#N/A</v>
      </c>
      <c r="Z172" s="201" t="e">
        <f t="shared" si="17"/>
        <v>#N/A</v>
      </c>
      <c r="AA172" s="201" t="e">
        <f t="shared" si="17"/>
        <v>#N/A</v>
      </c>
      <c r="AB172" s="201" t="e">
        <f t="shared" si="17"/>
        <v>#N/A</v>
      </c>
      <c r="AC172" s="201" t="e">
        <f t="shared" si="17"/>
        <v>#N/A</v>
      </c>
      <c r="AD172" s="201" t="e">
        <f t="shared" si="17"/>
        <v>#N/A</v>
      </c>
      <c r="AE172" s="201" t="e">
        <f t="shared" si="17"/>
        <v>#N/A</v>
      </c>
      <c r="AF172" s="201" t="e">
        <f t="shared" si="17"/>
        <v>#N/A</v>
      </c>
      <c r="AG172" s="201" t="e">
        <f t="shared" si="17"/>
        <v>#N/A</v>
      </c>
      <c r="AH172" s="201" t="e">
        <f t="shared" si="17"/>
        <v>#N/A</v>
      </c>
      <c r="AI172" s="201" t="e">
        <f t="shared" si="17"/>
        <v>#N/A</v>
      </c>
      <c r="AJ172" s="201" t="e">
        <f t="shared" si="17"/>
        <v>#N/A</v>
      </c>
      <c r="AK172" s="205" t="e">
        <f t="shared" si="15"/>
        <v>#REF!</v>
      </c>
      <c r="AL172" s="206" t="e">
        <f t="shared" si="16"/>
        <v>#REF!</v>
      </c>
    </row>
    <row r="173" ht="27" hidden="1" customHeight="1" spans="1:38">
      <c r="A173" s="23">
        <v>23</v>
      </c>
      <c r="B173" s="152"/>
      <c r="C173" s="152" t="s">
        <v>219</v>
      </c>
      <c r="D173" s="23" t="s">
        <v>72</v>
      </c>
      <c r="E173" s="23">
        <v>0.133</v>
      </c>
      <c r="F173" s="201" t="e">
        <f t="shared" ref="F173:AJ173" si="18">F152+F154+F156+F157+F158+F159+F160+F161+F162+F163+F164+F165+F166+F167+F168+F169+F170+F171+F172</f>
        <v>#REF!</v>
      </c>
      <c r="G173" s="201" t="e">
        <f t="shared" si="18"/>
        <v>#REF!</v>
      </c>
      <c r="H173" s="201" t="e">
        <f t="shared" si="18"/>
        <v>#REF!</v>
      </c>
      <c r="I173" s="201" t="e">
        <f t="shared" si="18"/>
        <v>#REF!</v>
      </c>
      <c r="J173" s="201" t="e">
        <f t="shared" si="18"/>
        <v>#REF!</v>
      </c>
      <c r="K173" s="201" t="e">
        <f t="shared" si="18"/>
        <v>#REF!</v>
      </c>
      <c r="L173" s="201" t="e">
        <f t="shared" si="18"/>
        <v>#REF!</v>
      </c>
      <c r="M173" s="201" t="e">
        <f t="shared" si="18"/>
        <v>#REF!</v>
      </c>
      <c r="N173" s="201" t="e">
        <f t="shared" si="18"/>
        <v>#REF!</v>
      </c>
      <c r="O173" s="201" t="e">
        <f t="shared" si="18"/>
        <v>#REF!</v>
      </c>
      <c r="P173" s="201" t="e">
        <f t="shared" si="18"/>
        <v>#REF!</v>
      </c>
      <c r="Q173" s="201" t="e">
        <f t="shared" si="18"/>
        <v>#REF!</v>
      </c>
      <c r="R173" s="201" t="e">
        <f t="shared" si="18"/>
        <v>#REF!</v>
      </c>
      <c r="S173" s="201" t="e">
        <f t="shared" si="18"/>
        <v>#REF!</v>
      </c>
      <c r="T173" s="201" t="e">
        <f t="shared" si="18"/>
        <v>#REF!</v>
      </c>
      <c r="U173" s="201" t="e">
        <f t="shared" si="18"/>
        <v>#REF!</v>
      </c>
      <c r="V173" s="201" t="e">
        <f t="shared" si="18"/>
        <v>#REF!</v>
      </c>
      <c r="W173" s="201" t="e">
        <f t="shared" si="18"/>
        <v>#REF!</v>
      </c>
      <c r="X173" s="201" t="e">
        <f t="shared" si="18"/>
        <v>#REF!</v>
      </c>
      <c r="Y173" s="201" t="e">
        <f t="shared" si="18"/>
        <v>#REF!</v>
      </c>
      <c r="Z173" s="201" t="e">
        <f t="shared" si="18"/>
        <v>#REF!</v>
      </c>
      <c r="AA173" s="201" t="e">
        <f t="shared" si="18"/>
        <v>#REF!</v>
      </c>
      <c r="AB173" s="201" t="e">
        <f t="shared" si="18"/>
        <v>#REF!</v>
      </c>
      <c r="AC173" s="201" t="e">
        <f t="shared" si="18"/>
        <v>#REF!</v>
      </c>
      <c r="AD173" s="201" t="e">
        <f t="shared" si="18"/>
        <v>#REF!</v>
      </c>
      <c r="AE173" s="201" t="e">
        <f t="shared" si="18"/>
        <v>#REF!</v>
      </c>
      <c r="AF173" s="201" t="e">
        <f t="shared" si="18"/>
        <v>#REF!</v>
      </c>
      <c r="AG173" s="201" t="e">
        <f t="shared" si="18"/>
        <v>#REF!</v>
      </c>
      <c r="AH173" s="201" t="e">
        <f t="shared" si="18"/>
        <v>#REF!</v>
      </c>
      <c r="AI173" s="201" t="e">
        <f t="shared" si="18"/>
        <v>#REF!</v>
      </c>
      <c r="AJ173" s="201" t="e">
        <f t="shared" si="18"/>
        <v>#REF!</v>
      </c>
      <c r="AK173" s="205" t="e">
        <f t="shared" si="15"/>
        <v>#REF!</v>
      </c>
      <c r="AL173" s="206" t="e">
        <f t="shared" si="16"/>
        <v>#REF!</v>
      </c>
    </row>
    <row r="174" ht="27" hidden="1" customHeight="1" spans="1:38">
      <c r="A174" s="23">
        <v>24</v>
      </c>
      <c r="B174" s="152"/>
      <c r="C174" s="152" t="s">
        <v>220</v>
      </c>
      <c r="D174" s="23" t="s">
        <v>72</v>
      </c>
      <c r="E174" s="23">
        <v>0.133</v>
      </c>
      <c r="F174" s="201" t="e">
        <f t="shared" ref="F174:AJ174" si="19">F153+F155+F157+F158+F159+F160+F161+F162+F163+F164+F165+F166+F167+F168+F169+F170+F171+F172+F173</f>
        <v>#REF!</v>
      </c>
      <c r="G174" s="201" t="e">
        <f t="shared" si="19"/>
        <v>#REF!</v>
      </c>
      <c r="H174" s="201" t="e">
        <f t="shared" si="19"/>
        <v>#REF!</v>
      </c>
      <c r="I174" s="201" t="e">
        <f t="shared" si="19"/>
        <v>#REF!</v>
      </c>
      <c r="J174" s="201" t="e">
        <f t="shared" si="19"/>
        <v>#REF!</v>
      </c>
      <c r="K174" s="201" t="e">
        <f t="shared" si="19"/>
        <v>#REF!</v>
      </c>
      <c r="L174" s="201" t="e">
        <f t="shared" si="19"/>
        <v>#REF!</v>
      </c>
      <c r="M174" s="201" t="e">
        <f t="shared" si="19"/>
        <v>#REF!</v>
      </c>
      <c r="N174" s="201" t="e">
        <f t="shared" si="19"/>
        <v>#REF!</v>
      </c>
      <c r="O174" s="201" t="e">
        <f t="shared" si="19"/>
        <v>#REF!</v>
      </c>
      <c r="P174" s="201" t="e">
        <f t="shared" si="19"/>
        <v>#REF!</v>
      </c>
      <c r="Q174" s="201" t="e">
        <f t="shared" si="19"/>
        <v>#REF!</v>
      </c>
      <c r="R174" s="201" t="e">
        <f t="shared" si="19"/>
        <v>#REF!</v>
      </c>
      <c r="S174" s="201" t="e">
        <f t="shared" si="19"/>
        <v>#REF!</v>
      </c>
      <c r="T174" s="201" t="e">
        <f t="shared" si="19"/>
        <v>#REF!</v>
      </c>
      <c r="U174" s="201" t="e">
        <f t="shared" si="19"/>
        <v>#REF!</v>
      </c>
      <c r="V174" s="201" t="e">
        <f t="shared" si="19"/>
        <v>#REF!</v>
      </c>
      <c r="W174" s="201" t="e">
        <f t="shared" si="19"/>
        <v>#REF!</v>
      </c>
      <c r="X174" s="201" t="e">
        <f t="shared" si="19"/>
        <v>#REF!</v>
      </c>
      <c r="Y174" s="201" t="e">
        <f t="shared" si="19"/>
        <v>#REF!</v>
      </c>
      <c r="Z174" s="201" t="e">
        <f t="shared" si="19"/>
        <v>#REF!</v>
      </c>
      <c r="AA174" s="201" t="e">
        <f t="shared" si="19"/>
        <v>#REF!</v>
      </c>
      <c r="AB174" s="201" t="e">
        <f t="shared" si="19"/>
        <v>#REF!</v>
      </c>
      <c r="AC174" s="201" t="e">
        <f t="shared" si="19"/>
        <v>#REF!</v>
      </c>
      <c r="AD174" s="201" t="e">
        <f t="shared" si="19"/>
        <v>#REF!</v>
      </c>
      <c r="AE174" s="201" t="e">
        <f t="shared" si="19"/>
        <v>#REF!</v>
      </c>
      <c r="AF174" s="201" t="e">
        <f t="shared" si="19"/>
        <v>#REF!</v>
      </c>
      <c r="AG174" s="201" t="e">
        <f t="shared" si="19"/>
        <v>#REF!</v>
      </c>
      <c r="AH174" s="201" t="e">
        <f t="shared" si="19"/>
        <v>#REF!</v>
      </c>
      <c r="AI174" s="201" t="e">
        <f t="shared" si="19"/>
        <v>#REF!</v>
      </c>
      <c r="AJ174" s="201" t="e">
        <f t="shared" si="19"/>
        <v>#REF!</v>
      </c>
      <c r="AK174" s="205" t="e">
        <f t="shared" si="15"/>
        <v>#REF!</v>
      </c>
      <c r="AL174" s="206" t="e">
        <f t="shared" si="16"/>
        <v>#REF!</v>
      </c>
    </row>
    <row r="175" ht="27" hidden="1" customHeight="1" spans="1:38">
      <c r="A175" s="23">
        <v>25</v>
      </c>
      <c r="B175" s="152"/>
      <c r="C175" s="152" t="s">
        <v>221</v>
      </c>
      <c r="D175" s="23" t="s">
        <v>72</v>
      </c>
      <c r="E175" s="23">
        <v>0.133</v>
      </c>
      <c r="F175" s="201" t="e">
        <f t="shared" ref="F175:AJ175" si="20">F154+F156+F158+F159+F160+F161+F162+F163+F164+F165+F166+F167+F168+F169+F170+F171+F172+F173+F174</f>
        <v>#REF!</v>
      </c>
      <c r="G175" s="201" t="e">
        <f t="shared" si="20"/>
        <v>#REF!</v>
      </c>
      <c r="H175" s="201" t="e">
        <f t="shared" si="20"/>
        <v>#REF!</v>
      </c>
      <c r="I175" s="201" t="e">
        <f t="shared" si="20"/>
        <v>#REF!</v>
      </c>
      <c r="J175" s="201" t="e">
        <f t="shared" si="20"/>
        <v>#REF!</v>
      </c>
      <c r="K175" s="201" t="e">
        <f t="shared" si="20"/>
        <v>#REF!</v>
      </c>
      <c r="L175" s="201" t="e">
        <f t="shared" si="20"/>
        <v>#REF!</v>
      </c>
      <c r="M175" s="201" t="e">
        <f t="shared" si="20"/>
        <v>#REF!</v>
      </c>
      <c r="N175" s="201" t="e">
        <f t="shared" si="20"/>
        <v>#REF!</v>
      </c>
      <c r="O175" s="201" t="e">
        <f t="shared" si="20"/>
        <v>#REF!</v>
      </c>
      <c r="P175" s="201" t="e">
        <f t="shared" si="20"/>
        <v>#REF!</v>
      </c>
      <c r="Q175" s="201" t="e">
        <f t="shared" si="20"/>
        <v>#REF!</v>
      </c>
      <c r="R175" s="201" t="e">
        <f t="shared" si="20"/>
        <v>#REF!</v>
      </c>
      <c r="S175" s="201" t="e">
        <f t="shared" si="20"/>
        <v>#REF!</v>
      </c>
      <c r="T175" s="201" t="e">
        <f t="shared" si="20"/>
        <v>#REF!</v>
      </c>
      <c r="U175" s="201" t="e">
        <f t="shared" si="20"/>
        <v>#REF!</v>
      </c>
      <c r="V175" s="201" t="e">
        <f t="shared" si="20"/>
        <v>#REF!</v>
      </c>
      <c r="W175" s="201" t="e">
        <f t="shared" si="20"/>
        <v>#REF!</v>
      </c>
      <c r="X175" s="201" t="e">
        <f t="shared" si="20"/>
        <v>#REF!</v>
      </c>
      <c r="Y175" s="201" t="e">
        <f t="shared" si="20"/>
        <v>#REF!</v>
      </c>
      <c r="Z175" s="201" t="e">
        <f t="shared" si="20"/>
        <v>#REF!</v>
      </c>
      <c r="AA175" s="201" t="e">
        <f t="shared" si="20"/>
        <v>#REF!</v>
      </c>
      <c r="AB175" s="201" t="e">
        <f t="shared" si="20"/>
        <v>#REF!</v>
      </c>
      <c r="AC175" s="201" t="e">
        <f t="shared" si="20"/>
        <v>#REF!</v>
      </c>
      <c r="AD175" s="201" t="e">
        <f t="shared" si="20"/>
        <v>#REF!</v>
      </c>
      <c r="AE175" s="201" t="e">
        <f t="shared" si="20"/>
        <v>#REF!</v>
      </c>
      <c r="AF175" s="201" t="e">
        <f t="shared" si="20"/>
        <v>#REF!</v>
      </c>
      <c r="AG175" s="201" t="e">
        <f t="shared" si="20"/>
        <v>#REF!</v>
      </c>
      <c r="AH175" s="201" t="e">
        <f t="shared" si="20"/>
        <v>#REF!</v>
      </c>
      <c r="AI175" s="201" t="e">
        <f t="shared" si="20"/>
        <v>#REF!</v>
      </c>
      <c r="AJ175" s="201" t="e">
        <f t="shared" si="20"/>
        <v>#REF!</v>
      </c>
      <c r="AK175" s="205" t="e">
        <f t="shared" si="15"/>
        <v>#REF!</v>
      </c>
      <c r="AL175" s="206" t="e">
        <f t="shared" si="16"/>
        <v>#REF!</v>
      </c>
    </row>
    <row r="176" ht="27" hidden="1" customHeight="1" spans="1:38">
      <c r="A176" s="23">
        <v>26</v>
      </c>
      <c r="B176" s="152"/>
      <c r="C176" s="152" t="s">
        <v>222</v>
      </c>
      <c r="D176" s="23" t="s">
        <v>72</v>
      </c>
      <c r="E176" s="23">
        <v>0.133</v>
      </c>
      <c r="F176" s="201" t="e">
        <f t="shared" ref="F176:AJ176" si="21">F155+F157+F159+F160+F161+F162+F163+F164+F165+F166+F167+F168+F169+F170+F171+F172+F173+F174+F175</f>
        <v>#REF!</v>
      </c>
      <c r="G176" s="201" t="e">
        <f t="shared" si="21"/>
        <v>#REF!</v>
      </c>
      <c r="H176" s="201" t="e">
        <f t="shared" si="21"/>
        <v>#REF!</v>
      </c>
      <c r="I176" s="201" t="e">
        <f t="shared" si="21"/>
        <v>#REF!</v>
      </c>
      <c r="J176" s="201" t="e">
        <f t="shared" si="21"/>
        <v>#REF!</v>
      </c>
      <c r="K176" s="201" t="e">
        <f t="shared" si="21"/>
        <v>#REF!</v>
      </c>
      <c r="L176" s="201" t="e">
        <f t="shared" si="21"/>
        <v>#REF!</v>
      </c>
      <c r="M176" s="201" t="e">
        <f t="shared" si="21"/>
        <v>#REF!</v>
      </c>
      <c r="N176" s="201" t="e">
        <f t="shared" si="21"/>
        <v>#REF!</v>
      </c>
      <c r="O176" s="201" t="e">
        <f t="shared" si="21"/>
        <v>#REF!</v>
      </c>
      <c r="P176" s="201" t="e">
        <f t="shared" si="21"/>
        <v>#REF!</v>
      </c>
      <c r="Q176" s="201" t="e">
        <f t="shared" si="21"/>
        <v>#REF!</v>
      </c>
      <c r="R176" s="201" t="e">
        <f t="shared" si="21"/>
        <v>#REF!</v>
      </c>
      <c r="S176" s="201" t="e">
        <f t="shared" si="21"/>
        <v>#REF!</v>
      </c>
      <c r="T176" s="201" t="e">
        <f t="shared" si="21"/>
        <v>#REF!</v>
      </c>
      <c r="U176" s="201" t="e">
        <f t="shared" si="21"/>
        <v>#REF!</v>
      </c>
      <c r="V176" s="201" t="e">
        <f t="shared" si="21"/>
        <v>#REF!</v>
      </c>
      <c r="W176" s="201" t="e">
        <f t="shared" si="21"/>
        <v>#REF!</v>
      </c>
      <c r="X176" s="201" t="e">
        <f t="shared" si="21"/>
        <v>#REF!</v>
      </c>
      <c r="Y176" s="201" t="e">
        <f t="shared" si="21"/>
        <v>#REF!</v>
      </c>
      <c r="Z176" s="201" t="e">
        <f t="shared" si="21"/>
        <v>#REF!</v>
      </c>
      <c r="AA176" s="201" t="e">
        <f t="shared" si="21"/>
        <v>#REF!</v>
      </c>
      <c r="AB176" s="201" t="e">
        <f t="shared" si="21"/>
        <v>#REF!</v>
      </c>
      <c r="AC176" s="201" t="e">
        <f t="shared" si="21"/>
        <v>#REF!</v>
      </c>
      <c r="AD176" s="201" t="e">
        <f t="shared" si="21"/>
        <v>#REF!</v>
      </c>
      <c r="AE176" s="201" t="e">
        <f t="shared" si="21"/>
        <v>#REF!</v>
      </c>
      <c r="AF176" s="201" t="e">
        <f t="shared" si="21"/>
        <v>#REF!</v>
      </c>
      <c r="AG176" s="201" t="e">
        <f t="shared" si="21"/>
        <v>#REF!</v>
      </c>
      <c r="AH176" s="201" t="e">
        <f t="shared" si="21"/>
        <v>#REF!</v>
      </c>
      <c r="AI176" s="201" t="e">
        <f t="shared" si="21"/>
        <v>#REF!</v>
      </c>
      <c r="AJ176" s="201" t="e">
        <f t="shared" si="21"/>
        <v>#REF!</v>
      </c>
      <c r="AK176" s="205" t="e">
        <f t="shared" si="15"/>
        <v>#REF!</v>
      </c>
      <c r="AL176" s="206" t="e">
        <f t="shared" si="16"/>
        <v>#REF!</v>
      </c>
    </row>
    <row r="177" ht="27" hidden="1" customHeight="1" spans="1:38">
      <c r="A177" s="23">
        <v>27</v>
      </c>
      <c r="B177" s="152"/>
      <c r="C177" s="152" t="s">
        <v>54</v>
      </c>
      <c r="D177" s="23" t="s">
        <v>72</v>
      </c>
      <c r="E177" s="23">
        <v>0.373</v>
      </c>
      <c r="F177" s="201" t="e">
        <f t="shared" ref="F177:AJ177" si="22">F156+F158+F160+F161+F162+F163+F164+F165+F166+F167+F168+F169+F170+F171+F172+F173+F174+F175+F176</f>
        <v>#REF!</v>
      </c>
      <c r="G177" s="201" t="e">
        <f t="shared" si="22"/>
        <v>#REF!</v>
      </c>
      <c r="H177" s="201" t="e">
        <f t="shared" si="22"/>
        <v>#REF!</v>
      </c>
      <c r="I177" s="201" t="e">
        <f t="shared" si="22"/>
        <v>#REF!</v>
      </c>
      <c r="J177" s="201" t="e">
        <f t="shared" si="22"/>
        <v>#REF!</v>
      </c>
      <c r="K177" s="201" t="e">
        <f t="shared" si="22"/>
        <v>#REF!</v>
      </c>
      <c r="L177" s="201" t="e">
        <f t="shared" si="22"/>
        <v>#REF!</v>
      </c>
      <c r="M177" s="201" t="e">
        <f t="shared" si="22"/>
        <v>#REF!</v>
      </c>
      <c r="N177" s="201" t="e">
        <f t="shared" si="22"/>
        <v>#REF!</v>
      </c>
      <c r="O177" s="201" t="e">
        <f t="shared" si="22"/>
        <v>#REF!</v>
      </c>
      <c r="P177" s="201" t="e">
        <f t="shared" si="22"/>
        <v>#REF!</v>
      </c>
      <c r="Q177" s="201" t="e">
        <f t="shared" si="22"/>
        <v>#REF!</v>
      </c>
      <c r="R177" s="201" t="e">
        <f t="shared" si="22"/>
        <v>#REF!</v>
      </c>
      <c r="S177" s="201" t="e">
        <f t="shared" si="22"/>
        <v>#REF!</v>
      </c>
      <c r="T177" s="201" t="e">
        <f t="shared" si="22"/>
        <v>#REF!</v>
      </c>
      <c r="U177" s="201" t="e">
        <f t="shared" si="22"/>
        <v>#REF!</v>
      </c>
      <c r="V177" s="201" t="e">
        <f t="shared" si="22"/>
        <v>#REF!</v>
      </c>
      <c r="W177" s="201" t="e">
        <f t="shared" si="22"/>
        <v>#REF!</v>
      </c>
      <c r="X177" s="201" t="e">
        <f t="shared" si="22"/>
        <v>#REF!</v>
      </c>
      <c r="Y177" s="201" t="e">
        <f t="shared" si="22"/>
        <v>#REF!</v>
      </c>
      <c r="Z177" s="201" t="e">
        <f t="shared" si="22"/>
        <v>#REF!</v>
      </c>
      <c r="AA177" s="201" t="e">
        <f t="shared" si="22"/>
        <v>#REF!</v>
      </c>
      <c r="AB177" s="201" t="e">
        <f t="shared" si="22"/>
        <v>#REF!</v>
      </c>
      <c r="AC177" s="201" t="e">
        <f t="shared" si="22"/>
        <v>#REF!</v>
      </c>
      <c r="AD177" s="201" t="e">
        <f t="shared" si="22"/>
        <v>#REF!</v>
      </c>
      <c r="AE177" s="201" t="e">
        <f t="shared" si="22"/>
        <v>#REF!</v>
      </c>
      <c r="AF177" s="201" t="e">
        <f t="shared" si="22"/>
        <v>#REF!</v>
      </c>
      <c r="AG177" s="201" t="e">
        <f t="shared" si="22"/>
        <v>#REF!</v>
      </c>
      <c r="AH177" s="201" t="e">
        <f t="shared" si="22"/>
        <v>#REF!</v>
      </c>
      <c r="AI177" s="201" t="e">
        <f t="shared" si="22"/>
        <v>#REF!</v>
      </c>
      <c r="AJ177" s="201" t="e">
        <f t="shared" si="22"/>
        <v>#REF!</v>
      </c>
      <c r="AK177" s="205" t="e">
        <f t="shared" si="15"/>
        <v>#REF!</v>
      </c>
      <c r="AL177" s="206" t="e">
        <f t="shared" si="16"/>
        <v>#REF!</v>
      </c>
    </row>
    <row r="178" ht="27" hidden="1" customHeight="1" spans="1:38">
      <c r="A178" s="23">
        <v>28</v>
      </c>
      <c r="B178" s="23"/>
      <c r="C178" s="199" t="s">
        <v>223</v>
      </c>
      <c r="D178" s="23" t="s">
        <v>72</v>
      </c>
      <c r="E178" s="23">
        <v>0.373</v>
      </c>
      <c r="F178" s="201" t="e">
        <f t="shared" ref="F178:AJ178" si="23">F157+F159+F161+F162+F163+F164+F165+F166+F167+F168+F169+F170+F171+F172+F173+F174+F175+F176+F177</f>
        <v>#REF!</v>
      </c>
      <c r="G178" s="201" t="e">
        <f t="shared" si="23"/>
        <v>#REF!</v>
      </c>
      <c r="H178" s="201" t="e">
        <f t="shared" si="23"/>
        <v>#REF!</v>
      </c>
      <c r="I178" s="201" t="e">
        <f t="shared" si="23"/>
        <v>#REF!</v>
      </c>
      <c r="J178" s="201" t="e">
        <f t="shared" si="23"/>
        <v>#REF!</v>
      </c>
      <c r="K178" s="201" t="e">
        <f t="shared" si="23"/>
        <v>#REF!</v>
      </c>
      <c r="L178" s="201" t="e">
        <f t="shared" si="23"/>
        <v>#REF!</v>
      </c>
      <c r="M178" s="201" t="e">
        <f t="shared" si="23"/>
        <v>#REF!</v>
      </c>
      <c r="N178" s="201" t="e">
        <f t="shared" si="23"/>
        <v>#REF!</v>
      </c>
      <c r="O178" s="201" t="e">
        <f t="shared" si="23"/>
        <v>#REF!</v>
      </c>
      <c r="P178" s="201" t="e">
        <f t="shared" si="23"/>
        <v>#REF!</v>
      </c>
      <c r="Q178" s="201" t="e">
        <f t="shared" si="23"/>
        <v>#REF!</v>
      </c>
      <c r="R178" s="201" t="e">
        <f t="shared" si="23"/>
        <v>#REF!</v>
      </c>
      <c r="S178" s="201" t="e">
        <f t="shared" si="23"/>
        <v>#REF!</v>
      </c>
      <c r="T178" s="201" t="e">
        <f t="shared" si="23"/>
        <v>#REF!</v>
      </c>
      <c r="U178" s="201" t="e">
        <f t="shared" si="23"/>
        <v>#REF!</v>
      </c>
      <c r="V178" s="201" t="e">
        <f t="shared" si="23"/>
        <v>#REF!</v>
      </c>
      <c r="W178" s="201" t="e">
        <f t="shared" si="23"/>
        <v>#REF!</v>
      </c>
      <c r="X178" s="201" t="e">
        <f t="shared" si="23"/>
        <v>#REF!</v>
      </c>
      <c r="Y178" s="201" t="e">
        <f t="shared" si="23"/>
        <v>#REF!</v>
      </c>
      <c r="Z178" s="201" t="e">
        <f t="shared" si="23"/>
        <v>#REF!</v>
      </c>
      <c r="AA178" s="201" t="e">
        <f t="shared" si="23"/>
        <v>#REF!</v>
      </c>
      <c r="AB178" s="201" t="e">
        <f t="shared" si="23"/>
        <v>#REF!</v>
      </c>
      <c r="AC178" s="201" t="e">
        <f t="shared" si="23"/>
        <v>#REF!</v>
      </c>
      <c r="AD178" s="201" t="e">
        <f t="shared" si="23"/>
        <v>#REF!</v>
      </c>
      <c r="AE178" s="201" t="e">
        <f t="shared" si="23"/>
        <v>#REF!</v>
      </c>
      <c r="AF178" s="201" t="e">
        <f t="shared" si="23"/>
        <v>#REF!</v>
      </c>
      <c r="AG178" s="201" t="e">
        <f t="shared" si="23"/>
        <v>#REF!</v>
      </c>
      <c r="AH178" s="201" t="e">
        <f t="shared" si="23"/>
        <v>#REF!</v>
      </c>
      <c r="AI178" s="201" t="e">
        <f t="shared" si="23"/>
        <v>#REF!</v>
      </c>
      <c r="AJ178" s="201" t="e">
        <f t="shared" si="23"/>
        <v>#REF!</v>
      </c>
      <c r="AK178" s="205" t="e">
        <f t="shared" si="15"/>
        <v>#REF!</v>
      </c>
      <c r="AL178" s="206" t="e">
        <f t="shared" si="16"/>
        <v>#REF!</v>
      </c>
    </row>
    <row r="179" ht="27" hidden="1" customHeight="1" spans="1:38">
      <c r="A179" s="23">
        <v>29</v>
      </c>
      <c r="B179" s="23"/>
      <c r="C179" s="199" t="s">
        <v>194</v>
      </c>
      <c r="D179" s="23" t="s">
        <v>72</v>
      </c>
      <c r="E179" s="23">
        <v>0.373</v>
      </c>
      <c r="F179" s="201" t="e">
        <f t="shared" ref="F179:AJ179" si="24">F158+F160+F162+F163+F164+F165+F166+F167+F168+F169+F170+F171+F172+F173+F174+F175+F176+F177+F178</f>
        <v>#REF!</v>
      </c>
      <c r="G179" s="201" t="e">
        <f t="shared" si="24"/>
        <v>#REF!</v>
      </c>
      <c r="H179" s="201" t="e">
        <f t="shared" si="24"/>
        <v>#REF!</v>
      </c>
      <c r="I179" s="201" t="e">
        <f t="shared" si="24"/>
        <v>#REF!</v>
      </c>
      <c r="J179" s="201" t="e">
        <f t="shared" si="24"/>
        <v>#REF!</v>
      </c>
      <c r="K179" s="201" t="e">
        <f t="shared" si="24"/>
        <v>#REF!</v>
      </c>
      <c r="L179" s="201" t="e">
        <f t="shared" si="24"/>
        <v>#REF!</v>
      </c>
      <c r="M179" s="201" t="e">
        <f t="shared" si="24"/>
        <v>#REF!</v>
      </c>
      <c r="N179" s="201" t="e">
        <f t="shared" si="24"/>
        <v>#REF!</v>
      </c>
      <c r="O179" s="201" t="e">
        <f t="shared" si="24"/>
        <v>#REF!</v>
      </c>
      <c r="P179" s="201" t="e">
        <f t="shared" si="24"/>
        <v>#REF!</v>
      </c>
      <c r="Q179" s="201" t="e">
        <f t="shared" si="24"/>
        <v>#REF!</v>
      </c>
      <c r="R179" s="201" t="e">
        <f t="shared" si="24"/>
        <v>#REF!</v>
      </c>
      <c r="S179" s="201" t="e">
        <f t="shared" si="24"/>
        <v>#REF!</v>
      </c>
      <c r="T179" s="201" t="e">
        <f t="shared" si="24"/>
        <v>#REF!</v>
      </c>
      <c r="U179" s="201" t="e">
        <f t="shared" si="24"/>
        <v>#REF!</v>
      </c>
      <c r="V179" s="201" t="e">
        <f t="shared" si="24"/>
        <v>#REF!</v>
      </c>
      <c r="W179" s="201" t="e">
        <f t="shared" si="24"/>
        <v>#REF!</v>
      </c>
      <c r="X179" s="201" t="e">
        <f t="shared" si="24"/>
        <v>#REF!</v>
      </c>
      <c r="Y179" s="201" t="e">
        <f t="shared" si="24"/>
        <v>#REF!</v>
      </c>
      <c r="Z179" s="201" t="e">
        <f t="shared" si="24"/>
        <v>#REF!</v>
      </c>
      <c r="AA179" s="201" t="e">
        <f t="shared" si="24"/>
        <v>#REF!</v>
      </c>
      <c r="AB179" s="201" t="e">
        <f t="shared" si="24"/>
        <v>#REF!</v>
      </c>
      <c r="AC179" s="201" t="e">
        <f t="shared" si="24"/>
        <v>#REF!</v>
      </c>
      <c r="AD179" s="201" t="e">
        <f t="shared" si="24"/>
        <v>#REF!</v>
      </c>
      <c r="AE179" s="201" t="e">
        <f t="shared" si="24"/>
        <v>#REF!</v>
      </c>
      <c r="AF179" s="201" t="e">
        <f t="shared" si="24"/>
        <v>#REF!</v>
      </c>
      <c r="AG179" s="201" t="e">
        <f t="shared" si="24"/>
        <v>#REF!</v>
      </c>
      <c r="AH179" s="201" t="e">
        <f t="shared" si="24"/>
        <v>#REF!</v>
      </c>
      <c r="AI179" s="201" t="e">
        <f t="shared" si="24"/>
        <v>#REF!</v>
      </c>
      <c r="AJ179" s="201" t="e">
        <f t="shared" si="24"/>
        <v>#REF!</v>
      </c>
      <c r="AK179" s="205" t="e">
        <f t="shared" si="15"/>
        <v>#REF!</v>
      </c>
      <c r="AL179" s="206" t="e">
        <f t="shared" si="16"/>
        <v>#REF!</v>
      </c>
    </row>
    <row r="180" ht="27" hidden="1" customHeight="1" spans="1:38">
      <c r="A180" s="23">
        <v>30</v>
      </c>
      <c r="B180" s="152"/>
      <c r="C180" s="152" t="s">
        <v>195</v>
      </c>
      <c r="D180" s="23" t="s">
        <v>72</v>
      </c>
      <c r="E180" s="23">
        <v>0.373</v>
      </c>
      <c r="F180" s="201" t="e">
        <f t="shared" ref="F180:AJ180" si="25">F159+F161+F163+F164+F165+F166+F167+F168+F169+F170+F171+F172+F173+F174+F175+F176+F177+F178+F179</f>
        <v>#REF!</v>
      </c>
      <c r="G180" s="201" t="e">
        <f t="shared" si="25"/>
        <v>#REF!</v>
      </c>
      <c r="H180" s="201" t="e">
        <f t="shared" si="25"/>
        <v>#REF!</v>
      </c>
      <c r="I180" s="201" t="e">
        <f t="shared" si="25"/>
        <v>#REF!</v>
      </c>
      <c r="J180" s="201" t="e">
        <f t="shared" si="25"/>
        <v>#REF!</v>
      </c>
      <c r="K180" s="201" t="e">
        <f t="shared" si="25"/>
        <v>#REF!</v>
      </c>
      <c r="L180" s="201" t="e">
        <f t="shared" si="25"/>
        <v>#REF!</v>
      </c>
      <c r="M180" s="201" t="e">
        <f t="shared" si="25"/>
        <v>#REF!</v>
      </c>
      <c r="N180" s="201" t="e">
        <f t="shared" si="25"/>
        <v>#REF!</v>
      </c>
      <c r="O180" s="201" t="e">
        <f t="shared" si="25"/>
        <v>#REF!</v>
      </c>
      <c r="P180" s="201" t="e">
        <f t="shared" si="25"/>
        <v>#REF!</v>
      </c>
      <c r="Q180" s="201" t="e">
        <f t="shared" si="25"/>
        <v>#REF!</v>
      </c>
      <c r="R180" s="201" t="e">
        <f t="shared" si="25"/>
        <v>#REF!</v>
      </c>
      <c r="S180" s="201" t="e">
        <f t="shared" si="25"/>
        <v>#REF!</v>
      </c>
      <c r="T180" s="201" t="e">
        <f t="shared" si="25"/>
        <v>#REF!</v>
      </c>
      <c r="U180" s="201" t="e">
        <f t="shared" si="25"/>
        <v>#REF!</v>
      </c>
      <c r="V180" s="201" t="e">
        <f t="shared" si="25"/>
        <v>#REF!</v>
      </c>
      <c r="W180" s="201" t="e">
        <f t="shared" si="25"/>
        <v>#REF!</v>
      </c>
      <c r="X180" s="201" t="e">
        <f t="shared" si="25"/>
        <v>#REF!</v>
      </c>
      <c r="Y180" s="201" t="e">
        <f t="shared" si="25"/>
        <v>#REF!</v>
      </c>
      <c r="Z180" s="201" t="e">
        <f t="shared" si="25"/>
        <v>#REF!</v>
      </c>
      <c r="AA180" s="201" t="e">
        <f t="shared" si="25"/>
        <v>#REF!</v>
      </c>
      <c r="AB180" s="201" t="e">
        <f t="shared" si="25"/>
        <v>#REF!</v>
      </c>
      <c r="AC180" s="201" t="e">
        <f t="shared" si="25"/>
        <v>#REF!</v>
      </c>
      <c r="AD180" s="201" t="e">
        <f t="shared" si="25"/>
        <v>#REF!</v>
      </c>
      <c r="AE180" s="201" t="e">
        <f t="shared" si="25"/>
        <v>#REF!</v>
      </c>
      <c r="AF180" s="201" t="e">
        <f t="shared" si="25"/>
        <v>#REF!</v>
      </c>
      <c r="AG180" s="201" t="e">
        <f t="shared" si="25"/>
        <v>#REF!</v>
      </c>
      <c r="AH180" s="201" t="e">
        <f t="shared" si="25"/>
        <v>#REF!</v>
      </c>
      <c r="AI180" s="201" t="e">
        <f t="shared" si="25"/>
        <v>#REF!</v>
      </c>
      <c r="AJ180" s="201" t="e">
        <f t="shared" si="25"/>
        <v>#REF!</v>
      </c>
      <c r="AK180" s="205" t="e">
        <f t="shared" si="15"/>
        <v>#REF!</v>
      </c>
      <c r="AL180" s="206" t="e">
        <f t="shared" si="16"/>
        <v>#REF!</v>
      </c>
    </row>
    <row r="181" ht="27" hidden="1" customHeight="1" spans="1:38">
      <c r="A181" s="23">
        <v>31</v>
      </c>
      <c r="B181" s="152"/>
      <c r="C181" s="152" t="s">
        <v>176</v>
      </c>
      <c r="D181" s="23" t="s">
        <v>72</v>
      </c>
      <c r="E181" s="23">
        <v>0.373</v>
      </c>
      <c r="F181" s="201" t="e">
        <f t="shared" ref="F181:AJ181" si="26">F160+F162+F164+F165+F166+F167+F168+F169+F170+F171+F172+F173+F174+F175+F176+F177+F178+F179+F180</f>
        <v>#REF!</v>
      </c>
      <c r="G181" s="201" t="e">
        <f t="shared" si="26"/>
        <v>#REF!</v>
      </c>
      <c r="H181" s="201" t="e">
        <f t="shared" si="26"/>
        <v>#REF!</v>
      </c>
      <c r="I181" s="201" t="e">
        <f t="shared" si="26"/>
        <v>#REF!</v>
      </c>
      <c r="J181" s="201" t="e">
        <f t="shared" si="26"/>
        <v>#REF!</v>
      </c>
      <c r="K181" s="201" t="e">
        <f t="shared" si="26"/>
        <v>#REF!</v>
      </c>
      <c r="L181" s="201" t="e">
        <f t="shared" si="26"/>
        <v>#REF!</v>
      </c>
      <c r="M181" s="201" t="e">
        <f t="shared" si="26"/>
        <v>#REF!</v>
      </c>
      <c r="N181" s="201" t="e">
        <f t="shared" si="26"/>
        <v>#REF!</v>
      </c>
      <c r="O181" s="201" t="e">
        <f t="shared" si="26"/>
        <v>#REF!</v>
      </c>
      <c r="P181" s="201" t="e">
        <f t="shared" si="26"/>
        <v>#REF!</v>
      </c>
      <c r="Q181" s="201" t="e">
        <f t="shared" si="26"/>
        <v>#REF!</v>
      </c>
      <c r="R181" s="201" t="e">
        <f t="shared" si="26"/>
        <v>#REF!</v>
      </c>
      <c r="S181" s="201" t="e">
        <f t="shared" si="26"/>
        <v>#REF!</v>
      </c>
      <c r="T181" s="201" t="e">
        <f t="shared" si="26"/>
        <v>#REF!</v>
      </c>
      <c r="U181" s="201" t="e">
        <f t="shared" si="26"/>
        <v>#REF!</v>
      </c>
      <c r="V181" s="201" t="e">
        <f t="shared" si="26"/>
        <v>#REF!</v>
      </c>
      <c r="W181" s="201" t="e">
        <f t="shared" si="26"/>
        <v>#REF!</v>
      </c>
      <c r="X181" s="201" t="e">
        <f t="shared" si="26"/>
        <v>#REF!</v>
      </c>
      <c r="Y181" s="201" t="e">
        <f t="shared" si="26"/>
        <v>#REF!</v>
      </c>
      <c r="Z181" s="201" t="e">
        <f t="shared" si="26"/>
        <v>#REF!</v>
      </c>
      <c r="AA181" s="201" t="e">
        <f t="shared" si="26"/>
        <v>#REF!</v>
      </c>
      <c r="AB181" s="201" t="e">
        <f t="shared" si="26"/>
        <v>#REF!</v>
      </c>
      <c r="AC181" s="201" t="e">
        <f t="shared" si="26"/>
        <v>#REF!</v>
      </c>
      <c r="AD181" s="201" t="e">
        <f t="shared" si="26"/>
        <v>#REF!</v>
      </c>
      <c r="AE181" s="201" t="e">
        <f t="shared" si="26"/>
        <v>#REF!</v>
      </c>
      <c r="AF181" s="201" t="e">
        <f t="shared" si="26"/>
        <v>#REF!</v>
      </c>
      <c r="AG181" s="201" t="e">
        <f t="shared" si="26"/>
        <v>#REF!</v>
      </c>
      <c r="AH181" s="201" t="e">
        <f t="shared" si="26"/>
        <v>#REF!</v>
      </c>
      <c r="AI181" s="201" t="e">
        <f t="shared" si="26"/>
        <v>#REF!</v>
      </c>
      <c r="AJ181" s="201" t="e">
        <f t="shared" si="26"/>
        <v>#REF!</v>
      </c>
      <c r="AK181" s="205" t="e">
        <f t="shared" si="15"/>
        <v>#REF!</v>
      </c>
      <c r="AL181" s="206" t="e">
        <f t="shared" si="16"/>
        <v>#REF!</v>
      </c>
    </row>
    <row r="182" hidden="1" spans="1:38">
      <c r="A182" s="145" t="s">
        <v>5</v>
      </c>
      <c r="B182" s="145"/>
      <c r="C182" s="145"/>
      <c r="D182" s="145"/>
      <c r="E182" s="145"/>
      <c r="F182" s="195" t="e">
        <f t="shared" ref="F182:AL182" si="27">F151+F152+F154+F155+F156+F157+F158+F159+F160+F161+F162+F163+F164+F165+F166+F167+F168+F169+F170+F171+F172+F173+F174+F175+F176+F177+F178+F179+F180+F181</f>
        <v>#REF!</v>
      </c>
      <c r="G182" s="195" t="e">
        <f t="shared" si="27"/>
        <v>#N/A</v>
      </c>
      <c r="H182" s="195" t="e">
        <f t="shared" si="27"/>
        <v>#N/A</v>
      </c>
      <c r="I182" s="195" t="e">
        <f t="shared" si="27"/>
        <v>#N/A</v>
      </c>
      <c r="J182" s="195" t="e">
        <f t="shared" si="27"/>
        <v>#N/A</v>
      </c>
      <c r="K182" s="195" t="e">
        <f t="shared" si="27"/>
        <v>#N/A</v>
      </c>
      <c r="L182" s="195" t="e">
        <f t="shared" si="27"/>
        <v>#N/A</v>
      </c>
      <c r="M182" s="195" t="e">
        <f t="shared" si="27"/>
        <v>#N/A</v>
      </c>
      <c r="N182" s="195" t="e">
        <f t="shared" si="27"/>
        <v>#N/A</v>
      </c>
      <c r="O182" s="195" t="e">
        <f t="shared" si="27"/>
        <v>#N/A</v>
      </c>
      <c r="P182" s="195" t="e">
        <f t="shared" si="27"/>
        <v>#N/A</v>
      </c>
      <c r="Q182" s="195" t="e">
        <f t="shared" si="27"/>
        <v>#N/A</v>
      </c>
      <c r="R182" s="195" t="e">
        <f t="shared" si="27"/>
        <v>#N/A</v>
      </c>
      <c r="S182" s="195" t="e">
        <f t="shared" si="27"/>
        <v>#N/A</v>
      </c>
      <c r="T182" s="195" t="e">
        <f t="shared" si="27"/>
        <v>#N/A</v>
      </c>
      <c r="U182" s="195" t="e">
        <f t="shared" si="27"/>
        <v>#N/A</v>
      </c>
      <c r="V182" s="195" t="e">
        <f t="shared" si="27"/>
        <v>#N/A</v>
      </c>
      <c r="W182" s="195" t="e">
        <f t="shared" si="27"/>
        <v>#N/A</v>
      </c>
      <c r="X182" s="195" t="e">
        <f t="shared" si="27"/>
        <v>#N/A</v>
      </c>
      <c r="Y182" s="195" t="e">
        <f t="shared" si="27"/>
        <v>#N/A</v>
      </c>
      <c r="Z182" s="195" t="e">
        <f t="shared" si="27"/>
        <v>#N/A</v>
      </c>
      <c r="AA182" s="195" t="e">
        <f t="shared" si="27"/>
        <v>#N/A</v>
      </c>
      <c r="AB182" s="195" t="e">
        <f t="shared" si="27"/>
        <v>#N/A</v>
      </c>
      <c r="AC182" s="195" t="e">
        <f t="shared" si="27"/>
        <v>#N/A</v>
      </c>
      <c r="AD182" s="195" t="e">
        <f t="shared" si="27"/>
        <v>#N/A</v>
      </c>
      <c r="AE182" s="195" t="e">
        <f t="shared" si="27"/>
        <v>#N/A</v>
      </c>
      <c r="AF182" s="195" t="e">
        <f t="shared" si="27"/>
        <v>#N/A</v>
      </c>
      <c r="AG182" s="195" t="e">
        <f t="shared" si="27"/>
        <v>#N/A</v>
      </c>
      <c r="AH182" s="195" t="e">
        <f t="shared" si="27"/>
        <v>#N/A</v>
      </c>
      <c r="AI182" s="195" t="e">
        <f t="shared" si="27"/>
        <v>#N/A</v>
      </c>
      <c r="AJ182" s="195" t="e">
        <f t="shared" si="27"/>
        <v>#N/A</v>
      </c>
      <c r="AK182" s="195" t="e">
        <f t="shared" si="27"/>
        <v>#REF!</v>
      </c>
      <c r="AL182" s="195" t="e">
        <f t="shared" si="27"/>
        <v>#REF!</v>
      </c>
    </row>
    <row r="183" hidden="1" spans="1:38">
      <c r="A183" s="145"/>
      <c r="B183" s="145"/>
      <c r="C183" s="145"/>
      <c r="D183" s="145"/>
      <c r="E183" s="145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5"/>
      <c r="T183" s="195"/>
      <c r="U183" s="195"/>
      <c r="V183" s="195"/>
      <c r="W183" s="195"/>
      <c r="X183" s="195"/>
      <c r="Y183" s="195"/>
      <c r="Z183" s="195"/>
      <c r="AA183" s="195"/>
      <c r="AB183" s="195"/>
      <c r="AC183" s="195"/>
      <c r="AD183" s="195"/>
      <c r="AE183" s="195"/>
      <c r="AF183" s="195"/>
      <c r="AG183" s="195"/>
      <c r="AH183" s="195"/>
      <c r="AI183" s="195"/>
      <c r="AJ183" s="195"/>
      <c r="AK183" s="195"/>
      <c r="AL183" s="195"/>
    </row>
    <row r="184" hidden="1" spans="1:38">
      <c r="A184" s="145"/>
      <c r="B184" s="145"/>
      <c r="C184" s="145"/>
      <c r="D184" s="145"/>
      <c r="E184" s="145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5"/>
      <c r="T184" s="195"/>
      <c r="U184" s="195"/>
      <c r="V184" s="195"/>
      <c r="W184" s="195"/>
      <c r="X184" s="195"/>
      <c r="Y184" s="195"/>
      <c r="Z184" s="195"/>
      <c r="AA184" s="195"/>
      <c r="AB184" s="195"/>
      <c r="AC184" s="195"/>
      <c r="AD184" s="195"/>
      <c r="AE184" s="195"/>
      <c r="AF184" s="195"/>
      <c r="AG184" s="195"/>
      <c r="AH184" s="195"/>
      <c r="AI184" s="195"/>
      <c r="AJ184" s="195"/>
      <c r="AK184" s="195"/>
      <c r="AL184" s="195"/>
    </row>
  </sheetData>
  <mergeCells count="78">
    <mergeCell ref="AA1:AC1"/>
    <mergeCell ref="AD1:AF1"/>
    <mergeCell ref="AG1:AL1"/>
    <mergeCell ref="AA2:AC2"/>
    <mergeCell ref="AD2:AF2"/>
    <mergeCell ref="AG2:AL2"/>
    <mergeCell ref="A3:D3"/>
    <mergeCell ref="E3:AL3"/>
    <mergeCell ref="F4:AI4"/>
    <mergeCell ref="A73:D73"/>
    <mergeCell ref="F76:AI76"/>
    <mergeCell ref="A97:D97"/>
    <mergeCell ref="F99:AI99"/>
    <mergeCell ref="A120:D120"/>
    <mergeCell ref="S121:V121"/>
    <mergeCell ref="F126:AI126"/>
    <mergeCell ref="A147:D147"/>
    <mergeCell ref="G148:AL148"/>
    <mergeCell ref="F149:H149"/>
    <mergeCell ref="A4:A5"/>
    <mergeCell ref="A76:A77"/>
    <mergeCell ref="A99:A100"/>
    <mergeCell ref="A126:A127"/>
    <mergeCell ref="A149:A150"/>
    <mergeCell ref="E4:E5"/>
    <mergeCell ref="E149:E150"/>
    <mergeCell ref="F182:F184"/>
    <mergeCell ref="G182:G184"/>
    <mergeCell ref="H182:H184"/>
    <mergeCell ref="I182:I184"/>
    <mergeCell ref="J182:J184"/>
    <mergeCell ref="K182:K184"/>
    <mergeCell ref="L182:L184"/>
    <mergeCell ref="M182:M184"/>
    <mergeCell ref="N182:N184"/>
    <mergeCell ref="O182:O184"/>
    <mergeCell ref="P182:P184"/>
    <mergeCell ref="Q182:Q184"/>
    <mergeCell ref="R182:R184"/>
    <mergeCell ref="S182:S184"/>
    <mergeCell ref="T182:T184"/>
    <mergeCell ref="U182:U184"/>
    <mergeCell ref="V182:V184"/>
    <mergeCell ref="W182:W184"/>
    <mergeCell ref="X182:X184"/>
    <mergeCell ref="Y182:Y184"/>
    <mergeCell ref="Z182:Z184"/>
    <mergeCell ref="AA182:AA184"/>
    <mergeCell ref="AB182:AB184"/>
    <mergeCell ref="AC182:AC184"/>
    <mergeCell ref="AD182:AD184"/>
    <mergeCell ref="AE182:AE184"/>
    <mergeCell ref="AF182:AF184"/>
    <mergeCell ref="AG182:AG184"/>
    <mergeCell ref="AH182:AH184"/>
    <mergeCell ref="AI182:AI184"/>
    <mergeCell ref="AJ182:AJ184"/>
    <mergeCell ref="AK4:AK5"/>
    <mergeCell ref="AK76:AK77"/>
    <mergeCell ref="AK99:AK100"/>
    <mergeCell ref="AK126:AK127"/>
    <mergeCell ref="AK149:AK150"/>
    <mergeCell ref="AK182:AK184"/>
    <mergeCell ref="AL4:AL5"/>
    <mergeCell ref="AL149:AL150"/>
    <mergeCell ref="AL182:AL184"/>
    <mergeCell ref="AM6:AM69"/>
    <mergeCell ref="AM77:AM96"/>
    <mergeCell ref="AM103:AM119"/>
    <mergeCell ref="A1:C2"/>
    <mergeCell ref="D1:X2"/>
    <mergeCell ref="Y1:Z2"/>
    <mergeCell ref="C4:D5"/>
    <mergeCell ref="C76:D77"/>
    <mergeCell ref="C99:D100"/>
    <mergeCell ref="C126:D127"/>
    <mergeCell ref="C149:D150"/>
    <mergeCell ref="A182:E184"/>
  </mergeCells>
  <conditionalFormatting sqref="B6">
    <cfRule type="duplicateValues" dxfId="0" priority="16"/>
  </conditionalFormatting>
  <conditionalFormatting sqref="B7">
    <cfRule type="duplicateValues" dxfId="0" priority="15"/>
  </conditionalFormatting>
  <conditionalFormatting sqref="B8">
    <cfRule type="duplicateValues" dxfId="0" priority="13"/>
  </conditionalFormatting>
  <conditionalFormatting sqref="B10">
    <cfRule type="duplicateValues" dxfId="0" priority="12"/>
  </conditionalFormatting>
  <conditionalFormatting sqref="B11">
    <cfRule type="duplicateValues" dxfId="0" priority="11"/>
  </conditionalFormatting>
  <conditionalFormatting sqref="B15">
    <cfRule type="duplicateValues" dxfId="0" priority="14"/>
  </conditionalFormatting>
  <conditionalFormatting sqref="B22">
    <cfRule type="duplicateValues" dxfId="0" priority="20"/>
  </conditionalFormatting>
  <conditionalFormatting sqref="B23">
    <cfRule type="duplicateValues" dxfId="0" priority="19"/>
  </conditionalFormatting>
  <conditionalFormatting sqref="B24">
    <cfRule type="duplicateValues" dxfId="0" priority="18"/>
  </conditionalFormatting>
  <conditionalFormatting sqref="B25">
    <cfRule type="duplicateValues" dxfId="0" priority="17"/>
  </conditionalFormatting>
  <conditionalFormatting sqref="B31">
    <cfRule type="duplicateValues" dxfId="0" priority="10"/>
  </conditionalFormatting>
  <conditionalFormatting sqref="B32">
    <cfRule type="duplicateValues" dxfId="0" priority="9"/>
  </conditionalFormatting>
  <conditionalFormatting sqref="B33">
    <cfRule type="duplicateValues" dxfId="0" priority="8"/>
  </conditionalFormatting>
  <conditionalFormatting sqref="B34">
    <cfRule type="duplicateValues" dxfId="0" priority="7"/>
  </conditionalFormatting>
  <conditionalFormatting sqref="B35">
    <cfRule type="duplicateValues" dxfId="0" priority="3"/>
  </conditionalFormatting>
  <conditionalFormatting sqref="B36">
    <cfRule type="duplicateValues" dxfId="0" priority="6"/>
  </conditionalFormatting>
  <conditionalFormatting sqref="B37">
    <cfRule type="duplicateValues" dxfId="0" priority="5"/>
  </conditionalFormatting>
  <conditionalFormatting sqref="B38">
    <cfRule type="duplicateValues" dxfId="0" priority="4"/>
  </conditionalFormatting>
  <conditionalFormatting sqref="B44">
    <cfRule type="duplicateValues" dxfId="0" priority="1"/>
  </conditionalFormatting>
  <conditionalFormatting sqref="B19:B21">
    <cfRule type="duplicateValues" dxfId="0" priority="21"/>
  </conditionalFormatting>
  <conditionalFormatting sqref="B42:B43">
    <cfRule type="duplicateValues" dxfId="0" priority="2"/>
  </conditionalFormatting>
  <conditionalFormatting sqref="B56:B72">
    <cfRule type="duplicateValues" dxfId="0" priority="22"/>
  </conditionalFormatting>
  <pageMargins left="1.45625" right="0.751388888888889" top="0.432638888888889" bottom="0.118055555555556" header="0.393055555555556" footer="0.5"/>
  <pageSetup paperSize="9" scale="30" orientation="landscape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O70"/>
  <sheetViews>
    <sheetView workbookViewId="0">
      <selection activeCell="G21" sqref="G21"/>
    </sheetView>
  </sheetViews>
  <sheetFormatPr defaultColWidth="8.88888888888889" defaultRowHeight="14.4"/>
  <cols>
    <col min="1" max="1" width="18.4444444444444" customWidth="1"/>
    <col min="2" max="2" width="14.5555555555556" customWidth="1"/>
    <col min="3" max="3" width="33.4444444444444" customWidth="1"/>
    <col min="4" max="4" width="5.75" customWidth="1"/>
  </cols>
  <sheetData>
    <row r="1" spans="5:67">
      <c r="E1" t="s">
        <v>227</v>
      </c>
      <c r="F1" t="s">
        <v>228</v>
      </c>
      <c r="G1" t="s">
        <v>229</v>
      </c>
      <c r="H1" t="s">
        <v>230</v>
      </c>
      <c r="I1" t="s">
        <v>231</v>
      </c>
      <c r="J1" t="s">
        <v>232</v>
      </c>
      <c r="K1" t="s">
        <v>233</v>
      </c>
      <c r="L1" t="s">
        <v>234</v>
      </c>
      <c r="M1" t="s">
        <v>235</v>
      </c>
      <c r="N1" t="s">
        <v>236</v>
      </c>
      <c r="O1" t="s">
        <v>237</v>
      </c>
      <c r="P1" t="s">
        <v>238</v>
      </c>
      <c r="Q1" t="s">
        <v>239</v>
      </c>
      <c r="R1" t="s">
        <v>240</v>
      </c>
      <c r="S1" t="s">
        <v>241</v>
      </c>
      <c r="T1" t="s">
        <v>242</v>
      </c>
      <c r="U1" t="s">
        <v>243</v>
      </c>
      <c r="V1" t="s">
        <v>244</v>
      </c>
      <c r="W1" t="s">
        <v>245</v>
      </c>
      <c r="X1" t="s">
        <v>246</v>
      </c>
      <c r="Y1" t="s">
        <v>247</v>
      </c>
      <c r="Z1" t="s">
        <v>248</v>
      </c>
      <c r="AA1" t="s">
        <v>249</v>
      </c>
      <c r="AB1" t="s">
        <v>250</v>
      </c>
      <c r="AC1" t="s">
        <v>251</v>
      </c>
      <c r="AD1" t="s">
        <v>252</v>
      </c>
      <c r="AE1" t="s">
        <v>253</v>
      </c>
      <c r="AF1" t="s">
        <v>254</v>
      </c>
      <c r="AG1" t="s">
        <v>255</v>
      </c>
      <c r="AH1" t="s">
        <v>256</v>
      </c>
      <c r="AI1" t="s">
        <v>257</v>
      </c>
      <c r="AJ1" t="s">
        <v>258</v>
      </c>
      <c r="AK1" t="s">
        <v>259</v>
      </c>
      <c r="AL1" t="s">
        <v>260</v>
      </c>
      <c r="AM1" t="s">
        <v>261</v>
      </c>
      <c r="AN1" t="s">
        <v>262</v>
      </c>
      <c r="AO1" t="s">
        <v>263</v>
      </c>
      <c r="AP1" t="s">
        <v>264</v>
      </c>
      <c r="AQ1" t="s">
        <v>265</v>
      </c>
      <c r="AR1" t="s">
        <v>266</v>
      </c>
      <c r="AS1" t="s">
        <v>267</v>
      </c>
      <c r="AT1" t="s">
        <v>268</v>
      </c>
      <c r="AU1" t="s">
        <v>269</v>
      </c>
      <c r="AV1" t="s">
        <v>270</v>
      </c>
      <c r="AW1" t="s">
        <v>271</v>
      </c>
      <c r="AX1" t="s">
        <v>272</v>
      </c>
      <c r="AY1" t="s">
        <v>273</v>
      </c>
      <c r="AZ1" t="s">
        <v>274</v>
      </c>
      <c r="BA1" t="s">
        <v>275</v>
      </c>
      <c r="BB1" t="s">
        <v>276</v>
      </c>
      <c r="BC1" t="s">
        <v>277</v>
      </c>
      <c r="BD1" t="s">
        <v>278</v>
      </c>
      <c r="BE1" t="s">
        <v>279</v>
      </c>
      <c r="BF1" t="s">
        <v>280</v>
      </c>
      <c r="BG1" t="s">
        <v>281</v>
      </c>
      <c r="BH1" t="s">
        <v>282</v>
      </c>
      <c r="BI1" t="s">
        <v>283</v>
      </c>
      <c r="BJ1" t="s">
        <v>284</v>
      </c>
      <c r="BK1" t="s">
        <v>285</v>
      </c>
      <c r="BL1" t="s">
        <v>286</v>
      </c>
      <c r="BM1" t="s">
        <v>287</v>
      </c>
      <c r="BN1" t="s">
        <v>288</v>
      </c>
      <c r="BO1" t="s">
        <v>5</v>
      </c>
    </row>
    <row r="2" spans="1:67">
      <c r="A2" t="s">
        <v>289</v>
      </c>
      <c r="B2" t="s">
        <v>104</v>
      </c>
      <c r="C2" t="s">
        <v>290</v>
      </c>
      <c r="D2">
        <v>0.4</v>
      </c>
      <c r="E2">
        <v>53</v>
      </c>
      <c r="F2">
        <v>0</v>
      </c>
      <c r="G2">
        <v>58</v>
      </c>
      <c r="H2">
        <v>0</v>
      </c>
      <c r="I2">
        <v>19</v>
      </c>
      <c r="J2">
        <v>0</v>
      </c>
      <c r="K2">
        <v>24</v>
      </c>
      <c r="L2">
        <v>0</v>
      </c>
      <c r="M2">
        <v>56</v>
      </c>
      <c r="N2">
        <v>0</v>
      </c>
      <c r="O2">
        <v>61</v>
      </c>
      <c r="P2">
        <v>0</v>
      </c>
      <c r="Q2">
        <v>64</v>
      </c>
      <c r="R2">
        <v>0</v>
      </c>
      <c r="S2">
        <v>50</v>
      </c>
      <c r="T2">
        <v>0</v>
      </c>
      <c r="U2">
        <v>15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1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63</v>
      </c>
      <c r="BE2">
        <v>0</v>
      </c>
      <c r="BF2">
        <v>68</v>
      </c>
      <c r="BG2">
        <v>67</v>
      </c>
      <c r="BH2">
        <v>0</v>
      </c>
      <c r="BI2">
        <v>70</v>
      </c>
      <c r="BJ2">
        <v>0</v>
      </c>
      <c r="BK2">
        <v>0</v>
      </c>
      <c r="BL2">
        <v>0</v>
      </c>
      <c r="BM2">
        <v>0</v>
      </c>
      <c r="BN2">
        <v>0</v>
      </c>
      <c r="BO2">
        <v>669</v>
      </c>
    </row>
    <row r="3" spans="1:67">
      <c r="A3" t="s">
        <v>291</v>
      </c>
      <c r="B3" t="s">
        <v>106</v>
      </c>
      <c r="C3" t="s">
        <v>292</v>
      </c>
      <c r="D3">
        <v>0.4</v>
      </c>
      <c r="E3">
        <v>52</v>
      </c>
      <c r="F3">
        <v>0</v>
      </c>
      <c r="G3">
        <v>58</v>
      </c>
      <c r="H3">
        <v>0</v>
      </c>
      <c r="I3">
        <v>19</v>
      </c>
      <c r="J3">
        <v>0</v>
      </c>
      <c r="K3">
        <v>24</v>
      </c>
      <c r="L3">
        <v>0</v>
      </c>
      <c r="M3">
        <v>56</v>
      </c>
      <c r="N3">
        <v>0</v>
      </c>
      <c r="O3">
        <v>61</v>
      </c>
      <c r="P3">
        <v>0</v>
      </c>
      <c r="Q3">
        <v>65</v>
      </c>
      <c r="R3">
        <v>0</v>
      </c>
      <c r="S3">
        <v>50</v>
      </c>
      <c r="T3">
        <v>0</v>
      </c>
      <c r="U3">
        <v>16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5</v>
      </c>
      <c r="AY3">
        <v>0</v>
      </c>
      <c r="AZ3">
        <v>0</v>
      </c>
      <c r="BA3">
        <v>0</v>
      </c>
      <c r="BB3">
        <v>0</v>
      </c>
      <c r="BC3">
        <v>0</v>
      </c>
      <c r="BD3">
        <v>60</v>
      </c>
      <c r="BE3">
        <v>0</v>
      </c>
      <c r="BF3">
        <v>67</v>
      </c>
      <c r="BG3">
        <v>63</v>
      </c>
      <c r="BH3">
        <v>0</v>
      </c>
      <c r="BI3">
        <v>69</v>
      </c>
      <c r="BJ3">
        <v>0</v>
      </c>
      <c r="BK3">
        <v>0</v>
      </c>
      <c r="BL3">
        <v>0</v>
      </c>
      <c r="BM3">
        <v>0</v>
      </c>
      <c r="BN3">
        <v>0</v>
      </c>
      <c r="BO3">
        <v>665</v>
      </c>
    </row>
    <row r="4" spans="1:67">
      <c r="A4" t="s">
        <v>293</v>
      </c>
      <c r="B4" t="s">
        <v>108</v>
      </c>
      <c r="C4" t="s">
        <v>294</v>
      </c>
      <c r="D4">
        <v>0.133</v>
      </c>
      <c r="E4">
        <v>53</v>
      </c>
      <c r="F4">
        <v>0</v>
      </c>
      <c r="G4">
        <v>58</v>
      </c>
      <c r="H4">
        <v>0</v>
      </c>
      <c r="I4">
        <v>19</v>
      </c>
      <c r="J4">
        <v>0</v>
      </c>
      <c r="K4">
        <v>24</v>
      </c>
      <c r="L4">
        <v>0</v>
      </c>
      <c r="M4">
        <v>56</v>
      </c>
      <c r="N4">
        <v>0</v>
      </c>
      <c r="O4">
        <v>61</v>
      </c>
      <c r="P4">
        <v>0</v>
      </c>
      <c r="Q4">
        <v>64</v>
      </c>
      <c r="R4">
        <v>0</v>
      </c>
      <c r="S4">
        <v>50</v>
      </c>
      <c r="T4">
        <v>0</v>
      </c>
      <c r="U4">
        <v>15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55</v>
      </c>
      <c r="BD4">
        <v>63</v>
      </c>
      <c r="BE4">
        <v>67</v>
      </c>
      <c r="BF4">
        <v>67</v>
      </c>
      <c r="BG4">
        <v>46</v>
      </c>
      <c r="BH4">
        <v>0</v>
      </c>
      <c r="BI4">
        <v>70</v>
      </c>
      <c r="BJ4">
        <v>0</v>
      </c>
      <c r="BK4">
        <v>0</v>
      </c>
      <c r="BL4">
        <v>0</v>
      </c>
      <c r="BM4">
        <v>0</v>
      </c>
      <c r="BN4">
        <v>0</v>
      </c>
      <c r="BO4">
        <v>768</v>
      </c>
    </row>
    <row r="5" spans="1:67">
      <c r="A5" t="s">
        <v>295</v>
      </c>
      <c r="B5" t="s">
        <v>110</v>
      </c>
      <c r="C5" t="s">
        <v>296</v>
      </c>
      <c r="D5">
        <v>0.133</v>
      </c>
      <c r="E5">
        <v>52</v>
      </c>
      <c r="F5">
        <v>0</v>
      </c>
      <c r="G5">
        <v>58</v>
      </c>
      <c r="H5">
        <v>0</v>
      </c>
      <c r="I5">
        <v>19</v>
      </c>
      <c r="J5">
        <v>0</v>
      </c>
      <c r="K5">
        <v>24</v>
      </c>
      <c r="L5">
        <v>0</v>
      </c>
      <c r="M5">
        <v>56</v>
      </c>
      <c r="N5">
        <v>0</v>
      </c>
      <c r="O5">
        <v>61</v>
      </c>
      <c r="P5">
        <v>0</v>
      </c>
      <c r="Q5">
        <v>65</v>
      </c>
      <c r="R5">
        <v>0</v>
      </c>
      <c r="S5">
        <v>50</v>
      </c>
      <c r="T5">
        <v>0</v>
      </c>
      <c r="U5">
        <v>16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55</v>
      </c>
      <c r="BD5">
        <v>61</v>
      </c>
      <c r="BE5">
        <v>67</v>
      </c>
      <c r="BF5">
        <v>67</v>
      </c>
      <c r="BG5">
        <v>44</v>
      </c>
      <c r="BH5">
        <v>0</v>
      </c>
      <c r="BI5">
        <v>69</v>
      </c>
      <c r="BJ5">
        <v>0</v>
      </c>
      <c r="BK5">
        <v>0</v>
      </c>
      <c r="BL5">
        <v>0</v>
      </c>
      <c r="BM5">
        <v>0</v>
      </c>
      <c r="BN5">
        <v>0</v>
      </c>
      <c r="BO5">
        <v>764</v>
      </c>
    </row>
    <row r="6" spans="1:67">
      <c r="A6" t="s">
        <v>297</v>
      </c>
      <c r="B6" t="s">
        <v>96</v>
      </c>
      <c r="C6" t="s">
        <v>298</v>
      </c>
      <c r="D6">
        <v>0.4</v>
      </c>
      <c r="E6">
        <v>275</v>
      </c>
      <c r="F6">
        <v>61</v>
      </c>
      <c r="G6">
        <v>362</v>
      </c>
      <c r="H6">
        <v>61</v>
      </c>
      <c r="I6">
        <v>92</v>
      </c>
      <c r="J6">
        <v>19</v>
      </c>
      <c r="K6">
        <v>104</v>
      </c>
      <c r="L6">
        <v>53</v>
      </c>
      <c r="M6">
        <v>297</v>
      </c>
      <c r="N6">
        <v>52</v>
      </c>
      <c r="O6">
        <v>354</v>
      </c>
      <c r="P6">
        <v>54</v>
      </c>
      <c r="Q6">
        <v>403</v>
      </c>
      <c r="R6">
        <v>57</v>
      </c>
      <c r="S6">
        <v>293</v>
      </c>
      <c r="T6">
        <v>39</v>
      </c>
      <c r="U6">
        <v>387</v>
      </c>
      <c r="V6">
        <v>59</v>
      </c>
      <c r="W6">
        <v>339</v>
      </c>
      <c r="X6">
        <v>61</v>
      </c>
      <c r="Y6">
        <v>313</v>
      </c>
      <c r="Z6">
        <v>62</v>
      </c>
      <c r="AA6">
        <v>294</v>
      </c>
      <c r="AB6">
        <v>62</v>
      </c>
      <c r="AC6">
        <v>387</v>
      </c>
      <c r="AD6">
        <v>119</v>
      </c>
      <c r="AE6">
        <v>401</v>
      </c>
      <c r="AF6">
        <v>105</v>
      </c>
      <c r="AG6">
        <v>282</v>
      </c>
      <c r="AH6">
        <v>0</v>
      </c>
      <c r="AI6">
        <v>363</v>
      </c>
      <c r="AJ6">
        <v>55</v>
      </c>
      <c r="AK6">
        <v>268</v>
      </c>
      <c r="AL6">
        <v>128</v>
      </c>
      <c r="AM6">
        <v>379</v>
      </c>
      <c r="AN6">
        <v>134</v>
      </c>
      <c r="AO6">
        <v>228</v>
      </c>
      <c r="AP6">
        <v>67</v>
      </c>
      <c r="AQ6">
        <v>125</v>
      </c>
      <c r="AR6">
        <v>392</v>
      </c>
      <c r="AS6">
        <v>0</v>
      </c>
      <c r="AT6">
        <v>0</v>
      </c>
      <c r="AU6">
        <v>60</v>
      </c>
      <c r="AV6">
        <v>314</v>
      </c>
      <c r="AW6">
        <v>67</v>
      </c>
      <c r="AX6">
        <v>365</v>
      </c>
      <c r="AY6">
        <v>69</v>
      </c>
      <c r="AZ6">
        <v>284</v>
      </c>
      <c r="BA6">
        <v>0</v>
      </c>
      <c r="BB6">
        <v>400</v>
      </c>
      <c r="BC6">
        <v>0</v>
      </c>
      <c r="BD6">
        <v>312</v>
      </c>
      <c r="BE6">
        <v>0</v>
      </c>
      <c r="BF6">
        <v>340</v>
      </c>
      <c r="BG6">
        <v>0</v>
      </c>
      <c r="BH6">
        <v>335</v>
      </c>
      <c r="BI6">
        <v>0</v>
      </c>
      <c r="BJ6">
        <v>391</v>
      </c>
      <c r="BK6">
        <v>0</v>
      </c>
      <c r="BL6">
        <v>0</v>
      </c>
      <c r="BM6">
        <v>0</v>
      </c>
      <c r="BN6">
        <v>0</v>
      </c>
      <c r="BO6">
        <v>10523</v>
      </c>
    </row>
    <row r="7" spans="1:67">
      <c r="A7" t="s">
        <v>299</v>
      </c>
      <c r="B7" t="s">
        <v>98</v>
      </c>
      <c r="C7" t="s">
        <v>300</v>
      </c>
      <c r="D7">
        <v>0.4</v>
      </c>
      <c r="E7">
        <v>384</v>
      </c>
      <c r="F7">
        <v>61</v>
      </c>
      <c r="G7">
        <v>340</v>
      </c>
      <c r="H7">
        <v>56</v>
      </c>
      <c r="I7">
        <v>110</v>
      </c>
      <c r="J7">
        <v>16</v>
      </c>
      <c r="K7">
        <v>154</v>
      </c>
      <c r="L7">
        <v>8</v>
      </c>
      <c r="M7">
        <v>380</v>
      </c>
      <c r="N7">
        <v>0</v>
      </c>
      <c r="O7">
        <v>355</v>
      </c>
      <c r="P7">
        <v>58</v>
      </c>
      <c r="Q7">
        <v>403</v>
      </c>
      <c r="R7">
        <v>53</v>
      </c>
      <c r="S7">
        <v>294</v>
      </c>
      <c r="T7">
        <v>44</v>
      </c>
      <c r="U7">
        <v>387</v>
      </c>
      <c r="V7">
        <v>64</v>
      </c>
      <c r="W7">
        <v>340</v>
      </c>
      <c r="X7">
        <v>59</v>
      </c>
      <c r="Y7">
        <v>314</v>
      </c>
      <c r="Z7">
        <v>59</v>
      </c>
      <c r="AA7">
        <v>308</v>
      </c>
      <c r="AB7">
        <v>60</v>
      </c>
      <c r="AC7">
        <v>306</v>
      </c>
      <c r="AD7">
        <v>62</v>
      </c>
      <c r="AE7">
        <v>402</v>
      </c>
      <c r="AF7">
        <v>60</v>
      </c>
      <c r="AG7">
        <v>277</v>
      </c>
      <c r="AH7">
        <v>0</v>
      </c>
      <c r="AI7">
        <v>332</v>
      </c>
      <c r="AJ7">
        <v>51</v>
      </c>
      <c r="AK7">
        <v>299</v>
      </c>
      <c r="AL7">
        <v>99</v>
      </c>
      <c r="AM7">
        <v>376</v>
      </c>
      <c r="AN7">
        <v>124</v>
      </c>
      <c r="AO7">
        <v>233</v>
      </c>
      <c r="AP7">
        <v>58</v>
      </c>
      <c r="AQ7">
        <v>85</v>
      </c>
      <c r="AR7">
        <v>359</v>
      </c>
      <c r="AS7">
        <v>0</v>
      </c>
      <c r="AT7">
        <v>0</v>
      </c>
      <c r="AU7">
        <v>54</v>
      </c>
      <c r="AV7">
        <v>280</v>
      </c>
      <c r="AW7">
        <v>67</v>
      </c>
      <c r="AX7">
        <v>366</v>
      </c>
      <c r="AY7">
        <v>67</v>
      </c>
      <c r="AZ7">
        <v>262</v>
      </c>
      <c r="BA7">
        <v>0</v>
      </c>
      <c r="BB7">
        <v>407</v>
      </c>
      <c r="BC7">
        <v>0</v>
      </c>
      <c r="BD7">
        <v>315</v>
      </c>
      <c r="BE7">
        <v>0</v>
      </c>
      <c r="BF7">
        <v>343</v>
      </c>
      <c r="BG7">
        <v>0</v>
      </c>
      <c r="BH7">
        <v>337</v>
      </c>
      <c r="BI7">
        <v>0</v>
      </c>
      <c r="BJ7">
        <v>392</v>
      </c>
      <c r="BK7">
        <v>0</v>
      </c>
      <c r="BL7">
        <v>0</v>
      </c>
      <c r="BM7">
        <v>0</v>
      </c>
      <c r="BN7">
        <v>0</v>
      </c>
      <c r="BO7">
        <v>10320</v>
      </c>
    </row>
    <row r="8" spans="1:67">
      <c r="A8" t="s">
        <v>301</v>
      </c>
      <c r="B8" t="s">
        <v>100</v>
      </c>
      <c r="C8" t="s">
        <v>302</v>
      </c>
      <c r="D8">
        <v>0.133</v>
      </c>
      <c r="E8">
        <v>329</v>
      </c>
      <c r="F8">
        <v>59</v>
      </c>
      <c r="G8">
        <v>343</v>
      </c>
      <c r="H8">
        <v>65</v>
      </c>
      <c r="I8">
        <v>72</v>
      </c>
      <c r="J8">
        <v>17</v>
      </c>
      <c r="K8">
        <v>88</v>
      </c>
      <c r="L8">
        <v>246</v>
      </c>
      <c r="M8">
        <v>335</v>
      </c>
      <c r="N8">
        <v>308</v>
      </c>
      <c r="O8">
        <v>321</v>
      </c>
      <c r="P8">
        <v>168</v>
      </c>
      <c r="Q8">
        <v>342</v>
      </c>
      <c r="R8">
        <v>130</v>
      </c>
      <c r="S8">
        <v>279</v>
      </c>
      <c r="T8">
        <v>45</v>
      </c>
      <c r="U8">
        <v>300</v>
      </c>
      <c r="V8">
        <v>59</v>
      </c>
      <c r="W8">
        <v>340</v>
      </c>
      <c r="X8">
        <v>61</v>
      </c>
      <c r="Y8">
        <v>313</v>
      </c>
      <c r="Z8">
        <v>44</v>
      </c>
      <c r="AA8">
        <v>274</v>
      </c>
      <c r="AB8">
        <v>61</v>
      </c>
      <c r="AC8">
        <v>314</v>
      </c>
      <c r="AD8">
        <v>58</v>
      </c>
      <c r="AE8">
        <v>368</v>
      </c>
      <c r="AF8">
        <v>62</v>
      </c>
      <c r="AG8">
        <v>262</v>
      </c>
      <c r="AH8">
        <v>0</v>
      </c>
      <c r="AI8">
        <v>304</v>
      </c>
      <c r="AJ8">
        <v>79</v>
      </c>
      <c r="AK8">
        <v>292</v>
      </c>
      <c r="AL8">
        <v>65</v>
      </c>
      <c r="AM8">
        <v>345</v>
      </c>
      <c r="AN8">
        <v>65</v>
      </c>
      <c r="AO8">
        <v>210</v>
      </c>
      <c r="AP8">
        <v>48</v>
      </c>
      <c r="AQ8">
        <v>62</v>
      </c>
      <c r="AR8">
        <v>357</v>
      </c>
      <c r="AS8">
        <v>0</v>
      </c>
      <c r="AT8">
        <v>0</v>
      </c>
      <c r="AU8">
        <v>56</v>
      </c>
      <c r="AV8">
        <v>286</v>
      </c>
      <c r="AW8">
        <v>68</v>
      </c>
      <c r="AX8">
        <v>347</v>
      </c>
      <c r="AY8">
        <v>70</v>
      </c>
      <c r="AZ8">
        <v>278</v>
      </c>
      <c r="BA8">
        <v>0</v>
      </c>
      <c r="BB8">
        <v>371</v>
      </c>
      <c r="BC8">
        <v>0</v>
      </c>
      <c r="BD8">
        <v>308</v>
      </c>
      <c r="BE8">
        <v>0</v>
      </c>
      <c r="BF8">
        <v>342</v>
      </c>
      <c r="BG8">
        <v>0</v>
      </c>
      <c r="BH8">
        <v>335</v>
      </c>
      <c r="BI8">
        <v>273</v>
      </c>
      <c r="BJ8">
        <v>390</v>
      </c>
      <c r="BK8">
        <v>0</v>
      </c>
      <c r="BL8">
        <v>0</v>
      </c>
      <c r="BM8">
        <v>0</v>
      </c>
      <c r="BN8">
        <v>0</v>
      </c>
      <c r="BO8">
        <v>10614</v>
      </c>
    </row>
    <row r="9" spans="1:67">
      <c r="A9" t="s">
        <v>303</v>
      </c>
      <c r="B9" t="s">
        <v>102</v>
      </c>
      <c r="C9" t="s">
        <v>304</v>
      </c>
      <c r="D9">
        <v>0.133</v>
      </c>
      <c r="E9">
        <v>328</v>
      </c>
      <c r="F9">
        <v>59</v>
      </c>
      <c r="G9">
        <v>344</v>
      </c>
      <c r="H9">
        <v>64</v>
      </c>
      <c r="I9">
        <v>130</v>
      </c>
      <c r="J9">
        <v>16</v>
      </c>
      <c r="K9">
        <v>88</v>
      </c>
      <c r="L9">
        <v>8</v>
      </c>
      <c r="M9">
        <v>335</v>
      </c>
      <c r="N9">
        <v>61</v>
      </c>
      <c r="O9">
        <v>322</v>
      </c>
      <c r="P9">
        <v>141</v>
      </c>
      <c r="Q9">
        <v>342</v>
      </c>
      <c r="R9">
        <v>179</v>
      </c>
      <c r="S9">
        <v>279</v>
      </c>
      <c r="T9">
        <v>32</v>
      </c>
      <c r="U9">
        <v>299</v>
      </c>
      <c r="V9">
        <v>112</v>
      </c>
      <c r="W9">
        <v>341</v>
      </c>
      <c r="X9">
        <v>130</v>
      </c>
      <c r="Y9">
        <v>314</v>
      </c>
      <c r="Z9">
        <v>133</v>
      </c>
      <c r="AA9">
        <v>274</v>
      </c>
      <c r="AB9">
        <v>128</v>
      </c>
      <c r="AC9">
        <v>315</v>
      </c>
      <c r="AD9">
        <v>117</v>
      </c>
      <c r="AE9">
        <v>369</v>
      </c>
      <c r="AF9">
        <v>87</v>
      </c>
      <c r="AG9">
        <v>262</v>
      </c>
      <c r="AH9">
        <v>0</v>
      </c>
      <c r="AI9">
        <v>339</v>
      </c>
      <c r="AJ9">
        <v>79</v>
      </c>
      <c r="AK9">
        <v>293</v>
      </c>
      <c r="AL9">
        <v>60</v>
      </c>
      <c r="AM9">
        <v>346</v>
      </c>
      <c r="AN9">
        <v>66</v>
      </c>
      <c r="AO9">
        <v>211</v>
      </c>
      <c r="AP9">
        <v>51</v>
      </c>
      <c r="AQ9">
        <v>66</v>
      </c>
      <c r="AR9">
        <v>357</v>
      </c>
      <c r="AS9">
        <v>0</v>
      </c>
      <c r="AT9">
        <v>0</v>
      </c>
      <c r="AU9">
        <v>36</v>
      </c>
      <c r="AV9">
        <v>287</v>
      </c>
      <c r="AW9">
        <v>63</v>
      </c>
      <c r="AX9">
        <v>347</v>
      </c>
      <c r="AY9">
        <v>69</v>
      </c>
      <c r="AZ9">
        <v>279</v>
      </c>
      <c r="BA9">
        <v>0</v>
      </c>
      <c r="BB9">
        <v>371</v>
      </c>
      <c r="BC9">
        <v>0</v>
      </c>
      <c r="BD9">
        <v>309</v>
      </c>
      <c r="BE9">
        <v>0</v>
      </c>
      <c r="BF9">
        <v>342</v>
      </c>
      <c r="BG9">
        <v>0</v>
      </c>
      <c r="BH9">
        <v>336</v>
      </c>
      <c r="BI9">
        <v>0</v>
      </c>
      <c r="BJ9">
        <v>393</v>
      </c>
      <c r="BK9">
        <v>0</v>
      </c>
      <c r="BL9">
        <v>0</v>
      </c>
      <c r="BM9">
        <v>0</v>
      </c>
      <c r="BN9">
        <v>0</v>
      </c>
      <c r="BO9">
        <v>10309</v>
      </c>
    </row>
    <row r="10" spans="1:67">
      <c r="A10" t="s">
        <v>305</v>
      </c>
      <c r="B10" t="s">
        <v>116</v>
      </c>
      <c r="C10" t="s">
        <v>306</v>
      </c>
      <c r="D10">
        <v>0.23</v>
      </c>
      <c r="E10">
        <v>337</v>
      </c>
      <c r="F10">
        <v>148</v>
      </c>
      <c r="G10">
        <v>352</v>
      </c>
      <c r="H10">
        <v>191</v>
      </c>
      <c r="I10">
        <v>116</v>
      </c>
      <c r="J10">
        <v>37</v>
      </c>
      <c r="K10">
        <v>127</v>
      </c>
      <c r="L10">
        <v>54</v>
      </c>
      <c r="M10">
        <v>337</v>
      </c>
      <c r="N10">
        <v>64</v>
      </c>
      <c r="O10">
        <v>431</v>
      </c>
      <c r="P10">
        <v>125</v>
      </c>
      <c r="Q10">
        <v>474</v>
      </c>
      <c r="R10">
        <v>127</v>
      </c>
      <c r="S10">
        <v>355</v>
      </c>
      <c r="T10">
        <v>41</v>
      </c>
      <c r="U10">
        <v>390</v>
      </c>
      <c r="V10">
        <v>130</v>
      </c>
      <c r="W10">
        <v>403</v>
      </c>
      <c r="X10">
        <v>125</v>
      </c>
      <c r="Y10">
        <v>432</v>
      </c>
      <c r="Z10">
        <v>0</v>
      </c>
      <c r="AA10">
        <v>323</v>
      </c>
      <c r="AB10">
        <v>0</v>
      </c>
      <c r="AC10">
        <v>405</v>
      </c>
      <c r="AD10">
        <v>0</v>
      </c>
      <c r="AE10">
        <v>473</v>
      </c>
      <c r="AF10">
        <v>0</v>
      </c>
      <c r="AG10">
        <v>348</v>
      </c>
      <c r="AH10">
        <v>0</v>
      </c>
      <c r="AI10">
        <v>359</v>
      </c>
      <c r="AJ10">
        <v>0</v>
      </c>
      <c r="AK10">
        <v>372</v>
      </c>
      <c r="AL10">
        <v>0</v>
      </c>
      <c r="AM10">
        <v>416</v>
      </c>
      <c r="AN10">
        <v>0</v>
      </c>
      <c r="AO10">
        <v>234</v>
      </c>
      <c r="AP10">
        <v>0</v>
      </c>
      <c r="AQ10">
        <v>0</v>
      </c>
      <c r="AR10">
        <v>377</v>
      </c>
      <c r="AS10">
        <v>0</v>
      </c>
      <c r="AT10">
        <v>0</v>
      </c>
      <c r="AU10">
        <v>54</v>
      </c>
      <c r="AV10">
        <v>317</v>
      </c>
      <c r="AW10">
        <v>0</v>
      </c>
      <c r="AX10">
        <v>429</v>
      </c>
      <c r="AY10">
        <v>0</v>
      </c>
      <c r="AZ10">
        <v>367</v>
      </c>
      <c r="BA10">
        <v>0</v>
      </c>
      <c r="BB10">
        <v>433</v>
      </c>
      <c r="BC10">
        <v>0</v>
      </c>
      <c r="BD10">
        <v>435</v>
      </c>
      <c r="BE10">
        <v>66</v>
      </c>
      <c r="BF10">
        <v>469</v>
      </c>
      <c r="BG10">
        <v>67</v>
      </c>
      <c r="BH10">
        <v>469</v>
      </c>
      <c r="BI10">
        <v>0</v>
      </c>
      <c r="BJ10">
        <v>471</v>
      </c>
      <c r="BK10">
        <v>0</v>
      </c>
      <c r="BL10">
        <v>0</v>
      </c>
      <c r="BM10">
        <v>0</v>
      </c>
      <c r="BN10">
        <v>0</v>
      </c>
      <c r="BO10">
        <v>11680</v>
      </c>
    </row>
    <row r="11" spans="1:67">
      <c r="A11" t="s">
        <v>307</v>
      </c>
      <c r="B11" t="s">
        <v>112</v>
      </c>
      <c r="C11" t="s">
        <v>308</v>
      </c>
      <c r="D11">
        <v>0.25</v>
      </c>
      <c r="E11">
        <v>290</v>
      </c>
      <c r="F11">
        <v>127</v>
      </c>
      <c r="G11">
        <v>349</v>
      </c>
      <c r="H11">
        <v>127</v>
      </c>
      <c r="I11">
        <v>116</v>
      </c>
      <c r="J11">
        <v>42</v>
      </c>
      <c r="K11">
        <v>109</v>
      </c>
      <c r="L11">
        <v>20</v>
      </c>
      <c r="M11">
        <v>278</v>
      </c>
      <c r="N11">
        <v>64</v>
      </c>
      <c r="O11">
        <v>368</v>
      </c>
      <c r="P11">
        <v>125</v>
      </c>
      <c r="Q11">
        <v>405</v>
      </c>
      <c r="R11">
        <v>126</v>
      </c>
      <c r="S11">
        <v>303</v>
      </c>
      <c r="T11">
        <v>114</v>
      </c>
      <c r="U11">
        <v>331</v>
      </c>
      <c r="V11">
        <v>130</v>
      </c>
      <c r="W11">
        <v>341</v>
      </c>
      <c r="X11">
        <v>125</v>
      </c>
      <c r="Y11">
        <v>368</v>
      </c>
      <c r="Z11">
        <v>184</v>
      </c>
      <c r="AA11">
        <v>322</v>
      </c>
      <c r="AB11">
        <v>127</v>
      </c>
      <c r="AC11">
        <v>330</v>
      </c>
      <c r="AD11">
        <v>123</v>
      </c>
      <c r="AE11">
        <v>406</v>
      </c>
      <c r="AF11">
        <v>119</v>
      </c>
      <c r="AG11">
        <v>301</v>
      </c>
      <c r="AH11">
        <v>0</v>
      </c>
      <c r="AI11">
        <v>420</v>
      </c>
      <c r="AJ11">
        <v>113</v>
      </c>
      <c r="AK11">
        <v>320</v>
      </c>
      <c r="AL11">
        <v>125</v>
      </c>
      <c r="AM11">
        <v>387</v>
      </c>
      <c r="AN11">
        <v>0</v>
      </c>
      <c r="AO11">
        <v>228</v>
      </c>
      <c r="AP11">
        <v>0</v>
      </c>
      <c r="AQ11">
        <v>0</v>
      </c>
      <c r="AR11">
        <v>365</v>
      </c>
      <c r="AS11">
        <v>0</v>
      </c>
      <c r="AT11">
        <v>0</v>
      </c>
      <c r="AU11">
        <v>54</v>
      </c>
      <c r="AV11">
        <v>317</v>
      </c>
      <c r="AW11">
        <v>0</v>
      </c>
      <c r="AX11">
        <v>390</v>
      </c>
      <c r="AY11">
        <v>0</v>
      </c>
      <c r="AZ11">
        <v>314</v>
      </c>
      <c r="BA11">
        <v>0</v>
      </c>
      <c r="BB11">
        <v>407</v>
      </c>
      <c r="BC11">
        <v>0</v>
      </c>
      <c r="BD11">
        <v>372</v>
      </c>
      <c r="BE11">
        <v>66</v>
      </c>
      <c r="BF11">
        <v>402</v>
      </c>
      <c r="BG11">
        <v>67</v>
      </c>
      <c r="BH11">
        <v>369</v>
      </c>
      <c r="BI11">
        <v>0</v>
      </c>
      <c r="BJ11">
        <v>373</v>
      </c>
      <c r="BK11">
        <v>0</v>
      </c>
      <c r="BL11">
        <v>0</v>
      </c>
      <c r="BM11">
        <v>0</v>
      </c>
      <c r="BN11">
        <v>0</v>
      </c>
      <c r="BO11">
        <v>11259</v>
      </c>
    </row>
    <row r="12" spans="1:67">
      <c r="A12" t="s">
        <v>309</v>
      </c>
      <c r="B12" t="s">
        <v>114</v>
      </c>
      <c r="C12" t="s">
        <v>310</v>
      </c>
      <c r="D12">
        <v>0.25</v>
      </c>
      <c r="E12">
        <v>50</v>
      </c>
      <c r="F12">
        <v>0</v>
      </c>
      <c r="G12">
        <v>59</v>
      </c>
      <c r="H12">
        <v>0</v>
      </c>
      <c r="I12">
        <v>19</v>
      </c>
      <c r="J12">
        <v>0</v>
      </c>
      <c r="K12">
        <v>23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1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10</v>
      </c>
      <c r="AW12">
        <v>66</v>
      </c>
      <c r="AX12">
        <v>4</v>
      </c>
      <c r="AY12">
        <v>69</v>
      </c>
      <c r="AZ12">
        <v>0</v>
      </c>
      <c r="BA12">
        <v>52</v>
      </c>
      <c r="BB12">
        <v>0</v>
      </c>
      <c r="BC12">
        <v>58</v>
      </c>
      <c r="BD12">
        <v>0</v>
      </c>
      <c r="BE12">
        <v>67</v>
      </c>
      <c r="BF12">
        <v>0</v>
      </c>
      <c r="BG12">
        <v>67</v>
      </c>
      <c r="BH12">
        <v>0</v>
      </c>
      <c r="BI12">
        <v>69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614</v>
      </c>
    </row>
    <row r="13" spans="1:67">
      <c r="A13" t="s">
        <v>311</v>
      </c>
      <c r="B13" t="s">
        <v>118</v>
      </c>
      <c r="C13" t="s">
        <v>312</v>
      </c>
      <c r="D13">
        <v>0.67</v>
      </c>
      <c r="E13">
        <v>330</v>
      </c>
      <c r="F13">
        <v>63</v>
      </c>
      <c r="G13">
        <v>332</v>
      </c>
      <c r="H13">
        <v>61</v>
      </c>
      <c r="I13">
        <v>115</v>
      </c>
      <c r="J13">
        <v>33</v>
      </c>
      <c r="K13">
        <v>130</v>
      </c>
      <c r="L13">
        <v>47</v>
      </c>
      <c r="M13">
        <v>342</v>
      </c>
      <c r="N13">
        <v>60</v>
      </c>
      <c r="O13">
        <v>294</v>
      </c>
      <c r="P13">
        <v>122</v>
      </c>
      <c r="Q13">
        <v>372</v>
      </c>
      <c r="R13">
        <v>178</v>
      </c>
      <c r="S13">
        <v>285</v>
      </c>
      <c r="T13">
        <v>120</v>
      </c>
      <c r="U13">
        <v>300</v>
      </c>
      <c r="V13">
        <v>187</v>
      </c>
      <c r="W13">
        <v>320</v>
      </c>
      <c r="X13">
        <v>184</v>
      </c>
      <c r="Y13">
        <v>350</v>
      </c>
      <c r="Z13">
        <v>185</v>
      </c>
      <c r="AA13">
        <v>272</v>
      </c>
      <c r="AB13">
        <v>190</v>
      </c>
      <c r="AC13">
        <v>343</v>
      </c>
      <c r="AD13">
        <v>186</v>
      </c>
      <c r="AE13">
        <v>404</v>
      </c>
      <c r="AF13">
        <v>182</v>
      </c>
      <c r="AG13">
        <v>181</v>
      </c>
      <c r="AH13">
        <v>0</v>
      </c>
      <c r="AI13">
        <v>271</v>
      </c>
      <c r="AJ13">
        <v>0</v>
      </c>
      <c r="AK13">
        <v>319</v>
      </c>
      <c r="AL13">
        <v>0</v>
      </c>
      <c r="AM13">
        <v>397</v>
      </c>
      <c r="AN13">
        <v>0</v>
      </c>
      <c r="AO13">
        <v>199</v>
      </c>
      <c r="AP13">
        <v>0</v>
      </c>
      <c r="AQ13">
        <v>0</v>
      </c>
      <c r="AR13">
        <v>348</v>
      </c>
      <c r="AS13">
        <v>0</v>
      </c>
      <c r="AT13">
        <v>0</v>
      </c>
      <c r="AU13">
        <v>37</v>
      </c>
      <c r="AV13">
        <v>311</v>
      </c>
      <c r="AW13">
        <v>0</v>
      </c>
      <c r="AX13">
        <v>390</v>
      </c>
      <c r="AY13">
        <v>0</v>
      </c>
      <c r="AZ13">
        <v>302</v>
      </c>
      <c r="BA13">
        <v>0</v>
      </c>
      <c r="BB13">
        <v>401</v>
      </c>
      <c r="BC13">
        <v>0</v>
      </c>
      <c r="BD13">
        <v>315</v>
      </c>
      <c r="BE13">
        <v>66</v>
      </c>
      <c r="BF13">
        <v>341</v>
      </c>
      <c r="BG13">
        <v>67</v>
      </c>
      <c r="BH13">
        <v>334</v>
      </c>
      <c r="BI13">
        <v>0</v>
      </c>
      <c r="BJ13">
        <v>406</v>
      </c>
      <c r="BK13">
        <v>0</v>
      </c>
      <c r="BL13">
        <v>0</v>
      </c>
      <c r="BM13">
        <v>0</v>
      </c>
      <c r="BN13">
        <v>0</v>
      </c>
      <c r="BO13">
        <v>10672</v>
      </c>
    </row>
    <row r="14" spans="1:67">
      <c r="A14" t="s">
        <v>313</v>
      </c>
      <c r="B14" t="s">
        <v>70</v>
      </c>
      <c r="C14" t="s">
        <v>314</v>
      </c>
      <c r="D14">
        <v>0.25</v>
      </c>
      <c r="E14">
        <v>55</v>
      </c>
      <c r="F14">
        <v>60</v>
      </c>
      <c r="G14">
        <v>58</v>
      </c>
      <c r="H14">
        <v>59</v>
      </c>
      <c r="I14">
        <v>19</v>
      </c>
      <c r="J14">
        <v>19</v>
      </c>
      <c r="K14">
        <v>20</v>
      </c>
      <c r="L14">
        <v>59</v>
      </c>
      <c r="M14">
        <v>59</v>
      </c>
      <c r="N14">
        <v>66</v>
      </c>
      <c r="O14">
        <v>62</v>
      </c>
      <c r="P14">
        <v>64</v>
      </c>
      <c r="Q14">
        <v>69</v>
      </c>
      <c r="R14">
        <v>65</v>
      </c>
      <c r="S14">
        <v>52</v>
      </c>
      <c r="T14">
        <v>48</v>
      </c>
      <c r="U14">
        <v>52</v>
      </c>
      <c r="V14">
        <v>66</v>
      </c>
      <c r="W14">
        <v>118</v>
      </c>
      <c r="X14">
        <v>59</v>
      </c>
      <c r="Y14">
        <v>127</v>
      </c>
      <c r="Z14">
        <v>61</v>
      </c>
      <c r="AA14">
        <v>105</v>
      </c>
      <c r="AB14">
        <v>63</v>
      </c>
      <c r="AC14">
        <v>116</v>
      </c>
      <c r="AD14">
        <v>57</v>
      </c>
      <c r="AE14">
        <v>134</v>
      </c>
      <c r="AF14">
        <v>57</v>
      </c>
      <c r="AG14">
        <v>98</v>
      </c>
      <c r="AH14">
        <v>63</v>
      </c>
      <c r="AI14">
        <v>120</v>
      </c>
      <c r="AJ14">
        <v>55</v>
      </c>
      <c r="AK14">
        <v>107</v>
      </c>
      <c r="AL14">
        <v>49</v>
      </c>
      <c r="AM14">
        <v>84</v>
      </c>
      <c r="AN14">
        <v>66</v>
      </c>
      <c r="AO14">
        <v>11</v>
      </c>
      <c r="AP14">
        <v>27</v>
      </c>
      <c r="AQ14">
        <v>63</v>
      </c>
      <c r="AR14">
        <v>67</v>
      </c>
      <c r="AS14">
        <v>0</v>
      </c>
      <c r="AT14">
        <v>0</v>
      </c>
      <c r="AU14">
        <v>48</v>
      </c>
      <c r="AV14">
        <v>52</v>
      </c>
      <c r="AW14">
        <v>67</v>
      </c>
      <c r="AX14">
        <v>65</v>
      </c>
      <c r="AY14">
        <v>67</v>
      </c>
      <c r="AZ14">
        <v>53</v>
      </c>
      <c r="BA14">
        <v>53</v>
      </c>
      <c r="BB14">
        <v>68</v>
      </c>
      <c r="BC14">
        <v>58</v>
      </c>
      <c r="BD14">
        <v>62</v>
      </c>
      <c r="BE14">
        <v>65</v>
      </c>
      <c r="BF14">
        <v>67</v>
      </c>
      <c r="BG14">
        <v>67</v>
      </c>
      <c r="BH14">
        <v>66</v>
      </c>
      <c r="BI14">
        <v>70</v>
      </c>
      <c r="BJ14">
        <v>67</v>
      </c>
      <c r="BK14">
        <v>0</v>
      </c>
      <c r="BL14">
        <v>0</v>
      </c>
      <c r="BM14">
        <v>0</v>
      </c>
      <c r="BN14">
        <v>0</v>
      </c>
      <c r="BO14">
        <v>3654</v>
      </c>
    </row>
    <row r="15" spans="1:67">
      <c r="A15" t="s">
        <v>315</v>
      </c>
      <c r="B15" t="s">
        <v>80</v>
      </c>
      <c r="C15" t="s">
        <v>316</v>
      </c>
      <c r="D15">
        <v>0.25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</row>
    <row r="16" spans="1:67">
      <c r="A16" t="s">
        <v>317</v>
      </c>
      <c r="B16" t="s">
        <v>74</v>
      </c>
      <c r="C16" t="s">
        <v>318</v>
      </c>
      <c r="D16">
        <v>0.25</v>
      </c>
      <c r="E16">
        <v>110</v>
      </c>
      <c r="F16">
        <v>91</v>
      </c>
      <c r="G16">
        <v>119</v>
      </c>
      <c r="H16">
        <v>77</v>
      </c>
      <c r="I16">
        <v>20</v>
      </c>
      <c r="J16">
        <v>16</v>
      </c>
      <c r="K16">
        <v>21</v>
      </c>
      <c r="L16">
        <v>57</v>
      </c>
      <c r="M16">
        <v>57</v>
      </c>
      <c r="N16">
        <v>59</v>
      </c>
      <c r="O16">
        <v>61</v>
      </c>
      <c r="P16">
        <v>57</v>
      </c>
      <c r="Q16">
        <v>66</v>
      </c>
      <c r="R16">
        <v>60</v>
      </c>
      <c r="S16">
        <v>50</v>
      </c>
      <c r="T16">
        <v>46</v>
      </c>
      <c r="U16">
        <v>58</v>
      </c>
      <c r="V16">
        <v>55</v>
      </c>
      <c r="W16">
        <v>62</v>
      </c>
      <c r="X16">
        <v>57</v>
      </c>
      <c r="Y16">
        <v>61</v>
      </c>
      <c r="Z16">
        <v>60</v>
      </c>
      <c r="AA16">
        <v>55</v>
      </c>
      <c r="AB16">
        <v>62</v>
      </c>
      <c r="AC16">
        <v>58</v>
      </c>
      <c r="AD16">
        <v>61</v>
      </c>
      <c r="AE16">
        <v>68</v>
      </c>
      <c r="AF16">
        <v>48</v>
      </c>
      <c r="AG16">
        <v>45</v>
      </c>
      <c r="AH16">
        <v>60</v>
      </c>
      <c r="AI16">
        <v>60</v>
      </c>
      <c r="AJ16">
        <v>56</v>
      </c>
      <c r="AK16">
        <v>53</v>
      </c>
      <c r="AL16">
        <v>58</v>
      </c>
      <c r="AM16">
        <v>61</v>
      </c>
      <c r="AN16">
        <v>52</v>
      </c>
      <c r="AO16">
        <v>38</v>
      </c>
      <c r="AP16">
        <v>46</v>
      </c>
      <c r="AQ16">
        <v>62</v>
      </c>
      <c r="AR16">
        <v>63</v>
      </c>
      <c r="AS16">
        <v>0</v>
      </c>
      <c r="AT16">
        <v>0</v>
      </c>
      <c r="AU16">
        <v>53</v>
      </c>
      <c r="AV16">
        <v>54</v>
      </c>
      <c r="AW16">
        <v>63</v>
      </c>
      <c r="AX16">
        <v>66</v>
      </c>
      <c r="AY16">
        <v>70</v>
      </c>
      <c r="AZ16">
        <v>53</v>
      </c>
      <c r="BA16">
        <v>50</v>
      </c>
      <c r="BB16">
        <v>66</v>
      </c>
      <c r="BC16">
        <v>58</v>
      </c>
      <c r="BD16">
        <v>62</v>
      </c>
      <c r="BE16">
        <v>68</v>
      </c>
      <c r="BF16">
        <v>66</v>
      </c>
      <c r="BG16">
        <v>67</v>
      </c>
      <c r="BH16">
        <v>66</v>
      </c>
      <c r="BI16">
        <v>69</v>
      </c>
      <c r="BJ16">
        <v>69</v>
      </c>
      <c r="BK16">
        <v>0</v>
      </c>
      <c r="BL16">
        <v>0</v>
      </c>
      <c r="BM16">
        <v>0</v>
      </c>
      <c r="BN16">
        <v>0</v>
      </c>
      <c r="BO16">
        <v>3326</v>
      </c>
    </row>
    <row r="17" spans="1:67">
      <c r="A17" t="s">
        <v>319</v>
      </c>
      <c r="B17" t="s">
        <v>82</v>
      </c>
      <c r="C17" t="s">
        <v>320</v>
      </c>
      <c r="D17">
        <v>0.25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</row>
    <row r="18" spans="1:67">
      <c r="A18" t="s">
        <v>321</v>
      </c>
      <c r="B18" t="s">
        <v>76</v>
      </c>
      <c r="C18" t="s">
        <v>322</v>
      </c>
      <c r="D18">
        <v>0.23</v>
      </c>
      <c r="E18">
        <v>56</v>
      </c>
      <c r="F18">
        <v>61</v>
      </c>
      <c r="G18">
        <v>58</v>
      </c>
      <c r="H18">
        <v>61</v>
      </c>
      <c r="I18">
        <v>19</v>
      </c>
      <c r="J18">
        <v>18</v>
      </c>
      <c r="K18">
        <v>20</v>
      </c>
      <c r="L18">
        <v>59</v>
      </c>
      <c r="M18">
        <v>59</v>
      </c>
      <c r="N18">
        <v>66</v>
      </c>
      <c r="O18">
        <v>62</v>
      </c>
      <c r="P18">
        <v>64</v>
      </c>
      <c r="Q18">
        <v>69</v>
      </c>
      <c r="R18">
        <v>65</v>
      </c>
      <c r="S18">
        <v>52</v>
      </c>
      <c r="T18">
        <v>17</v>
      </c>
      <c r="U18">
        <v>56</v>
      </c>
      <c r="V18">
        <v>66</v>
      </c>
      <c r="W18">
        <v>112</v>
      </c>
      <c r="X18">
        <v>59</v>
      </c>
      <c r="Y18">
        <v>99</v>
      </c>
      <c r="Z18">
        <v>61</v>
      </c>
      <c r="AA18">
        <v>105</v>
      </c>
      <c r="AB18">
        <v>63</v>
      </c>
      <c r="AC18">
        <v>116</v>
      </c>
      <c r="AD18">
        <v>57</v>
      </c>
      <c r="AE18">
        <v>110</v>
      </c>
      <c r="AF18">
        <v>57</v>
      </c>
      <c r="AG18">
        <v>88</v>
      </c>
      <c r="AH18">
        <v>63</v>
      </c>
      <c r="AI18">
        <v>120</v>
      </c>
      <c r="AJ18">
        <v>55</v>
      </c>
      <c r="AK18">
        <v>107</v>
      </c>
      <c r="AL18">
        <v>63</v>
      </c>
      <c r="AM18">
        <v>84</v>
      </c>
      <c r="AN18">
        <v>66</v>
      </c>
      <c r="AO18">
        <v>11</v>
      </c>
      <c r="AP18">
        <v>27</v>
      </c>
      <c r="AQ18">
        <v>63</v>
      </c>
      <c r="AR18">
        <v>67</v>
      </c>
      <c r="AS18">
        <v>0</v>
      </c>
      <c r="AT18">
        <v>0</v>
      </c>
      <c r="AU18">
        <v>48</v>
      </c>
      <c r="AV18">
        <v>52</v>
      </c>
      <c r="AW18">
        <v>67</v>
      </c>
      <c r="AX18">
        <v>65</v>
      </c>
      <c r="AY18">
        <v>67</v>
      </c>
      <c r="AZ18">
        <v>53</v>
      </c>
      <c r="BA18">
        <v>53</v>
      </c>
      <c r="BB18">
        <v>68</v>
      </c>
      <c r="BC18">
        <v>58</v>
      </c>
      <c r="BD18">
        <v>63</v>
      </c>
      <c r="BE18">
        <v>67</v>
      </c>
      <c r="BF18">
        <v>67</v>
      </c>
      <c r="BG18">
        <v>67</v>
      </c>
      <c r="BH18">
        <v>66</v>
      </c>
      <c r="BI18">
        <v>70</v>
      </c>
      <c r="BJ18">
        <v>67</v>
      </c>
      <c r="BK18">
        <v>0</v>
      </c>
      <c r="BL18">
        <v>0</v>
      </c>
      <c r="BM18">
        <v>0</v>
      </c>
      <c r="BN18">
        <v>0</v>
      </c>
      <c r="BO18">
        <v>3579</v>
      </c>
    </row>
    <row r="19" spans="1:67">
      <c r="A19" t="s">
        <v>323</v>
      </c>
      <c r="B19" t="s">
        <v>84</v>
      </c>
      <c r="C19" t="s">
        <v>324</v>
      </c>
      <c r="D19">
        <v>0.23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</row>
    <row r="20" spans="1:67">
      <c r="A20" t="s">
        <v>325</v>
      </c>
      <c r="B20" t="s">
        <v>78</v>
      </c>
      <c r="C20" t="s">
        <v>326</v>
      </c>
      <c r="D20">
        <v>0.23</v>
      </c>
      <c r="E20">
        <v>110</v>
      </c>
      <c r="F20">
        <v>91</v>
      </c>
      <c r="G20">
        <v>119</v>
      </c>
      <c r="H20">
        <v>85</v>
      </c>
      <c r="I20">
        <v>20</v>
      </c>
      <c r="J20">
        <v>13</v>
      </c>
      <c r="K20">
        <v>21</v>
      </c>
      <c r="L20">
        <v>58</v>
      </c>
      <c r="M20">
        <v>57</v>
      </c>
      <c r="N20">
        <v>59</v>
      </c>
      <c r="O20">
        <v>61</v>
      </c>
      <c r="P20">
        <v>57</v>
      </c>
      <c r="Q20">
        <v>66</v>
      </c>
      <c r="R20">
        <v>60</v>
      </c>
      <c r="S20">
        <v>50</v>
      </c>
      <c r="T20">
        <v>46</v>
      </c>
      <c r="U20">
        <v>57</v>
      </c>
      <c r="V20">
        <v>57</v>
      </c>
      <c r="W20">
        <v>62</v>
      </c>
      <c r="X20">
        <v>59</v>
      </c>
      <c r="Y20">
        <v>61</v>
      </c>
      <c r="Z20">
        <v>60</v>
      </c>
      <c r="AA20">
        <v>55</v>
      </c>
      <c r="AB20">
        <v>65</v>
      </c>
      <c r="AC20">
        <v>58</v>
      </c>
      <c r="AD20">
        <v>61</v>
      </c>
      <c r="AE20">
        <v>68</v>
      </c>
      <c r="AF20">
        <v>49</v>
      </c>
      <c r="AG20">
        <v>45</v>
      </c>
      <c r="AH20">
        <v>62</v>
      </c>
      <c r="AI20">
        <v>60</v>
      </c>
      <c r="AJ20">
        <v>56</v>
      </c>
      <c r="AK20">
        <v>53</v>
      </c>
      <c r="AL20">
        <v>60</v>
      </c>
      <c r="AM20">
        <v>62</v>
      </c>
      <c r="AN20">
        <v>66</v>
      </c>
      <c r="AO20">
        <v>38</v>
      </c>
      <c r="AP20">
        <v>46</v>
      </c>
      <c r="AQ20">
        <v>62</v>
      </c>
      <c r="AR20">
        <v>63</v>
      </c>
      <c r="AS20">
        <v>0</v>
      </c>
      <c r="AT20">
        <v>0</v>
      </c>
      <c r="AU20">
        <v>53</v>
      </c>
      <c r="AV20">
        <v>54</v>
      </c>
      <c r="AW20">
        <v>63</v>
      </c>
      <c r="AX20">
        <v>66</v>
      </c>
      <c r="AY20">
        <v>70</v>
      </c>
      <c r="AZ20">
        <v>53</v>
      </c>
      <c r="BA20">
        <v>50</v>
      </c>
      <c r="BB20">
        <v>66</v>
      </c>
      <c r="BC20">
        <v>58</v>
      </c>
      <c r="BD20">
        <v>62</v>
      </c>
      <c r="BE20">
        <v>68</v>
      </c>
      <c r="BF20">
        <v>66</v>
      </c>
      <c r="BG20">
        <v>67</v>
      </c>
      <c r="BH20">
        <v>66</v>
      </c>
      <c r="BI20">
        <v>69</v>
      </c>
      <c r="BJ20">
        <v>69</v>
      </c>
      <c r="BK20">
        <v>0</v>
      </c>
      <c r="BL20">
        <v>0</v>
      </c>
      <c r="BM20">
        <v>0</v>
      </c>
      <c r="BN20">
        <v>0</v>
      </c>
      <c r="BO20">
        <v>3358</v>
      </c>
    </row>
    <row r="21" spans="1:67">
      <c r="A21" t="s">
        <v>327</v>
      </c>
      <c r="B21" t="s">
        <v>86</v>
      </c>
      <c r="C21" t="s">
        <v>328</v>
      </c>
      <c r="D21">
        <v>0.23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</row>
    <row r="22" spans="1:67">
      <c r="A22" t="s">
        <v>329</v>
      </c>
      <c r="B22" t="s">
        <v>92</v>
      </c>
      <c r="C22" t="s">
        <v>330</v>
      </c>
      <c r="D22">
        <v>0.133</v>
      </c>
      <c r="E22">
        <v>67</v>
      </c>
      <c r="F22">
        <v>69</v>
      </c>
      <c r="G22">
        <v>90</v>
      </c>
      <c r="H22">
        <v>79</v>
      </c>
      <c r="I22">
        <v>3</v>
      </c>
      <c r="J22">
        <v>0</v>
      </c>
      <c r="K22">
        <v>0</v>
      </c>
      <c r="L22">
        <v>0</v>
      </c>
      <c r="M22">
        <v>1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7</v>
      </c>
      <c r="X22">
        <v>0</v>
      </c>
      <c r="Y22">
        <v>0</v>
      </c>
      <c r="Z22">
        <v>0</v>
      </c>
      <c r="AA22">
        <v>0</v>
      </c>
      <c r="AB22">
        <v>0</v>
      </c>
      <c r="AC22">
        <v>42</v>
      </c>
      <c r="AD22">
        <v>0</v>
      </c>
      <c r="AE22">
        <v>17</v>
      </c>
      <c r="AF22">
        <v>0</v>
      </c>
      <c r="AG22">
        <v>0</v>
      </c>
      <c r="AH22">
        <v>0</v>
      </c>
      <c r="AI22">
        <v>6</v>
      </c>
      <c r="AJ22">
        <v>0</v>
      </c>
      <c r="AK22">
        <v>0</v>
      </c>
      <c r="AL22">
        <v>44</v>
      </c>
      <c r="AM22">
        <v>64</v>
      </c>
      <c r="AN22">
        <v>66</v>
      </c>
      <c r="AO22">
        <v>41</v>
      </c>
      <c r="AP22">
        <v>47</v>
      </c>
      <c r="AQ22">
        <v>61</v>
      </c>
      <c r="AR22">
        <v>0</v>
      </c>
      <c r="AS22">
        <v>0</v>
      </c>
      <c r="AT22">
        <v>0</v>
      </c>
      <c r="AU22">
        <v>1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705</v>
      </c>
    </row>
    <row r="23" spans="1:67">
      <c r="A23" t="s">
        <v>331</v>
      </c>
      <c r="B23" t="s">
        <v>94</v>
      </c>
      <c r="C23" t="s">
        <v>332</v>
      </c>
      <c r="D23">
        <v>0.133</v>
      </c>
      <c r="E23">
        <v>66</v>
      </c>
      <c r="F23">
        <v>120</v>
      </c>
      <c r="G23">
        <v>89</v>
      </c>
      <c r="H23">
        <v>70</v>
      </c>
      <c r="I23">
        <v>0</v>
      </c>
      <c r="J23">
        <v>1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43</v>
      </c>
      <c r="AD23">
        <v>0</v>
      </c>
      <c r="AE23">
        <v>18</v>
      </c>
      <c r="AF23">
        <v>0</v>
      </c>
      <c r="AG23">
        <v>0</v>
      </c>
      <c r="AH23">
        <v>0</v>
      </c>
      <c r="AI23">
        <v>6</v>
      </c>
      <c r="AJ23">
        <v>0</v>
      </c>
      <c r="AK23">
        <v>0</v>
      </c>
      <c r="AL23">
        <v>0</v>
      </c>
      <c r="AM23">
        <v>65</v>
      </c>
      <c r="AN23">
        <v>65</v>
      </c>
      <c r="AO23">
        <v>42</v>
      </c>
      <c r="AP23">
        <v>48</v>
      </c>
      <c r="AQ23">
        <v>61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694</v>
      </c>
    </row>
    <row r="24" spans="1:67">
      <c r="A24" t="s">
        <v>333</v>
      </c>
      <c r="B24" t="s">
        <v>88</v>
      </c>
      <c r="C24" t="s">
        <v>334</v>
      </c>
      <c r="D24">
        <v>0.4</v>
      </c>
      <c r="E24">
        <v>54</v>
      </c>
      <c r="F24">
        <v>63</v>
      </c>
      <c r="G24">
        <v>59</v>
      </c>
      <c r="H24">
        <v>65</v>
      </c>
      <c r="I24">
        <v>19</v>
      </c>
      <c r="J24">
        <v>20</v>
      </c>
      <c r="K24">
        <v>25</v>
      </c>
      <c r="L24">
        <v>56</v>
      </c>
      <c r="M24">
        <v>56</v>
      </c>
      <c r="N24">
        <v>64</v>
      </c>
      <c r="O24">
        <v>63</v>
      </c>
      <c r="P24">
        <v>61</v>
      </c>
      <c r="Q24">
        <v>68</v>
      </c>
      <c r="R24">
        <v>63</v>
      </c>
      <c r="S24">
        <v>52</v>
      </c>
      <c r="T24">
        <v>48</v>
      </c>
      <c r="U24">
        <v>56</v>
      </c>
      <c r="V24">
        <v>64</v>
      </c>
      <c r="W24">
        <v>58</v>
      </c>
      <c r="X24">
        <v>57</v>
      </c>
      <c r="Y24">
        <v>64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53</v>
      </c>
      <c r="AW24">
        <v>67</v>
      </c>
      <c r="AX24">
        <v>65</v>
      </c>
      <c r="AY24">
        <v>71</v>
      </c>
      <c r="AZ24">
        <v>50</v>
      </c>
      <c r="BA24">
        <v>54</v>
      </c>
      <c r="BB24">
        <v>69</v>
      </c>
      <c r="BC24">
        <v>59</v>
      </c>
      <c r="BD24">
        <v>63</v>
      </c>
      <c r="BE24">
        <v>67</v>
      </c>
      <c r="BF24">
        <v>68</v>
      </c>
      <c r="BG24">
        <v>67</v>
      </c>
      <c r="BH24">
        <v>67</v>
      </c>
      <c r="BI24">
        <v>69</v>
      </c>
      <c r="BJ24">
        <v>68</v>
      </c>
      <c r="BK24">
        <v>0</v>
      </c>
      <c r="BL24">
        <v>0</v>
      </c>
      <c r="BM24">
        <v>0</v>
      </c>
      <c r="BN24">
        <v>0</v>
      </c>
      <c r="BO24">
        <v>2092</v>
      </c>
    </row>
    <row r="25" spans="1:67">
      <c r="A25" t="s">
        <v>335</v>
      </c>
      <c r="B25" t="s">
        <v>90</v>
      </c>
      <c r="C25" t="s">
        <v>336</v>
      </c>
      <c r="D25">
        <v>0.4</v>
      </c>
      <c r="E25">
        <v>57</v>
      </c>
      <c r="F25">
        <v>66</v>
      </c>
      <c r="G25">
        <v>60</v>
      </c>
      <c r="H25">
        <v>62</v>
      </c>
      <c r="I25">
        <v>21</v>
      </c>
      <c r="J25">
        <v>9</v>
      </c>
      <c r="K25">
        <v>24</v>
      </c>
      <c r="L25">
        <v>59</v>
      </c>
      <c r="M25">
        <v>56</v>
      </c>
      <c r="N25">
        <v>64</v>
      </c>
      <c r="O25">
        <v>63</v>
      </c>
      <c r="P25">
        <v>59</v>
      </c>
      <c r="Q25">
        <v>67</v>
      </c>
      <c r="R25">
        <v>60</v>
      </c>
      <c r="S25">
        <v>52</v>
      </c>
      <c r="T25">
        <v>51</v>
      </c>
      <c r="U25">
        <v>57</v>
      </c>
      <c r="V25">
        <v>65</v>
      </c>
      <c r="W25">
        <v>62</v>
      </c>
      <c r="X25">
        <v>65</v>
      </c>
      <c r="Y25">
        <v>62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53</v>
      </c>
      <c r="AW25">
        <v>67</v>
      </c>
      <c r="AX25">
        <v>67</v>
      </c>
      <c r="AY25">
        <v>69</v>
      </c>
      <c r="AZ25">
        <v>54</v>
      </c>
      <c r="BA25">
        <v>54</v>
      </c>
      <c r="BB25">
        <v>69</v>
      </c>
      <c r="BC25">
        <v>59</v>
      </c>
      <c r="BD25">
        <v>66</v>
      </c>
      <c r="BE25">
        <v>68</v>
      </c>
      <c r="BF25">
        <v>68</v>
      </c>
      <c r="BG25">
        <v>66</v>
      </c>
      <c r="BH25">
        <v>69</v>
      </c>
      <c r="BI25">
        <v>70</v>
      </c>
      <c r="BJ25">
        <v>68</v>
      </c>
      <c r="BK25">
        <v>0</v>
      </c>
      <c r="BL25">
        <v>0</v>
      </c>
      <c r="BM25">
        <v>0</v>
      </c>
      <c r="BN25">
        <v>0</v>
      </c>
      <c r="BO25">
        <v>2108</v>
      </c>
    </row>
    <row r="26" spans="1:67">
      <c r="A26" t="s">
        <v>337</v>
      </c>
      <c r="B26" t="s">
        <v>338</v>
      </c>
      <c r="C26" t="s">
        <v>339</v>
      </c>
      <c r="D26" t="e">
        <v>#N/A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</row>
    <row r="27" spans="1:67">
      <c r="A27" t="s">
        <v>337</v>
      </c>
      <c r="B27" t="s">
        <v>340</v>
      </c>
      <c r="C27" t="s">
        <v>341</v>
      </c>
      <c r="D27" t="e">
        <v>#N/A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</row>
    <row r="28" spans="1:67">
      <c r="A28" t="s">
        <v>342</v>
      </c>
      <c r="B28" t="s">
        <v>133</v>
      </c>
      <c r="C28" t="s">
        <v>343</v>
      </c>
      <c r="D28">
        <v>0.133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</row>
    <row r="29" spans="1:67">
      <c r="A29" t="s">
        <v>344</v>
      </c>
      <c r="B29" t="s">
        <v>135</v>
      </c>
      <c r="C29" t="s">
        <v>345</v>
      </c>
      <c r="D29">
        <v>0.25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</row>
    <row r="30" spans="1:67">
      <c r="A30" t="s">
        <v>346</v>
      </c>
      <c r="B30" t="s">
        <v>137</v>
      </c>
      <c r="C30" t="s">
        <v>347</v>
      </c>
      <c r="D30">
        <v>0.25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</row>
    <row r="31" spans="1:67">
      <c r="A31" t="s">
        <v>348</v>
      </c>
      <c r="B31" t="s">
        <v>139</v>
      </c>
      <c r="C31" t="s">
        <v>349</v>
      </c>
      <c r="D31">
        <v>0.23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</row>
    <row r="32" spans="1:67">
      <c r="A32" t="s">
        <v>350</v>
      </c>
      <c r="B32" t="s">
        <v>125</v>
      </c>
      <c r="C32" t="s">
        <v>351</v>
      </c>
      <c r="D32">
        <v>0.133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</row>
    <row r="33" spans="1:67">
      <c r="A33" t="s">
        <v>352</v>
      </c>
      <c r="B33" t="s">
        <v>127</v>
      </c>
      <c r="C33" t="s">
        <v>353</v>
      </c>
      <c r="D33">
        <v>0.4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</row>
    <row r="34" spans="1:67">
      <c r="A34" t="s">
        <v>354</v>
      </c>
      <c r="B34" t="s">
        <v>129</v>
      </c>
      <c r="C34" t="s">
        <v>355</v>
      </c>
      <c r="D34">
        <v>0.4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</row>
    <row r="35" spans="1:67">
      <c r="A35" t="s">
        <v>356</v>
      </c>
      <c r="B35" t="s">
        <v>131</v>
      </c>
      <c r="C35" t="s">
        <v>357</v>
      </c>
      <c r="D35">
        <v>0.133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</row>
    <row r="36" spans="1:67">
      <c r="A36" t="s">
        <v>358</v>
      </c>
      <c r="B36" t="s">
        <v>145</v>
      </c>
      <c r="C36" t="s">
        <v>359</v>
      </c>
      <c r="D36">
        <v>0.373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</row>
    <row r="37" spans="1:67">
      <c r="A37" t="s">
        <v>360</v>
      </c>
      <c r="B37" t="s">
        <v>141</v>
      </c>
      <c r="C37" t="s">
        <v>361</v>
      </c>
      <c r="D37">
        <v>0.373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</row>
    <row r="38" spans="1:67">
      <c r="A38" t="s">
        <v>362</v>
      </c>
      <c r="B38" t="s">
        <v>143</v>
      </c>
      <c r="C38" t="s">
        <v>363</v>
      </c>
      <c r="D38">
        <v>0.373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</row>
    <row r="39" spans="1:67">
      <c r="A39" t="s">
        <v>364</v>
      </c>
      <c r="B39" t="s">
        <v>147</v>
      </c>
      <c r="C39" t="s">
        <v>365</v>
      </c>
      <c r="D39">
        <v>0.373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</row>
    <row r="40" spans="1:67">
      <c r="A40" t="s">
        <v>366</v>
      </c>
      <c r="B40" t="s">
        <v>367</v>
      </c>
      <c r="C40" t="s">
        <v>368</v>
      </c>
      <c r="D40" t="e">
        <v>#N/A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107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107</v>
      </c>
    </row>
    <row r="41" spans="1:67">
      <c r="A41" t="s">
        <v>369</v>
      </c>
      <c r="B41" t="s">
        <v>370</v>
      </c>
      <c r="C41" t="s">
        <v>371</v>
      </c>
      <c r="D41" t="e">
        <v>#N/A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96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96</v>
      </c>
    </row>
    <row r="42" spans="1:67">
      <c r="A42" t="s">
        <v>372</v>
      </c>
      <c r="B42" t="s">
        <v>373</v>
      </c>
      <c r="C42" t="s">
        <v>374</v>
      </c>
      <c r="D42" t="e">
        <v>#N/A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</row>
    <row r="43" spans="1:67">
      <c r="A43" t="s">
        <v>375</v>
      </c>
      <c r="B43" t="s">
        <v>376</v>
      </c>
      <c r="C43" t="s">
        <v>377</v>
      </c>
      <c r="D43" t="e">
        <v>#N/A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</row>
    <row r="44" spans="1:67">
      <c r="A44" t="s">
        <v>378</v>
      </c>
      <c r="B44" t="s">
        <v>379</v>
      </c>
      <c r="C44" t="s">
        <v>380</v>
      </c>
      <c r="D44" t="e">
        <v>#N/A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</row>
    <row r="45" spans="1:67">
      <c r="A45" t="s">
        <v>381</v>
      </c>
      <c r="B45" t="s">
        <v>382</v>
      </c>
      <c r="C45" t="s">
        <v>383</v>
      </c>
      <c r="D45" t="e">
        <v>#N/A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</row>
    <row r="46" spans="1:67">
      <c r="A46" t="s">
        <v>384</v>
      </c>
      <c r="B46" t="s">
        <v>385</v>
      </c>
      <c r="C46" t="s">
        <v>386</v>
      </c>
      <c r="D46" t="e">
        <v>#N/A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</row>
    <row r="47" spans="1:67">
      <c r="A47" t="s">
        <v>387</v>
      </c>
      <c r="B47" t="s">
        <v>388</v>
      </c>
      <c r="C47" t="s">
        <v>389</v>
      </c>
      <c r="D47" t="e">
        <v>#N/A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</row>
    <row r="48" spans="1:67">
      <c r="A48" t="s">
        <v>390</v>
      </c>
      <c r="B48" t="s">
        <v>391</v>
      </c>
      <c r="C48" t="s">
        <v>392</v>
      </c>
      <c r="D48" t="e">
        <v>#N/A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</row>
    <row r="49" spans="1:67">
      <c r="A49" t="s">
        <v>393</v>
      </c>
      <c r="B49" t="s">
        <v>394</v>
      </c>
      <c r="C49" t="s">
        <v>395</v>
      </c>
      <c r="D49" t="e">
        <v>#N/A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</row>
    <row r="50" spans="1:67">
      <c r="A50" t="s">
        <v>396</v>
      </c>
      <c r="B50" t="s">
        <v>397</v>
      </c>
      <c r="C50" t="s">
        <v>398</v>
      </c>
      <c r="D50" t="e">
        <v>#N/A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</row>
    <row r="51" spans="1:67">
      <c r="A51" t="s">
        <v>399</v>
      </c>
      <c r="B51" t="s">
        <v>400</v>
      </c>
      <c r="C51" t="s">
        <v>401</v>
      </c>
      <c r="D51" t="e">
        <v>#N/A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</row>
    <row r="52" spans="1:67">
      <c r="A52" t="s">
        <v>402</v>
      </c>
      <c r="B52" t="s">
        <v>403</v>
      </c>
      <c r="C52" t="s">
        <v>404</v>
      </c>
      <c r="D52" t="e">
        <v>#N/A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</row>
    <row r="53" spans="1:67">
      <c r="A53" t="s">
        <v>405</v>
      </c>
      <c r="B53" t="s">
        <v>121</v>
      </c>
      <c r="C53" t="s">
        <v>406</v>
      </c>
      <c r="D53">
        <v>0.67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16</v>
      </c>
      <c r="L53">
        <v>50</v>
      </c>
      <c r="M53">
        <v>116</v>
      </c>
      <c r="N53">
        <v>95</v>
      </c>
      <c r="O53">
        <v>88</v>
      </c>
      <c r="P53">
        <v>0</v>
      </c>
      <c r="Q53">
        <v>133</v>
      </c>
      <c r="R53">
        <v>0</v>
      </c>
      <c r="S53">
        <v>44</v>
      </c>
      <c r="T53">
        <v>0</v>
      </c>
      <c r="U53">
        <v>0</v>
      </c>
      <c r="V53">
        <v>0</v>
      </c>
      <c r="W53">
        <v>56</v>
      </c>
      <c r="X53">
        <v>0</v>
      </c>
      <c r="Y53">
        <v>115</v>
      </c>
      <c r="Z53">
        <v>0</v>
      </c>
      <c r="AA53">
        <v>108</v>
      </c>
      <c r="AB53">
        <v>0</v>
      </c>
      <c r="AC53">
        <v>116</v>
      </c>
      <c r="AD53">
        <v>0</v>
      </c>
      <c r="AE53">
        <v>132</v>
      </c>
      <c r="AF53">
        <v>57</v>
      </c>
      <c r="AG53">
        <v>48</v>
      </c>
      <c r="AH53">
        <v>61</v>
      </c>
      <c r="AI53">
        <v>89</v>
      </c>
      <c r="AJ53">
        <v>53</v>
      </c>
      <c r="AK53">
        <v>0</v>
      </c>
      <c r="AL53">
        <v>59</v>
      </c>
      <c r="AM53">
        <v>133</v>
      </c>
      <c r="AN53">
        <v>67</v>
      </c>
      <c r="AO53">
        <v>76</v>
      </c>
      <c r="AP53">
        <v>38</v>
      </c>
      <c r="AQ53">
        <v>121</v>
      </c>
      <c r="AR53">
        <v>126</v>
      </c>
      <c r="AS53">
        <v>0</v>
      </c>
      <c r="AT53">
        <v>0</v>
      </c>
      <c r="AU53">
        <v>109</v>
      </c>
      <c r="AV53">
        <v>104</v>
      </c>
      <c r="AW53">
        <v>132</v>
      </c>
      <c r="AX53">
        <v>133</v>
      </c>
      <c r="AY53">
        <v>136</v>
      </c>
      <c r="AZ53">
        <v>84</v>
      </c>
      <c r="BA53">
        <v>104</v>
      </c>
      <c r="BB53">
        <v>134</v>
      </c>
      <c r="BC53">
        <v>115</v>
      </c>
      <c r="BD53">
        <v>126</v>
      </c>
      <c r="BE53">
        <v>136</v>
      </c>
      <c r="BF53">
        <v>138</v>
      </c>
      <c r="BG53">
        <v>115</v>
      </c>
      <c r="BH53">
        <v>138</v>
      </c>
      <c r="BI53">
        <v>138</v>
      </c>
      <c r="BJ53">
        <v>136</v>
      </c>
      <c r="BK53">
        <v>0</v>
      </c>
      <c r="BL53">
        <v>0</v>
      </c>
      <c r="BM53">
        <v>0</v>
      </c>
      <c r="BN53">
        <v>0</v>
      </c>
      <c r="BO53">
        <v>3975</v>
      </c>
    </row>
    <row r="54" spans="1:67">
      <c r="A54" t="s">
        <v>407</v>
      </c>
      <c r="B54" t="s">
        <v>123</v>
      </c>
      <c r="C54" t="s">
        <v>408</v>
      </c>
      <c r="D54">
        <v>0.67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18</v>
      </c>
      <c r="L54">
        <v>55</v>
      </c>
      <c r="M54">
        <v>92</v>
      </c>
      <c r="N54">
        <v>64</v>
      </c>
      <c r="O54">
        <v>124</v>
      </c>
      <c r="P54">
        <v>0</v>
      </c>
      <c r="Q54">
        <v>68</v>
      </c>
      <c r="R54">
        <v>0</v>
      </c>
      <c r="S54">
        <v>50</v>
      </c>
      <c r="T54">
        <v>0</v>
      </c>
      <c r="U54">
        <v>0</v>
      </c>
      <c r="V54">
        <v>0</v>
      </c>
      <c r="W54">
        <v>63</v>
      </c>
      <c r="X54">
        <v>0</v>
      </c>
      <c r="Y54">
        <v>100</v>
      </c>
      <c r="Z54">
        <v>0</v>
      </c>
      <c r="AA54">
        <v>107</v>
      </c>
      <c r="AB54">
        <v>58</v>
      </c>
      <c r="AC54">
        <v>114</v>
      </c>
      <c r="AD54">
        <v>59</v>
      </c>
      <c r="AE54">
        <v>132</v>
      </c>
      <c r="AF54">
        <v>56</v>
      </c>
      <c r="AG54">
        <v>74</v>
      </c>
      <c r="AH54">
        <v>61</v>
      </c>
      <c r="AI54">
        <v>118</v>
      </c>
      <c r="AJ54">
        <v>56</v>
      </c>
      <c r="AK54">
        <v>0</v>
      </c>
      <c r="AL54">
        <v>57</v>
      </c>
      <c r="AM54">
        <v>111</v>
      </c>
      <c r="AN54">
        <v>67</v>
      </c>
      <c r="AO54">
        <v>76</v>
      </c>
      <c r="AP54">
        <v>49</v>
      </c>
      <c r="AQ54">
        <v>122</v>
      </c>
      <c r="AR54">
        <v>129</v>
      </c>
      <c r="AS54">
        <v>0</v>
      </c>
      <c r="AT54">
        <v>0</v>
      </c>
      <c r="AU54">
        <v>102</v>
      </c>
      <c r="AV54">
        <v>103</v>
      </c>
      <c r="AW54">
        <v>128</v>
      </c>
      <c r="AX54">
        <v>132</v>
      </c>
      <c r="AY54">
        <v>135</v>
      </c>
      <c r="AZ54">
        <v>103</v>
      </c>
      <c r="BA54">
        <v>99</v>
      </c>
      <c r="BB54">
        <v>134</v>
      </c>
      <c r="BC54">
        <v>111</v>
      </c>
      <c r="BD54">
        <v>127</v>
      </c>
      <c r="BE54">
        <v>132</v>
      </c>
      <c r="BF54">
        <v>137</v>
      </c>
      <c r="BG54">
        <v>129</v>
      </c>
      <c r="BH54">
        <v>135</v>
      </c>
      <c r="BI54">
        <v>139</v>
      </c>
      <c r="BJ54">
        <v>131</v>
      </c>
      <c r="BK54">
        <v>0</v>
      </c>
      <c r="BL54">
        <v>0</v>
      </c>
      <c r="BM54">
        <v>0</v>
      </c>
      <c r="BN54">
        <v>0</v>
      </c>
      <c r="BO54">
        <v>4057</v>
      </c>
    </row>
    <row r="55" spans="1:67">
      <c r="A55" t="s">
        <v>409</v>
      </c>
      <c r="B55" t="s">
        <v>410</v>
      </c>
      <c r="C55" t="s">
        <v>411</v>
      </c>
      <c r="D55" t="e">
        <v>#N/A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</row>
    <row r="56" spans="1:67">
      <c r="A56" t="s">
        <v>412</v>
      </c>
      <c r="B56" t="s">
        <v>413</v>
      </c>
      <c r="C56" t="s">
        <v>414</v>
      </c>
      <c r="D56" t="e">
        <v>#N/A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</row>
    <row r="57" spans="1:67">
      <c r="A57" t="s">
        <v>415</v>
      </c>
      <c r="B57" t="s">
        <v>416</v>
      </c>
      <c r="C57" t="s">
        <v>417</v>
      </c>
      <c r="D57" t="e">
        <v>#N/A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</row>
    <row r="58" spans="1:67">
      <c r="A58" s="77" t="s">
        <v>418</v>
      </c>
      <c r="B58" s="77" t="s">
        <v>338</v>
      </c>
      <c r="C58" s="77" t="s">
        <v>419</v>
      </c>
      <c r="D58">
        <v>0.4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 s="80">
        <v>57</v>
      </c>
      <c r="AA58" s="80">
        <v>52</v>
      </c>
      <c r="AB58" s="80">
        <v>59</v>
      </c>
      <c r="AC58" s="80">
        <v>53</v>
      </c>
      <c r="AD58" s="80">
        <v>55</v>
      </c>
      <c r="AE58" s="80">
        <v>67</v>
      </c>
      <c r="AF58" s="80">
        <v>49</v>
      </c>
      <c r="AG58" s="80">
        <v>51</v>
      </c>
      <c r="AH58" s="80">
        <v>64</v>
      </c>
      <c r="AI58" s="80">
        <v>57</v>
      </c>
      <c r="AJ58" s="80">
        <v>48</v>
      </c>
      <c r="AK58" s="80">
        <v>53</v>
      </c>
      <c r="AL58" s="80">
        <v>56</v>
      </c>
      <c r="AM58" s="80">
        <v>64</v>
      </c>
      <c r="AN58" s="80">
        <v>67</v>
      </c>
      <c r="AO58" s="80">
        <v>46</v>
      </c>
      <c r="AP58" s="80">
        <v>33</v>
      </c>
      <c r="AQ58">
        <v>0</v>
      </c>
      <c r="AR58">
        <v>0</v>
      </c>
      <c r="AS58" s="80">
        <v>61</v>
      </c>
      <c r="AT58" s="81">
        <v>65</v>
      </c>
      <c r="AU58" s="81">
        <v>55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 s="77">
        <v>1112</v>
      </c>
    </row>
    <row r="59" spans="1:67">
      <c r="A59" s="77" t="s">
        <v>337</v>
      </c>
      <c r="B59" s="77" t="s">
        <v>340</v>
      </c>
      <c r="C59" s="77" t="s">
        <v>420</v>
      </c>
      <c r="D59">
        <v>0.4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 s="80">
        <v>63</v>
      </c>
      <c r="AA59" s="80">
        <v>53</v>
      </c>
      <c r="AB59" s="80">
        <v>64</v>
      </c>
      <c r="AC59" s="80">
        <v>58</v>
      </c>
      <c r="AD59" s="80">
        <v>59</v>
      </c>
      <c r="AE59" s="80">
        <v>69</v>
      </c>
      <c r="AF59" s="80">
        <v>62</v>
      </c>
      <c r="AG59" s="80">
        <v>48</v>
      </c>
      <c r="AH59" s="80">
        <v>63</v>
      </c>
      <c r="AI59" s="80">
        <v>67</v>
      </c>
      <c r="AJ59" s="80">
        <v>45</v>
      </c>
      <c r="AK59" s="80">
        <v>53</v>
      </c>
      <c r="AL59" s="80">
        <v>34</v>
      </c>
      <c r="AM59" s="80">
        <v>67</v>
      </c>
      <c r="AN59" s="80">
        <v>64</v>
      </c>
      <c r="AO59" s="80">
        <v>6</v>
      </c>
      <c r="AP59" s="80">
        <v>27</v>
      </c>
      <c r="AQ59">
        <v>0</v>
      </c>
      <c r="AR59">
        <v>0</v>
      </c>
      <c r="AS59" s="80">
        <v>59</v>
      </c>
      <c r="AT59" s="81">
        <v>62</v>
      </c>
      <c r="AU59" s="81">
        <v>52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 s="77">
        <v>1075</v>
      </c>
    </row>
    <row r="60" spans="1:67">
      <c r="A60" s="77" t="s">
        <v>421</v>
      </c>
      <c r="B60" s="78" t="s">
        <v>422</v>
      </c>
      <c r="C60" s="79" t="s">
        <v>423</v>
      </c>
      <c r="D60">
        <v>0.4</v>
      </c>
      <c r="E60">
        <v>18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 s="81">
        <v>51</v>
      </c>
      <c r="BB60">
        <v>0</v>
      </c>
      <c r="BC60" s="81">
        <v>58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 s="81">
        <v>46</v>
      </c>
      <c r="BK60">
        <v>0</v>
      </c>
      <c r="BL60">
        <v>0</v>
      </c>
      <c r="BM60">
        <v>0</v>
      </c>
      <c r="BN60">
        <v>0</v>
      </c>
      <c r="BO60" s="77">
        <v>173</v>
      </c>
    </row>
    <row r="61" spans="1:67">
      <c r="A61" s="77" t="s">
        <v>424</v>
      </c>
      <c r="B61" s="78" t="s">
        <v>425</v>
      </c>
      <c r="C61" s="79" t="s">
        <v>426</v>
      </c>
      <c r="D61">
        <v>0.4</v>
      </c>
      <c r="E61">
        <v>9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 s="81">
        <v>6</v>
      </c>
      <c r="AX61">
        <v>0</v>
      </c>
      <c r="AY61">
        <v>0</v>
      </c>
      <c r="AZ61">
        <v>0</v>
      </c>
      <c r="BA61" s="81">
        <v>30</v>
      </c>
      <c r="BB61">
        <v>0</v>
      </c>
      <c r="BC61" s="81">
        <v>47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 s="81">
        <v>68</v>
      </c>
      <c r="BK61">
        <v>0</v>
      </c>
      <c r="BL61">
        <v>0</v>
      </c>
      <c r="BM61">
        <v>0</v>
      </c>
      <c r="BN61">
        <v>0</v>
      </c>
      <c r="BO61" s="77">
        <v>160</v>
      </c>
    </row>
    <row r="62" spans="1:67">
      <c r="A62" s="77" t="s">
        <v>427</v>
      </c>
      <c r="B62" s="77" t="s">
        <v>428</v>
      </c>
      <c r="C62" s="77" t="s">
        <v>429</v>
      </c>
      <c r="D62">
        <v>0.133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 s="81">
        <v>0</v>
      </c>
      <c r="AX62">
        <v>0</v>
      </c>
      <c r="AY62">
        <v>0</v>
      </c>
      <c r="AZ62">
        <v>0</v>
      </c>
      <c r="BA62" s="81">
        <v>50</v>
      </c>
      <c r="BB62">
        <v>0</v>
      </c>
      <c r="BC62" s="81">
        <v>57</v>
      </c>
      <c r="BD62" s="81">
        <v>62</v>
      </c>
      <c r="BE62" s="81">
        <v>65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 s="77">
        <v>234</v>
      </c>
    </row>
    <row r="63" spans="1:67">
      <c r="A63" s="77" t="s">
        <v>430</v>
      </c>
      <c r="B63" s="77" t="s">
        <v>431</v>
      </c>
      <c r="C63" s="77" t="s">
        <v>432</v>
      </c>
      <c r="D63">
        <v>0.133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 s="81">
        <v>6</v>
      </c>
      <c r="AX63">
        <v>0</v>
      </c>
      <c r="AY63">
        <v>0</v>
      </c>
      <c r="AZ63">
        <v>0</v>
      </c>
      <c r="BA63" s="81">
        <v>49</v>
      </c>
      <c r="BB63">
        <v>0</v>
      </c>
      <c r="BC63" s="81">
        <v>57</v>
      </c>
      <c r="BD63" s="81">
        <v>63</v>
      </c>
      <c r="BE63" s="81">
        <v>64</v>
      </c>
      <c r="BF63">
        <v>0</v>
      </c>
      <c r="BG63">
        <v>0</v>
      </c>
      <c r="BH63">
        <v>0</v>
      </c>
      <c r="BI63" s="81">
        <v>1</v>
      </c>
      <c r="BJ63" s="81">
        <v>0</v>
      </c>
      <c r="BK63" s="81">
        <v>0</v>
      </c>
      <c r="BL63" s="81">
        <v>0</v>
      </c>
      <c r="BM63" s="81">
        <v>0</v>
      </c>
      <c r="BN63" s="81">
        <v>0</v>
      </c>
      <c r="BO63" s="77">
        <v>240</v>
      </c>
    </row>
    <row r="64" spans="1:67">
      <c r="A64" s="77" t="s">
        <v>433</v>
      </c>
      <c r="B64" s="77" t="s">
        <v>434</v>
      </c>
      <c r="C64" s="79" t="s">
        <v>435</v>
      </c>
      <c r="D64">
        <v>0.4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 s="81">
        <v>51</v>
      </c>
      <c r="BB64">
        <v>0</v>
      </c>
      <c r="BC64" s="81">
        <v>58</v>
      </c>
      <c r="BD64" s="81">
        <v>0</v>
      </c>
      <c r="BE64" s="81">
        <v>0</v>
      </c>
      <c r="BF64">
        <v>0</v>
      </c>
      <c r="BG64">
        <v>0</v>
      </c>
      <c r="BH64">
        <v>0</v>
      </c>
      <c r="BI64" s="81">
        <v>0</v>
      </c>
      <c r="BJ64" s="81">
        <v>0</v>
      </c>
      <c r="BK64" s="81">
        <v>0</v>
      </c>
      <c r="BL64" s="81">
        <v>0</v>
      </c>
      <c r="BM64" s="81">
        <v>0</v>
      </c>
      <c r="BN64" s="81">
        <v>0</v>
      </c>
      <c r="BO64" s="77">
        <v>109</v>
      </c>
    </row>
    <row r="65" spans="1:67">
      <c r="A65" s="77" t="s">
        <v>436</v>
      </c>
      <c r="B65" s="77" t="s">
        <v>437</v>
      </c>
      <c r="C65" s="79" t="s">
        <v>438</v>
      </c>
      <c r="D65">
        <v>0.4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 s="81">
        <v>17</v>
      </c>
      <c r="BB65">
        <v>0</v>
      </c>
      <c r="BC65" s="81">
        <v>32</v>
      </c>
      <c r="BD65" s="81">
        <v>0</v>
      </c>
      <c r="BE65" s="81">
        <v>0</v>
      </c>
      <c r="BF65">
        <v>0</v>
      </c>
      <c r="BG65">
        <v>0</v>
      </c>
      <c r="BH65">
        <v>0</v>
      </c>
      <c r="BI65" s="81">
        <v>0</v>
      </c>
      <c r="BJ65" s="81">
        <v>0</v>
      </c>
      <c r="BK65" s="81">
        <v>0</v>
      </c>
      <c r="BL65" s="81">
        <v>0</v>
      </c>
      <c r="BM65" s="81">
        <v>0</v>
      </c>
      <c r="BN65" s="81">
        <v>0</v>
      </c>
      <c r="BO65" s="77">
        <v>49</v>
      </c>
    </row>
    <row r="66" spans="1:67">
      <c r="A66" s="77" t="s">
        <v>412</v>
      </c>
      <c r="B66" s="80" t="s">
        <v>413</v>
      </c>
      <c r="C66" s="80" t="s">
        <v>414</v>
      </c>
      <c r="D66">
        <v>0.133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 s="84">
        <v>25</v>
      </c>
    </row>
    <row r="67" spans="1:67">
      <c r="A67" s="80" t="s">
        <v>415</v>
      </c>
      <c r="B67" s="80" t="s">
        <v>416</v>
      </c>
      <c r="C67" s="80" t="s">
        <v>417</v>
      </c>
      <c r="D67">
        <v>0.133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10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 s="84">
        <v>24</v>
      </c>
    </row>
    <row r="68" spans="1:67">
      <c r="A68" s="80" t="s">
        <v>439</v>
      </c>
      <c r="B68" s="80" t="s">
        <v>173</v>
      </c>
      <c r="C68" s="80" t="s">
        <v>440</v>
      </c>
      <c r="D68">
        <v>0.373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3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 s="84">
        <v>3</v>
      </c>
    </row>
    <row r="69" spans="1:67">
      <c r="A69" s="80" t="s">
        <v>441</v>
      </c>
      <c r="B69" s="82" t="s">
        <v>442</v>
      </c>
      <c r="C69" s="83" t="s">
        <v>443</v>
      </c>
      <c r="D69" t="e">
        <v>#N/A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8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 s="84">
        <v>8</v>
      </c>
    </row>
    <row r="70" spans="67:67">
      <c r="BO70">
        <f>SUM(BO2:BO69)</f>
        <v>109820</v>
      </c>
    </row>
  </sheetData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G33"/>
  <sheetViews>
    <sheetView tabSelected="1" zoomScale="70" zoomScaleNormal="70" workbookViewId="0">
      <pane xSplit="19" ySplit="1" topLeftCell="T2" activePane="bottomRight" state="frozen"/>
      <selection/>
      <selection pane="topRight"/>
      <selection pane="bottomLeft"/>
      <selection pane="bottomRight" activeCell="F8" sqref="B8:F8"/>
    </sheetView>
  </sheetViews>
  <sheetFormatPr defaultColWidth="9" defaultRowHeight="26.1" customHeight="1"/>
  <cols>
    <col min="1" max="1" width="6.5" style="1" customWidth="1"/>
    <col min="2" max="2" width="13.25" style="1" customWidth="1"/>
    <col min="3" max="3" width="10.75" style="1" customWidth="1"/>
    <col min="4" max="4" width="7.87962962962963" style="5" customWidth="1"/>
    <col min="5" max="8" width="7.5" style="5" customWidth="1"/>
    <col min="9" max="9" width="7.62962962962963" style="1" customWidth="1"/>
    <col min="10" max="10" width="11.25" style="1" customWidth="1"/>
    <col min="11" max="11" width="7" style="1" customWidth="1"/>
    <col min="12" max="12" width="9.87962962962963" style="1" customWidth="1"/>
    <col min="13" max="13" width="7.12962962962963" style="1" customWidth="1"/>
    <col min="14" max="14" width="10" style="1" customWidth="1"/>
    <col min="15" max="15" width="6.37962962962963" style="1" customWidth="1"/>
    <col min="16" max="16" width="11.25" style="1" customWidth="1"/>
    <col min="17" max="17" width="5.12962962962963" style="1" customWidth="1"/>
    <col min="18" max="18" width="11.25" style="1" customWidth="1"/>
    <col min="19" max="19" width="8.62962962962963" style="1" customWidth="1"/>
    <col min="20" max="20" width="13.8796296296296" style="1" customWidth="1"/>
    <col min="21" max="21" width="14" style="1" customWidth="1"/>
    <col min="22" max="22" width="11.75" style="1" customWidth="1"/>
    <col min="23" max="23" width="12" style="1" customWidth="1"/>
    <col min="24" max="24" width="11.1296296296296" style="1" customWidth="1"/>
    <col min="25" max="25" width="11.25" style="7" customWidth="1"/>
    <col min="26" max="26" width="11.3796296296296" style="1" customWidth="1"/>
    <col min="27" max="27" width="12" style="1" customWidth="1"/>
    <col min="28" max="28" width="13.75" style="8" customWidth="1"/>
    <col min="29" max="29" width="5.87962962962963" style="1" hidden="1" customWidth="1"/>
    <col min="30" max="30" width="14.8796296296296" style="1" customWidth="1"/>
    <col min="31" max="32" width="15.8796296296296" style="9" customWidth="1"/>
    <col min="33" max="33" width="14.25" style="1" customWidth="1"/>
    <col min="34" max="16262" width="9" style="1"/>
    <col min="16263" max="16384" width="9" style="10"/>
  </cols>
  <sheetData>
    <row r="1" s="1" customFormat="1" ht="45" customHeight="1" spans="1:33">
      <c r="A1" s="11" t="s">
        <v>444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2" customFormat="1" ht="56.1" customHeight="1" spans="1:33">
      <c r="A2" s="12" t="s">
        <v>67</v>
      </c>
      <c r="B2" s="12" t="s">
        <v>445</v>
      </c>
      <c r="C2" s="13" t="s">
        <v>446</v>
      </c>
      <c r="D2" s="13" t="s">
        <v>447</v>
      </c>
      <c r="E2" s="13" t="s">
        <v>448</v>
      </c>
      <c r="F2" s="16" t="s">
        <v>449</v>
      </c>
      <c r="G2" s="14" t="s">
        <v>450</v>
      </c>
      <c r="H2" s="14" t="s">
        <v>451</v>
      </c>
      <c r="I2" s="13" t="s">
        <v>452</v>
      </c>
      <c r="J2" s="13"/>
      <c r="K2" s="13"/>
      <c r="L2" s="13"/>
      <c r="M2" s="13"/>
      <c r="N2" s="13"/>
      <c r="O2" s="13"/>
      <c r="P2" s="13"/>
      <c r="Q2" s="13"/>
      <c r="R2" s="13"/>
      <c r="S2" s="13" t="s">
        <v>453</v>
      </c>
      <c r="T2" s="13" t="s">
        <v>454</v>
      </c>
      <c r="U2" s="27" t="s">
        <v>455</v>
      </c>
      <c r="V2" s="28" t="s">
        <v>456</v>
      </c>
      <c r="W2" s="28" t="s">
        <v>457</v>
      </c>
      <c r="X2" s="29" t="s">
        <v>458</v>
      </c>
      <c r="Y2" s="32" t="s">
        <v>459</v>
      </c>
      <c r="Z2" s="33" t="s">
        <v>460</v>
      </c>
      <c r="AA2" s="34" t="s">
        <v>461</v>
      </c>
      <c r="AB2" s="34" t="s">
        <v>462</v>
      </c>
      <c r="AC2" s="34" t="s">
        <v>463</v>
      </c>
      <c r="AD2" s="35" t="s">
        <v>463</v>
      </c>
      <c r="AE2" s="34" t="s">
        <v>464</v>
      </c>
      <c r="AF2" s="29" t="s">
        <v>465</v>
      </c>
      <c r="AG2" s="29" t="s">
        <v>466</v>
      </c>
    </row>
    <row r="3" s="2" customFormat="1" ht="56.1" customHeight="1" spans="1:33">
      <c r="A3" s="12"/>
      <c r="B3" s="12"/>
      <c r="C3" s="13"/>
      <c r="D3" s="13"/>
      <c r="E3" s="13"/>
      <c r="F3" s="13"/>
      <c r="G3" s="14"/>
      <c r="H3" s="14"/>
      <c r="I3" s="13" t="s">
        <v>467</v>
      </c>
      <c r="J3" s="13" t="s">
        <v>468</v>
      </c>
      <c r="K3" s="13" t="s">
        <v>469</v>
      </c>
      <c r="L3" s="13" t="s">
        <v>470</v>
      </c>
      <c r="M3" s="13" t="s">
        <v>471</v>
      </c>
      <c r="N3" s="13" t="s">
        <v>472</v>
      </c>
      <c r="O3" s="13" t="s">
        <v>473</v>
      </c>
      <c r="P3" s="13" t="s">
        <v>474</v>
      </c>
      <c r="Q3" s="13" t="s">
        <v>475</v>
      </c>
      <c r="R3" s="13" t="s">
        <v>476</v>
      </c>
      <c r="S3" s="13"/>
      <c r="T3" s="13"/>
      <c r="U3" s="27"/>
      <c r="V3" s="27">
        <v>150</v>
      </c>
      <c r="W3" s="27">
        <v>500</v>
      </c>
      <c r="X3" s="28"/>
      <c r="Y3" s="36"/>
      <c r="Z3" s="37"/>
      <c r="AA3" s="38"/>
      <c r="AB3" s="13"/>
      <c r="AC3" s="13"/>
      <c r="AD3" s="13">
        <v>1600</v>
      </c>
      <c r="AE3" s="39"/>
      <c r="AF3" s="13"/>
      <c r="AG3" s="36"/>
    </row>
    <row r="4" s="3" customFormat="1" customHeight="1" spans="1:33">
      <c r="A4" s="17">
        <v>1</v>
      </c>
      <c r="B4" s="17"/>
      <c r="C4" s="18" t="s">
        <v>65</v>
      </c>
      <c r="D4" s="17">
        <v>26</v>
      </c>
      <c r="E4" s="19">
        <v>26.5</v>
      </c>
      <c r="F4" s="19">
        <v>24.875</v>
      </c>
      <c r="G4" s="70">
        <f>I4+K4+M4+O4+Q4</f>
        <v>27</v>
      </c>
      <c r="H4" s="71">
        <f>G4-E4</f>
        <v>0.5</v>
      </c>
      <c r="I4" s="25">
        <v>2</v>
      </c>
      <c r="J4" s="25">
        <v>99.23</v>
      </c>
      <c r="K4" s="25">
        <v>1</v>
      </c>
      <c r="L4" s="26">
        <v>109.23</v>
      </c>
      <c r="M4" s="25">
        <v>4</v>
      </c>
      <c r="N4" s="25">
        <v>119.23</v>
      </c>
      <c r="O4" s="25">
        <v>9</v>
      </c>
      <c r="P4" s="25">
        <v>129.23</v>
      </c>
      <c r="Q4" s="25">
        <v>11</v>
      </c>
      <c r="R4" s="25">
        <v>139.23</v>
      </c>
      <c r="S4" s="25">
        <f>+I4*J4+K4*L4+M4*N4+O4*P4+Q4*R4</f>
        <v>3479.21</v>
      </c>
      <c r="T4" s="25"/>
      <c r="U4" s="27">
        <f>+E4/D4*1490</f>
        <v>1518.65384615385</v>
      </c>
      <c r="V4" s="27">
        <v>150</v>
      </c>
      <c r="W4" s="27"/>
      <c r="X4" s="27">
        <v>500</v>
      </c>
      <c r="Y4" s="40">
        <v>300</v>
      </c>
      <c r="Z4" s="32">
        <f t="shared" ref="Z4:Z8" si="0">8*E4</f>
        <v>212</v>
      </c>
      <c r="AA4" s="33"/>
      <c r="AB4" s="34">
        <f>E4*20</f>
        <v>530</v>
      </c>
      <c r="AC4" s="13"/>
      <c r="AD4" s="13">
        <v>0</v>
      </c>
      <c r="AE4" s="41">
        <v>0.99</v>
      </c>
      <c r="AF4" s="34"/>
      <c r="AG4" s="46"/>
    </row>
    <row r="5" s="4" customFormat="1" customHeight="1" spans="1:33">
      <c r="A5" s="17">
        <v>2</v>
      </c>
      <c r="B5" s="17" t="s">
        <v>477</v>
      </c>
      <c r="C5" s="21" t="s">
        <v>478</v>
      </c>
      <c r="D5" s="17">
        <v>26</v>
      </c>
      <c r="E5" s="19">
        <v>28</v>
      </c>
      <c r="F5" s="19">
        <v>29</v>
      </c>
      <c r="G5" s="70">
        <f t="shared" ref="G5:G28" si="1">I5+K5+M5+O5+Q5</f>
        <v>28</v>
      </c>
      <c r="H5" s="70">
        <f t="shared" ref="H5:H28" si="2">G5-E5</f>
        <v>0</v>
      </c>
      <c r="I5" s="25">
        <v>2</v>
      </c>
      <c r="J5" s="25">
        <v>99.23</v>
      </c>
      <c r="K5" s="25">
        <v>2</v>
      </c>
      <c r="L5" s="26">
        <v>109.23</v>
      </c>
      <c r="M5" s="25">
        <v>4</v>
      </c>
      <c r="N5" s="25">
        <v>119.23</v>
      </c>
      <c r="O5" s="25">
        <v>9</v>
      </c>
      <c r="P5" s="25">
        <v>129.23</v>
      </c>
      <c r="Q5" s="25">
        <v>11</v>
      </c>
      <c r="R5" s="25">
        <v>139.23</v>
      </c>
      <c r="S5" s="25">
        <f t="shared" ref="S5:S8" si="3">+(I5*J5+K5*L5+M5*N5+O5*P5+Q5*R5)</f>
        <v>3588.44</v>
      </c>
      <c r="T5" s="25"/>
      <c r="U5" s="27">
        <f>+E5/D5*1490</f>
        <v>1604.61538461538</v>
      </c>
      <c r="V5" s="27">
        <v>150</v>
      </c>
      <c r="W5" s="27"/>
      <c r="X5" s="27">
        <v>500</v>
      </c>
      <c r="Y5" s="42">
        <v>300</v>
      </c>
      <c r="Z5" s="32">
        <f t="shared" si="0"/>
        <v>224</v>
      </c>
      <c r="AA5" s="43"/>
      <c r="AB5" s="34">
        <f>E5*20</f>
        <v>560</v>
      </c>
      <c r="AC5" s="44">
        <f t="shared" ref="AC5:AC7" si="4">+J5*20</f>
        <v>1984.6</v>
      </c>
      <c r="AD5" s="44">
        <v>0</v>
      </c>
      <c r="AE5" s="41">
        <v>0.988</v>
      </c>
      <c r="AF5" s="34">
        <f t="shared" ref="AF4:AF7" si="5">S5*AE5+T5+U5+V5+W5+X5+Y5+Z5+AA5+AB5+AD5</f>
        <v>6883.99410461538</v>
      </c>
      <c r="AG5" s="46"/>
    </row>
    <row r="6" s="1" customFormat="1" customHeight="1" spans="1:33">
      <c r="A6" s="17">
        <v>3</v>
      </c>
      <c r="B6" s="22" t="s">
        <v>479</v>
      </c>
      <c r="C6" s="21" t="s">
        <v>480</v>
      </c>
      <c r="D6" s="17">
        <v>26</v>
      </c>
      <c r="E6" s="19">
        <v>27</v>
      </c>
      <c r="F6" s="70">
        <v>27</v>
      </c>
      <c r="G6" s="70">
        <f t="shared" si="1"/>
        <v>27</v>
      </c>
      <c r="H6" s="71">
        <f t="shared" si="2"/>
        <v>0</v>
      </c>
      <c r="I6" s="25">
        <v>0</v>
      </c>
      <c r="J6" s="25">
        <v>99.23</v>
      </c>
      <c r="K6" s="25">
        <v>3</v>
      </c>
      <c r="L6" s="26">
        <v>109.23</v>
      </c>
      <c r="M6" s="25">
        <v>4</v>
      </c>
      <c r="N6" s="25">
        <v>119.23</v>
      </c>
      <c r="O6" s="25">
        <v>9</v>
      </c>
      <c r="P6" s="25">
        <v>129.23</v>
      </c>
      <c r="Q6" s="25">
        <v>11</v>
      </c>
      <c r="R6" s="25">
        <v>139.23</v>
      </c>
      <c r="S6" s="25">
        <f t="shared" si="3"/>
        <v>3499.21</v>
      </c>
      <c r="T6" s="25"/>
      <c r="U6" s="27">
        <f>+E6/D21*1490</f>
        <v>1547.30769230769</v>
      </c>
      <c r="V6" s="27">
        <v>150</v>
      </c>
      <c r="W6" s="27"/>
      <c r="X6" s="27">
        <v>500</v>
      </c>
      <c r="Y6" s="30">
        <v>300</v>
      </c>
      <c r="Z6" s="32">
        <f t="shared" si="0"/>
        <v>216</v>
      </c>
      <c r="AA6" s="43">
        <v>500</v>
      </c>
      <c r="AB6" s="34">
        <f>20*E6</f>
        <v>540</v>
      </c>
      <c r="AC6" s="44">
        <f t="shared" si="4"/>
        <v>1984.6</v>
      </c>
      <c r="AD6" s="44">
        <v>300</v>
      </c>
      <c r="AE6" s="41">
        <v>0.988</v>
      </c>
      <c r="AF6" s="34">
        <f t="shared" si="5"/>
        <v>7510.52717230769</v>
      </c>
      <c r="AG6" s="46"/>
    </row>
    <row r="7" s="4" customFormat="1" customHeight="1" spans="1:33">
      <c r="A7" s="17">
        <v>4</v>
      </c>
      <c r="B7" s="22" t="s">
        <v>481</v>
      </c>
      <c r="C7" s="21" t="s">
        <v>482</v>
      </c>
      <c r="D7" s="17">
        <v>26</v>
      </c>
      <c r="E7" s="19">
        <v>30</v>
      </c>
      <c r="F7" s="19">
        <v>29</v>
      </c>
      <c r="G7" s="70">
        <f t="shared" si="1"/>
        <v>30</v>
      </c>
      <c r="H7" s="71">
        <f t="shared" si="2"/>
        <v>0</v>
      </c>
      <c r="I7" s="25">
        <v>3</v>
      </c>
      <c r="J7" s="25">
        <v>99.23</v>
      </c>
      <c r="K7" s="25">
        <v>3</v>
      </c>
      <c r="L7" s="26">
        <v>109.23</v>
      </c>
      <c r="M7" s="25">
        <v>4</v>
      </c>
      <c r="N7" s="25">
        <v>119.23</v>
      </c>
      <c r="O7" s="25">
        <v>9</v>
      </c>
      <c r="P7" s="25">
        <v>129.23</v>
      </c>
      <c r="Q7" s="25">
        <v>11</v>
      </c>
      <c r="R7" s="25">
        <v>139.23</v>
      </c>
      <c r="S7" s="25">
        <f t="shared" si="3"/>
        <v>3796.9</v>
      </c>
      <c r="T7" s="25"/>
      <c r="U7" s="27">
        <f>+E7/D7*1490</f>
        <v>1719.23076923077</v>
      </c>
      <c r="V7" s="27">
        <v>150</v>
      </c>
      <c r="W7" s="27">
        <v>60</v>
      </c>
      <c r="X7" s="27">
        <v>200</v>
      </c>
      <c r="Y7" s="30">
        <v>200</v>
      </c>
      <c r="Z7" s="32">
        <f t="shared" si="0"/>
        <v>240</v>
      </c>
      <c r="AA7" s="43">
        <v>500</v>
      </c>
      <c r="AB7" s="34">
        <f>20*E7</f>
        <v>600</v>
      </c>
      <c r="AC7" s="44">
        <f t="shared" si="4"/>
        <v>1984.6</v>
      </c>
      <c r="AD7" s="44">
        <v>0</v>
      </c>
      <c r="AE7" s="41">
        <v>0.988</v>
      </c>
      <c r="AF7" s="34">
        <f t="shared" si="5"/>
        <v>7420.56796923077</v>
      </c>
      <c r="AG7" s="46"/>
    </row>
    <row r="8" s="3" customFormat="1" customHeight="1" spans="1:33">
      <c r="A8" s="17">
        <v>5</v>
      </c>
      <c r="B8" s="17" t="s">
        <v>483</v>
      </c>
      <c r="C8" s="21" t="s">
        <v>484</v>
      </c>
      <c r="D8" s="17">
        <v>26</v>
      </c>
      <c r="E8" s="19">
        <v>29</v>
      </c>
      <c r="F8" s="70">
        <v>29</v>
      </c>
      <c r="G8" s="70">
        <f t="shared" si="1"/>
        <v>29</v>
      </c>
      <c r="H8" s="71">
        <f t="shared" si="2"/>
        <v>0</v>
      </c>
      <c r="I8" s="25">
        <v>2</v>
      </c>
      <c r="J8" s="25">
        <v>99.23</v>
      </c>
      <c r="K8" s="25">
        <v>3</v>
      </c>
      <c r="L8" s="26">
        <v>109.23</v>
      </c>
      <c r="M8" s="25">
        <v>4</v>
      </c>
      <c r="N8" s="25">
        <v>119.23</v>
      </c>
      <c r="O8" s="25">
        <v>9</v>
      </c>
      <c r="P8" s="25">
        <v>129.23</v>
      </c>
      <c r="Q8" s="25">
        <v>11</v>
      </c>
      <c r="R8" s="25">
        <v>139.23</v>
      </c>
      <c r="S8" s="25">
        <f t="shared" si="3"/>
        <v>3697.67</v>
      </c>
      <c r="T8" s="25"/>
      <c r="U8" s="27">
        <f>+E8/D8*1490</f>
        <v>1661.92307692308</v>
      </c>
      <c r="V8" s="27">
        <v>151</v>
      </c>
      <c r="W8" s="27"/>
      <c r="X8" s="27">
        <f>500</f>
        <v>500</v>
      </c>
      <c r="Y8" s="30">
        <v>300</v>
      </c>
      <c r="Z8" s="32">
        <f t="shared" si="0"/>
        <v>232</v>
      </c>
      <c r="AA8" s="43"/>
      <c r="AB8" s="34">
        <f>20*E8</f>
        <v>580</v>
      </c>
      <c r="AC8" s="44"/>
      <c r="AD8" s="44">
        <v>0</v>
      </c>
      <c r="AE8" s="41">
        <v>0.988</v>
      </c>
      <c r="AF8" s="34"/>
      <c r="AG8" s="46"/>
    </row>
    <row r="9" s="3" customFormat="1" customHeight="1" spans="1:33">
      <c r="A9" s="17">
        <v>6</v>
      </c>
      <c r="B9" s="17" t="s">
        <v>485</v>
      </c>
      <c r="C9" s="21" t="s">
        <v>486</v>
      </c>
      <c r="D9" s="17">
        <v>26</v>
      </c>
      <c r="E9" s="19">
        <v>28</v>
      </c>
      <c r="F9" s="70">
        <v>28</v>
      </c>
      <c r="G9" s="70">
        <f t="shared" si="1"/>
        <v>28</v>
      </c>
      <c r="H9" s="70">
        <f t="shared" si="2"/>
        <v>0</v>
      </c>
      <c r="I9" s="25">
        <v>2</v>
      </c>
      <c r="J9" s="25">
        <v>99.23</v>
      </c>
      <c r="K9" s="25">
        <v>2</v>
      </c>
      <c r="L9" s="26">
        <v>109.23</v>
      </c>
      <c r="M9" s="25">
        <v>4</v>
      </c>
      <c r="N9" s="25">
        <v>119.23</v>
      </c>
      <c r="O9" s="25">
        <v>9</v>
      </c>
      <c r="P9" s="25">
        <v>129.23</v>
      </c>
      <c r="Q9" s="25">
        <v>11</v>
      </c>
      <c r="R9" s="25">
        <v>139.23</v>
      </c>
      <c r="S9" s="72">
        <f t="shared" ref="S9:S11" si="6">(+I9*J9+K9*L9+M9*N9+O9*P9+Q9*R9)-100</f>
        <v>3488.44</v>
      </c>
      <c r="T9" s="25"/>
      <c r="U9" s="27">
        <f t="shared" ref="U9:U21" si="7">+E9/D9*1490</f>
        <v>1604.61538461538</v>
      </c>
      <c r="V9" s="27">
        <v>150</v>
      </c>
      <c r="W9" s="27"/>
      <c r="X9" s="27">
        <f>500</f>
        <v>500</v>
      </c>
      <c r="Y9" s="30">
        <v>150</v>
      </c>
      <c r="Z9" s="32">
        <f t="shared" ref="Z9:Z21" si="8">8*E9</f>
        <v>224</v>
      </c>
      <c r="AA9" s="43"/>
      <c r="AB9" s="34">
        <f t="shared" ref="AB9:AB21" si="9">20*E9</f>
        <v>560</v>
      </c>
      <c r="AC9" s="44">
        <f t="shared" ref="AC9:AC17" si="10">+J9*20</f>
        <v>1984.6</v>
      </c>
      <c r="AD9" s="44">
        <v>0</v>
      </c>
      <c r="AE9" s="41">
        <v>0.988</v>
      </c>
      <c r="AF9" s="34">
        <f t="shared" ref="AF9:AF21" si="11">S9*AE9+T9+U9+V9+W9+X9+Y9+Z9+AA9+AB9+AD9</f>
        <v>6635.19410461538</v>
      </c>
      <c r="AG9" s="46"/>
    </row>
    <row r="10" s="3" customFormat="1" customHeight="1" spans="1:33">
      <c r="A10" s="17">
        <v>7</v>
      </c>
      <c r="B10" s="17" t="s">
        <v>485</v>
      </c>
      <c r="C10" s="21" t="s">
        <v>487</v>
      </c>
      <c r="D10" s="17">
        <v>26</v>
      </c>
      <c r="E10" s="19">
        <v>27</v>
      </c>
      <c r="F10" s="70">
        <v>27</v>
      </c>
      <c r="G10" s="70">
        <f t="shared" si="1"/>
        <v>27</v>
      </c>
      <c r="H10" s="70">
        <f t="shared" si="2"/>
        <v>0</v>
      </c>
      <c r="I10" s="25">
        <v>1</v>
      </c>
      <c r="J10" s="25">
        <v>99.23</v>
      </c>
      <c r="K10" s="25">
        <v>2</v>
      </c>
      <c r="L10" s="26">
        <v>109.23</v>
      </c>
      <c r="M10" s="25">
        <v>4</v>
      </c>
      <c r="N10" s="25">
        <v>119.23</v>
      </c>
      <c r="O10" s="25">
        <v>9</v>
      </c>
      <c r="P10" s="25">
        <v>129.23</v>
      </c>
      <c r="Q10" s="25">
        <v>11</v>
      </c>
      <c r="R10" s="25">
        <v>139.23</v>
      </c>
      <c r="S10" s="72">
        <f t="shared" si="6"/>
        <v>3389.21</v>
      </c>
      <c r="T10" s="25"/>
      <c r="U10" s="27">
        <f t="shared" si="7"/>
        <v>1547.30769230769</v>
      </c>
      <c r="V10" s="27">
        <v>150</v>
      </c>
      <c r="W10" s="27"/>
      <c r="X10" s="27">
        <v>500</v>
      </c>
      <c r="Y10" s="30">
        <v>300</v>
      </c>
      <c r="Z10" s="32">
        <f t="shared" si="8"/>
        <v>216</v>
      </c>
      <c r="AA10" s="43"/>
      <c r="AB10" s="34">
        <f t="shared" si="9"/>
        <v>540</v>
      </c>
      <c r="AC10" s="44">
        <f t="shared" si="10"/>
        <v>1984.6</v>
      </c>
      <c r="AD10" s="44">
        <v>0</v>
      </c>
      <c r="AE10" s="41">
        <v>0.988</v>
      </c>
      <c r="AF10" s="34">
        <f t="shared" si="11"/>
        <v>6601.84717230769</v>
      </c>
      <c r="AG10" s="46"/>
    </row>
    <row r="11" s="3" customFormat="1" customHeight="1" spans="1:33">
      <c r="A11" s="17">
        <v>8</v>
      </c>
      <c r="B11" s="17" t="s">
        <v>488</v>
      </c>
      <c r="C11" s="21" t="s">
        <v>489</v>
      </c>
      <c r="D11" s="17">
        <v>26</v>
      </c>
      <c r="E11" s="19">
        <v>27</v>
      </c>
      <c r="F11" s="70">
        <v>27</v>
      </c>
      <c r="G11" s="70">
        <f t="shared" si="1"/>
        <v>27</v>
      </c>
      <c r="H11" s="70">
        <f t="shared" si="2"/>
        <v>0</v>
      </c>
      <c r="I11" s="17">
        <v>2</v>
      </c>
      <c r="J11" s="25">
        <v>99.23</v>
      </c>
      <c r="K11" s="17">
        <v>2</v>
      </c>
      <c r="L11" s="26">
        <v>109.23</v>
      </c>
      <c r="M11" s="25">
        <v>4</v>
      </c>
      <c r="N11" s="25">
        <v>119.23</v>
      </c>
      <c r="O11" s="25">
        <v>8</v>
      </c>
      <c r="P11" s="25">
        <v>129.23</v>
      </c>
      <c r="Q11" s="25">
        <v>11</v>
      </c>
      <c r="R11" s="25">
        <v>139.23</v>
      </c>
      <c r="S11" s="72">
        <f t="shared" si="6"/>
        <v>3359.21</v>
      </c>
      <c r="T11" s="25"/>
      <c r="U11" s="27">
        <f t="shared" si="7"/>
        <v>1547.30769230769</v>
      </c>
      <c r="V11" s="27">
        <v>150</v>
      </c>
      <c r="W11" s="27"/>
      <c r="X11" s="27">
        <v>700</v>
      </c>
      <c r="Y11" s="30">
        <v>300</v>
      </c>
      <c r="Z11" s="32">
        <f t="shared" si="8"/>
        <v>216</v>
      </c>
      <c r="AA11" s="43"/>
      <c r="AB11" s="34">
        <f t="shared" si="9"/>
        <v>540</v>
      </c>
      <c r="AC11" s="44">
        <f t="shared" si="10"/>
        <v>1984.6</v>
      </c>
      <c r="AD11" s="44">
        <v>300</v>
      </c>
      <c r="AE11" s="41">
        <v>0.988</v>
      </c>
      <c r="AF11" s="34">
        <f t="shared" si="11"/>
        <v>7072.20717230769</v>
      </c>
      <c r="AG11" s="46"/>
    </row>
    <row r="12" s="3" customFormat="1" customHeight="1" spans="1:33">
      <c r="A12" s="17">
        <v>9</v>
      </c>
      <c r="B12" s="17" t="s">
        <v>488</v>
      </c>
      <c r="C12" s="21" t="s">
        <v>490</v>
      </c>
      <c r="D12" s="17">
        <v>26</v>
      </c>
      <c r="E12" s="19">
        <v>28</v>
      </c>
      <c r="F12" s="70">
        <v>28</v>
      </c>
      <c r="G12" s="70">
        <f t="shared" si="1"/>
        <v>28</v>
      </c>
      <c r="H12" s="70">
        <f t="shared" si="2"/>
        <v>0</v>
      </c>
      <c r="I12" s="25">
        <v>2</v>
      </c>
      <c r="J12" s="25">
        <v>99.23</v>
      </c>
      <c r="K12" s="25">
        <v>2</v>
      </c>
      <c r="L12" s="26">
        <v>109.23</v>
      </c>
      <c r="M12" s="25">
        <v>4</v>
      </c>
      <c r="N12" s="25">
        <v>119.23</v>
      </c>
      <c r="O12" s="25">
        <v>9</v>
      </c>
      <c r="P12" s="25">
        <v>129.23</v>
      </c>
      <c r="Q12" s="25">
        <v>11</v>
      </c>
      <c r="R12" s="25">
        <v>139.23</v>
      </c>
      <c r="S12" s="72">
        <f t="shared" ref="S12:S22" si="12">+(I12*J12+K12*L12+M12*N12+O12*P12+Q12*R12)-100</f>
        <v>3488.44</v>
      </c>
      <c r="T12" s="25"/>
      <c r="U12" s="27">
        <f t="shared" si="7"/>
        <v>1604.61538461538</v>
      </c>
      <c r="V12" s="27">
        <v>150</v>
      </c>
      <c r="W12" s="27"/>
      <c r="X12" s="27">
        <v>700</v>
      </c>
      <c r="Y12" s="30">
        <v>0</v>
      </c>
      <c r="Z12" s="32">
        <f t="shared" si="8"/>
        <v>224</v>
      </c>
      <c r="AA12" s="43"/>
      <c r="AB12" s="34">
        <f t="shared" si="9"/>
        <v>560</v>
      </c>
      <c r="AC12" s="44">
        <f t="shared" si="10"/>
        <v>1984.6</v>
      </c>
      <c r="AD12" s="45">
        <v>0</v>
      </c>
      <c r="AE12" s="41">
        <v>0.988</v>
      </c>
      <c r="AF12" s="34">
        <f t="shared" si="11"/>
        <v>6685.19410461538</v>
      </c>
      <c r="AG12" s="46"/>
    </row>
    <row r="13" s="3" customFormat="1" customHeight="1" spans="1:33">
      <c r="A13" s="17">
        <v>10</v>
      </c>
      <c r="B13" s="17" t="s">
        <v>491</v>
      </c>
      <c r="C13" s="21" t="s">
        <v>492</v>
      </c>
      <c r="D13" s="17">
        <v>26</v>
      </c>
      <c r="E13" s="19">
        <v>28</v>
      </c>
      <c r="F13" s="70">
        <v>28</v>
      </c>
      <c r="G13" s="70">
        <f t="shared" si="1"/>
        <v>28</v>
      </c>
      <c r="H13" s="70">
        <f t="shared" si="2"/>
        <v>0</v>
      </c>
      <c r="I13" s="25">
        <v>2</v>
      </c>
      <c r="J13" s="25">
        <v>99.23</v>
      </c>
      <c r="K13" s="25">
        <v>2</v>
      </c>
      <c r="L13" s="26">
        <v>109.23</v>
      </c>
      <c r="M13" s="25">
        <v>4</v>
      </c>
      <c r="N13" s="25">
        <v>119.23</v>
      </c>
      <c r="O13" s="25">
        <v>9</v>
      </c>
      <c r="P13" s="25">
        <v>129.23</v>
      </c>
      <c r="Q13" s="25">
        <v>11</v>
      </c>
      <c r="R13" s="25">
        <v>139.23</v>
      </c>
      <c r="S13" s="72">
        <f t="shared" si="12"/>
        <v>3488.44</v>
      </c>
      <c r="T13" s="25"/>
      <c r="U13" s="27">
        <f t="shared" si="7"/>
        <v>1604.61538461538</v>
      </c>
      <c r="V13" s="27">
        <v>150</v>
      </c>
      <c r="W13" s="27"/>
      <c r="X13" s="27">
        <v>700</v>
      </c>
      <c r="Y13" s="30">
        <v>300</v>
      </c>
      <c r="Z13" s="32">
        <f t="shared" si="8"/>
        <v>224</v>
      </c>
      <c r="AA13" s="43"/>
      <c r="AB13" s="34">
        <f t="shared" si="9"/>
        <v>560</v>
      </c>
      <c r="AC13" s="44">
        <f t="shared" si="10"/>
        <v>1984.6</v>
      </c>
      <c r="AD13" s="44">
        <v>0</v>
      </c>
      <c r="AE13" s="41">
        <v>0.988</v>
      </c>
      <c r="AF13" s="34">
        <f t="shared" si="11"/>
        <v>6985.19410461538</v>
      </c>
      <c r="AG13" s="46"/>
    </row>
    <row r="14" s="3" customFormat="1" customHeight="1" spans="1:33">
      <c r="A14" s="17">
        <v>11</v>
      </c>
      <c r="B14" s="17" t="s">
        <v>493</v>
      </c>
      <c r="C14" s="21" t="s">
        <v>494</v>
      </c>
      <c r="D14" s="17">
        <v>26</v>
      </c>
      <c r="E14" s="19">
        <v>30</v>
      </c>
      <c r="F14" s="70">
        <v>30</v>
      </c>
      <c r="G14" s="70">
        <f t="shared" si="1"/>
        <v>30</v>
      </c>
      <c r="H14" s="71">
        <f t="shared" si="2"/>
        <v>0</v>
      </c>
      <c r="I14" s="25">
        <v>4</v>
      </c>
      <c r="J14" s="25">
        <v>99.23</v>
      </c>
      <c r="K14" s="25">
        <v>3</v>
      </c>
      <c r="L14" s="26">
        <v>109.23</v>
      </c>
      <c r="M14" s="25">
        <v>4</v>
      </c>
      <c r="N14" s="25">
        <v>119.23</v>
      </c>
      <c r="O14" s="25">
        <v>9</v>
      </c>
      <c r="P14" s="25">
        <v>129.23</v>
      </c>
      <c r="Q14" s="25">
        <v>10</v>
      </c>
      <c r="R14" s="25">
        <v>139.23</v>
      </c>
      <c r="S14" s="72">
        <f t="shared" si="12"/>
        <v>3656.9</v>
      </c>
      <c r="T14" s="25"/>
      <c r="U14" s="27">
        <f t="shared" si="7"/>
        <v>1719.23076923077</v>
      </c>
      <c r="V14" s="27">
        <v>150</v>
      </c>
      <c r="W14" s="27"/>
      <c r="X14" s="27">
        <v>800</v>
      </c>
      <c r="Y14" s="30">
        <v>300</v>
      </c>
      <c r="Z14" s="32">
        <f t="shared" si="8"/>
        <v>240</v>
      </c>
      <c r="AA14" s="43"/>
      <c r="AB14" s="34">
        <f t="shared" si="9"/>
        <v>600</v>
      </c>
      <c r="AC14" s="44">
        <f t="shared" si="10"/>
        <v>1984.6</v>
      </c>
      <c r="AD14" s="44">
        <v>150</v>
      </c>
      <c r="AE14" s="41">
        <v>0.988</v>
      </c>
      <c r="AF14" s="34">
        <f t="shared" si="11"/>
        <v>7572.24796923077</v>
      </c>
      <c r="AG14" s="46"/>
    </row>
    <row r="15" s="4" customFormat="1" customHeight="1" spans="1:33">
      <c r="A15" s="17">
        <v>12</v>
      </c>
      <c r="B15" s="22" t="s">
        <v>495</v>
      </c>
      <c r="C15" s="21" t="s">
        <v>496</v>
      </c>
      <c r="D15" s="17">
        <v>26</v>
      </c>
      <c r="E15" s="19">
        <v>2.5</v>
      </c>
      <c r="F15" s="70">
        <v>2.5</v>
      </c>
      <c r="G15" s="70">
        <f t="shared" si="1"/>
        <v>2.5</v>
      </c>
      <c r="H15" s="71">
        <f t="shared" si="2"/>
        <v>0</v>
      </c>
      <c r="I15" s="25">
        <v>0</v>
      </c>
      <c r="J15" s="25">
        <v>99.23</v>
      </c>
      <c r="K15" s="25">
        <v>0</v>
      </c>
      <c r="L15" s="26">
        <v>109.23</v>
      </c>
      <c r="M15" s="25">
        <v>0</v>
      </c>
      <c r="N15" s="25">
        <v>119.23</v>
      </c>
      <c r="O15" s="25">
        <v>2.5</v>
      </c>
      <c r="P15" s="25">
        <v>129.23</v>
      </c>
      <c r="Q15" s="25">
        <v>0</v>
      </c>
      <c r="R15" s="25">
        <v>139.23</v>
      </c>
      <c r="S15" s="72">
        <f t="shared" si="12"/>
        <v>223.075</v>
      </c>
      <c r="T15" s="25"/>
      <c r="U15" s="27">
        <f t="shared" si="7"/>
        <v>143.269230769231</v>
      </c>
      <c r="V15" s="27">
        <v>150</v>
      </c>
      <c r="W15" s="27"/>
      <c r="X15" s="27">
        <v>300</v>
      </c>
      <c r="Y15" s="30">
        <v>0</v>
      </c>
      <c r="Z15" s="32">
        <f t="shared" si="8"/>
        <v>20</v>
      </c>
      <c r="AA15" s="43"/>
      <c r="AB15" s="34">
        <f t="shared" si="9"/>
        <v>50</v>
      </c>
      <c r="AC15" s="44">
        <f t="shared" si="10"/>
        <v>1984.6</v>
      </c>
      <c r="AD15" s="44">
        <v>0</v>
      </c>
      <c r="AE15" s="41">
        <v>0.988</v>
      </c>
      <c r="AF15" s="34">
        <f t="shared" si="11"/>
        <v>883.667330769231</v>
      </c>
      <c r="AG15" s="46"/>
    </row>
    <row r="16" s="3" customFormat="1" customHeight="1" spans="1:33">
      <c r="A16" s="17">
        <v>13</v>
      </c>
      <c r="B16" s="22" t="s">
        <v>495</v>
      </c>
      <c r="C16" s="21" t="s">
        <v>497</v>
      </c>
      <c r="D16" s="17">
        <v>26</v>
      </c>
      <c r="E16" s="19">
        <v>29</v>
      </c>
      <c r="F16" s="70">
        <v>29</v>
      </c>
      <c r="G16" s="70">
        <f t="shared" si="1"/>
        <v>29</v>
      </c>
      <c r="H16" s="71">
        <f t="shared" si="2"/>
        <v>0</v>
      </c>
      <c r="I16" s="25">
        <v>2</v>
      </c>
      <c r="J16" s="25">
        <v>99.23</v>
      </c>
      <c r="K16" s="25">
        <v>3</v>
      </c>
      <c r="L16" s="26">
        <v>109.23</v>
      </c>
      <c r="M16" s="25">
        <v>4</v>
      </c>
      <c r="N16" s="25">
        <v>119.23</v>
      </c>
      <c r="O16" s="25">
        <v>9</v>
      </c>
      <c r="P16" s="25">
        <v>129.23</v>
      </c>
      <c r="Q16" s="25">
        <v>11</v>
      </c>
      <c r="R16" s="25">
        <v>139.23</v>
      </c>
      <c r="S16" s="72">
        <f t="shared" si="12"/>
        <v>3597.67</v>
      </c>
      <c r="T16" s="25"/>
      <c r="U16" s="27">
        <f t="shared" si="7"/>
        <v>1661.92307692308</v>
      </c>
      <c r="V16" s="27">
        <v>150</v>
      </c>
      <c r="W16" s="27"/>
      <c r="X16" s="27">
        <v>300</v>
      </c>
      <c r="Y16" s="30">
        <v>300</v>
      </c>
      <c r="Z16" s="32">
        <f t="shared" si="8"/>
        <v>232</v>
      </c>
      <c r="AA16" s="43"/>
      <c r="AB16" s="34">
        <f t="shared" si="9"/>
        <v>580</v>
      </c>
      <c r="AC16" s="44">
        <f t="shared" si="10"/>
        <v>1984.6</v>
      </c>
      <c r="AD16" s="44">
        <v>50</v>
      </c>
      <c r="AE16" s="41">
        <v>0.988</v>
      </c>
      <c r="AF16" s="34">
        <f t="shared" si="11"/>
        <v>6828.42103692308</v>
      </c>
      <c r="AG16" s="46"/>
    </row>
    <row r="17" s="1" customFormat="1" customHeight="1" spans="1:33">
      <c r="A17" s="17">
        <v>14</v>
      </c>
      <c r="B17" s="22" t="s">
        <v>495</v>
      </c>
      <c r="C17" s="21" t="s">
        <v>498</v>
      </c>
      <c r="D17" s="17">
        <v>26</v>
      </c>
      <c r="E17" s="19">
        <v>15</v>
      </c>
      <c r="F17" s="70">
        <v>15</v>
      </c>
      <c r="G17" s="70">
        <f t="shared" si="1"/>
        <v>15</v>
      </c>
      <c r="H17" s="70">
        <f t="shared" si="2"/>
        <v>0</v>
      </c>
      <c r="I17" s="25">
        <v>0</v>
      </c>
      <c r="J17" s="25">
        <v>99.23</v>
      </c>
      <c r="K17" s="25">
        <v>2</v>
      </c>
      <c r="L17" s="26">
        <v>109.23</v>
      </c>
      <c r="M17" s="25">
        <v>3</v>
      </c>
      <c r="N17" s="25">
        <v>119.23</v>
      </c>
      <c r="O17" s="25">
        <v>4</v>
      </c>
      <c r="P17" s="25">
        <v>129.23</v>
      </c>
      <c r="Q17" s="25">
        <v>6</v>
      </c>
      <c r="R17" s="25">
        <v>139.23</v>
      </c>
      <c r="S17" s="72">
        <f t="shared" si="12"/>
        <v>1828.45</v>
      </c>
      <c r="T17" s="25"/>
      <c r="U17" s="27">
        <f t="shared" si="7"/>
        <v>859.615384615385</v>
      </c>
      <c r="V17" s="27">
        <v>150</v>
      </c>
      <c r="W17" s="27"/>
      <c r="X17" s="27">
        <v>300</v>
      </c>
      <c r="Y17" s="42">
        <v>100</v>
      </c>
      <c r="Z17" s="32">
        <f t="shared" si="8"/>
        <v>120</v>
      </c>
      <c r="AA17" s="43"/>
      <c r="AB17" s="34">
        <f t="shared" si="9"/>
        <v>300</v>
      </c>
      <c r="AC17" s="44"/>
      <c r="AD17" s="44">
        <v>0</v>
      </c>
      <c r="AE17" s="41">
        <v>0.988</v>
      </c>
      <c r="AF17" s="34">
        <f t="shared" si="11"/>
        <v>3636.12398461538</v>
      </c>
      <c r="AG17" s="46"/>
    </row>
    <row r="18" s="1" customFormat="1" customHeight="1" spans="1:33">
      <c r="A18" s="17">
        <v>15</v>
      </c>
      <c r="B18" s="22" t="s">
        <v>495</v>
      </c>
      <c r="C18" s="21" t="s">
        <v>499</v>
      </c>
      <c r="D18" s="17">
        <v>26</v>
      </c>
      <c r="E18" s="19">
        <v>28</v>
      </c>
      <c r="F18" s="70">
        <v>28</v>
      </c>
      <c r="G18" s="70">
        <f t="shared" si="1"/>
        <v>28</v>
      </c>
      <c r="H18" s="70">
        <f t="shared" si="2"/>
        <v>0</v>
      </c>
      <c r="I18" s="25">
        <v>2</v>
      </c>
      <c r="J18" s="25">
        <v>99.23</v>
      </c>
      <c r="K18" s="25">
        <v>2</v>
      </c>
      <c r="L18" s="26">
        <v>109.23</v>
      </c>
      <c r="M18" s="25">
        <v>4</v>
      </c>
      <c r="N18" s="25">
        <v>119.23</v>
      </c>
      <c r="O18" s="25">
        <v>9</v>
      </c>
      <c r="P18" s="25">
        <v>129.23</v>
      </c>
      <c r="Q18" s="25">
        <v>11</v>
      </c>
      <c r="R18" s="25">
        <v>139.23</v>
      </c>
      <c r="S18" s="72">
        <f t="shared" si="12"/>
        <v>3488.44</v>
      </c>
      <c r="T18" s="25"/>
      <c r="U18" s="27">
        <f t="shared" si="7"/>
        <v>1604.61538461538</v>
      </c>
      <c r="V18" s="27">
        <v>150</v>
      </c>
      <c r="W18" s="27"/>
      <c r="X18" s="27">
        <v>300</v>
      </c>
      <c r="Y18" s="42">
        <v>100</v>
      </c>
      <c r="Z18" s="32">
        <f t="shared" si="8"/>
        <v>224</v>
      </c>
      <c r="AA18" s="43"/>
      <c r="AB18" s="34">
        <f t="shared" si="9"/>
        <v>560</v>
      </c>
      <c r="AC18" s="44"/>
      <c r="AD18" s="44">
        <v>50</v>
      </c>
      <c r="AE18" s="41">
        <v>0.988</v>
      </c>
      <c r="AF18" s="34">
        <f t="shared" si="11"/>
        <v>6435.19410461538</v>
      </c>
      <c r="AG18" s="46"/>
    </row>
    <row r="19" s="1" customFormat="1" customHeight="1" spans="1:33">
      <c r="A19" s="17">
        <v>16</v>
      </c>
      <c r="B19" s="22" t="s">
        <v>495</v>
      </c>
      <c r="C19" s="21" t="s">
        <v>500</v>
      </c>
      <c r="D19" s="17">
        <v>26</v>
      </c>
      <c r="E19" s="19">
        <v>28</v>
      </c>
      <c r="F19" s="70">
        <v>28</v>
      </c>
      <c r="G19" s="70">
        <f t="shared" si="1"/>
        <v>28</v>
      </c>
      <c r="H19" s="70">
        <f t="shared" si="2"/>
        <v>0</v>
      </c>
      <c r="I19" s="25">
        <v>2</v>
      </c>
      <c r="J19" s="25">
        <v>99.23</v>
      </c>
      <c r="K19" s="25">
        <v>2</v>
      </c>
      <c r="L19" s="26">
        <v>109.23</v>
      </c>
      <c r="M19" s="25">
        <v>4</v>
      </c>
      <c r="N19" s="25">
        <v>119.23</v>
      </c>
      <c r="O19" s="25">
        <v>9</v>
      </c>
      <c r="P19" s="25">
        <v>129.23</v>
      </c>
      <c r="Q19" s="25">
        <v>11</v>
      </c>
      <c r="R19" s="25">
        <v>139.23</v>
      </c>
      <c r="S19" s="72">
        <f t="shared" si="12"/>
        <v>3488.44</v>
      </c>
      <c r="T19" s="25"/>
      <c r="U19" s="27">
        <f t="shared" si="7"/>
        <v>1604.61538461538</v>
      </c>
      <c r="V19" s="27">
        <v>150</v>
      </c>
      <c r="W19" s="27"/>
      <c r="X19" s="27">
        <v>300</v>
      </c>
      <c r="Y19" s="42">
        <v>300</v>
      </c>
      <c r="Z19" s="32">
        <f t="shared" si="8"/>
        <v>224</v>
      </c>
      <c r="AA19" s="43"/>
      <c r="AB19" s="34">
        <f t="shared" si="9"/>
        <v>560</v>
      </c>
      <c r="AC19" s="44"/>
      <c r="AD19" s="44">
        <v>0</v>
      </c>
      <c r="AE19" s="41">
        <v>0.988</v>
      </c>
      <c r="AF19" s="34">
        <f t="shared" si="11"/>
        <v>6585.19410461538</v>
      </c>
      <c r="AG19" s="46"/>
    </row>
    <row r="20" s="1" customFormat="1" customHeight="1" spans="1:33">
      <c r="A20" s="17">
        <v>17</v>
      </c>
      <c r="B20" s="22" t="s">
        <v>493</v>
      </c>
      <c r="C20" s="21" t="s">
        <v>501</v>
      </c>
      <c r="D20" s="17">
        <v>26</v>
      </c>
      <c r="E20" s="19">
        <v>26</v>
      </c>
      <c r="F20" s="70">
        <v>26</v>
      </c>
      <c r="G20" s="70">
        <f t="shared" si="1"/>
        <v>26</v>
      </c>
      <c r="H20" s="71">
        <f t="shared" si="2"/>
        <v>0</v>
      </c>
      <c r="I20" s="25">
        <v>2</v>
      </c>
      <c r="J20" s="25">
        <v>99.23</v>
      </c>
      <c r="K20" s="25">
        <v>2</v>
      </c>
      <c r="L20" s="26">
        <v>109.23</v>
      </c>
      <c r="M20" s="25">
        <v>3</v>
      </c>
      <c r="N20" s="25">
        <v>119.23</v>
      </c>
      <c r="O20" s="25">
        <v>9</v>
      </c>
      <c r="P20" s="25">
        <v>129.23</v>
      </c>
      <c r="Q20" s="25">
        <v>10</v>
      </c>
      <c r="R20" s="25">
        <v>139.23</v>
      </c>
      <c r="S20" s="72">
        <f t="shared" si="12"/>
        <v>3229.98</v>
      </c>
      <c r="T20" s="25"/>
      <c r="U20" s="27">
        <f t="shared" si="7"/>
        <v>1490</v>
      </c>
      <c r="V20" s="27">
        <v>150</v>
      </c>
      <c r="W20" s="27"/>
      <c r="X20" s="27">
        <v>800</v>
      </c>
      <c r="Y20" s="42">
        <v>100</v>
      </c>
      <c r="Z20" s="32">
        <f t="shared" si="8"/>
        <v>208</v>
      </c>
      <c r="AA20" s="43"/>
      <c r="AB20" s="34">
        <f t="shared" si="9"/>
        <v>520</v>
      </c>
      <c r="AC20" s="44">
        <f>+J20*20</f>
        <v>1984.6</v>
      </c>
      <c r="AD20" s="44">
        <v>50</v>
      </c>
      <c r="AE20" s="41">
        <v>0.988</v>
      </c>
      <c r="AF20" s="34">
        <f t="shared" si="11"/>
        <v>6509.22024</v>
      </c>
      <c r="AG20" s="46"/>
    </row>
    <row r="21" s="3" customFormat="1" customHeight="1" spans="1:33">
      <c r="A21" s="17">
        <v>18</v>
      </c>
      <c r="B21" s="22" t="s">
        <v>502</v>
      </c>
      <c r="C21" s="21" t="s">
        <v>503</v>
      </c>
      <c r="D21" s="17">
        <v>26</v>
      </c>
      <c r="E21" s="19">
        <v>17</v>
      </c>
      <c r="F21" s="69">
        <v>16</v>
      </c>
      <c r="G21" s="70">
        <f t="shared" si="1"/>
        <v>17</v>
      </c>
      <c r="H21" s="70">
        <f t="shared" si="2"/>
        <v>0</v>
      </c>
      <c r="I21" s="17">
        <v>0</v>
      </c>
      <c r="J21" s="25">
        <v>99.23</v>
      </c>
      <c r="K21" s="17">
        <v>2</v>
      </c>
      <c r="L21" s="26">
        <v>109.23</v>
      </c>
      <c r="M21" s="25">
        <v>3</v>
      </c>
      <c r="N21" s="25">
        <v>119.23</v>
      </c>
      <c r="O21" s="25">
        <v>5</v>
      </c>
      <c r="P21" s="25">
        <v>129.23</v>
      </c>
      <c r="Q21" s="25">
        <v>7</v>
      </c>
      <c r="R21" s="25">
        <v>139.23</v>
      </c>
      <c r="S21" s="72">
        <f t="shared" si="12"/>
        <v>2096.91</v>
      </c>
      <c r="T21" s="25"/>
      <c r="U21" s="27">
        <f t="shared" si="7"/>
        <v>974.230769230769</v>
      </c>
      <c r="V21" s="27">
        <v>150</v>
      </c>
      <c r="W21" s="27"/>
      <c r="X21" s="27">
        <v>300</v>
      </c>
      <c r="Y21" s="30">
        <v>100</v>
      </c>
      <c r="Z21" s="32">
        <f t="shared" si="8"/>
        <v>136</v>
      </c>
      <c r="AA21" s="43"/>
      <c r="AB21" s="34">
        <f t="shared" si="9"/>
        <v>340</v>
      </c>
      <c r="AC21" s="44"/>
      <c r="AD21" s="44">
        <v>0</v>
      </c>
      <c r="AE21" s="41">
        <v>0.988</v>
      </c>
      <c r="AF21" s="34">
        <f t="shared" si="11"/>
        <v>4071.97784923077</v>
      </c>
      <c r="AG21" s="46"/>
    </row>
    <row r="22" s="3" customFormat="1" customHeight="1" spans="1:33">
      <c r="A22" s="17">
        <v>19</v>
      </c>
      <c r="B22" s="22" t="s">
        <v>502</v>
      </c>
      <c r="C22" s="21" t="s">
        <v>504</v>
      </c>
      <c r="D22" s="17">
        <v>26</v>
      </c>
      <c r="E22" s="19">
        <v>29</v>
      </c>
      <c r="F22" s="70">
        <v>29</v>
      </c>
      <c r="G22" s="70">
        <f t="shared" si="1"/>
        <v>29</v>
      </c>
      <c r="H22" s="71">
        <f t="shared" si="2"/>
        <v>0</v>
      </c>
      <c r="I22" s="17">
        <v>2</v>
      </c>
      <c r="J22" s="25">
        <v>99.23</v>
      </c>
      <c r="K22" s="17">
        <v>3</v>
      </c>
      <c r="L22" s="26">
        <v>109.23</v>
      </c>
      <c r="M22" s="25">
        <v>4</v>
      </c>
      <c r="N22" s="25">
        <v>119.23</v>
      </c>
      <c r="O22" s="25">
        <v>9</v>
      </c>
      <c r="P22" s="25">
        <v>129.23</v>
      </c>
      <c r="Q22" s="25">
        <v>11</v>
      </c>
      <c r="R22" s="25">
        <v>139.23</v>
      </c>
      <c r="S22" s="72">
        <f t="shared" si="12"/>
        <v>3597.67</v>
      </c>
      <c r="T22" s="25"/>
      <c r="U22" s="27">
        <f t="shared" ref="U22:U28" si="13">+E22/D22*1490</f>
        <v>1661.92307692308</v>
      </c>
      <c r="V22" s="27">
        <v>150</v>
      </c>
      <c r="W22" s="27"/>
      <c r="X22" s="27">
        <v>300</v>
      </c>
      <c r="Y22" s="30">
        <v>300</v>
      </c>
      <c r="Z22" s="32">
        <f t="shared" ref="Z22:Z28" si="14">8*E22</f>
        <v>232</v>
      </c>
      <c r="AA22" s="43"/>
      <c r="AB22" s="34">
        <f t="shared" ref="AB22:AB27" si="15">20*E22</f>
        <v>580</v>
      </c>
      <c r="AC22" s="44">
        <f>+J22*20</f>
        <v>1984.6</v>
      </c>
      <c r="AD22" s="44">
        <v>150</v>
      </c>
      <c r="AE22" s="41">
        <v>0.988</v>
      </c>
      <c r="AF22" s="34">
        <f t="shared" ref="AF22:AF28" si="16">S22*AE22+T22+U22+V22+W22+X22+Y22+Z22+AA22+AB22+AD22</f>
        <v>6928.42103692308</v>
      </c>
      <c r="AG22" s="46"/>
    </row>
    <row r="23" s="3" customFormat="1" customHeight="1" spans="1:33">
      <c r="A23" s="17">
        <v>20</v>
      </c>
      <c r="B23" s="17" t="s">
        <v>502</v>
      </c>
      <c r="C23" s="21" t="s">
        <v>505</v>
      </c>
      <c r="D23" s="17">
        <v>26</v>
      </c>
      <c r="E23" s="19">
        <v>28</v>
      </c>
      <c r="F23" s="70">
        <v>28</v>
      </c>
      <c r="G23" s="70">
        <f t="shared" si="1"/>
        <v>28</v>
      </c>
      <c r="H23" s="70">
        <f t="shared" si="2"/>
        <v>0</v>
      </c>
      <c r="I23" s="25">
        <v>2</v>
      </c>
      <c r="J23" s="25">
        <v>99.23</v>
      </c>
      <c r="K23" s="25">
        <v>2</v>
      </c>
      <c r="L23" s="26">
        <v>109.23</v>
      </c>
      <c r="M23" s="25">
        <v>4</v>
      </c>
      <c r="N23" s="25">
        <v>119.23</v>
      </c>
      <c r="O23" s="25">
        <v>9</v>
      </c>
      <c r="P23" s="25">
        <v>129.23</v>
      </c>
      <c r="Q23" s="25">
        <v>11</v>
      </c>
      <c r="R23" s="25">
        <v>139.23</v>
      </c>
      <c r="S23" s="72">
        <f>(+I23*J23+K23*L23+M23*N23+O23*P23+Q23*R23)-100</f>
        <v>3488.44</v>
      </c>
      <c r="T23" s="25"/>
      <c r="U23" s="27">
        <f t="shared" si="13"/>
        <v>1604.61538461538</v>
      </c>
      <c r="V23" s="27">
        <v>150</v>
      </c>
      <c r="W23" s="27"/>
      <c r="X23" s="30">
        <v>300</v>
      </c>
      <c r="Y23" s="29">
        <v>150</v>
      </c>
      <c r="Z23" s="32">
        <f t="shared" si="14"/>
        <v>224</v>
      </c>
      <c r="AA23" s="33"/>
      <c r="AB23" s="34">
        <f t="shared" si="15"/>
        <v>560</v>
      </c>
      <c r="AC23" s="13"/>
      <c r="AD23" s="34">
        <v>50</v>
      </c>
      <c r="AE23" s="41">
        <v>0.988</v>
      </c>
      <c r="AF23" s="34">
        <f t="shared" si="16"/>
        <v>6485.19410461538</v>
      </c>
      <c r="AG23" s="46"/>
    </row>
    <row r="24" s="3" customFormat="1" customHeight="1" spans="1:33">
      <c r="A24" s="17">
        <v>21</v>
      </c>
      <c r="B24" s="17" t="s">
        <v>502</v>
      </c>
      <c r="C24" s="21" t="s">
        <v>506</v>
      </c>
      <c r="D24" s="17">
        <v>26</v>
      </c>
      <c r="E24" s="19">
        <v>30</v>
      </c>
      <c r="F24" s="70">
        <v>30</v>
      </c>
      <c r="G24" s="70">
        <f t="shared" si="1"/>
        <v>30</v>
      </c>
      <c r="H24" s="71">
        <f t="shared" si="2"/>
        <v>0</v>
      </c>
      <c r="I24" s="17">
        <v>3</v>
      </c>
      <c r="J24" s="25">
        <v>99.23</v>
      </c>
      <c r="K24" s="17">
        <v>3</v>
      </c>
      <c r="L24" s="26">
        <v>109.23</v>
      </c>
      <c r="M24" s="25">
        <v>4</v>
      </c>
      <c r="N24" s="25">
        <v>119.23</v>
      </c>
      <c r="O24" s="25">
        <v>9</v>
      </c>
      <c r="P24" s="25">
        <v>129.23</v>
      </c>
      <c r="Q24" s="25">
        <v>11</v>
      </c>
      <c r="R24" s="25">
        <v>139.23</v>
      </c>
      <c r="S24" s="72">
        <f>(+I24*J24+K24*L24+M24*N24+O24*P24+Q24*R24)-100</f>
        <v>3696.9</v>
      </c>
      <c r="T24" s="25"/>
      <c r="U24" s="27">
        <f t="shared" si="13"/>
        <v>1719.23076923077</v>
      </c>
      <c r="V24" s="27">
        <v>150</v>
      </c>
      <c r="W24" s="27"/>
      <c r="X24" s="27">
        <v>300</v>
      </c>
      <c r="Y24" s="30">
        <v>200</v>
      </c>
      <c r="Z24" s="32">
        <f t="shared" si="14"/>
        <v>240</v>
      </c>
      <c r="AA24" s="43"/>
      <c r="AB24" s="34">
        <f t="shared" si="15"/>
        <v>600</v>
      </c>
      <c r="AC24" s="44">
        <f>+J24*20</f>
        <v>1984.6</v>
      </c>
      <c r="AD24" s="44">
        <v>150</v>
      </c>
      <c r="AE24" s="41">
        <v>0.988</v>
      </c>
      <c r="AF24" s="34">
        <f t="shared" si="16"/>
        <v>7011.76796923077</v>
      </c>
      <c r="AG24" s="46"/>
    </row>
    <row r="25" s="3" customFormat="1" customHeight="1" spans="1:33">
      <c r="A25" s="17">
        <v>22</v>
      </c>
      <c r="B25" s="17" t="s">
        <v>502</v>
      </c>
      <c r="C25" s="21" t="s">
        <v>507</v>
      </c>
      <c r="D25" s="17">
        <v>26</v>
      </c>
      <c r="E25" s="19">
        <v>28.8</v>
      </c>
      <c r="F25" s="70">
        <v>28.8</v>
      </c>
      <c r="G25" s="70">
        <f t="shared" si="1"/>
        <v>28.8</v>
      </c>
      <c r="H25" s="71">
        <f t="shared" si="2"/>
        <v>0</v>
      </c>
      <c r="I25" s="25">
        <v>2</v>
      </c>
      <c r="J25" s="25">
        <v>99.23</v>
      </c>
      <c r="K25" s="25">
        <v>2.8</v>
      </c>
      <c r="L25" s="26">
        <v>109.23</v>
      </c>
      <c r="M25" s="25">
        <v>4</v>
      </c>
      <c r="N25" s="25">
        <v>119.23</v>
      </c>
      <c r="O25" s="25">
        <v>9</v>
      </c>
      <c r="P25" s="25">
        <v>129.23</v>
      </c>
      <c r="Q25" s="25">
        <v>11</v>
      </c>
      <c r="R25" s="25">
        <v>139.23</v>
      </c>
      <c r="S25" s="72">
        <f>+(I25*J25+K25*L25+M25*N25+O25*P25+Q25*R25)-100</f>
        <v>3575.824</v>
      </c>
      <c r="T25" s="25"/>
      <c r="U25" s="27">
        <f t="shared" si="13"/>
        <v>1650.46153846154</v>
      </c>
      <c r="V25" s="27">
        <v>150</v>
      </c>
      <c r="W25" s="27"/>
      <c r="X25" s="27">
        <v>300</v>
      </c>
      <c r="Y25" s="30">
        <v>300</v>
      </c>
      <c r="Z25" s="32">
        <f t="shared" si="14"/>
        <v>230.4</v>
      </c>
      <c r="AA25" s="43"/>
      <c r="AB25" s="34">
        <f t="shared" si="15"/>
        <v>576</v>
      </c>
      <c r="AC25" s="44">
        <f>+J25*20</f>
        <v>1984.6</v>
      </c>
      <c r="AD25" s="44">
        <v>50</v>
      </c>
      <c r="AE25" s="41">
        <v>0.988</v>
      </c>
      <c r="AF25" s="34">
        <f t="shared" si="16"/>
        <v>6789.77565046154</v>
      </c>
      <c r="AG25" s="46"/>
    </row>
    <row r="26" s="3" customFormat="1" customHeight="1" spans="1:33">
      <c r="A26" s="17">
        <v>23</v>
      </c>
      <c r="B26" s="22" t="s">
        <v>508</v>
      </c>
      <c r="C26" s="21" t="s">
        <v>509</v>
      </c>
      <c r="D26" s="17">
        <v>26</v>
      </c>
      <c r="E26" s="19">
        <v>28.8</v>
      </c>
      <c r="F26" s="70">
        <v>28.75</v>
      </c>
      <c r="G26" s="70">
        <f t="shared" si="1"/>
        <v>28.8</v>
      </c>
      <c r="H26" s="71">
        <f t="shared" si="2"/>
        <v>0</v>
      </c>
      <c r="I26" s="25">
        <v>2</v>
      </c>
      <c r="J26" s="25">
        <v>99.23</v>
      </c>
      <c r="K26" s="25">
        <v>2.8</v>
      </c>
      <c r="L26" s="26">
        <v>109.23</v>
      </c>
      <c r="M26" s="25">
        <v>4</v>
      </c>
      <c r="N26" s="25">
        <v>119.23</v>
      </c>
      <c r="O26" s="25">
        <v>9</v>
      </c>
      <c r="P26" s="25">
        <v>129.23</v>
      </c>
      <c r="Q26" s="25">
        <v>11</v>
      </c>
      <c r="R26" s="25">
        <v>139.23</v>
      </c>
      <c r="S26" s="72">
        <f>+(I26*J26+K26*L26+M26*N26+O26*P26+Q26*R26)-100</f>
        <v>3575.824</v>
      </c>
      <c r="T26" s="25"/>
      <c r="U26" s="27">
        <f t="shared" si="13"/>
        <v>1650.46153846154</v>
      </c>
      <c r="V26" s="27">
        <v>150</v>
      </c>
      <c r="W26" s="27"/>
      <c r="X26" s="27">
        <v>200</v>
      </c>
      <c r="Y26" s="30">
        <v>300</v>
      </c>
      <c r="Z26" s="32">
        <f t="shared" si="14"/>
        <v>230.4</v>
      </c>
      <c r="AA26" s="43"/>
      <c r="AB26" s="34">
        <f t="shared" si="15"/>
        <v>576</v>
      </c>
      <c r="AC26" s="44">
        <f>+J26*20</f>
        <v>1984.6</v>
      </c>
      <c r="AD26" s="44">
        <v>150</v>
      </c>
      <c r="AE26" s="41">
        <v>0.988</v>
      </c>
      <c r="AF26" s="34">
        <f t="shared" si="16"/>
        <v>6789.77565046154</v>
      </c>
      <c r="AG26" s="46"/>
    </row>
    <row r="27" s="3" customFormat="1" customHeight="1" spans="1:33">
      <c r="A27" s="17">
        <v>24</v>
      </c>
      <c r="B27" s="17" t="s">
        <v>508</v>
      </c>
      <c r="C27" s="21" t="s">
        <v>510</v>
      </c>
      <c r="D27" s="17">
        <v>26</v>
      </c>
      <c r="E27" s="19">
        <v>28</v>
      </c>
      <c r="F27" s="70">
        <v>28</v>
      </c>
      <c r="G27" s="70">
        <f t="shared" si="1"/>
        <v>28</v>
      </c>
      <c r="H27" s="71">
        <f t="shared" si="2"/>
        <v>0</v>
      </c>
      <c r="I27" s="25">
        <v>2</v>
      </c>
      <c r="J27" s="25">
        <v>99.23</v>
      </c>
      <c r="K27" s="25">
        <v>2</v>
      </c>
      <c r="L27" s="26">
        <v>109.23</v>
      </c>
      <c r="M27" s="25">
        <v>4</v>
      </c>
      <c r="N27" s="25">
        <v>119.23</v>
      </c>
      <c r="O27" s="25">
        <v>9</v>
      </c>
      <c r="P27" s="25">
        <v>129.23</v>
      </c>
      <c r="Q27" s="25">
        <v>11</v>
      </c>
      <c r="R27" s="25">
        <v>139.23</v>
      </c>
      <c r="S27" s="72">
        <f>+(I27*J27+K27*L27+M27*N27+O27*P27+Q27*R27)-100</f>
        <v>3488.44</v>
      </c>
      <c r="T27" s="25"/>
      <c r="U27" s="27">
        <f t="shared" si="13"/>
        <v>1604.61538461538</v>
      </c>
      <c r="V27" s="27">
        <v>150</v>
      </c>
      <c r="W27" s="27"/>
      <c r="X27" s="27">
        <v>200</v>
      </c>
      <c r="Y27" s="30">
        <v>300</v>
      </c>
      <c r="Z27" s="32">
        <f t="shared" si="14"/>
        <v>224</v>
      </c>
      <c r="AA27" s="43"/>
      <c r="AB27" s="34">
        <f t="shared" si="15"/>
        <v>560</v>
      </c>
      <c r="AC27" s="44">
        <f>+J27*20</f>
        <v>1984.6</v>
      </c>
      <c r="AD27" s="44">
        <v>150</v>
      </c>
      <c r="AE27" s="41">
        <v>0.988</v>
      </c>
      <c r="AF27" s="34">
        <f t="shared" si="16"/>
        <v>6635.19410461538</v>
      </c>
      <c r="AG27" s="46"/>
    </row>
    <row r="28" s="3" customFormat="1" customHeight="1" spans="1:33">
      <c r="A28" s="17">
        <v>25</v>
      </c>
      <c r="B28" s="22" t="s">
        <v>511</v>
      </c>
      <c r="C28" s="21" t="s">
        <v>512</v>
      </c>
      <c r="D28" s="17">
        <v>26</v>
      </c>
      <c r="E28" s="19">
        <v>14</v>
      </c>
      <c r="F28" s="70">
        <v>14</v>
      </c>
      <c r="G28" s="70">
        <f t="shared" si="1"/>
        <v>14</v>
      </c>
      <c r="H28" s="71">
        <f t="shared" si="2"/>
        <v>0</v>
      </c>
      <c r="I28" s="25">
        <v>2</v>
      </c>
      <c r="J28" s="25">
        <v>99.23</v>
      </c>
      <c r="K28" s="25">
        <v>1</v>
      </c>
      <c r="L28" s="26">
        <v>109.23</v>
      </c>
      <c r="M28" s="25">
        <v>1</v>
      </c>
      <c r="N28" s="25">
        <v>119.23</v>
      </c>
      <c r="O28" s="25">
        <v>4</v>
      </c>
      <c r="P28" s="25">
        <v>129.23</v>
      </c>
      <c r="Q28" s="25">
        <v>6</v>
      </c>
      <c r="R28" s="25">
        <v>139.23</v>
      </c>
      <c r="S28" s="72">
        <f>+(I28*J28+K28*L28+M28*N28+O28*P28+Q28*R28)-100</f>
        <v>1679.22</v>
      </c>
      <c r="T28" s="25"/>
      <c r="U28" s="27">
        <f t="shared" si="13"/>
        <v>802.307692307692</v>
      </c>
      <c r="V28" s="27">
        <v>150</v>
      </c>
      <c r="W28" s="27"/>
      <c r="X28" s="27">
        <v>201</v>
      </c>
      <c r="Y28" s="42">
        <v>0</v>
      </c>
      <c r="Z28" s="32">
        <f t="shared" si="14"/>
        <v>112</v>
      </c>
      <c r="AA28" s="43"/>
      <c r="AB28" s="34">
        <f>E28*20</f>
        <v>280</v>
      </c>
      <c r="AC28" s="44">
        <f>+J28*20</f>
        <v>1984.6</v>
      </c>
      <c r="AD28" s="44">
        <v>0</v>
      </c>
      <c r="AE28" s="41">
        <v>0.988</v>
      </c>
      <c r="AF28" s="34">
        <f t="shared" si="16"/>
        <v>3204.37705230769</v>
      </c>
      <c r="AG28" s="46"/>
    </row>
    <row r="29" s="5" customFormat="1" customHeight="1" spans="1:33">
      <c r="A29" s="17" t="s">
        <v>5</v>
      </c>
      <c r="B29" s="17"/>
      <c r="C29" s="17"/>
      <c r="D29" s="17"/>
      <c r="E29" s="17"/>
      <c r="F29" s="17"/>
      <c r="G29" s="17"/>
      <c r="H29" s="17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65"/>
      <c r="U29" s="65">
        <f t="shared" ref="U29:AD29" si="17">SUM(U4:U28)</f>
        <v>36711.3076923077</v>
      </c>
      <c r="V29" s="65">
        <f t="shared" si="17"/>
        <v>3751</v>
      </c>
      <c r="W29" s="65">
        <f t="shared" si="17"/>
        <v>60</v>
      </c>
      <c r="X29" s="66">
        <f t="shared" si="17"/>
        <v>10501</v>
      </c>
      <c r="Y29" s="65">
        <f t="shared" si="17"/>
        <v>5300</v>
      </c>
      <c r="Z29" s="65">
        <f t="shared" si="17"/>
        <v>5124.8</v>
      </c>
      <c r="AA29" s="65">
        <f t="shared" si="17"/>
        <v>1000</v>
      </c>
      <c r="AB29" s="65">
        <f t="shared" si="17"/>
        <v>12812</v>
      </c>
      <c r="AC29" s="65">
        <f t="shared" si="17"/>
        <v>35722.8</v>
      </c>
      <c r="AD29" s="65">
        <f t="shared" si="17"/>
        <v>1600</v>
      </c>
      <c r="AE29" s="65"/>
      <c r="AF29" s="65">
        <f>SUM(AF4:AF28)</f>
        <v>142161.278093231</v>
      </c>
      <c r="AG29" s="17"/>
    </row>
    <row r="30" s="5" customFormat="1" customHeight="1" spans="1:32">
      <c r="A30" s="8"/>
      <c r="B30" s="56"/>
      <c r="C30" s="56"/>
      <c r="D30" s="57"/>
      <c r="E30" s="55"/>
      <c r="F30" s="55"/>
      <c r="G30" s="55"/>
      <c r="H30" s="55"/>
      <c r="I30" s="63"/>
      <c r="J30" s="55"/>
      <c r="K30" s="55"/>
      <c r="M30" s="55"/>
      <c r="N30" s="55"/>
      <c r="O30" s="55"/>
      <c r="P30" s="55"/>
      <c r="Q30" s="55"/>
      <c r="S30" s="55"/>
      <c r="T30" s="55"/>
      <c r="U30" s="63"/>
      <c r="V30" s="63"/>
      <c r="W30" s="8"/>
      <c r="X30" s="8"/>
      <c r="Y30" s="7"/>
      <c r="Z30" s="1"/>
      <c r="AA30" s="56"/>
      <c r="AB30" s="8"/>
      <c r="AC30" s="1"/>
      <c r="AD30" s="1"/>
      <c r="AE30" s="9"/>
      <c r="AF30" s="9"/>
    </row>
    <row r="31" customHeight="1" spans="1:27">
      <c r="A31" s="56"/>
      <c r="B31" s="56"/>
      <c r="C31" s="59" t="s">
        <v>513</v>
      </c>
      <c r="D31" s="60"/>
      <c r="E31" s="58"/>
      <c r="F31" s="58"/>
      <c r="G31" s="58"/>
      <c r="H31" s="58"/>
      <c r="I31" s="60"/>
      <c r="J31" s="60"/>
      <c r="K31" s="64"/>
      <c r="L31" s="60" t="s">
        <v>514</v>
      </c>
      <c r="M31" s="60"/>
      <c r="N31" s="60"/>
      <c r="O31" s="60"/>
      <c r="P31" s="60"/>
      <c r="Q31" s="64"/>
      <c r="R31" s="63"/>
      <c r="S31" s="55"/>
      <c r="T31" s="55" t="s">
        <v>64</v>
      </c>
      <c r="U31" s="8"/>
      <c r="V31" s="8"/>
      <c r="W31" s="8"/>
      <c r="X31" s="8"/>
      <c r="AA31" s="56"/>
    </row>
    <row r="32" customHeight="1" spans="4:19">
      <c r="D32" s="1"/>
      <c r="E32" s="1"/>
      <c r="F32" s="1"/>
      <c r="G32" s="1"/>
      <c r="H32" s="1"/>
      <c r="S32" s="1">
        <v>1900</v>
      </c>
    </row>
    <row r="33" customHeight="1" spans="4:8">
      <c r="D33" s="1"/>
      <c r="E33" s="1"/>
      <c r="F33" s="1"/>
      <c r="G33" s="1"/>
      <c r="H33" s="1"/>
    </row>
  </sheetData>
  <autoFilter ref="A3:XFD32">
    <extLst/>
  </autoFilter>
  <mergeCells count="4">
    <mergeCell ref="A1:AG1"/>
    <mergeCell ref="I2:R2"/>
    <mergeCell ref="S2:S3"/>
    <mergeCell ref="T2:T3"/>
  </mergeCells>
  <pageMargins left="0.314583333333333" right="0.0784722222222222" top="1.45625" bottom="0.118055555555556" header="1.33819444444444" footer="0.0784722222222222"/>
  <pageSetup paperSize="9" scale="45" fitToHeight="0" orientation="landscape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0"/>
  <sheetViews>
    <sheetView zoomScale="68" zoomScaleNormal="68" topLeftCell="A3" workbookViewId="0">
      <pane xSplit="5" topLeftCell="F1" activePane="topRight" state="frozen"/>
      <selection/>
      <selection pane="topRight" activeCell="A11" sqref="A11"/>
    </sheetView>
  </sheetViews>
  <sheetFormatPr defaultColWidth="9" defaultRowHeight="26.1" customHeight="1"/>
  <cols>
    <col min="1" max="1" width="6.5" style="1" customWidth="1"/>
    <col min="2" max="2" width="12.6296296296296" style="1" customWidth="1"/>
    <col min="3" max="3" width="11" style="1" customWidth="1"/>
    <col min="4" max="4" width="7.87962962962963" style="5" customWidth="1"/>
    <col min="5" max="8" width="7.5" style="5" customWidth="1"/>
    <col min="9" max="9" width="7.62962962962963" style="1" customWidth="1"/>
    <col min="10" max="10" width="11.25" style="1" customWidth="1"/>
    <col min="11" max="11" width="7" style="1" customWidth="1"/>
    <col min="12" max="12" width="9.87962962962963" style="1" customWidth="1"/>
    <col min="13" max="13" width="7.12962962962963" style="1" customWidth="1"/>
    <col min="14" max="14" width="10" style="1" customWidth="1"/>
    <col min="15" max="15" width="6.37962962962963" style="1" customWidth="1"/>
    <col min="16" max="16" width="11.25" style="1" customWidth="1"/>
    <col min="17" max="17" width="5.12962962962963" style="1" customWidth="1"/>
    <col min="18" max="18" width="11.25" style="1" customWidth="1"/>
    <col min="19" max="19" width="10.6296296296296" style="1" customWidth="1"/>
    <col min="20" max="20" width="13.8796296296296" style="1" customWidth="1"/>
    <col min="21" max="21" width="14" style="1" customWidth="1"/>
    <col min="22" max="22" width="12.1296296296296" style="1" customWidth="1"/>
    <col min="23" max="23" width="12" style="1" customWidth="1"/>
    <col min="24" max="24" width="11.1296296296296" style="1" customWidth="1"/>
    <col min="25" max="25" width="11.25" style="7" customWidth="1"/>
    <col min="26" max="26" width="11.3796296296296" style="1" customWidth="1"/>
    <col min="27" max="27" width="12" style="1" customWidth="1"/>
    <col min="28" max="28" width="13.75" style="8" customWidth="1"/>
    <col min="29" max="29" width="5.87962962962963" style="1" hidden="1" customWidth="1"/>
    <col min="30" max="30" width="14.8796296296296" style="1" customWidth="1"/>
    <col min="31" max="31" width="17.1296296296296" style="9" customWidth="1"/>
    <col min="32" max="32" width="15.8796296296296" style="9" customWidth="1"/>
    <col min="33" max="33" width="14.25" style="1" customWidth="1"/>
    <col min="34" max="16262" width="9" style="1"/>
    <col min="16263" max="16384" width="9" style="10"/>
  </cols>
  <sheetData>
    <row r="1" s="1" customFormat="1" ht="45" customHeight="1" spans="1:33">
      <c r="A1" s="11" t="s">
        <v>444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2" customFormat="1" ht="56.1" customHeight="1" spans="1:33">
      <c r="A2" s="12" t="s">
        <v>67</v>
      </c>
      <c r="B2" s="12" t="s">
        <v>445</v>
      </c>
      <c r="C2" s="13" t="s">
        <v>446</v>
      </c>
      <c r="D2" s="13" t="s">
        <v>447</v>
      </c>
      <c r="E2" s="13" t="s">
        <v>448</v>
      </c>
      <c r="F2" s="16" t="s">
        <v>449</v>
      </c>
      <c r="G2" s="14" t="s">
        <v>450</v>
      </c>
      <c r="H2" s="14" t="s">
        <v>451</v>
      </c>
      <c r="I2" s="13" t="s">
        <v>452</v>
      </c>
      <c r="J2" s="13"/>
      <c r="K2" s="13"/>
      <c r="L2" s="13"/>
      <c r="M2" s="13"/>
      <c r="N2" s="13"/>
      <c r="O2" s="13"/>
      <c r="P2" s="13"/>
      <c r="Q2" s="13"/>
      <c r="R2" s="13"/>
      <c r="S2" s="13" t="s">
        <v>453</v>
      </c>
      <c r="T2" s="13" t="s">
        <v>454</v>
      </c>
      <c r="U2" s="27" t="s">
        <v>455</v>
      </c>
      <c r="V2" s="28" t="s">
        <v>456</v>
      </c>
      <c r="W2" s="28" t="s">
        <v>457</v>
      </c>
      <c r="X2" s="36" t="s">
        <v>458</v>
      </c>
      <c r="Y2" s="37" t="s">
        <v>515</v>
      </c>
      <c r="Z2" s="38" t="s">
        <v>460</v>
      </c>
      <c r="AA2" s="13" t="s">
        <v>461</v>
      </c>
      <c r="AB2" s="13" t="s">
        <v>516</v>
      </c>
      <c r="AC2" s="13" t="s">
        <v>463</v>
      </c>
      <c r="AD2" s="13" t="s">
        <v>463</v>
      </c>
      <c r="AE2" s="13" t="s">
        <v>464</v>
      </c>
      <c r="AF2" s="36" t="s">
        <v>517</v>
      </c>
      <c r="AG2" s="36" t="s">
        <v>466</v>
      </c>
    </row>
    <row r="3" s="2" customFormat="1" ht="56.1" customHeight="1" spans="1:33">
      <c r="A3" s="12"/>
      <c r="B3" s="12"/>
      <c r="C3" s="13"/>
      <c r="D3" s="13"/>
      <c r="E3" s="13"/>
      <c r="F3" s="13"/>
      <c r="G3" s="14"/>
      <c r="H3" s="14"/>
      <c r="I3" s="13" t="s">
        <v>467</v>
      </c>
      <c r="J3" s="13" t="s">
        <v>468</v>
      </c>
      <c r="K3" s="13" t="s">
        <v>469</v>
      </c>
      <c r="L3" s="13" t="s">
        <v>470</v>
      </c>
      <c r="M3" s="13" t="s">
        <v>471</v>
      </c>
      <c r="N3" s="13" t="s">
        <v>472</v>
      </c>
      <c r="O3" s="13" t="s">
        <v>473</v>
      </c>
      <c r="P3" s="13" t="s">
        <v>474</v>
      </c>
      <c r="Q3" s="13" t="s">
        <v>475</v>
      </c>
      <c r="R3" s="13" t="s">
        <v>476</v>
      </c>
      <c r="S3" s="13"/>
      <c r="T3" s="13"/>
      <c r="U3" s="27"/>
      <c r="V3" s="27"/>
      <c r="W3" s="27" t="s">
        <v>518</v>
      </c>
      <c r="X3" s="28"/>
      <c r="Y3" s="29">
        <v>300</v>
      </c>
      <c r="Z3" s="32" t="s">
        <v>519</v>
      </c>
      <c r="AA3" s="38"/>
      <c r="AB3" s="13"/>
      <c r="AC3" s="13" t="s">
        <v>516</v>
      </c>
      <c r="AD3" s="67">
        <v>1200</v>
      </c>
      <c r="AE3" s="39"/>
      <c r="AF3" s="13"/>
      <c r="AG3" s="36"/>
    </row>
    <row r="4" s="3" customFormat="1" customHeight="1" spans="1:33">
      <c r="A4" s="17">
        <v>1</v>
      </c>
      <c r="B4" s="17" t="s">
        <v>479</v>
      </c>
      <c r="C4" s="23" t="s">
        <v>520</v>
      </c>
      <c r="D4" s="17">
        <v>26</v>
      </c>
      <c r="E4" s="19">
        <v>26</v>
      </c>
      <c r="F4" s="70">
        <v>26</v>
      </c>
      <c r="G4" s="70">
        <f>I4+K4+M4+O4+Q4</f>
        <v>26</v>
      </c>
      <c r="H4" s="70">
        <f>G4-E4</f>
        <v>0</v>
      </c>
      <c r="I4" s="17"/>
      <c r="J4" s="25">
        <v>99.23</v>
      </c>
      <c r="K4" s="17">
        <v>0</v>
      </c>
      <c r="L4" s="26">
        <v>109.23</v>
      </c>
      <c r="M4" s="25">
        <v>10</v>
      </c>
      <c r="N4" s="25">
        <v>119.23</v>
      </c>
      <c r="O4" s="25">
        <v>13</v>
      </c>
      <c r="P4" s="25">
        <v>129.23</v>
      </c>
      <c r="Q4" s="25">
        <v>3</v>
      </c>
      <c r="R4" s="25">
        <v>139.23</v>
      </c>
      <c r="S4" s="25">
        <f>+I4*J4+K4*L4+M4*N4+O4*P4+Q4*R4</f>
        <v>3289.98</v>
      </c>
      <c r="T4" s="25"/>
      <c r="U4" s="27">
        <f t="shared" ref="U4:U24" si="0">+E4/D4*1490</f>
        <v>1490</v>
      </c>
      <c r="V4" s="27">
        <v>150</v>
      </c>
      <c r="W4" s="27"/>
      <c r="X4" s="27">
        <v>200</v>
      </c>
      <c r="Y4" s="42">
        <v>300</v>
      </c>
      <c r="Z4" s="32">
        <f t="shared" ref="Z4:Z24" si="1">8*E4</f>
        <v>208</v>
      </c>
      <c r="AA4" s="43">
        <v>500</v>
      </c>
      <c r="AB4" s="34">
        <f t="shared" ref="AB4:AB12" si="2">E4*20</f>
        <v>520</v>
      </c>
      <c r="AC4" s="44">
        <f t="shared" ref="AC4:AC24" si="3">+J4*20</f>
        <v>1984.6</v>
      </c>
      <c r="AD4" s="44">
        <v>300</v>
      </c>
      <c r="AE4" s="41">
        <v>0.99</v>
      </c>
      <c r="AF4" s="34">
        <f t="shared" ref="AF4:AF24" si="4">S4*AE4+T4+U4+V4+W4+X4+Y4+Z4+AA4+AB4+AD4</f>
        <v>6925.0802</v>
      </c>
      <c r="AG4" s="46"/>
    </row>
    <row r="5" s="4" customFormat="1" customHeight="1" spans="1:33">
      <c r="A5" s="17">
        <v>2</v>
      </c>
      <c r="B5" s="22" t="s">
        <v>521</v>
      </c>
      <c r="C5" s="23" t="s">
        <v>522</v>
      </c>
      <c r="D5" s="17">
        <v>26</v>
      </c>
      <c r="E5" s="19">
        <v>30</v>
      </c>
      <c r="F5" s="19">
        <v>29.4</v>
      </c>
      <c r="G5" s="70">
        <f t="shared" ref="G5:G24" si="5">I5+K5+M5+O5+Q5</f>
        <v>30</v>
      </c>
      <c r="H5" s="70">
        <f t="shared" ref="H5:H24" si="6">G5-E5</f>
        <v>0</v>
      </c>
      <c r="I5" s="17"/>
      <c r="J5" s="25">
        <v>99.23</v>
      </c>
      <c r="K5" s="17">
        <v>15</v>
      </c>
      <c r="L5" s="26">
        <v>109.23</v>
      </c>
      <c r="M5" s="25">
        <f t="shared" ref="M5:M16" si="7">E5-K5</f>
        <v>15</v>
      </c>
      <c r="N5" s="25">
        <v>119.23</v>
      </c>
      <c r="O5" s="25">
        <v>0</v>
      </c>
      <c r="P5" s="25">
        <v>129.23</v>
      </c>
      <c r="Q5" s="25">
        <v>0</v>
      </c>
      <c r="R5" s="25">
        <v>139.23</v>
      </c>
      <c r="S5" s="25">
        <f>+I5*J5+K5*L5+M5*N5+O5*P5+Q5*R5</f>
        <v>3426.9</v>
      </c>
      <c r="T5" s="25"/>
      <c r="U5" s="27">
        <f t="shared" si="0"/>
        <v>1719.23076923077</v>
      </c>
      <c r="V5" s="27">
        <v>150</v>
      </c>
      <c r="W5" s="27"/>
      <c r="X5" s="27">
        <v>200</v>
      </c>
      <c r="Y5" s="42">
        <v>300</v>
      </c>
      <c r="Z5" s="32">
        <f t="shared" si="1"/>
        <v>240</v>
      </c>
      <c r="AA5" s="43">
        <v>1000</v>
      </c>
      <c r="AB5" s="34">
        <f t="shared" si="2"/>
        <v>600</v>
      </c>
      <c r="AC5" s="44">
        <f t="shared" si="3"/>
        <v>1984.6</v>
      </c>
      <c r="AD5" s="44">
        <v>0</v>
      </c>
      <c r="AE5" s="41">
        <v>0.99</v>
      </c>
      <c r="AF5" s="34">
        <f>S5*AE5+U5+V5+W5+X5+Y5+Z5+AA5+AB5</f>
        <v>7601.86176923077</v>
      </c>
      <c r="AG5" s="46"/>
    </row>
    <row r="6" s="1" customFormat="1" customHeight="1" spans="1:33">
      <c r="A6" s="17">
        <v>3</v>
      </c>
      <c r="B6" s="17" t="s">
        <v>523</v>
      </c>
      <c r="C6" s="23" t="s">
        <v>524</v>
      </c>
      <c r="D6" s="17">
        <v>26</v>
      </c>
      <c r="E6" s="19">
        <v>29</v>
      </c>
      <c r="F6" s="70">
        <v>29</v>
      </c>
      <c r="G6" s="70">
        <f t="shared" si="5"/>
        <v>29</v>
      </c>
      <c r="H6" s="70">
        <f t="shared" si="6"/>
        <v>0</v>
      </c>
      <c r="I6" s="17"/>
      <c r="J6" s="25">
        <v>99.23</v>
      </c>
      <c r="K6" s="17">
        <f t="shared" ref="K5:K16" si="8">E6/2</f>
        <v>14.5</v>
      </c>
      <c r="L6" s="26">
        <v>109.23</v>
      </c>
      <c r="M6" s="25">
        <f t="shared" si="7"/>
        <v>14.5</v>
      </c>
      <c r="N6" s="25">
        <v>119.23</v>
      </c>
      <c r="O6" s="25">
        <v>0</v>
      </c>
      <c r="P6" s="25">
        <v>129.23</v>
      </c>
      <c r="Q6" s="25">
        <v>0</v>
      </c>
      <c r="R6" s="25">
        <v>139.23</v>
      </c>
      <c r="S6" s="72">
        <f t="shared" ref="S4:S12" si="9">+(I6*J6+K6*L6+M6*N6+O6*P6+Q6*R6)-100</f>
        <v>3212.67</v>
      </c>
      <c r="T6" s="25"/>
      <c r="U6" s="27">
        <f t="shared" si="0"/>
        <v>1661.92307692308</v>
      </c>
      <c r="V6" s="27">
        <v>150</v>
      </c>
      <c r="W6" s="27"/>
      <c r="X6" s="27">
        <v>700</v>
      </c>
      <c r="Y6" s="42">
        <v>300</v>
      </c>
      <c r="Z6" s="32">
        <f t="shared" si="1"/>
        <v>232</v>
      </c>
      <c r="AA6" s="43"/>
      <c r="AB6" s="34">
        <f t="shared" si="2"/>
        <v>580</v>
      </c>
      <c r="AC6" s="44">
        <f t="shared" si="3"/>
        <v>1984.6</v>
      </c>
      <c r="AD6" s="44">
        <v>150</v>
      </c>
      <c r="AE6" s="41">
        <v>0.99</v>
      </c>
      <c r="AF6" s="34">
        <f t="shared" si="4"/>
        <v>6954.46637692308</v>
      </c>
      <c r="AG6" s="46"/>
    </row>
    <row r="7" s="4" customFormat="1" customHeight="1" spans="1:33">
      <c r="A7" s="17">
        <v>4</v>
      </c>
      <c r="B7" s="17" t="s">
        <v>491</v>
      </c>
      <c r="C7" s="23" t="s">
        <v>525</v>
      </c>
      <c r="D7" s="17">
        <v>26</v>
      </c>
      <c r="E7" s="19">
        <v>29</v>
      </c>
      <c r="F7" s="70">
        <v>29</v>
      </c>
      <c r="G7" s="70">
        <f t="shared" si="5"/>
        <v>29</v>
      </c>
      <c r="H7" s="70">
        <f t="shared" si="6"/>
        <v>0</v>
      </c>
      <c r="I7" s="25"/>
      <c r="J7" s="25">
        <v>99.23</v>
      </c>
      <c r="K7" s="17">
        <v>14</v>
      </c>
      <c r="L7" s="26">
        <v>109.23</v>
      </c>
      <c r="M7" s="25">
        <f t="shared" si="7"/>
        <v>15</v>
      </c>
      <c r="N7" s="25">
        <v>119.23</v>
      </c>
      <c r="O7" s="25">
        <v>0</v>
      </c>
      <c r="P7" s="25">
        <v>129.23</v>
      </c>
      <c r="Q7" s="25">
        <v>0</v>
      </c>
      <c r="R7" s="25">
        <v>139.23</v>
      </c>
      <c r="S7" s="72">
        <f t="shared" si="9"/>
        <v>3217.67</v>
      </c>
      <c r="T7" s="25"/>
      <c r="U7" s="27">
        <f t="shared" si="0"/>
        <v>1661.92307692308</v>
      </c>
      <c r="V7" s="27">
        <v>150</v>
      </c>
      <c r="W7" s="27"/>
      <c r="X7" s="27">
        <v>700</v>
      </c>
      <c r="Y7" s="42">
        <v>300</v>
      </c>
      <c r="Z7" s="32">
        <f t="shared" si="1"/>
        <v>232</v>
      </c>
      <c r="AA7" s="43"/>
      <c r="AB7" s="34">
        <f t="shared" si="2"/>
        <v>580</v>
      </c>
      <c r="AC7" s="44">
        <f t="shared" si="3"/>
        <v>1984.6</v>
      </c>
      <c r="AD7" s="44">
        <v>100</v>
      </c>
      <c r="AE7" s="41">
        <v>0.99</v>
      </c>
      <c r="AF7" s="34">
        <f t="shared" si="4"/>
        <v>6909.41637692308</v>
      </c>
      <c r="AG7" s="46"/>
    </row>
    <row r="8" s="3" customFormat="1" customHeight="1" spans="1:33">
      <c r="A8" s="17">
        <v>0</v>
      </c>
      <c r="B8" s="17" t="s">
        <v>495</v>
      </c>
      <c r="C8" s="23" t="s">
        <v>526</v>
      </c>
      <c r="D8" s="17">
        <v>26</v>
      </c>
      <c r="E8" s="19">
        <v>22.3</v>
      </c>
      <c r="F8" s="70">
        <v>22.3</v>
      </c>
      <c r="G8" s="70">
        <f t="shared" si="5"/>
        <v>22.3</v>
      </c>
      <c r="H8" s="70">
        <f t="shared" si="6"/>
        <v>0</v>
      </c>
      <c r="I8" s="25"/>
      <c r="J8" s="25">
        <v>99.23</v>
      </c>
      <c r="K8" s="17">
        <f t="shared" si="8"/>
        <v>11.15</v>
      </c>
      <c r="L8" s="26">
        <v>109.23</v>
      </c>
      <c r="M8" s="25">
        <f t="shared" si="7"/>
        <v>11.15</v>
      </c>
      <c r="N8" s="25">
        <v>119.23</v>
      </c>
      <c r="O8" s="25">
        <v>0</v>
      </c>
      <c r="P8" s="25">
        <v>129.23</v>
      </c>
      <c r="Q8" s="25">
        <v>0</v>
      </c>
      <c r="R8" s="25">
        <v>139.23</v>
      </c>
      <c r="S8" s="72">
        <f t="shared" si="9"/>
        <v>2447.329</v>
      </c>
      <c r="T8" s="25"/>
      <c r="U8" s="27">
        <f t="shared" si="0"/>
        <v>1277.96153846154</v>
      </c>
      <c r="V8" s="27">
        <v>150</v>
      </c>
      <c r="W8" s="27"/>
      <c r="X8" s="27">
        <v>300</v>
      </c>
      <c r="Y8" s="42">
        <v>300</v>
      </c>
      <c r="Z8" s="32">
        <f t="shared" si="1"/>
        <v>178.4</v>
      </c>
      <c r="AA8" s="43"/>
      <c r="AB8" s="34">
        <f t="shared" si="2"/>
        <v>446</v>
      </c>
      <c r="AC8" s="44">
        <f t="shared" si="3"/>
        <v>1984.6</v>
      </c>
      <c r="AD8" s="44">
        <v>0</v>
      </c>
      <c r="AE8" s="41">
        <v>0.99</v>
      </c>
      <c r="AF8" s="34">
        <f t="shared" si="4"/>
        <v>5075.21724846154</v>
      </c>
      <c r="AG8" s="46"/>
    </row>
    <row r="9" s="3" customFormat="1" customHeight="1" spans="1:33">
      <c r="A9" s="17">
        <v>6</v>
      </c>
      <c r="B9" s="22" t="s">
        <v>495</v>
      </c>
      <c r="C9" s="23" t="s">
        <v>527</v>
      </c>
      <c r="D9" s="17">
        <v>26</v>
      </c>
      <c r="E9" s="19">
        <v>29</v>
      </c>
      <c r="F9" s="70">
        <v>29</v>
      </c>
      <c r="G9" s="70">
        <f t="shared" si="5"/>
        <v>29</v>
      </c>
      <c r="H9" s="70">
        <f t="shared" si="6"/>
        <v>0</v>
      </c>
      <c r="I9" s="25"/>
      <c r="J9" s="25">
        <v>99.23</v>
      </c>
      <c r="K9" s="17">
        <f t="shared" si="8"/>
        <v>14.5</v>
      </c>
      <c r="L9" s="26">
        <v>109.23</v>
      </c>
      <c r="M9" s="25">
        <f t="shared" si="7"/>
        <v>14.5</v>
      </c>
      <c r="N9" s="25">
        <v>119.23</v>
      </c>
      <c r="O9" s="25">
        <v>0</v>
      </c>
      <c r="P9" s="25">
        <v>129.23</v>
      </c>
      <c r="Q9" s="25">
        <v>0</v>
      </c>
      <c r="R9" s="25">
        <v>139.23</v>
      </c>
      <c r="S9" s="72">
        <f t="shared" si="9"/>
        <v>3212.67</v>
      </c>
      <c r="T9" s="25"/>
      <c r="U9" s="27">
        <f t="shared" si="0"/>
        <v>1661.92307692308</v>
      </c>
      <c r="V9" s="27">
        <v>150</v>
      </c>
      <c r="W9" s="27"/>
      <c r="X9" s="27">
        <v>300</v>
      </c>
      <c r="Y9" s="42">
        <v>300</v>
      </c>
      <c r="Z9" s="32">
        <f t="shared" si="1"/>
        <v>232</v>
      </c>
      <c r="AA9" s="43"/>
      <c r="AB9" s="34">
        <f t="shared" si="2"/>
        <v>580</v>
      </c>
      <c r="AC9" s="44">
        <f t="shared" si="3"/>
        <v>1984.6</v>
      </c>
      <c r="AD9" s="44">
        <v>100</v>
      </c>
      <c r="AE9" s="41">
        <v>0.99</v>
      </c>
      <c r="AF9" s="34">
        <f t="shared" si="4"/>
        <v>6504.46637692308</v>
      </c>
      <c r="AG9" s="46"/>
    </row>
    <row r="10" s="3" customFormat="1" customHeight="1" spans="1:33">
      <c r="A10" s="17">
        <v>7</v>
      </c>
      <c r="B10" s="22" t="s">
        <v>502</v>
      </c>
      <c r="C10" s="23" t="s">
        <v>528</v>
      </c>
      <c r="D10" s="17">
        <v>26</v>
      </c>
      <c r="E10" s="19">
        <v>27</v>
      </c>
      <c r="F10" s="70">
        <v>27</v>
      </c>
      <c r="G10" s="70">
        <f t="shared" si="5"/>
        <v>27</v>
      </c>
      <c r="H10" s="70">
        <f t="shared" si="6"/>
        <v>0</v>
      </c>
      <c r="I10" s="25"/>
      <c r="J10" s="25">
        <v>99.23</v>
      </c>
      <c r="K10" s="17">
        <v>14</v>
      </c>
      <c r="L10" s="26">
        <v>109.23</v>
      </c>
      <c r="M10" s="25">
        <f t="shared" si="7"/>
        <v>13</v>
      </c>
      <c r="N10" s="25">
        <v>119.23</v>
      </c>
      <c r="O10" s="25">
        <v>0</v>
      </c>
      <c r="P10" s="25">
        <v>129.23</v>
      </c>
      <c r="Q10" s="25">
        <v>0</v>
      </c>
      <c r="R10" s="25">
        <v>139.23</v>
      </c>
      <c r="S10" s="72">
        <f t="shared" si="9"/>
        <v>2979.21</v>
      </c>
      <c r="T10" s="25"/>
      <c r="U10" s="27">
        <f t="shared" si="0"/>
        <v>1547.30769230769</v>
      </c>
      <c r="V10" s="27">
        <v>150</v>
      </c>
      <c r="W10" s="27"/>
      <c r="X10" s="27">
        <v>300</v>
      </c>
      <c r="Y10" s="42">
        <v>300</v>
      </c>
      <c r="Z10" s="32">
        <f t="shared" si="1"/>
        <v>216</v>
      </c>
      <c r="AA10" s="43"/>
      <c r="AB10" s="34">
        <f t="shared" si="2"/>
        <v>540</v>
      </c>
      <c r="AC10" s="44">
        <f t="shared" si="3"/>
        <v>1984.6</v>
      </c>
      <c r="AD10" s="44">
        <v>100</v>
      </c>
      <c r="AE10" s="41">
        <v>0.99</v>
      </c>
      <c r="AF10" s="34">
        <f t="shared" si="4"/>
        <v>6102.72559230769</v>
      </c>
      <c r="AG10" s="46"/>
    </row>
    <row r="11" s="3" customFormat="1" customHeight="1" spans="1:33">
      <c r="A11" s="17">
        <v>8</v>
      </c>
      <c r="B11" s="22" t="s">
        <v>502</v>
      </c>
      <c r="C11" s="23" t="s">
        <v>529</v>
      </c>
      <c r="D11" s="17">
        <v>26</v>
      </c>
      <c r="E11" s="19">
        <v>28</v>
      </c>
      <c r="F11" s="70">
        <v>28</v>
      </c>
      <c r="G11" s="70">
        <f t="shared" si="5"/>
        <v>28</v>
      </c>
      <c r="H11" s="70">
        <f t="shared" si="6"/>
        <v>0</v>
      </c>
      <c r="I11" s="25"/>
      <c r="J11" s="25">
        <v>99.23</v>
      </c>
      <c r="K11" s="17">
        <f t="shared" si="8"/>
        <v>14</v>
      </c>
      <c r="L11" s="26">
        <v>109.23</v>
      </c>
      <c r="M11" s="25">
        <f t="shared" si="7"/>
        <v>14</v>
      </c>
      <c r="N11" s="25">
        <v>119.23</v>
      </c>
      <c r="O11" s="25">
        <v>0</v>
      </c>
      <c r="P11" s="25">
        <v>129.23</v>
      </c>
      <c r="Q11" s="25">
        <v>0</v>
      </c>
      <c r="R11" s="25">
        <v>139.23</v>
      </c>
      <c r="S11" s="72">
        <f t="shared" si="9"/>
        <v>3098.44</v>
      </c>
      <c r="T11" s="25"/>
      <c r="U11" s="27">
        <f t="shared" si="0"/>
        <v>1604.61538461538</v>
      </c>
      <c r="V11" s="27">
        <v>150</v>
      </c>
      <c r="W11" s="27"/>
      <c r="X11" s="27">
        <v>300</v>
      </c>
      <c r="Y11" s="42">
        <v>300</v>
      </c>
      <c r="Z11" s="32">
        <f t="shared" si="1"/>
        <v>224</v>
      </c>
      <c r="AA11" s="43"/>
      <c r="AB11" s="34">
        <f t="shared" si="2"/>
        <v>560</v>
      </c>
      <c r="AC11" s="44">
        <f t="shared" si="3"/>
        <v>1984.6</v>
      </c>
      <c r="AD11" s="44">
        <v>100</v>
      </c>
      <c r="AE11" s="41">
        <v>0.99</v>
      </c>
      <c r="AF11" s="34">
        <f t="shared" si="4"/>
        <v>6306.07098461538</v>
      </c>
      <c r="AG11" s="46"/>
    </row>
    <row r="12" s="3" customFormat="1" ht="29" customHeight="1" spans="1:33">
      <c r="A12" s="17">
        <v>9</v>
      </c>
      <c r="B12" s="17" t="s">
        <v>508</v>
      </c>
      <c r="C12" s="23" t="s">
        <v>530</v>
      </c>
      <c r="D12" s="17">
        <v>26</v>
      </c>
      <c r="E12" s="19">
        <v>28</v>
      </c>
      <c r="F12" s="70">
        <v>28</v>
      </c>
      <c r="G12" s="70">
        <f t="shared" si="5"/>
        <v>28</v>
      </c>
      <c r="H12" s="70">
        <f t="shared" si="6"/>
        <v>0</v>
      </c>
      <c r="I12" s="25"/>
      <c r="J12" s="25">
        <v>99.23</v>
      </c>
      <c r="K12" s="17">
        <v>14</v>
      </c>
      <c r="L12" s="26">
        <v>109.23</v>
      </c>
      <c r="M12" s="25">
        <f t="shared" si="7"/>
        <v>14</v>
      </c>
      <c r="N12" s="25">
        <v>119.23</v>
      </c>
      <c r="O12" s="25">
        <v>0</v>
      </c>
      <c r="P12" s="25">
        <v>129.23</v>
      </c>
      <c r="Q12" s="25">
        <v>0</v>
      </c>
      <c r="R12" s="25">
        <v>139.23</v>
      </c>
      <c r="S12" s="72">
        <f t="shared" si="9"/>
        <v>3098.44</v>
      </c>
      <c r="T12" s="25"/>
      <c r="U12" s="27">
        <f t="shared" si="0"/>
        <v>1604.61538461538</v>
      </c>
      <c r="V12" s="27">
        <v>150</v>
      </c>
      <c r="W12" s="27"/>
      <c r="X12" s="27">
        <v>200</v>
      </c>
      <c r="Y12" s="42">
        <v>300</v>
      </c>
      <c r="Z12" s="32">
        <f t="shared" si="1"/>
        <v>224</v>
      </c>
      <c r="AA12" s="43"/>
      <c r="AB12" s="34">
        <f t="shared" si="2"/>
        <v>560</v>
      </c>
      <c r="AC12" s="44">
        <f t="shared" si="3"/>
        <v>1984.6</v>
      </c>
      <c r="AD12" s="45">
        <v>100</v>
      </c>
      <c r="AE12" s="41">
        <v>0.99</v>
      </c>
      <c r="AF12" s="34">
        <f t="shared" si="4"/>
        <v>6206.07098461538</v>
      </c>
      <c r="AG12" s="46"/>
    </row>
    <row r="13" s="3" customFormat="1" customHeight="1" spans="1:33">
      <c r="A13" s="17">
        <v>10</v>
      </c>
      <c r="B13" s="17" t="s">
        <v>531</v>
      </c>
      <c r="C13" s="23" t="s">
        <v>532</v>
      </c>
      <c r="D13" s="17">
        <v>26</v>
      </c>
      <c r="E13" s="19">
        <v>13</v>
      </c>
      <c r="F13" s="75">
        <v>21</v>
      </c>
      <c r="G13" s="70">
        <f t="shared" si="5"/>
        <v>13</v>
      </c>
      <c r="H13" s="70">
        <f t="shared" si="6"/>
        <v>0</v>
      </c>
      <c r="I13" s="17"/>
      <c r="J13" s="25">
        <v>99.23</v>
      </c>
      <c r="K13" s="17">
        <f t="shared" si="8"/>
        <v>6.5</v>
      </c>
      <c r="L13" s="26">
        <v>109.23</v>
      </c>
      <c r="M13" s="25">
        <f t="shared" si="7"/>
        <v>6.5</v>
      </c>
      <c r="N13" s="25">
        <v>119.23</v>
      </c>
      <c r="O13" s="25">
        <v>0</v>
      </c>
      <c r="P13" s="25">
        <v>129.23</v>
      </c>
      <c r="Q13" s="25">
        <v>0</v>
      </c>
      <c r="R13" s="25">
        <v>139.23</v>
      </c>
      <c r="S13" s="25">
        <f>(+I13*J13+K13*L13+M13*N13+O13*P13+Q13*R13)</f>
        <v>1484.99</v>
      </c>
      <c r="T13" s="25"/>
      <c r="U13" s="27">
        <v>1390</v>
      </c>
      <c r="V13" s="27">
        <f t="shared" ref="V13:V17" si="10">150/D13*E13</f>
        <v>75</v>
      </c>
      <c r="W13" s="27"/>
      <c r="X13" s="27">
        <f>200/D13*E13</f>
        <v>100</v>
      </c>
      <c r="Y13" s="30">
        <v>0</v>
      </c>
      <c r="Z13" s="32">
        <f t="shared" si="1"/>
        <v>104</v>
      </c>
      <c r="AA13" s="43"/>
      <c r="AB13" s="34">
        <f>20*E13</f>
        <v>260</v>
      </c>
      <c r="AC13" s="44">
        <f t="shared" si="3"/>
        <v>1984.6</v>
      </c>
      <c r="AD13" s="44">
        <v>0</v>
      </c>
      <c r="AE13" s="41">
        <v>0.988</v>
      </c>
      <c r="AF13" s="34">
        <f t="shared" si="4"/>
        <v>3396.17012</v>
      </c>
      <c r="AG13" s="46"/>
    </row>
    <row r="14" s="4" customFormat="1" customHeight="1" spans="1:33">
      <c r="A14" s="17">
        <v>11</v>
      </c>
      <c r="B14" s="17" t="s">
        <v>508</v>
      </c>
      <c r="C14" s="23" t="s">
        <v>533</v>
      </c>
      <c r="D14" s="17">
        <v>26</v>
      </c>
      <c r="E14" s="19">
        <v>28</v>
      </c>
      <c r="F14" s="70">
        <v>28</v>
      </c>
      <c r="G14" s="70">
        <f t="shared" si="5"/>
        <v>28</v>
      </c>
      <c r="H14" s="70">
        <f t="shared" si="6"/>
        <v>0</v>
      </c>
      <c r="I14" s="17"/>
      <c r="J14" s="25">
        <v>99.23</v>
      </c>
      <c r="K14" s="17">
        <v>14</v>
      </c>
      <c r="L14" s="26">
        <v>109.23</v>
      </c>
      <c r="M14" s="25">
        <v>14</v>
      </c>
      <c r="N14" s="25">
        <v>119.23</v>
      </c>
      <c r="O14" s="25">
        <v>0</v>
      </c>
      <c r="P14" s="25">
        <v>129.23</v>
      </c>
      <c r="Q14" s="25">
        <v>0</v>
      </c>
      <c r="R14" s="25">
        <v>139.23</v>
      </c>
      <c r="S14" s="72">
        <f>+(I14*J14+K14*L14+M14*N14+O14*P14+Q14*R14)-100</f>
        <v>3098.44</v>
      </c>
      <c r="T14" s="25"/>
      <c r="U14" s="27">
        <f t="shared" si="0"/>
        <v>1604.61538461538</v>
      </c>
      <c r="V14" s="27">
        <v>150</v>
      </c>
      <c r="W14" s="27"/>
      <c r="X14" s="27">
        <v>200</v>
      </c>
      <c r="Y14" s="42">
        <v>300</v>
      </c>
      <c r="Z14" s="32">
        <f t="shared" si="1"/>
        <v>224</v>
      </c>
      <c r="AA14" s="43"/>
      <c r="AB14" s="34">
        <f t="shared" ref="AB14:AB22" si="11">E14*20</f>
        <v>560</v>
      </c>
      <c r="AC14" s="44">
        <f t="shared" si="3"/>
        <v>1984.6</v>
      </c>
      <c r="AD14" s="44">
        <v>20</v>
      </c>
      <c r="AE14" s="41">
        <v>0.99</v>
      </c>
      <c r="AF14" s="34">
        <f t="shared" si="4"/>
        <v>6126.07098461538</v>
      </c>
      <c r="AG14" s="46"/>
    </row>
    <row r="15" s="3" customFormat="1" customHeight="1" spans="1:33">
      <c r="A15" s="17">
        <v>100</v>
      </c>
      <c r="B15" s="22" t="s">
        <v>534</v>
      </c>
      <c r="C15" s="23" t="s">
        <v>535</v>
      </c>
      <c r="D15" s="17">
        <v>26</v>
      </c>
      <c r="E15" s="19">
        <v>28</v>
      </c>
      <c r="F15" s="70">
        <v>28</v>
      </c>
      <c r="G15" s="70">
        <f t="shared" si="5"/>
        <v>28</v>
      </c>
      <c r="H15" s="70">
        <f t="shared" si="6"/>
        <v>0</v>
      </c>
      <c r="I15" s="25"/>
      <c r="J15" s="25">
        <v>99.23</v>
      </c>
      <c r="K15" s="17">
        <f t="shared" si="8"/>
        <v>14</v>
      </c>
      <c r="L15" s="26">
        <v>109.23</v>
      </c>
      <c r="M15" s="25">
        <f t="shared" si="7"/>
        <v>14</v>
      </c>
      <c r="N15" s="25">
        <v>119.23</v>
      </c>
      <c r="O15" s="25">
        <v>0</v>
      </c>
      <c r="P15" s="25">
        <v>129.23</v>
      </c>
      <c r="Q15" s="25">
        <v>0</v>
      </c>
      <c r="R15" s="25">
        <v>139.23</v>
      </c>
      <c r="S15" s="72">
        <f>+(I15*J15+K15*L15+M15*N15+O15*P15+Q15*R15)-100</f>
        <v>3098.44</v>
      </c>
      <c r="T15" s="25"/>
      <c r="U15" s="27">
        <f t="shared" si="0"/>
        <v>1604.61538461538</v>
      </c>
      <c r="V15" s="27">
        <v>150</v>
      </c>
      <c r="W15" s="27"/>
      <c r="X15" s="27">
        <v>200</v>
      </c>
      <c r="Y15" s="42">
        <v>300</v>
      </c>
      <c r="Z15" s="32">
        <f t="shared" si="1"/>
        <v>224</v>
      </c>
      <c r="AA15" s="43"/>
      <c r="AB15" s="34">
        <f t="shared" si="11"/>
        <v>560</v>
      </c>
      <c r="AC15" s="44">
        <f t="shared" si="3"/>
        <v>1984.6</v>
      </c>
      <c r="AD15" s="44">
        <v>100</v>
      </c>
      <c r="AE15" s="41">
        <v>0.99</v>
      </c>
      <c r="AF15" s="34">
        <f t="shared" si="4"/>
        <v>6206.07098461538</v>
      </c>
      <c r="AG15" s="46"/>
    </row>
    <row r="16" s="3" customFormat="1" customHeight="1" spans="1:33">
      <c r="A16" s="17">
        <v>13</v>
      </c>
      <c r="B16" s="22" t="s">
        <v>534</v>
      </c>
      <c r="C16" s="23" t="s">
        <v>536</v>
      </c>
      <c r="D16" s="17">
        <v>26</v>
      </c>
      <c r="E16" s="19">
        <v>12</v>
      </c>
      <c r="F16" s="70">
        <v>12</v>
      </c>
      <c r="G16" s="70">
        <f t="shared" si="5"/>
        <v>12</v>
      </c>
      <c r="H16" s="70">
        <f t="shared" si="6"/>
        <v>0</v>
      </c>
      <c r="I16" s="25"/>
      <c r="J16" s="25">
        <v>99.23</v>
      </c>
      <c r="K16" s="17">
        <v>6</v>
      </c>
      <c r="L16" s="26">
        <v>109.23</v>
      </c>
      <c r="M16" s="25">
        <v>6</v>
      </c>
      <c r="N16" s="25">
        <v>119.23</v>
      </c>
      <c r="O16" s="25">
        <v>0</v>
      </c>
      <c r="P16" s="25">
        <v>129.23</v>
      </c>
      <c r="Q16" s="25">
        <v>0</v>
      </c>
      <c r="R16" s="25">
        <v>139.23</v>
      </c>
      <c r="S16" s="72">
        <f>+(I16*J16+K16*L16+M16*N16+O16*P16+Q16*R16)-100</f>
        <v>1270.76</v>
      </c>
      <c r="T16" s="25"/>
      <c r="U16" s="27">
        <f t="shared" si="0"/>
        <v>687.692307692308</v>
      </c>
      <c r="V16" s="27">
        <f t="shared" si="10"/>
        <v>69.2307692307692</v>
      </c>
      <c r="W16" s="27"/>
      <c r="X16" s="27">
        <v>200</v>
      </c>
      <c r="Y16" s="30">
        <v>100</v>
      </c>
      <c r="Z16" s="32">
        <f t="shared" si="1"/>
        <v>96</v>
      </c>
      <c r="AA16" s="43"/>
      <c r="AB16" s="34">
        <f t="shared" si="11"/>
        <v>240</v>
      </c>
      <c r="AC16" s="44"/>
      <c r="AD16" s="44">
        <v>0</v>
      </c>
      <c r="AE16" s="41">
        <v>0.99</v>
      </c>
      <c r="AF16" s="34">
        <f t="shared" ref="AF16:AF24" si="12">S16*AE16+T16+U16+V16+W16+X16+Y16+Z16+AA16+AB16+AD16</f>
        <v>2650.97547692308</v>
      </c>
      <c r="AG16" s="46"/>
    </row>
    <row r="17" s="3" customFormat="1" customHeight="1" spans="1:33">
      <c r="A17" s="17">
        <v>14</v>
      </c>
      <c r="B17" s="17" t="s">
        <v>537</v>
      </c>
      <c r="C17" s="23" t="s">
        <v>56</v>
      </c>
      <c r="D17" s="17">
        <v>26</v>
      </c>
      <c r="E17" s="19">
        <v>15</v>
      </c>
      <c r="F17" s="70">
        <v>22.5</v>
      </c>
      <c r="G17" s="70">
        <f t="shared" si="5"/>
        <v>0</v>
      </c>
      <c r="H17" s="70">
        <f t="shared" si="6"/>
        <v>-15</v>
      </c>
      <c r="I17" s="25"/>
      <c r="J17" s="25">
        <v>99.23</v>
      </c>
      <c r="K17" s="17"/>
      <c r="L17" s="26">
        <v>109.23</v>
      </c>
      <c r="M17" s="25"/>
      <c r="N17" s="25">
        <v>119.23</v>
      </c>
      <c r="O17" s="25">
        <v>0</v>
      </c>
      <c r="P17" s="25">
        <v>129.23</v>
      </c>
      <c r="Q17" s="25">
        <v>0</v>
      </c>
      <c r="R17" s="25">
        <v>139.23</v>
      </c>
      <c r="S17" s="25"/>
      <c r="T17" s="25">
        <f>修补数量统计!FK127</f>
        <v>1824.267</v>
      </c>
      <c r="U17" s="27">
        <f t="shared" si="0"/>
        <v>859.615384615385</v>
      </c>
      <c r="V17" s="27">
        <f t="shared" si="10"/>
        <v>86.5384615384615</v>
      </c>
      <c r="W17" s="27"/>
      <c r="X17" s="27">
        <f>200/D17*E17</f>
        <v>115.384615384615</v>
      </c>
      <c r="Y17" s="30">
        <v>0</v>
      </c>
      <c r="Z17" s="32">
        <f t="shared" si="1"/>
        <v>120</v>
      </c>
      <c r="AA17" s="43"/>
      <c r="AB17" s="34">
        <f t="shared" si="11"/>
        <v>300</v>
      </c>
      <c r="AC17" s="44">
        <f>+J17*20</f>
        <v>1984.6</v>
      </c>
      <c r="AD17" s="44">
        <v>0</v>
      </c>
      <c r="AE17" s="41">
        <v>0.988</v>
      </c>
      <c r="AF17" s="34">
        <f t="shared" si="12"/>
        <v>3305.80546153846</v>
      </c>
      <c r="AG17" s="46"/>
    </row>
    <row r="18" s="1" customFormat="1" customHeight="1" spans="1:33">
      <c r="A18" s="17">
        <v>0</v>
      </c>
      <c r="B18" s="22" t="s">
        <v>538</v>
      </c>
      <c r="C18" s="23" t="s">
        <v>36</v>
      </c>
      <c r="D18" s="17">
        <v>26</v>
      </c>
      <c r="E18" s="19">
        <v>23</v>
      </c>
      <c r="F18" s="70">
        <v>22</v>
      </c>
      <c r="G18" s="70">
        <f t="shared" si="5"/>
        <v>23</v>
      </c>
      <c r="H18" s="71">
        <f t="shared" si="6"/>
        <v>0</v>
      </c>
      <c r="I18" s="25"/>
      <c r="J18" s="25">
        <v>99.23</v>
      </c>
      <c r="K18" s="17">
        <v>3</v>
      </c>
      <c r="L18" s="26">
        <v>109.23</v>
      </c>
      <c r="M18" s="25">
        <v>7</v>
      </c>
      <c r="N18" s="25">
        <v>119.23</v>
      </c>
      <c r="O18" s="25">
        <v>13</v>
      </c>
      <c r="P18" s="25">
        <v>129.23</v>
      </c>
      <c r="Q18" s="25">
        <v>0</v>
      </c>
      <c r="R18" s="25">
        <v>139.23</v>
      </c>
      <c r="S18" s="72">
        <f>+(I18*J18+K18*L18+M18*N18+O18*P18+Q18*R18)-100</f>
        <v>2742.29</v>
      </c>
      <c r="T18" s="31">
        <f>修补数量统计!FK117+1500</f>
        <v>2276.552</v>
      </c>
      <c r="U18" s="27">
        <f t="shared" si="0"/>
        <v>1318.07692307692</v>
      </c>
      <c r="V18" s="27">
        <v>150</v>
      </c>
      <c r="W18" s="27"/>
      <c r="X18" s="27">
        <v>200</v>
      </c>
      <c r="Y18" s="30">
        <v>0</v>
      </c>
      <c r="Z18" s="32">
        <f t="shared" si="1"/>
        <v>184</v>
      </c>
      <c r="AA18" s="43"/>
      <c r="AB18" s="34">
        <f t="shared" si="11"/>
        <v>460</v>
      </c>
      <c r="AC18" s="44">
        <f>+J18*20</f>
        <v>1984.6</v>
      </c>
      <c r="AD18" s="44">
        <v>100</v>
      </c>
      <c r="AE18" s="41">
        <v>0.988</v>
      </c>
      <c r="AF18" s="34">
        <f t="shared" si="12"/>
        <v>7398.01144307692</v>
      </c>
      <c r="AG18" s="46"/>
    </row>
    <row r="19" s="3" customFormat="1" customHeight="1" spans="1:33">
      <c r="A19" s="17">
        <v>16</v>
      </c>
      <c r="B19" s="22" t="s">
        <v>538</v>
      </c>
      <c r="C19" s="23" t="s">
        <v>57</v>
      </c>
      <c r="D19" s="17">
        <v>26</v>
      </c>
      <c r="E19" s="19">
        <v>21</v>
      </c>
      <c r="F19" s="70">
        <v>21</v>
      </c>
      <c r="G19" s="70">
        <f t="shared" si="5"/>
        <v>15</v>
      </c>
      <c r="H19" s="70">
        <f t="shared" si="6"/>
        <v>-6</v>
      </c>
      <c r="I19" s="25"/>
      <c r="J19" s="25">
        <v>99.23</v>
      </c>
      <c r="K19" s="17"/>
      <c r="L19" s="26">
        <v>109.23</v>
      </c>
      <c r="M19" s="25">
        <v>13</v>
      </c>
      <c r="N19" s="25">
        <v>119.23</v>
      </c>
      <c r="O19" s="25">
        <v>2</v>
      </c>
      <c r="P19" s="25">
        <v>129.23</v>
      </c>
      <c r="Q19" s="25">
        <v>0</v>
      </c>
      <c r="R19" s="25">
        <v>139.23</v>
      </c>
      <c r="S19" s="72">
        <f>+(I19*J19+K19*L19+M19*N19+O19*P19+Q19*R19)-100</f>
        <v>1708.45</v>
      </c>
      <c r="T19" s="3">
        <f>修补数量统计!FK137</f>
        <v>569.263</v>
      </c>
      <c r="U19" s="27">
        <f t="shared" si="0"/>
        <v>1203.46153846154</v>
      </c>
      <c r="V19" s="27">
        <f>150/D19*E19</f>
        <v>121.153846153846</v>
      </c>
      <c r="W19" s="27"/>
      <c r="X19" s="27">
        <f>200/D19*E19</f>
        <v>161.538461538462</v>
      </c>
      <c r="Y19" s="30">
        <v>100</v>
      </c>
      <c r="Z19" s="32">
        <f t="shared" si="1"/>
        <v>168</v>
      </c>
      <c r="AA19" s="43"/>
      <c r="AB19" s="34">
        <f t="shared" si="11"/>
        <v>420</v>
      </c>
      <c r="AC19" s="44"/>
      <c r="AD19" s="44">
        <v>30</v>
      </c>
      <c r="AE19" s="41">
        <f>修补数量统计!FL137</f>
        <v>0.981631550513236</v>
      </c>
      <c r="AF19" s="34">
        <f t="shared" si="12"/>
        <v>4450.48526862818</v>
      </c>
      <c r="AG19" s="46"/>
    </row>
    <row r="20" s="3" customFormat="1" customHeight="1" spans="1:33">
      <c r="A20" s="17">
        <v>18</v>
      </c>
      <c r="B20" s="22" t="s">
        <v>538</v>
      </c>
      <c r="C20" s="23" t="s">
        <v>55</v>
      </c>
      <c r="D20" s="17">
        <v>26</v>
      </c>
      <c r="E20" s="19">
        <v>11</v>
      </c>
      <c r="F20" s="70">
        <v>11</v>
      </c>
      <c r="G20" s="70">
        <f t="shared" si="5"/>
        <v>11</v>
      </c>
      <c r="H20" s="70">
        <f t="shared" si="6"/>
        <v>0</v>
      </c>
      <c r="I20" s="25"/>
      <c r="J20" s="25">
        <v>99.23</v>
      </c>
      <c r="K20" s="17">
        <v>11</v>
      </c>
      <c r="L20" s="26">
        <v>109.23</v>
      </c>
      <c r="M20" s="25">
        <v>0</v>
      </c>
      <c r="N20" s="25">
        <v>119.23</v>
      </c>
      <c r="O20" s="25">
        <v>0</v>
      </c>
      <c r="P20" s="25">
        <v>129.23</v>
      </c>
      <c r="Q20" s="25">
        <v>0</v>
      </c>
      <c r="R20" s="25">
        <v>139.23</v>
      </c>
      <c r="S20" s="72">
        <f>+(I20*J20+K20*L20+M20*N20+O20*P20+Q20*R20)-100</f>
        <v>1101.53</v>
      </c>
      <c r="T20" s="25"/>
      <c r="U20" s="27">
        <f t="shared" si="0"/>
        <v>630.384615384615</v>
      </c>
      <c r="V20" s="27">
        <f>150/D20*E20</f>
        <v>63.4615384615385</v>
      </c>
      <c r="W20" s="27"/>
      <c r="X20" s="27">
        <f>200/D20*E20</f>
        <v>84.6153846153846</v>
      </c>
      <c r="Y20" s="30">
        <v>0</v>
      </c>
      <c r="Z20" s="32">
        <f t="shared" si="1"/>
        <v>88</v>
      </c>
      <c r="AA20" s="43"/>
      <c r="AB20" s="34">
        <f t="shared" si="11"/>
        <v>220</v>
      </c>
      <c r="AC20" s="44"/>
      <c r="AD20" s="44">
        <v>0</v>
      </c>
      <c r="AE20" s="41">
        <v>0.988</v>
      </c>
      <c r="AF20" s="34">
        <f t="shared" si="12"/>
        <v>2174.77317846154</v>
      </c>
      <c r="AG20" s="46"/>
    </row>
    <row r="21" s="3" customFormat="1" customHeight="1" spans="1:33">
      <c r="A21" s="17">
        <v>19</v>
      </c>
      <c r="B21" s="22" t="s">
        <v>538</v>
      </c>
      <c r="C21" s="24" t="s">
        <v>58</v>
      </c>
      <c r="D21" s="17">
        <v>26</v>
      </c>
      <c r="E21" s="19">
        <v>18</v>
      </c>
      <c r="F21" s="70">
        <v>18</v>
      </c>
      <c r="G21" s="70">
        <f t="shared" si="5"/>
        <v>7</v>
      </c>
      <c r="H21" s="70">
        <f t="shared" si="6"/>
        <v>-11</v>
      </c>
      <c r="I21" s="25"/>
      <c r="J21" s="25">
        <v>99.23</v>
      </c>
      <c r="K21" s="17">
        <v>6</v>
      </c>
      <c r="L21" s="26">
        <v>109.23</v>
      </c>
      <c r="M21" s="25"/>
      <c r="N21" s="25">
        <v>119.23</v>
      </c>
      <c r="O21" s="25">
        <v>1</v>
      </c>
      <c r="P21" s="25">
        <v>129.23</v>
      </c>
      <c r="Q21" s="25">
        <v>0</v>
      </c>
      <c r="R21" s="25">
        <v>139.23</v>
      </c>
      <c r="S21" s="72">
        <f>+(I21*J21+K21*L21+M21*N21+O21*P21+Q21*R21)-100</f>
        <v>684.61</v>
      </c>
      <c r="T21" s="25">
        <f>修补数量统计!FK147</f>
        <v>793.476</v>
      </c>
      <c r="U21" s="27">
        <f t="shared" si="0"/>
        <v>1031.53846153846</v>
      </c>
      <c r="V21" s="27">
        <f>150/D21*E21</f>
        <v>103.846153846154</v>
      </c>
      <c r="W21" s="27"/>
      <c r="X21" s="27">
        <f>200/D21*E21</f>
        <v>138.461538461538</v>
      </c>
      <c r="Y21" s="30">
        <v>100</v>
      </c>
      <c r="Z21" s="32">
        <f t="shared" si="1"/>
        <v>144</v>
      </c>
      <c r="AA21" s="43"/>
      <c r="AB21" s="34">
        <f t="shared" si="11"/>
        <v>360</v>
      </c>
      <c r="AC21" s="44"/>
      <c r="AD21" s="44">
        <v>0</v>
      </c>
      <c r="AE21" s="41">
        <v>0.988</v>
      </c>
      <c r="AF21" s="34">
        <f t="shared" si="12"/>
        <v>3347.71683384615</v>
      </c>
      <c r="AG21" s="46"/>
    </row>
    <row r="22" s="3" customFormat="1" customHeight="1" spans="1:33">
      <c r="A22" s="17">
        <v>20</v>
      </c>
      <c r="B22" s="22" t="s">
        <v>538</v>
      </c>
      <c r="C22" s="23" t="s">
        <v>32</v>
      </c>
      <c r="D22" s="17">
        <v>26</v>
      </c>
      <c r="E22" s="19">
        <v>29</v>
      </c>
      <c r="F22" s="70">
        <v>29</v>
      </c>
      <c r="G22" s="70">
        <f t="shared" si="5"/>
        <v>2</v>
      </c>
      <c r="H22" s="70">
        <f t="shared" si="6"/>
        <v>-27</v>
      </c>
      <c r="I22" s="25"/>
      <c r="J22" s="25">
        <v>99.23</v>
      </c>
      <c r="K22" s="17">
        <v>1</v>
      </c>
      <c r="L22" s="26">
        <v>109.23</v>
      </c>
      <c r="M22" s="25">
        <v>1</v>
      </c>
      <c r="N22" s="25">
        <v>119.23</v>
      </c>
      <c r="O22" s="25">
        <v>0</v>
      </c>
      <c r="P22" s="25">
        <v>129.23</v>
      </c>
      <c r="Q22" s="25">
        <v>0</v>
      </c>
      <c r="R22" s="25">
        <v>139.23</v>
      </c>
      <c r="S22" s="72">
        <f>+(I22*J22+K22*L22+M22*N22+O22*P22+Q22*R22)-100</f>
        <v>128.46</v>
      </c>
      <c r="T22" s="25">
        <f>修补数量统计!FK77</f>
        <v>2765.552</v>
      </c>
      <c r="U22" s="27">
        <f t="shared" si="0"/>
        <v>1661.92307692308</v>
      </c>
      <c r="V22" s="27">
        <v>150</v>
      </c>
      <c r="W22" s="27"/>
      <c r="X22" s="27">
        <v>200</v>
      </c>
      <c r="Y22" s="30">
        <v>300</v>
      </c>
      <c r="Z22" s="32">
        <f t="shared" si="1"/>
        <v>232</v>
      </c>
      <c r="AA22" s="43"/>
      <c r="AB22" s="34">
        <f t="shared" si="11"/>
        <v>580</v>
      </c>
      <c r="AC22" s="44">
        <f>+J22*20</f>
        <v>1984.6</v>
      </c>
      <c r="AD22" s="44">
        <v>50</v>
      </c>
      <c r="AE22" s="41">
        <f>修补数量统计!FL77</f>
        <v>0.992940561268956</v>
      </c>
      <c r="AF22" s="34">
        <f t="shared" si="12"/>
        <v>6067.02822142369</v>
      </c>
      <c r="AG22" s="46"/>
    </row>
    <row r="23" s="3" customFormat="1" customHeight="1" spans="1:33">
      <c r="A23" s="17">
        <v>21</v>
      </c>
      <c r="B23" s="17" t="s">
        <v>493</v>
      </c>
      <c r="C23" s="23" t="s">
        <v>539</v>
      </c>
      <c r="D23" s="17">
        <v>26</v>
      </c>
      <c r="E23" s="19">
        <v>29</v>
      </c>
      <c r="F23" s="70">
        <v>25</v>
      </c>
      <c r="G23" s="70">
        <f t="shared" si="5"/>
        <v>29</v>
      </c>
      <c r="H23" s="70">
        <f t="shared" si="6"/>
        <v>0</v>
      </c>
      <c r="I23" s="25"/>
      <c r="J23" s="25">
        <v>99.23</v>
      </c>
      <c r="K23" s="17">
        <v>14</v>
      </c>
      <c r="L23" s="26">
        <v>109.23</v>
      </c>
      <c r="M23" s="25">
        <f>E23-K23</f>
        <v>15</v>
      </c>
      <c r="N23" s="25">
        <v>119.23</v>
      </c>
      <c r="O23" s="25">
        <v>0</v>
      </c>
      <c r="P23" s="25">
        <v>129.23</v>
      </c>
      <c r="Q23" s="25">
        <v>0</v>
      </c>
      <c r="R23" s="25">
        <v>139.23</v>
      </c>
      <c r="S23" s="72">
        <f>+(I23*J23+K23*L23+M23*N23+O23*P23+Q23*R23)*0.9-100</f>
        <v>2885.903</v>
      </c>
      <c r="T23" s="25"/>
      <c r="U23" s="27">
        <f t="shared" si="0"/>
        <v>1661.92307692308</v>
      </c>
      <c r="V23" s="27">
        <v>150</v>
      </c>
      <c r="W23" s="27"/>
      <c r="X23" s="27">
        <v>800</v>
      </c>
      <c r="Y23" s="30">
        <v>300</v>
      </c>
      <c r="Z23" s="32">
        <f t="shared" si="1"/>
        <v>232</v>
      </c>
      <c r="AA23" s="43"/>
      <c r="AB23" s="34">
        <f>20*E23</f>
        <v>580</v>
      </c>
      <c r="AC23" s="44">
        <f>+J23*20</f>
        <v>1984.6</v>
      </c>
      <c r="AD23" s="44">
        <v>50</v>
      </c>
      <c r="AE23" s="41">
        <v>0.86</v>
      </c>
      <c r="AF23" s="34">
        <f t="shared" si="12"/>
        <v>6255.79965692308</v>
      </c>
      <c r="AG23" s="46"/>
    </row>
    <row r="24" s="3" customFormat="1" customHeight="1" spans="1:33">
      <c r="A24" s="17">
        <v>22</v>
      </c>
      <c r="B24" s="22" t="s">
        <v>540</v>
      </c>
      <c r="C24" s="24" t="s">
        <v>541</v>
      </c>
      <c r="D24" s="17">
        <v>26</v>
      </c>
      <c r="E24" s="19">
        <v>28</v>
      </c>
      <c r="F24" s="70">
        <v>29</v>
      </c>
      <c r="G24" s="70">
        <f t="shared" si="5"/>
        <v>28</v>
      </c>
      <c r="H24" s="70">
        <f t="shared" si="6"/>
        <v>0</v>
      </c>
      <c r="I24" s="25"/>
      <c r="J24" s="25">
        <v>99.23</v>
      </c>
      <c r="K24" s="17">
        <v>16</v>
      </c>
      <c r="L24" s="26">
        <v>109.23</v>
      </c>
      <c r="M24" s="25">
        <f>E24-K24</f>
        <v>12</v>
      </c>
      <c r="N24" s="25">
        <v>119.23</v>
      </c>
      <c r="O24" s="25">
        <v>0</v>
      </c>
      <c r="P24" s="25">
        <v>129.23</v>
      </c>
      <c r="Q24" s="25">
        <v>0</v>
      </c>
      <c r="R24" s="25">
        <v>139.23</v>
      </c>
      <c r="S24" s="25">
        <f>+(I24*J24+K24*L24+M24*N24+O24*P24+Q24*R24)</f>
        <v>3178.44</v>
      </c>
      <c r="T24" s="25"/>
      <c r="U24" s="27">
        <f t="shared" si="0"/>
        <v>1604.61538461538</v>
      </c>
      <c r="V24" s="27">
        <v>150</v>
      </c>
      <c r="W24" s="27"/>
      <c r="X24" s="27">
        <v>200</v>
      </c>
      <c r="Y24" s="42">
        <v>300</v>
      </c>
      <c r="Z24" s="32">
        <f t="shared" si="1"/>
        <v>224</v>
      </c>
      <c r="AA24" s="43"/>
      <c r="AB24" s="34">
        <f>E24*20</f>
        <v>560</v>
      </c>
      <c r="AC24" s="44">
        <f>+J24*20</f>
        <v>1984.6</v>
      </c>
      <c r="AD24" s="44">
        <v>0</v>
      </c>
      <c r="AE24" s="41">
        <v>0.99</v>
      </c>
      <c r="AF24" s="34">
        <f t="shared" si="12"/>
        <v>6185.27098461538</v>
      </c>
      <c r="AG24" s="46"/>
    </row>
    <row r="25" s="3" customFormat="1" ht="24.95" customHeight="1" spans="1:33">
      <c r="A25" s="17">
        <v>23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46"/>
    </row>
    <row r="26" s="3" customFormat="1" ht="30.95" customHeight="1" spans="1:33">
      <c r="A26" s="17">
        <v>24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46"/>
    </row>
    <row r="27" s="5" customFormat="1" customHeight="1" spans="1:33">
      <c r="A27" s="17" t="s">
        <v>5</v>
      </c>
      <c r="B27" s="17"/>
      <c r="C27" s="17"/>
      <c r="D27" s="17"/>
      <c r="E27" s="17"/>
      <c r="F27" s="17"/>
      <c r="G27" s="17"/>
      <c r="H27" s="17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65">
        <f>SUM(T4:T26)</f>
        <v>8229.11</v>
      </c>
      <c r="U27" s="65">
        <f t="shared" ref="U27:AD27" si="13">SUM(U4:U26)</f>
        <v>29487.9615384615</v>
      </c>
      <c r="V27" s="65">
        <f t="shared" si="13"/>
        <v>2769.23076923077</v>
      </c>
      <c r="W27" s="65">
        <f t="shared" si="13"/>
        <v>0</v>
      </c>
      <c r="X27" s="65">
        <f t="shared" si="13"/>
        <v>5800</v>
      </c>
      <c r="Y27" s="65">
        <f t="shared" si="13"/>
        <v>4500</v>
      </c>
      <c r="Z27" s="65">
        <f t="shared" si="13"/>
        <v>4026.4</v>
      </c>
      <c r="AA27" s="65">
        <f t="shared" si="13"/>
        <v>1500</v>
      </c>
      <c r="AB27" s="65">
        <f t="shared" si="13"/>
        <v>10066</v>
      </c>
      <c r="AC27" s="65">
        <f t="shared" si="13"/>
        <v>33738.2</v>
      </c>
      <c r="AD27" s="65">
        <f t="shared" si="13"/>
        <v>1300</v>
      </c>
      <c r="AE27" s="27"/>
      <c r="AF27" s="65">
        <f>SUM(AF4:AF26)</f>
        <v>116149.554524667</v>
      </c>
      <c r="AG27" s="17"/>
    </row>
    <row r="28" s="5" customFormat="1" customHeight="1" spans="1:32">
      <c r="A28" s="8"/>
      <c r="B28" s="56"/>
      <c r="C28" s="56"/>
      <c r="D28" s="57"/>
      <c r="E28" s="55"/>
      <c r="F28" s="55"/>
      <c r="G28" s="55"/>
      <c r="H28" s="55"/>
      <c r="I28" s="63"/>
      <c r="J28" s="55"/>
      <c r="K28" s="55"/>
      <c r="M28" s="55"/>
      <c r="N28" s="55"/>
      <c r="O28" s="55"/>
      <c r="P28" s="55"/>
      <c r="Q28" s="55"/>
      <c r="S28" s="55"/>
      <c r="T28" s="55"/>
      <c r="U28" s="63"/>
      <c r="V28" s="63"/>
      <c r="W28" s="8"/>
      <c r="X28" s="8"/>
      <c r="Y28" s="7"/>
      <c r="Z28" s="1"/>
      <c r="AA28" s="56"/>
      <c r="AB28" s="8"/>
      <c r="AC28" s="1"/>
      <c r="AD28" s="1"/>
      <c r="AE28" s="9"/>
      <c r="AF28" s="9"/>
    </row>
    <row r="29" s="3" customFormat="1" customHeight="1" spans="1:33">
      <c r="A29" s="56"/>
      <c r="B29" s="56"/>
      <c r="C29" s="59" t="s">
        <v>513</v>
      </c>
      <c r="D29" s="60"/>
      <c r="E29" s="58"/>
      <c r="F29" s="58"/>
      <c r="G29" s="58"/>
      <c r="H29" s="58"/>
      <c r="I29" s="60"/>
      <c r="J29" s="60"/>
      <c r="K29" s="64"/>
      <c r="L29" s="60" t="s">
        <v>514</v>
      </c>
      <c r="M29" s="60"/>
      <c r="N29" s="60"/>
      <c r="O29" s="60"/>
      <c r="P29" s="60"/>
      <c r="Q29" s="64"/>
      <c r="R29" s="63"/>
      <c r="S29" s="55"/>
      <c r="T29" s="55" t="s">
        <v>64</v>
      </c>
      <c r="U29" s="8"/>
      <c r="V29" s="8"/>
      <c r="W29" s="8"/>
      <c r="X29" s="8"/>
      <c r="Y29" s="7"/>
      <c r="Z29" s="1"/>
      <c r="AA29" s="56"/>
      <c r="AB29" s="8"/>
      <c r="AC29" s="1"/>
      <c r="AD29" s="1"/>
      <c r="AE29" s="9"/>
      <c r="AF29" s="9"/>
      <c r="AG29" s="1"/>
    </row>
    <row r="30" s="3" customFormat="1" customHeight="1" spans="1:33">
      <c r="A30" s="1"/>
      <c r="B30" s="1"/>
      <c r="C30" s="1"/>
      <c r="D30" s="1"/>
      <c r="E30" s="1"/>
      <c r="F30" s="55"/>
      <c r="G30" s="55"/>
      <c r="H30" s="55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1600</v>
      </c>
      <c r="T30" s="1"/>
      <c r="U30" s="1"/>
      <c r="V30" s="1"/>
      <c r="W30" s="1"/>
      <c r="X30" s="1"/>
      <c r="Y30" s="7"/>
      <c r="Z30" s="1"/>
      <c r="AA30" s="1"/>
      <c r="AB30" s="8"/>
      <c r="AC30" s="1"/>
      <c r="AD30" s="1"/>
      <c r="AE30" s="9"/>
      <c r="AF30" s="9"/>
      <c r="AG30" s="1"/>
    </row>
    <row r="31" s="3" customFormat="1" customHeight="1" spans="1:33">
      <c r="A31" s="1"/>
      <c r="B31" s="1"/>
      <c r="C31" s="1"/>
      <c r="D31" s="5"/>
      <c r="E31" s="5"/>
      <c r="F31" s="58"/>
      <c r="G31" s="58"/>
      <c r="H31" s="5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7"/>
      <c r="Z31" s="1"/>
      <c r="AA31" s="1"/>
      <c r="AB31" s="8"/>
      <c r="AC31" s="1"/>
      <c r="AD31" s="1"/>
      <c r="AE31" s="9"/>
      <c r="AF31" s="9"/>
      <c r="AG31" s="1"/>
    </row>
    <row r="32" s="3" customFormat="1" customHeight="1" spans="1:33">
      <c r="A32" s="1"/>
      <c r="F32" s="1"/>
      <c r="G32" s="1"/>
      <c r="H32" s="1"/>
      <c r="AG32" s="1"/>
    </row>
    <row r="33" s="3" customFormat="1" customHeight="1" spans="1:33">
      <c r="A33" s="1"/>
      <c r="F33" s="1"/>
      <c r="G33" s="1"/>
      <c r="H33" s="1"/>
      <c r="AG33" s="1"/>
    </row>
    <row r="34" s="3" customFormat="1" customHeight="1" spans="1:33">
      <c r="A34" s="1"/>
      <c r="F34" s="5"/>
      <c r="G34" s="5"/>
      <c r="H34" s="5"/>
      <c r="AG34" s="1"/>
    </row>
    <row r="35" s="3" customFormat="1" customHeight="1" spans="1:33">
      <c r="A35" s="1"/>
      <c r="F35" s="5"/>
      <c r="G35" s="5"/>
      <c r="H35" s="5"/>
      <c r="AG35" s="1"/>
    </row>
    <row r="36" s="3" customFormat="1" customHeight="1" spans="1:33">
      <c r="A36" s="1"/>
      <c r="F36" s="5"/>
      <c r="G36" s="5"/>
      <c r="H36" s="5"/>
      <c r="AG36" s="1"/>
    </row>
    <row r="37" s="3" customFormat="1" customHeight="1" spans="1:33">
      <c r="A37" s="1"/>
      <c r="F37" s="5"/>
      <c r="G37" s="5"/>
      <c r="H37" s="5"/>
      <c r="AG37" s="1"/>
    </row>
    <row r="38" s="3" customFormat="1" customHeight="1" spans="1:33">
      <c r="A38" s="1"/>
      <c r="F38" s="5"/>
      <c r="G38" s="5"/>
      <c r="H38" s="5"/>
      <c r="AG38" s="1"/>
    </row>
    <row r="39" s="3" customFormat="1" customHeight="1" spans="1:33">
      <c r="A39" s="1"/>
      <c r="F39" s="5"/>
      <c r="G39" s="5"/>
      <c r="H39" s="5"/>
      <c r="AG39" s="1"/>
    </row>
    <row r="40" s="3" customFormat="1" customHeight="1" spans="1:33">
      <c r="A40" s="1"/>
      <c r="F40" s="5"/>
      <c r="G40" s="5"/>
      <c r="H40" s="5"/>
      <c r="AG40" s="1"/>
    </row>
  </sheetData>
  <mergeCells count="4">
    <mergeCell ref="A1:AG1"/>
    <mergeCell ref="I2:R2"/>
    <mergeCell ref="S2:S3"/>
    <mergeCell ref="T2:T3"/>
  </mergeCells>
  <pageMargins left="0.472222222222222" right="0.826388888888889" top="1.33819444444444" bottom="1" header="1.22013888888889" footer="0.5"/>
  <pageSetup paperSize="9" scale="45" orientation="landscape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8"/>
  <sheetViews>
    <sheetView zoomScale="70" zoomScaleNormal="70" topLeftCell="A5" workbookViewId="0">
      <pane xSplit="19" topLeftCell="X1" activePane="topRight" state="frozen"/>
      <selection/>
      <selection pane="topRight" activeCell="Y20" sqref="Y20:Y21"/>
    </sheetView>
  </sheetViews>
  <sheetFormatPr defaultColWidth="9" defaultRowHeight="26.1" customHeight="1"/>
  <cols>
    <col min="1" max="1" width="6.5" style="1" customWidth="1"/>
    <col min="2" max="2" width="10.5" style="1" customWidth="1"/>
    <col min="3" max="3" width="11" style="1" customWidth="1"/>
    <col min="4" max="4" width="7.87962962962963" style="5" customWidth="1"/>
    <col min="5" max="8" width="7.5" style="5" customWidth="1"/>
    <col min="9" max="9" width="7.62962962962963" style="1" customWidth="1"/>
    <col min="10" max="10" width="11.25" style="1" customWidth="1"/>
    <col min="11" max="11" width="7" style="1" customWidth="1"/>
    <col min="12" max="12" width="9.87962962962963" style="1" customWidth="1"/>
    <col min="13" max="13" width="7.12962962962963" style="1" customWidth="1"/>
    <col min="14" max="14" width="10" style="1" customWidth="1"/>
    <col min="15" max="15" width="6.37962962962963" style="1" customWidth="1"/>
    <col min="16" max="16" width="11.25" style="1" customWidth="1"/>
    <col min="17" max="17" width="5.12962962962963" style="1" customWidth="1"/>
    <col min="18" max="18" width="11.25" style="1" customWidth="1"/>
    <col min="19" max="19" width="10.6296296296296" style="1" customWidth="1"/>
    <col min="20" max="20" width="13.8796296296296" style="1" customWidth="1"/>
    <col min="21" max="21" width="14" style="1" customWidth="1"/>
    <col min="22" max="22" width="12.1296296296296" style="1" customWidth="1"/>
    <col min="23" max="23" width="12" style="1" customWidth="1"/>
    <col min="24" max="24" width="11.1296296296296" style="1" customWidth="1"/>
    <col min="25" max="25" width="11.25" style="7" customWidth="1"/>
    <col min="26" max="26" width="11.3796296296296" style="1" customWidth="1"/>
    <col min="27" max="27" width="9.81481481481481" style="1" customWidth="1"/>
    <col min="28" max="28" width="10.8888888888889" style="8" customWidth="1"/>
    <col min="29" max="29" width="5.87962962962963" style="1" hidden="1" customWidth="1"/>
    <col min="30" max="30" width="12.8611111111111" style="1" customWidth="1"/>
    <col min="31" max="31" width="17.1296296296296" style="9" customWidth="1"/>
    <col min="32" max="32" width="15.8796296296296" style="9" customWidth="1"/>
    <col min="33" max="33" width="14.25" style="1" customWidth="1"/>
    <col min="34" max="16262" width="9" style="1"/>
    <col min="16263" max="16384" width="9" style="10"/>
  </cols>
  <sheetData>
    <row r="1" s="1" customFormat="1" ht="45" customHeight="1" spans="1:33">
      <c r="A1" s="11" t="s">
        <v>542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2" customFormat="1" ht="56.1" customHeight="1" spans="1:33">
      <c r="A2" s="12" t="s">
        <v>67</v>
      </c>
      <c r="B2" s="12" t="s">
        <v>445</v>
      </c>
      <c r="C2" s="13" t="s">
        <v>446</v>
      </c>
      <c r="D2" s="13" t="s">
        <v>447</v>
      </c>
      <c r="E2" s="13" t="s">
        <v>448</v>
      </c>
      <c r="F2" s="16" t="s">
        <v>449</v>
      </c>
      <c r="G2" s="14" t="s">
        <v>450</v>
      </c>
      <c r="H2" s="14" t="s">
        <v>451</v>
      </c>
      <c r="I2" s="13" t="s">
        <v>452</v>
      </c>
      <c r="J2" s="13"/>
      <c r="K2" s="13"/>
      <c r="L2" s="13"/>
      <c r="M2" s="13"/>
      <c r="N2" s="13"/>
      <c r="O2" s="13"/>
      <c r="P2" s="13"/>
      <c r="Q2" s="13"/>
      <c r="R2" s="13"/>
      <c r="S2" s="13" t="s">
        <v>453</v>
      </c>
      <c r="T2" s="13" t="s">
        <v>454</v>
      </c>
      <c r="U2" s="27" t="s">
        <v>455</v>
      </c>
      <c r="V2" s="28" t="s">
        <v>456</v>
      </c>
      <c r="W2" s="28" t="s">
        <v>457</v>
      </c>
      <c r="X2" s="36" t="s">
        <v>458</v>
      </c>
      <c r="Y2" s="37" t="s">
        <v>515</v>
      </c>
      <c r="Z2" s="38" t="s">
        <v>460</v>
      </c>
      <c r="AA2" s="13" t="s">
        <v>461</v>
      </c>
      <c r="AB2" s="13" t="s">
        <v>516</v>
      </c>
      <c r="AC2" s="13" t="s">
        <v>463</v>
      </c>
      <c r="AD2" s="13" t="s">
        <v>463</v>
      </c>
      <c r="AE2" s="13" t="s">
        <v>464</v>
      </c>
      <c r="AF2" s="36" t="s">
        <v>517</v>
      </c>
      <c r="AG2" s="36" t="s">
        <v>466</v>
      </c>
    </row>
    <row r="3" s="2" customFormat="1" ht="56.1" customHeight="1" spans="1:33">
      <c r="A3" s="12"/>
      <c r="B3" s="12"/>
      <c r="C3" s="13"/>
      <c r="D3" s="13"/>
      <c r="E3" s="13"/>
      <c r="F3" s="13"/>
      <c r="G3" s="14"/>
      <c r="H3" s="14"/>
      <c r="I3" s="13" t="s">
        <v>467</v>
      </c>
      <c r="J3" s="13" t="s">
        <v>468</v>
      </c>
      <c r="K3" s="13" t="s">
        <v>469</v>
      </c>
      <c r="L3" s="13" t="s">
        <v>470</v>
      </c>
      <c r="M3" s="13" t="s">
        <v>471</v>
      </c>
      <c r="N3" s="13" t="s">
        <v>472</v>
      </c>
      <c r="O3" s="13" t="s">
        <v>473</v>
      </c>
      <c r="P3" s="13" t="s">
        <v>474</v>
      </c>
      <c r="Q3" s="13" t="s">
        <v>475</v>
      </c>
      <c r="R3" s="13" t="s">
        <v>476</v>
      </c>
      <c r="S3" s="13"/>
      <c r="T3" s="13"/>
      <c r="U3" s="27"/>
      <c r="V3" s="27"/>
      <c r="W3" s="27" t="s">
        <v>518</v>
      </c>
      <c r="X3" s="28"/>
      <c r="Y3" s="29">
        <v>300</v>
      </c>
      <c r="Z3" s="32" t="s">
        <v>519</v>
      </c>
      <c r="AA3" s="38"/>
      <c r="AB3" s="13"/>
      <c r="AC3" s="13" t="s">
        <v>516</v>
      </c>
      <c r="AD3" s="67">
        <v>1400</v>
      </c>
      <c r="AE3" s="39"/>
      <c r="AF3" s="13"/>
      <c r="AG3" s="36"/>
    </row>
    <row r="4" s="3" customFormat="1" customHeight="1" spans="1:33">
      <c r="A4" s="17">
        <v>1</v>
      </c>
      <c r="B4" s="17" t="s">
        <v>508</v>
      </c>
      <c r="C4" s="23" t="s">
        <v>543</v>
      </c>
      <c r="D4" s="17">
        <v>26</v>
      </c>
      <c r="E4" s="19">
        <v>29</v>
      </c>
      <c r="F4" s="70">
        <v>29</v>
      </c>
      <c r="G4" s="70">
        <f>I4+K4+M4+O4+Q4</f>
        <v>29</v>
      </c>
      <c r="H4" s="71">
        <f>G4-E4</f>
        <v>0</v>
      </c>
      <c r="I4" s="17">
        <v>0</v>
      </c>
      <c r="J4" s="25">
        <v>99.23</v>
      </c>
      <c r="K4" s="17">
        <v>14</v>
      </c>
      <c r="L4" s="26">
        <v>109.23</v>
      </c>
      <c r="M4" s="25">
        <v>15</v>
      </c>
      <c r="N4" s="25">
        <v>119.23</v>
      </c>
      <c r="O4" s="25">
        <v>0</v>
      </c>
      <c r="P4" s="25">
        <v>129.23</v>
      </c>
      <c r="Q4" s="25">
        <v>0</v>
      </c>
      <c r="R4" s="25">
        <v>139.23</v>
      </c>
      <c r="S4" s="72">
        <f>(+I4*J4+K4*L4+M4*N4+O4*P4+Q4*R4)-100</f>
        <v>3217.67</v>
      </c>
      <c r="T4" s="25"/>
      <c r="U4" s="27">
        <f>+E4/D4*1490</f>
        <v>1661.92307692308</v>
      </c>
      <c r="V4" s="27">
        <v>150</v>
      </c>
      <c r="W4" s="27"/>
      <c r="X4" s="27">
        <v>200</v>
      </c>
      <c r="Y4" s="30">
        <v>300</v>
      </c>
      <c r="Z4" s="32">
        <f>8*E4</f>
        <v>232</v>
      </c>
      <c r="AA4" s="43"/>
      <c r="AB4" s="34">
        <f>20*E4</f>
        <v>580</v>
      </c>
      <c r="AC4" s="44">
        <f>+J4*20</f>
        <v>1984.6</v>
      </c>
      <c r="AD4" s="44">
        <v>50</v>
      </c>
      <c r="AE4" s="41">
        <v>0.988</v>
      </c>
      <c r="AF4" s="34">
        <f>S4*AE4+T4+U4+V4+W4+X4+Y4+Z4+AA4+AB4+AD4</f>
        <v>6352.98103692308</v>
      </c>
      <c r="AG4" s="46"/>
    </row>
    <row r="5" s="4" customFormat="1" customHeight="1" spans="1:33">
      <c r="A5" s="17">
        <v>2</v>
      </c>
      <c r="B5" s="17" t="s">
        <v>508</v>
      </c>
      <c r="C5" s="21" t="s">
        <v>544</v>
      </c>
      <c r="D5" s="17">
        <v>26</v>
      </c>
      <c r="E5" s="19">
        <v>15</v>
      </c>
      <c r="F5" s="70">
        <v>15</v>
      </c>
      <c r="G5" s="70">
        <f t="shared" ref="G5:G26" si="0">I5+K5+M5+O5+Q5</f>
        <v>15</v>
      </c>
      <c r="H5" s="70">
        <f t="shared" ref="H5:H26" si="1">G5-E5</f>
        <v>0</v>
      </c>
      <c r="I5" s="25">
        <v>0</v>
      </c>
      <c r="J5" s="25">
        <v>99.23</v>
      </c>
      <c r="K5" s="25">
        <v>2</v>
      </c>
      <c r="L5" s="26">
        <v>109.23</v>
      </c>
      <c r="M5" s="25">
        <v>3</v>
      </c>
      <c r="N5" s="25">
        <v>119.23</v>
      </c>
      <c r="O5" s="25">
        <v>4</v>
      </c>
      <c r="P5" s="25">
        <v>129.23</v>
      </c>
      <c r="Q5" s="25">
        <v>6</v>
      </c>
      <c r="R5" s="25">
        <v>139.23</v>
      </c>
      <c r="S5" s="25">
        <f>(+I5*J5+K5*L5+M5*N5+O5*P5+Q5*R5)</f>
        <v>1928.45</v>
      </c>
      <c r="T5" s="25"/>
      <c r="U5" s="27">
        <f>+E5/D5*1490</f>
        <v>859.615384615385</v>
      </c>
      <c r="V5" s="27">
        <f>150/D5*E5</f>
        <v>86.5384615384615</v>
      </c>
      <c r="W5" s="27"/>
      <c r="X5" s="27">
        <v>200</v>
      </c>
      <c r="Y5" s="30">
        <v>0</v>
      </c>
      <c r="Z5" s="32">
        <f>8*E5</f>
        <v>120</v>
      </c>
      <c r="AA5" s="43"/>
      <c r="AB5" s="34">
        <f>20*E5</f>
        <v>300</v>
      </c>
      <c r="AC5" s="44"/>
      <c r="AD5" s="44">
        <v>0</v>
      </c>
      <c r="AE5" s="41">
        <v>0.988</v>
      </c>
      <c r="AF5" s="34">
        <f>S5*AE5+T5+U5+V5+W5+X5+Y5+Z5+AA5+AB5+AD5</f>
        <v>3471.46244615385</v>
      </c>
      <c r="AG5" s="46"/>
    </row>
    <row r="6" s="4" customFormat="1" customHeight="1" spans="1:33">
      <c r="A6" s="17">
        <v>3</v>
      </c>
      <c r="B6" s="17" t="s">
        <v>508</v>
      </c>
      <c r="C6" s="21" t="s">
        <v>545</v>
      </c>
      <c r="D6" s="17">
        <v>26</v>
      </c>
      <c r="E6" s="19">
        <v>11</v>
      </c>
      <c r="F6" s="70">
        <v>11</v>
      </c>
      <c r="G6" s="70">
        <f t="shared" si="0"/>
        <v>11</v>
      </c>
      <c r="H6" s="71">
        <f t="shared" si="1"/>
        <v>0</v>
      </c>
      <c r="I6" s="25">
        <v>0</v>
      </c>
      <c r="J6" s="25">
        <v>99.23</v>
      </c>
      <c r="K6" s="25">
        <v>2</v>
      </c>
      <c r="L6" s="26">
        <v>109.23</v>
      </c>
      <c r="M6" s="25">
        <v>3</v>
      </c>
      <c r="N6" s="25">
        <v>119.23</v>
      </c>
      <c r="O6" s="25">
        <v>3</v>
      </c>
      <c r="P6" s="25">
        <v>129.23</v>
      </c>
      <c r="Q6" s="25">
        <v>3</v>
      </c>
      <c r="R6" s="25">
        <v>139.23</v>
      </c>
      <c r="S6" s="25">
        <f>(+I6*J6+K6*L6+M6*N6+O6*P6+Q6*R6)</f>
        <v>1381.53</v>
      </c>
      <c r="T6" s="25"/>
      <c r="U6" s="27">
        <f>+E6/D6*1490</f>
        <v>630.384615384615</v>
      </c>
      <c r="V6" s="27">
        <f>150/D6*E6</f>
        <v>63.4615384615385</v>
      </c>
      <c r="W6" s="27"/>
      <c r="X6" s="27">
        <v>200</v>
      </c>
      <c r="Y6" s="30">
        <v>0</v>
      </c>
      <c r="Z6" s="32">
        <f>8*E6</f>
        <v>88</v>
      </c>
      <c r="AA6" s="43"/>
      <c r="AB6" s="34">
        <f>20*E6</f>
        <v>220</v>
      </c>
      <c r="AC6" s="44"/>
      <c r="AD6" s="44">
        <v>0</v>
      </c>
      <c r="AE6" s="41">
        <v>0.988</v>
      </c>
      <c r="AF6" s="34">
        <f>S6*AE6+T6+U6+V6+W6+X6+Y6+Z6+AA6+AB6+AD6</f>
        <v>2566.79779384615</v>
      </c>
      <c r="AG6" s="46"/>
    </row>
    <row r="7" s="4" customFormat="1" customHeight="1" spans="1:33">
      <c r="A7" s="17">
        <v>4</v>
      </c>
      <c r="B7" s="17" t="s">
        <v>508</v>
      </c>
      <c r="C7" s="24" t="s">
        <v>546</v>
      </c>
      <c r="D7" s="17">
        <v>26</v>
      </c>
      <c r="E7" s="19">
        <v>25</v>
      </c>
      <c r="F7" s="69">
        <v>22</v>
      </c>
      <c r="G7" s="70">
        <f t="shared" si="0"/>
        <v>25</v>
      </c>
      <c r="H7" s="71">
        <f t="shared" si="1"/>
        <v>0</v>
      </c>
      <c r="I7" s="25">
        <v>0</v>
      </c>
      <c r="J7" s="25">
        <v>99.23</v>
      </c>
      <c r="K7" s="25">
        <v>2</v>
      </c>
      <c r="L7" s="26">
        <v>109.23</v>
      </c>
      <c r="M7" s="25">
        <v>4</v>
      </c>
      <c r="N7" s="25">
        <v>119.23</v>
      </c>
      <c r="O7" s="25">
        <v>8</v>
      </c>
      <c r="P7" s="25">
        <v>129.23</v>
      </c>
      <c r="Q7" s="25">
        <v>11</v>
      </c>
      <c r="R7" s="25">
        <v>139.23</v>
      </c>
      <c r="S7" s="72">
        <f>(+I7*J7+K7*L7+M7*N7+O7*P7+Q7*R7)-100</f>
        <v>3160.75</v>
      </c>
      <c r="T7" s="25"/>
      <c r="U7" s="27">
        <f>+E7/D7*1490</f>
        <v>1432.69230769231</v>
      </c>
      <c r="V7" s="27">
        <f>150/D7*E7</f>
        <v>144.230769230769</v>
      </c>
      <c r="W7" s="27"/>
      <c r="X7" s="27">
        <v>200</v>
      </c>
      <c r="Y7" s="30">
        <v>0</v>
      </c>
      <c r="Z7" s="32">
        <f>8*E7</f>
        <v>200</v>
      </c>
      <c r="AA7" s="43"/>
      <c r="AB7" s="34">
        <f>20*E7</f>
        <v>500</v>
      </c>
      <c r="AC7" s="44"/>
      <c r="AD7" s="44">
        <v>0</v>
      </c>
      <c r="AE7" s="41">
        <v>0.988</v>
      </c>
      <c r="AF7" s="34">
        <f>S7*AE7+T7+U7+V7+W7+X7+Y7+Z7+AA7+AB7+AD7</f>
        <v>5599.74407692308</v>
      </c>
      <c r="AG7" s="46"/>
    </row>
    <row r="8" s="4" customFormat="1" customHeight="1" spans="1:33">
      <c r="A8" s="17">
        <v>5</v>
      </c>
      <c r="B8" s="22" t="s">
        <v>547</v>
      </c>
      <c r="C8" s="21" t="s">
        <v>548</v>
      </c>
      <c r="D8" s="17">
        <v>26</v>
      </c>
      <c r="E8" s="19">
        <v>30</v>
      </c>
      <c r="F8" s="70">
        <v>30</v>
      </c>
      <c r="G8" s="70">
        <f t="shared" si="0"/>
        <v>30</v>
      </c>
      <c r="H8" s="71">
        <f t="shared" si="1"/>
        <v>0</v>
      </c>
      <c r="I8" s="25">
        <v>2</v>
      </c>
      <c r="J8" s="25">
        <v>99.23</v>
      </c>
      <c r="K8" s="25">
        <v>4</v>
      </c>
      <c r="L8" s="26">
        <v>109.23</v>
      </c>
      <c r="M8" s="25">
        <v>4</v>
      </c>
      <c r="N8" s="25">
        <v>119.23</v>
      </c>
      <c r="O8" s="25">
        <v>9</v>
      </c>
      <c r="P8" s="25">
        <v>129.23</v>
      </c>
      <c r="Q8" s="25">
        <v>11</v>
      </c>
      <c r="R8" s="25">
        <v>139.23</v>
      </c>
      <c r="S8" s="72">
        <f>(+I8*J8+K8*L8+M8*N8+O8*P8+Q8*R8)-100</f>
        <v>3706.9</v>
      </c>
      <c r="T8" s="25"/>
      <c r="U8" s="27">
        <f t="shared" ref="U8:U17" si="2">+E8/D8*1490</f>
        <v>1719.23076923077</v>
      </c>
      <c r="V8" s="27">
        <v>150</v>
      </c>
      <c r="W8" s="27"/>
      <c r="X8" s="27">
        <v>200</v>
      </c>
      <c r="Y8" s="30">
        <v>300</v>
      </c>
      <c r="Z8" s="32">
        <f t="shared" ref="Z8:Z17" si="3">8*E8</f>
        <v>240</v>
      </c>
      <c r="AA8" s="43"/>
      <c r="AB8" s="34">
        <f>20*E8</f>
        <v>600</v>
      </c>
      <c r="AC8" s="44">
        <f t="shared" ref="AC8:AC17" si="4">+J8*20</f>
        <v>1984.6</v>
      </c>
      <c r="AD8" s="44">
        <v>50</v>
      </c>
      <c r="AE8" s="41">
        <v>0.97</v>
      </c>
      <c r="AF8" s="34">
        <f>S8*AE8+T8+U8+V8+W8+X8+Y8+Z8+AA8+AB8+AD8</f>
        <v>6854.92376923077</v>
      </c>
      <c r="AG8" s="46"/>
    </row>
    <row r="9" s="4" customFormat="1" customHeight="1" spans="1:33">
      <c r="A9" s="17">
        <v>6</v>
      </c>
      <c r="B9" s="22" t="s">
        <v>549</v>
      </c>
      <c r="C9" s="21" t="s">
        <v>34</v>
      </c>
      <c r="D9" s="17">
        <v>26</v>
      </c>
      <c r="E9" s="19">
        <v>27</v>
      </c>
      <c r="F9" s="70">
        <v>27</v>
      </c>
      <c r="G9" s="70">
        <f t="shared" si="0"/>
        <v>27</v>
      </c>
      <c r="H9" s="70">
        <f t="shared" si="1"/>
        <v>0</v>
      </c>
      <c r="I9" s="25">
        <v>2</v>
      </c>
      <c r="J9" s="25">
        <v>99.23</v>
      </c>
      <c r="K9" s="25">
        <v>2</v>
      </c>
      <c r="L9" s="26">
        <v>109.23</v>
      </c>
      <c r="M9" s="25">
        <v>4</v>
      </c>
      <c r="N9" s="25">
        <v>119.23</v>
      </c>
      <c r="O9" s="25">
        <v>9</v>
      </c>
      <c r="P9" s="25">
        <v>129.23</v>
      </c>
      <c r="Q9" s="25">
        <v>10</v>
      </c>
      <c r="R9" s="25">
        <v>139.23</v>
      </c>
      <c r="S9" s="72">
        <f t="shared" ref="S9:S24" si="5">+(I9*J9+K9*L9+M9*N9+O9*P9+Q9*R9)-100</f>
        <v>3349.21</v>
      </c>
      <c r="T9" s="25"/>
      <c r="U9" s="27">
        <f t="shared" si="2"/>
        <v>1547.30769230769</v>
      </c>
      <c r="V9" s="27">
        <v>150</v>
      </c>
      <c r="W9" s="27"/>
      <c r="X9" s="27">
        <v>200</v>
      </c>
      <c r="Y9" s="30">
        <v>300</v>
      </c>
      <c r="Z9" s="32">
        <f t="shared" si="3"/>
        <v>216</v>
      </c>
      <c r="AA9" s="43"/>
      <c r="AB9" s="34">
        <f t="shared" ref="AB9:AB18" si="6">20*E9</f>
        <v>540</v>
      </c>
      <c r="AC9" s="44">
        <f t="shared" si="4"/>
        <v>1984.6</v>
      </c>
      <c r="AD9" s="44">
        <v>50</v>
      </c>
      <c r="AE9" s="41">
        <v>0.956</v>
      </c>
      <c r="AF9" s="46">
        <f>T9*AE9+U9+V9+W9+X9+Y9+Z9+AA9+AB9+AD9+S9</f>
        <v>6352.51769230769</v>
      </c>
      <c r="AG9" s="26"/>
    </row>
    <row r="10" s="3" customFormat="1" ht="26" customHeight="1" spans="1:33">
      <c r="A10" s="17">
        <v>7</v>
      </c>
      <c r="B10" s="22" t="s">
        <v>538</v>
      </c>
      <c r="C10" s="23" t="s">
        <v>7</v>
      </c>
      <c r="D10" s="17">
        <v>26</v>
      </c>
      <c r="E10" s="19">
        <v>28.8</v>
      </c>
      <c r="F10" s="70">
        <v>28.8</v>
      </c>
      <c r="G10" s="70">
        <f t="shared" si="0"/>
        <v>4</v>
      </c>
      <c r="H10" s="70">
        <f t="shared" si="1"/>
        <v>-24.8</v>
      </c>
      <c r="I10" s="17">
        <v>1</v>
      </c>
      <c r="J10" s="25">
        <v>99.23</v>
      </c>
      <c r="K10" s="17">
        <v>2</v>
      </c>
      <c r="L10" s="26">
        <v>109.23</v>
      </c>
      <c r="M10" s="25">
        <v>1</v>
      </c>
      <c r="N10" s="25">
        <v>119.23</v>
      </c>
      <c r="O10" s="25">
        <v>0</v>
      </c>
      <c r="P10" s="25">
        <v>129.23</v>
      </c>
      <c r="Q10" s="25">
        <v>0</v>
      </c>
      <c r="R10" s="25">
        <v>139.23</v>
      </c>
      <c r="S10" s="72">
        <f t="shared" si="5"/>
        <v>336.92</v>
      </c>
      <c r="T10" s="25">
        <f>修补数量统计!FK6</f>
        <v>2496.53</v>
      </c>
      <c r="U10" s="27">
        <f t="shared" si="2"/>
        <v>1650.46153846154</v>
      </c>
      <c r="V10" s="27">
        <v>150</v>
      </c>
      <c r="W10" s="27"/>
      <c r="X10" s="27">
        <v>200</v>
      </c>
      <c r="Y10" s="30">
        <v>0</v>
      </c>
      <c r="Z10" s="32">
        <f t="shared" si="3"/>
        <v>230.4</v>
      </c>
      <c r="AA10" s="43"/>
      <c r="AB10" s="34">
        <f t="shared" si="6"/>
        <v>576</v>
      </c>
      <c r="AC10" s="44">
        <f t="shared" si="4"/>
        <v>1984.6</v>
      </c>
      <c r="AD10" s="44">
        <v>50</v>
      </c>
      <c r="AE10" s="41">
        <v>0.9829</v>
      </c>
      <c r="AF10" s="46">
        <f t="shared" ref="AF10:AF16" si="7">T10*AE10+U10+V10+W10+X10+Y10+Z10+AA10+AB10+AD10+S10</f>
        <v>5647.62087546154</v>
      </c>
      <c r="AG10" s="47"/>
    </row>
    <row r="11" s="3" customFormat="1" customHeight="1" spans="1:33">
      <c r="A11" s="17">
        <v>8</v>
      </c>
      <c r="B11" s="22" t="s">
        <v>538</v>
      </c>
      <c r="C11" s="23" t="s">
        <v>28</v>
      </c>
      <c r="D11" s="17">
        <v>26</v>
      </c>
      <c r="E11" s="19">
        <v>28.2</v>
      </c>
      <c r="F11" s="70">
        <v>28.25</v>
      </c>
      <c r="G11" s="70">
        <f t="shared" si="0"/>
        <v>6</v>
      </c>
      <c r="H11" s="70">
        <f t="shared" si="1"/>
        <v>-22.2</v>
      </c>
      <c r="I11" s="25">
        <v>1</v>
      </c>
      <c r="J11" s="25">
        <v>99.23</v>
      </c>
      <c r="K11" s="25">
        <v>1</v>
      </c>
      <c r="L11" s="26">
        <v>109.23</v>
      </c>
      <c r="M11" s="25">
        <v>1</v>
      </c>
      <c r="N11" s="25">
        <v>119.23</v>
      </c>
      <c r="O11" s="25">
        <v>3</v>
      </c>
      <c r="P11" s="25">
        <v>129.23</v>
      </c>
      <c r="Q11" s="25">
        <v>0</v>
      </c>
      <c r="R11" s="25">
        <v>139.23</v>
      </c>
      <c r="S11" s="72">
        <f t="shared" si="5"/>
        <v>615.38</v>
      </c>
      <c r="T11" s="25">
        <f>修补数量统计!FK37</f>
        <v>2559.804</v>
      </c>
      <c r="U11" s="27">
        <f t="shared" si="2"/>
        <v>1616.07692307692</v>
      </c>
      <c r="V11" s="27">
        <v>150</v>
      </c>
      <c r="W11" s="27"/>
      <c r="X11" s="27">
        <v>200</v>
      </c>
      <c r="Y11" s="30">
        <v>0</v>
      </c>
      <c r="Z11" s="32">
        <f t="shared" si="3"/>
        <v>225.6</v>
      </c>
      <c r="AA11" s="43"/>
      <c r="AB11" s="34">
        <f t="shared" si="6"/>
        <v>564</v>
      </c>
      <c r="AC11" s="44">
        <f t="shared" si="4"/>
        <v>1984.6</v>
      </c>
      <c r="AD11" s="44">
        <v>100</v>
      </c>
      <c r="AE11" s="41">
        <v>0.9747</v>
      </c>
      <c r="AF11" s="46">
        <f t="shared" si="7"/>
        <v>5966.09788187692</v>
      </c>
      <c r="AG11" s="47"/>
    </row>
    <row r="12" s="3" customFormat="1" customHeight="1" spans="1:33">
      <c r="A12" s="17">
        <v>9</v>
      </c>
      <c r="B12" s="22" t="s">
        <v>538</v>
      </c>
      <c r="C12" s="23" t="s">
        <v>27</v>
      </c>
      <c r="D12" s="17">
        <v>26</v>
      </c>
      <c r="E12" s="19">
        <v>28</v>
      </c>
      <c r="F12" s="70">
        <v>28.25</v>
      </c>
      <c r="G12" s="70">
        <f t="shared" si="0"/>
        <v>3</v>
      </c>
      <c r="H12" s="70">
        <f t="shared" si="1"/>
        <v>-25</v>
      </c>
      <c r="I12" s="25">
        <v>1</v>
      </c>
      <c r="J12" s="25">
        <v>99.23</v>
      </c>
      <c r="K12" s="25">
        <v>1</v>
      </c>
      <c r="L12" s="26">
        <v>109.23</v>
      </c>
      <c r="M12" s="25">
        <v>0</v>
      </c>
      <c r="N12" s="25">
        <v>119.23</v>
      </c>
      <c r="O12" s="25">
        <v>1</v>
      </c>
      <c r="P12" s="25">
        <v>129.23</v>
      </c>
      <c r="Q12" s="25">
        <v>0</v>
      </c>
      <c r="R12" s="25">
        <v>139.23</v>
      </c>
      <c r="S12" s="72">
        <f t="shared" si="5"/>
        <v>237.69</v>
      </c>
      <c r="T12" s="25">
        <f>修补数量统计!FK26</f>
        <v>3318.87</v>
      </c>
      <c r="U12" s="27">
        <f t="shared" si="2"/>
        <v>1604.61538461538</v>
      </c>
      <c r="V12" s="27">
        <v>150</v>
      </c>
      <c r="W12" s="27"/>
      <c r="X12" s="27">
        <v>200</v>
      </c>
      <c r="Y12" s="30">
        <v>0</v>
      </c>
      <c r="Z12" s="32">
        <f t="shared" si="3"/>
        <v>224</v>
      </c>
      <c r="AA12" s="43"/>
      <c r="AB12" s="34">
        <f t="shared" si="6"/>
        <v>560</v>
      </c>
      <c r="AC12" s="44">
        <f t="shared" si="4"/>
        <v>1984.6</v>
      </c>
      <c r="AD12" s="44">
        <v>100</v>
      </c>
      <c r="AE12" s="41">
        <v>0.9757</v>
      </c>
      <c r="AF12" s="46">
        <f t="shared" si="7"/>
        <v>6314.52684361538</v>
      </c>
      <c r="AG12" s="47"/>
    </row>
    <row r="13" s="3" customFormat="1" customHeight="1" spans="1:33">
      <c r="A13" s="17">
        <v>10</v>
      </c>
      <c r="B13" s="22" t="s">
        <v>538</v>
      </c>
      <c r="C13" s="23" t="s">
        <v>35</v>
      </c>
      <c r="D13" s="17">
        <v>26</v>
      </c>
      <c r="E13" s="19">
        <v>29</v>
      </c>
      <c r="F13" s="70">
        <v>29</v>
      </c>
      <c r="G13" s="70">
        <f t="shared" si="0"/>
        <v>13</v>
      </c>
      <c r="H13" s="71">
        <f t="shared" si="1"/>
        <v>-16</v>
      </c>
      <c r="I13" s="25">
        <v>0</v>
      </c>
      <c r="J13" s="25">
        <v>99.23</v>
      </c>
      <c r="K13" s="25">
        <v>1</v>
      </c>
      <c r="L13" s="26">
        <v>109.23</v>
      </c>
      <c r="M13" s="25">
        <v>5</v>
      </c>
      <c r="N13" s="25">
        <v>119.23</v>
      </c>
      <c r="O13" s="25">
        <v>5</v>
      </c>
      <c r="P13" s="25">
        <v>129.23</v>
      </c>
      <c r="Q13" s="25">
        <v>2</v>
      </c>
      <c r="R13" s="25">
        <v>139.23</v>
      </c>
      <c r="S13" s="72">
        <f t="shared" si="5"/>
        <v>1529.99</v>
      </c>
      <c r="T13" s="71">
        <f>修补数量统计!FK107+1150</f>
        <v>3584.841</v>
      </c>
      <c r="U13" s="27">
        <f t="shared" si="2"/>
        <v>1661.92307692308</v>
      </c>
      <c r="V13" s="27">
        <v>150</v>
      </c>
      <c r="W13" s="27"/>
      <c r="X13" s="27">
        <v>200</v>
      </c>
      <c r="Y13" s="30">
        <v>0</v>
      </c>
      <c r="Z13" s="32">
        <f t="shared" si="3"/>
        <v>232</v>
      </c>
      <c r="AA13" s="43"/>
      <c r="AB13" s="34">
        <f t="shared" si="6"/>
        <v>580</v>
      </c>
      <c r="AC13" s="44">
        <f t="shared" si="4"/>
        <v>1984.6</v>
      </c>
      <c r="AD13" s="44">
        <v>100</v>
      </c>
      <c r="AE13" s="41">
        <v>0.989</v>
      </c>
      <c r="AF13" s="46">
        <f t="shared" si="7"/>
        <v>7999.32082592308</v>
      </c>
      <c r="AG13" s="47"/>
    </row>
    <row r="14" s="3" customFormat="1" customHeight="1" spans="1:33">
      <c r="A14" s="17">
        <v>11</v>
      </c>
      <c r="B14" s="22" t="s">
        <v>538</v>
      </c>
      <c r="C14" s="23" t="s">
        <v>29</v>
      </c>
      <c r="D14" s="17">
        <v>26</v>
      </c>
      <c r="E14" s="19">
        <v>30</v>
      </c>
      <c r="F14" s="70">
        <v>30</v>
      </c>
      <c r="G14" s="70">
        <f t="shared" si="0"/>
        <v>3</v>
      </c>
      <c r="H14" s="70">
        <f t="shared" si="1"/>
        <v>-27</v>
      </c>
      <c r="I14" s="25">
        <v>2</v>
      </c>
      <c r="J14" s="25">
        <v>99.23</v>
      </c>
      <c r="K14" s="25">
        <v>0</v>
      </c>
      <c r="L14" s="26">
        <v>109.23</v>
      </c>
      <c r="M14" s="25">
        <v>0</v>
      </c>
      <c r="N14" s="25">
        <v>119.23</v>
      </c>
      <c r="O14" s="25">
        <v>1</v>
      </c>
      <c r="P14" s="25">
        <v>129.23</v>
      </c>
      <c r="Q14" s="25">
        <v>0</v>
      </c>
      <c r="R14" s="25">
        <v>139.23</v>
      </c>
      <c r="S14" s="72">
        <f t="shared" si="5"/>
        <v>227.69</v>
      </c>
      <c r="T14" s="25">
        <f>修补数量统计!FK47</f>
        <v>3507</v>
      </c>
      <c r="U14" s="27">
        <f t="shared" si="2"/>
        <v>1719.23076923077</v>
      </c>
      <c r="V14" s="27">
        <v>150</v>
      </c>
      <c r="W14" s="27"/>
      <c r="X14" s="27">
        <v>200</v>
      </c>
      <c r="Y14" s="30">
        <v>300</v>
      </c>
      <c r="Z14" s="32">
        <f t="shared" si="3"/>
        <v>240</v>
      </c>
      <c r="AA14" s="43"/>
      <c r="AB14" s="34">
        <f t="shared" si="6"/>
        <v>600</v>
      </c>
      <c r="AC14" s="44">
        <f t="shared" si="4"/>
        <v>1984.6</v>
      </c>
      <c r="AD14" s="44">
        <v>50</v>
      </c>
      <c r="AE14" s="41">
        <v>0.8625</v>
      </c>
      <c r="AF14" s="46">
        <f t="shared" si="7"/>
        <v>6511.70826923077</v>
      </c>
      <c r="AG14" s="47"/>
    </row>
    <row r="15" s="3" customFormat="1" customHeight="1" spans="1:33">
      <c r="A15" s="17">
        <v>12</v>
      </c>
      <c r="B15" s="22" t="s">
        <v>538</v>
      </c>
      <c r="C15" s="23" t="s">
        <v>30</v>
      </c>
      <c r="D15" s="17">
        <v>26</v>
      </c>
      <c r="E15" s="19">
        <v>29.8</v>
      </c>
      <c r="F15" s="70">
        <v>29.75</v>
      </c>
      <c r="G15" s="70">
        <f t="shared" si="0"/>
        <v>3</v>
      </c>
      <c r="H15" s="70">
        <f t="shared" si="1"/>
        <v>-26.8</v>
      </c>
      <c r="I15" s="25">
        <v>1</v>
      </c>
      <c r="J15" s="25">
        <v>99.23</v>
      </c>
      <c r="K15" s="25">
        <v>0</v>
      </c>
      <c r="L15" s="26">
        <v>109.23</v>
      </c>
      <c r="M15" s="25">
        <v>0</v>
      </c>
      <c r="N15" s="25">
        <v>119.23</v>
      </c>
      <c r="O15" s="25">
        <v>2</v>
      </c>
      <c r="P15" s="25">
        <v>129.23</v>
      </c>
      <c r="Q15" s="25">
        <v>0</v>
      </c>
      <c r="R15" s="25">
        <v>139.23</v>
      </c>
      <c r="S15" s="72">
        <f t="shared" si="5"/>
        <v>257.69</v>
      </c>
      <c r="T15" s="25">
        <f>修补数量统计!FK57</f>
        <v>3681.203</v>
      </c>
      <c r="U15" s="27">
        <f t="shared" si="2"/>
        <v>1707.76923076923</v>
      </c>
      <c r="V15" s="27">
        <v>150</v>
      </c>
      <c r="W15" s="27"/>
      <c r="X15" s="27">
        <v>200</v>
      </c>
      <c r="Y15" s="30">
        <v>300</v>
      </c>
      <c r="Z15" s="32">
        <f t="shared" si="3"/>
        <v>238.4</v>
      </c>
      <c r="AA15" s="43"/>
      <c r="AB15" s="34">
        <f t="shared" si="6"/>
        <v>596</v>
      </c>
      <c r="AC15" s="44">
        <f t="shared" si="4"/>
        <v>1984.6</v>
      </c>
      <c r="AD15" s="44">
        <v>100</v>
      </c>
      <c r="AE15" s="41">
        <v>0.9236</v>
      </c>
      <c r="AF15" s="46">
        <f t="shared" si="7"/>
        <v>6949.81832156923</v>
      </c>
      <c r="AG15" s="47"/>
    </row>
    <row r="16" s="4" customFormat="1" ht="28" customHeight="1" spans="1:33">
      <c r="A16" s="17">
        <v>13</v>
      </c>
      <c r="B16" s="22" t="s">
        <v>538</v>
      </c>
      <c r="C16" s="23" t="s">
        <v>33</v>
      </c>
      <c r="D16" s="17">
        <v>26</v>
      </c>
      <c r="E16" s="19">
        <v>30</v>
      </c>
      <c r="F16" s="70">
        <v>29</v>
      </c>
      <c r="G16" s="70">
        <f t="shared" si="0"/>
        <v>2</v>
      </c>
      <c r="H16" s="70">
        <f t="shared" si="1"/>
        <v>-28</v>
      </c>
      <c r="I16" s="25">
        <v>1</v>
      </c>
      <c r="J16" s="25">
        <v>99.23</v>
      </c>
      <c r="K16" s="25">
        <v>0</v>
      </c>
      <c r="L16" s="26">
        <v>109.23</v>
      </c>
      <c r="M16" s="25">
        <v>0</v>
      </c>
      <c r="N16" s="25">
        <v>119.23</v>
      </c>
      <c r="O16" s="25">
        <v>1</v>
      </c>
      <c r="P16" s="25">
        <v>129.23</v>
      </c>
      <c r="Q16" s="25">
        <v>0</v>
      </c>
      <c r="R16" s="25">
        <v>139.23</v>
      </c>
      <c r="S16" s="72">
        <f t="shared" si="5"/>
        <v>128.46</v>
      </c>
      <c r="T16" s="25">
        <f>修补数量统计!FK87</f>
        <v>3126.564</v>
      </c>
      <c r="U16" s="27">
        <f t="shared" si="2"/>
        <v>1719.23076923077</v>
      </c>
      <c r="V16" s="27">
        <v>150</v>
      </c>
      <c r="W16" s="27"/>
      <c r="X16" s="27">
        <v>200</v>
      </c>
      <c r="Y16" s="30">
        <v>200</v>
      </c>
      <c r="Z16" s="32">
        <f t="shared" si="3"/>
        <v>240</v>
      </c>
      <c r="AA16" s="43"/>
      <c r="AB16" s="34">
        <f t="shared" si="6"/>
        <v>600</v>
      </c>
      <c r="AC16" s="44">
        <f t="shared" si="4"/>
        <v>1984.6</v>
      </c>
      <c r="AD16" s="44">
        <v>100</v>
      </c>
      <c r="AE16" s="41">
        <v>0.983</v>
      </c>
      <c r="AF16" s="46">
        <f t="shared" si="7"/>
        <v>6411.10318123077</v>
      </c>
      <c r="AG16" s="26"/>
    </row>
    <row r="17" s="3" customFormat="1" ht="26" customHeight="1" spans="1:33">
      <c r="A17" s="17">
        <v>14</v>
      </c>
      <c r="B17" s="22" t="s">
        <v>538</v>
      </c>
      <c r="C17" s="23" t="s">
        <v>31</v>
      </c>
      <c r="D17" s="17">
        <v>26</v>
      </c>
      <c r="E17" s="19">
        <v>30</v>
      </c>
      <c r="F17" s="70">
        <v>30</v>
      </c>
      <c r="G17" s="70">
        <f t="shared" si="0"/>
        <v>3</v>
      </c>
      <c r="H17" s="70">
        <f t="shared" si="1"/>
        <v>-27</v>
      </c>
      <c r="I17" s="25">
        <v>1</v>
      </c>
      <c r="J17" s="25">
        <v>99.23</v>
      </c>
      <c r="K17" s="25">
        <v>0</v>
      </c>
      <c r="L17" s="26">
        <v>109.23</v>
      </c>
      <c r="M17" s="25">
        <v>0</v>
      </c>
      <c r="N17" s="25">
        <v>119.23</v>
      </c>
      <c r="O17" s="25">
        <v>2</v>
      </c>
      <c r="P17" s="25">
        <v>129.23</v>
      </c>
      <c r="Q17" s="25">
        <v>0</v>
      </c>
      <c r="R17" s="25">
        <v>139.23</v>
      </c>
      <c r="S17" s="72">
        <f t="shared" si="5"/>
        <v>257.69</v>
      </c>
      <c r="T17" s="25">
        <f>修补数量统计!FK67</f>
        <v>3691.468</v>
      </c>
      <c r="U17" s="27">
        <f t="shared" si="2"/>
        <v>1719.23076923077</v>
      </c>
      <c r="V17" s="27">
        <v>150</v>
      </c>
      <c r="W17" s="27"/>
      <c r="X17" s="27">
        <v>200</v>
      </c>
      <c r="Y17" s="30">
        <v>300</v>
      </c>
      <c r="Z17" s="32">
        <f t="shared" si="3"/>
        <v>240</v>
      </c>
      <c r="AA17" s="43"/>
      <c r="AB17" s="34">
        <f t="shared" si="6"/>
        <v>600</v>
      </c>
      <c r="AC17" s="44">
        <f t="shared" si="4"/>
        <v>1984.6</v>
      </c>
      <c r="AD17" s="44">
        <v>100</v>
      </c>
      <c r="AE17" s="41">
        <v>0.961</v>
      </c>
      <c r="AF17" s="34">
        <f>S17*AE17+T17+U17+V17+W17+X17+Y17+Z17+AA17+AB17+AD17</f>
        <v>7248.33885923077</v>
      </c>
      <c r="AG17" s="46"/>
    </row>
    <row r="18" s="1" customFormat="1" ht="26" customHeight="1" spans="1:33">
      <c r="A18" s="17">
        <v>15</v>
      </c>
      <c r="B18" s="22" t="s">
        <v>534</v>
      </c>
      <c r="C18" s="21" t="s">
        <v>550</v>
      </c>
      <c r="D18" s="17">
        <v>26</v>
      </c>
      <c r="E18" s="19">
        <v>29</v>
      </c>
      <c r="F18" s="70">
        <v>29</v>
      </c>
      <c r="G18" s="70">
        <f t="shared" si="0"/>
        <v>29</v>
      </c>
      <c r="H18" s="71">
        <f t="shared" si="1"/>
        <v>0</v>
      </c>
      <c r="I18" s="25">
        <v>2</v>
      </c>
      <c r="J18" s="25">
        <v>99.23</v>
      </c>
      <c r="K18" s="25">
        <v>3</v>
      </c>
      <c r="L18" s="26">
        <v>109.23</v>
      </c>
      <c r="M18" s="25">
        <v>4</v>
      </c>
      <c r="N18" s="25">
        <v>119.23</v>
      </c>
      <c r="O18" s="25">
        <v>9</v>
      </c>
      <c r="P18" s="25">
        <v>129.23</v>
      </c>
      <c r="Q18" s="25">
        <v>11</v>
      </c>
      <c r="R18" s="25">
        <v>139.23</v>
      </c>
      <c r="S18" s="72">
        <f t="shared" si="5"/>
        <v>3597.67</v>
      </c>
      <c r="T18" s="25"/>
      <c r="U18" s="27">
        <f t="shared" ref="U18:U27" si="8">+E18/D18*1490</f>
        <v>1661.92307692308</v>
      </c>
      <c r="V18" s="27">
        <v>150</v>
      </c>
      <c r="W18" s="27"/>
      <c r="X18" s="27">
        <v>200</v>
      </c>
      <c r="Y18" s="42">
        <v>300</v>
      </c>
      <c r="Z18" s="32">
        <f t="shared" ref="Z18:Z27" si="9">8*E18</f>
        <v>232</v>
      </c>
      <c r="AA18" s="43"/>
      <c r="AB18" s="34">
        <f>E18*20</f>
        <v>580</v>
      </c>
      <c r="AC18" s="44">
        <f t="shared" ref="AC18:AC28" si="10">+J18*20</f>
        <v>1984.6</v>
      </c>
      <c r="AD18" s="44">
        <v>100</v>
      </c>
      <c r="AE18" s="41">
        <v>0.988</v>
      </c>
      <c r="AF18" s="34">
        <f t="shared" ref="AF18:AF27" si="11">S18*AE18+T18+U18+V18+W18+X18+Y18+Z18+AA18+AB18+AD18</f>
        <v>6778.42103692308</v>
      </c>
      <c r="AG18" s="46"/>
    </row>
    <row r="19" s="3" customFormat="1" customHeight="1" spans="1:33">
      <c r="A19" s="17">
        <v>16</v>
      </c>
      <c r="B19" s="17" t="s">
        <v>534</v>
      </c>
      <c r="C19" s="21" t="s">
        <v>551</v>
      </c>
      <c r="D19" s="17">
        <v>26</v>
      </c>
      <c r="E19" s="19">
        <v>26</v>
      </c>
      <c r="F19" s="70">
        <v>26</v>
      </c>
      <c r="G19" s="70">
        <f t="shared" si="0"/>
        <v>26</v>
      </c>
      <c r="H19" s="70">
        <f t="shared" si="1"/>
        <v>0</v>
      </c>
      <c r="I19" s="25">
        <v>2</v>
      </c>
      <c r="J19" s="25">
        <v>99.23</v>
      </c>
      <c r="K19" s="25">
        <v>2</v>
      </c>
      <c r="L19" s="26">
        <v>109.23</v>
      </c>
      <c r="M19" s="25">
        <v>4</v>
      </c>
      <c r="N19" s="25">
        <v>119.23</v>
      </c>
      <c r="O19" s="25">
        <v>8</v>
      </c>
      <c r="P19" s="25">
        <v>129.23</v>
      </c>
      <c r="Q19" s="25">
        <v>10</v>
      </c>
      <c r="R19" s="25">
        <v>139.23</v>
      </c>
      <c r="S19" s="72">
        <f t="shared" si="5"/>
        <v>3219.98</v>
      </c>
      <c r="T19" s="25"/>
      <c r="U19" s="27">
        <f t="shared" si="8"/>
        <v>1490</v>
      </c>
      <c r="V19" s="27">
        <f>150/D19*E19</f>
        <v>150</v>
      </c>
      <c r="W19" s="27"/>
      <c r="X19" s="27">
        <v>500</v>
      </c>
      <c r="Y19" s="42">
        <v>0</v>
      </c>
      <c r="Z19" s="32">
        <f t="shared" si="9"/>
        <v>208</v>
      </c>
      <c r="AA19" s="43"/>
      <c r="AB19" s="34">
        <f>E19*20</f>
        <v>520</v>
      </c>
      <c r="AC19" s="44">
        <f t="shared" si="10"/>
        <v>1984.6</v>
      </c>
      <c r="AD19" s="44">
        <v>50</v>
      </c>
      <c r="AE19" s="41">
        <v>0.988</v>
      </c>
      <c r="AF19" s="34">
        <f t="shared" si="11"/>
        <v>6099.34024</v>
      </c>
      <c r="AG19" s="46"/>
    </row>
    <row r="20" s="3" customFormat="1" customHeight="1" spans="1:33">
      <c r="A20" s="17">
        <v>17</v>
      </c>
      <c r="B20" s="17" t="s">
        <v>493</v>
      </c>
      <c r="C20" s="21" t="s">
        <v>552</v>
      </c>
      <c r="D20" s="17">
        <v>26</v>
      </c>
      <c r="E20" s="19">
        <v>27</v>
      </c>
      <c r="F20" s="70">
        <v>27</v>
      </c>
      <c r="G20" s="70">
        <f t="shared" si="0"/>
        <v>27</v>
      </c>
      <c r="H20" s="71">
        <f t="shared" si="1"/>
        <v>0</v>
      </c>
      <c r="I20" s="25">
        <v>1</v>
      </c>
      <c r="J20" s="25">
        <v>99.23</v>
      </c>
      <c r="K20" s="25">
        <v>2</v>
      </c>
      <c r="L20" s="26">
        <v>109.23</v>
      </c>
      <c r="M20" s="25">
        <v>4</v>
      </c>
      <c r="N20" s="25">
        <v>119.23</v>
      </c>
      <c r="O20" s="25">
        <v>9</v>
      </c>
      <c r="P20" s="25">
        <v>129.23</v>
      </c>
      <c r="Q20" s="25">
        <v>11</v>
      </c>
      <c r="R20" s="25">
        <v>139.23</v>
      </c>
      <c r="S20" s="72">
        <f t="shared" si="5"/>
        <v>3389.21</v>
      </c>
      <c r="T20" s="25"/>
      <c r="U20" s="27">
        <f t="shared" si="8"/>
        <v>1547.30769230769</v>
      </c>
      <c r="V20" s="27">
        <v>150</v>
      </c>
      <c r="W20" s="27"/>
      <c r="X20" s="27">
        <v>800</v>
      </c>
      <c r="Y20" s="42">
        <v>300</v>
      </c>
      <c r="Z20" s="32">
        <f t="shared" si="9"/>
        <v>216</v>
      </c>
      <c r="AA20" s="43"/>
      <c r="AB20" s="34">
        <f>E20*20</f>
        <v>540</v>
      </c>
      <c r="AC20" s="44">
        <f t="shared" si="10"/>
        <v>1984.6</v>
      </c>
      <c r="AD20" s="44">
        <v>150</v>
      </c>
      <c r="AE20" s="41">
        <v>0.99</v>
      </c>
      <c r="AF20" s="34">
        <f t="shared" si="11"/>
        <v>7058.62559230769</v>
      </c>
      <c r="AG20" s="46"/>
    </row>
    <row r="21" s="3" customFormat="1" customHeight="1" spans="1:33">
      <c r="A21" s="17">
        <v>18</v>
      </c>
      <c r="B21" s="17" t="s">
        <v>493</v>
      </c>
      <c r="C21" s="21" t="s">
        <v>553</v>
      </c>
      <c r="D21" s="17">
        <v>26</v>
      </c>
      <c r="E21" s="19">
        <v>29</v>
      </c>
      <c r="F21" s="70">
        <v>29</v>
      </c>
      <c r="G21" s="70">
        <f t="shared" si="0"/>
        <v>29</v>
      </c>
      <c r="H21" s="71">
        <f t="shared" si="1"/>
        <v>0</v>
      </c>
      <c r="I21" s="25">
        <v>2</v>
      </c>
      <c r="J21" s="25">
        <v>99.23</v>
      </c>
      <c r="K21" s="25">
        <v>3</v>
      </c>
      <c r="L21" s="26">
        <v>109.23</v>
      </c>
      <c r="M21" s="25">
        <v>4</v>
      </c>
      <c r="N21" s="25">
        <v>119.23</v>
      </c>
      <c r="O21" s="25">
        <v>9</v>
      </c>
      <c r="P21" s="25">
        <v>129.23</v>
      </c>
      <c r="Q21" s="25">
        <v>11</v>
      </c>
      <c r="R21" s="25">
        <v>139.23</v>
      </c>
      <c r="S21" s="72">
        <f t="shared" si="5"/>
        <v>3597.67</v>
      </c>
      <c r="T21" s="25"/>
      <c r="U21" s="27">
        <f t="shared" si="8"/>
        <v>1661.92307692308</v>
      </c>
      <c r="V21" s="27">
        <v>150</v>
      </c>
      <c r="W21" s="27"/>
      <c r="X21" s="27">
        <v>800</v>
      </c>
      <c r="Y21" s="30">
        <v>300</v>
      </c>
      <c r="Z21" s="32">
        <f t="shared" si="9"/>
        <v>232</v>
      </c>
      <c r="AA21" s="43"/>
      <c r="AB21" s="34">
        <f>20*E21</f>
        <v>580</v>
      </c>
      <c r="AC21" s="44">
        <f t="shared" si="10"/>
        <v>1984.6</v>
      </c>
      <c r="AD21" s="44">
        <v>150</v>
      </c>
      <c r="AE21" s="41">
        <v>0.988</v>
      </c>
      <c r="AF21" s="34">
        <f t="shared" si="11"/>
        <v>7428.42103692308</v>
      </c>
      <c r="AG21" s="46"/>
    </row>
    <row r="22" s="3" customFormat="1" customHeight="1" spans="1:33">
      <c r="A22" s="17">
        <v>19</v>
      </c>
      <c r="B22" s="17" t="s">
        <v>493</v>
      </c>
      <c r="C22" s="21" t="s">
        <v>554</v>
      </c>
      <c r="D22" s="17">
        <v>26</v>
      </c>
      <c r="E22" s="19">
        <v>1.5</v>
      </c>
      <c r="F22" s="70">
        <v>1.5</v>
      </c>
      <c r="G22" s="70">
        <f t="shared" si="0"/>
        <v>1.5</v>
      </c>
      <c r="H22" s="71">
        <f t="shared" si="1"/>
        <v>0</v>
      </c>
      <c r="I22" s="25">
        <v>0</v>
      </c>
      <c r="J22" s="25">
        <v>99.23</v>
      </c>
      <c r="K22" s="25">
        <v>0</v>
      </c>
      <c r="L22" s="26">
        <v>109.23</v>
      </c>
      <c r="M22" s="25">
        <v>0</v>
      </c>
      <c r="N22" s="25">
        <v>119.23</v>
      </c>
      <c r="O22" s="25">
        <v>1.5</v>
      </c>
      <c r="P22" s="25">
        <v>129.23</v>
      </c>
      <c r="Q22" s="25">
        <v>0</v>
      </c>
      <c r="R22" s="25">
        <v>139.23</v>
      </c>
      <c r="S22" s="73">
        <f t="shared" si="5"/>
        <v>93.845</v>
      </c>
      <c r="T22" s="25"/>
      <c r="U22" s="27">
        <f t="shared" si="8"/>
        <v>85.9615384615385</v>
      </c>
      <c r="V22" s="27">
        <v>150</v>
      </c>
      <c r="W22" s="27"/>
      <c r="X22" s="27"/>
      <c r="Y22" s="30">
        <v>0</v>
      </c>
      <c r="Z22" s="32">
        <f t="shared" si="9"/>
        <v>12</v>
      </c>
      <c r="AA22" s="43"/>
      <c r="AB22" s="34">
        <f>20*E22</f>
        <v>30</v>
      </c>
      <c r="AC22" s="44">
        <f t="shared" si="10"/>
        <v>1984.6</v>
      </c>
      <c r="AD22" s="44">
        <v>0</v>
      </c>
      <c r="AE22" s="41">
        <v>0.988</v>
      </c>
      <c r="AF22" s="34">
        <f t="shared" si="11"/>
        <v>370.680398461538</v>
      </c>
      <c r="AG22" s="46"/>
    </row>
    <row r="23" s="3" customFormat="1" customHeight="1" spans="1:33">
      <c r="A23" s="17">
        <v>20</v>
      </c>
      <c r="B23" s="17" t="s">
        <v>493</v>
      </c>
      <c r="C23" s="49" t="s">
        <v>555</v>
      </c>
      <c r="D23" s="17">
        <v>26</v>
      </c>
      <c r="E23" s="19">
        <v>15</v>
      </c>
      <c r="F23" s="70">
        <v>15</v>
      </c>
      <c r="G23" s="70">
        <f t="shared" si="0"/>
        <v>15</v>
      </c>
      <c r="H23" s="70">
        <f t="shared" si="1"/>
        <v>0</v>
      </c>
      <c r="I23" s="25">
        <v>2</v>
      </c>
      <c r="J23" s="25">
        <v>99.23</v>
      </c>
      <c r="K23" s="25">
        <v>0</v>
      </c>
      <c r="L23" s="26">
        <v>109.23</v>
      </c>
      <c r="M23" s="25">
        <v>2</v>
      </c>
      <c r="N23" s="25">
        <v>119.23</v>
      </c>
      <c r="O23" s="25">
        <v>5</v>
      </c>
      <c r="P23" s="25">
        <v>129.23</v>
      </c>
      <c r="Q23" s="25">
        <v>6</v>
      </c>
      <c r="R23" s="25">
        <v>139.23</v>
      </c>
      <c r="S23" s="72">
        <f t="shared" si="5"/>
        <v>1818.45</v>
      </c>
      <c r="T23" s="25"/>
      <c r="U23" s="27">
        <f t="shared" si="8"/>
        <v>859.615384615385</v>
      </c>
      <c r="V23" s="27">
        <v>150</v>
      </c>
      <c r="W23" s="27"/>
      <c r="X23" s="27">
        <v>800</v>
      </c>
      <c r="Y23" s="30">
        <v>200</v>
      </c>
      <c r="Z23" s="32">
        <f t="shared" si="9"/>
        <v>120</v>
      </c>
      <c r="AA23" s="43"/>
      <c r="AB23" s="34">
        <f>20*E23</f>
        <v>300</v>
      </c>
      <c r="AC23" s="44">
        <f t="shared" si="10"/>
        <v>1984.6</v>
      </c>
      <c r="AD23" s="44">
        <v>0</v>
      </c>
      <c r="AE23" s="41">
        <v>0.988</v>
      </c>
      <c r="AF23" s="34">
        <f t="shared" si="11"/>
        <v>4226.24398461538</v>
      </c>
      <c r="AG23" s="46"/>
    </row>
    <row r="24" s="3" customFormat="1" ht="24.95" customHeight="1" spans="1:33">
      <c r="A24" s="17">
        <v>21</v>
      </c>
      <c r="B24" s="17" t="s">
        <v>556</v>
      </c>
      <c r="C24" s="21" t="s">
        <v>557</v>
      </c>
      <c r="D24" s="17">
        <v>26</v>
      </c>
      <c r="E24" s="19">
        <v>28</v>
      </c>
      <c r="F24" s="70">
        <v>28</v>
      </c>
      <c r="G24" s="70">
        <f t="shared" si="0"/>
        <v>28</v>
      </c>
      <c r="H24" s="71">
        <f t="shared" si="1"/>
        <v>0</v>
      </c>
      <c r="I24" s="25">
        <v>2</v>
      </c>
      <c r="J24" s="25">
        <v>99.23</v>
      </c>
      <c r="K24" s="25">
        <v>2</v>
      </c>
      <c r="L24" s="26">
        <v>109.23</v>
      </c>
      <c r="M24" s="25">
        <v>4</v>
      </c>
      <c r="N24" s="25">
        <v>119.23</v>
      </c>
      <c r="O24" s="25">
        <v>9</v>
      </c>
      <c r="P24" s="25">
        <v>129.23</v>
      </c>
      <c r="Q24" s="25">
        <v>11</v>
      </c>
      <c r="R24" s="25">
        <v>139.23</v>
      </c>
      <c r="S24" s="72">
        <f t="shared" si="5"/>
        <v>3488.44</v>
      </c>
      <c r="T24" s="25"/>
      <c r="U24" s="27">
        <f t="shared" si="8"/>
        <v>1604.61538461538</v>
      </c>
      <c r="V24" s="27">
        <v>150</v>
      </c>
      <c r="W24" s="27"/>
      <c r="X24" s="27">
        <v>800</v>
      </c>
      <c r="Y24" s="42">
        <v>300</v>
      </c>
      <c r="Z24" s="32">
        <f t="shared" si="9"/>
        <v>224</v>
      </c>
      <c r="AA24" s="43"/>
      <c r="AB24" s="34">
        <f>E24*20</f>
        <v>560</v>
      </c>
      <c r="AC24" s="44">
        <f t="shared" si="10"/>
        <v>1984.6</v>
      </c>
      <c r="AD24" s="44">
        <v>100</v>
      </c>
      <c r="AE24" s="41">
        <v>0.988</v>
      </c>
      <c r="AF24" s="34">
        <f t="shared" si="11"/>
        <v>7185.19410461538</v>
      </c>
      <c r="AG24" s="46"/>
    </row>
    <row r="25" s="3" customFormat="1" ht="24.95" customHeight="1" spans="1:33">
      <c r="A25" s="17">
        <v>22</v>
      </c>
      <c r="B25" s="17" t="s">
        <v>540</v>
      </c>
      <c r="C25" s="21" t="s">
        <v>558</v>
      </c>
      <c r="D25" s="17">
        <v>26</v>
      </c>
      <c r="E25" s="19">
        <v>28</v>
      </c>
      <c r="F25" s="70">
        <v>28</v>
      </c>
      <c r="G25" s="70">
        <f t="shared" si="0"/>
        <v>28</v>
      </c>
      <c r="H25" s="71">
        <f t="shared" si="1"/>
        <v>0</v>
      </c>
      <c r="I25" s="25">
        <v>2</v>
      </c>
      <c r="J25" s="25">
        <v>99.23</v>
      </c>
      <c r="K25" s="25">
        <v>3</v>
      </c>
      <c r="L25" s="26">
        <v>109.23</v>
      </c>
      <c r="M25" s="25">
        <v>4</v>
      </c>
      <c r="N25" s="25">
        <v>119.23</v>
      </c>
      <c r="O25" s="25">
        <v>9</v>
      </c>
      <c r="P25" s="25">
        <v>129.23</v>
      </c>
      <c r="Q25" s="25">
        <v>10</v>
      </c>
      <c r="R25" s="25">
        <v>139.23</v>
      </c>
      <c r="S25" s="25">
        <f>+(I25*J25+K25*L25+M25*N25+O25*P25+Q25*R25)</f>
        <v>3558.44</v>
      </c>
      <c r="T25" s="25"/>
      <c r="U25" s="27">
        <f t="shared" si="8"/>
        <v>1604.61538461538</v>
      </c>
      <c r="V25" s="27">
        <v>150</v>
      </c>
      <c r="W25" s="27"/>
      <c r="X25" s="27">
        <v>200</v>
      </c>
      <c r="Y25" s="30">
        <v>300</v>
      </c>
      <c r="Z25" s="32">
        <f t="shared" si="9"/>
        <v>224</v>
      </c>
      <c r="AA25" s="43"/>
      <c r="AB25" s="34">
        <f>20*E25</f>
        <v>560</v>
      </c>
      <c r="AC25" s="44">
        <f t="shared" si="10"/>
        <v>1984.6</v>
      </c>
      <c r="AD25" s="44">
        <v>0</v>
      </c>
      <c r="AE25" s="41">
        <v>0.988</v>
      </c>
      <c r="AF25" s="34">
        <f t="shared" si="11"/>
        <v>6554.35410461538</v>
      </c>
      <c r="AG25" s="46"/>
    </row>
    <row r="26" s="3" customFormat="1" ht="30.95" customHeight="1" spans="1:33">
      <c r="A26" s="17">
        <v>23</v>
      </c>
      <c r="B26" s="17" t="s">
        <v>540</v>
      </c>
      <c r="C26" s="21" t="s">
        <v>559</v>
      </c>
      <c r="D26" s="17">
        <v>26</v>
      </c>
      <c r="E26" s="19">
        <v>28</v>
      </c>
      <c r="F26" s="70">
        <v>29</v>
      </c>
      <c r="G26" s="70">
        <f t="shared" si="0"/>
        <v>28</v>
      </c>
      <c r="H26" s="71">
        <f t="shared" si="1"/>
        <v>0</v>
      </c>
      <c r="I26" s="25">
        <v>2</v>
      </c>
      <c r="J26" s="25">
        <v>99.23</v>
      </c>
      <c r="K26" s="25">
        <v>3</v>
      </c>
      <c r="L26" s="26">
        <v>109.23</v>
      </c>
      <c r="M26" s="25">
        <v>4</v>
      </c>
      <c r="N26" s="25">
        <v>119.23</v>
      </c>
      <c r="O26" s="25">
        <v>9</v>
      </c>
      <c r="P26" s="25">
        <v>129.23</v>
      </c>
      <c r="Q26" s="25">
        <v>10</v>
      </c>
      <c r="R26" s="25">
        <v>139.23</v>
      </c>
      <c r="S26" s="25">
        <f>+(I26*J26+K26*L26+M26*N26+O26*P26+Q26*R26)</f>
        <v>3558.44</v>
      </c>
      <c r="T26" s="25"/>
      <c r="U26" s="27">
        <f t="shared" si="8"/>
        <v>1604.61538461538</v>
      </c>
      <c r="V26" s="27">
        <v>150</v>
      </c>
      <c r="W26" s="27"/>
      <c r="X26" s="27">
        <v>200</v>
      </c>
      <c r="Y26" s="30">
        <v>200</v>
      </c>
      <c r="Z26" s="32">
        <f t="shared" si="9"/>
        <v>224</v>
      </c>
      <c r="AA26" s="43"/>
      <c r="AB26" s="34">
        <f>20*E26</f>
        <v>560</v>
      </c>
      <c r="AC26" s="44">
        <f t="shared" si="10"/>
        <v>1984.6</v>
      </c>
      <c r="AD26" s="44">
        <v>0</v>
      </c>
      <c r="AE26" s="41">
        <v>0.988</v>
      </c>
      <c r="AF26" s="34">
        <f t="shared" si="11"/>
        <v>6454.35410461538</v>
      </c>
      <c r="AG26" s="46"/>
    </row>
    <row r="27" s="5" customFormat="1" customHeight="1" spans="1:33">
      <c r="A27" s="17" t="s">
        <v>5</v>
      </c>
      <c r="B27" s="17"/>
      <c r="C27" s="17"/>
      <c r="D27" s="17"/>
      <c r="E27" s="17"/>
      <c r="F27" s="17"/>
      <c r="G27" s="17"/>
      <c r="H27" s="17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65">
        <f>SUM(T4:T26)</f>
        <v>25966.28</v>
      </c>
      <c r="U27" s="65">
        <f>SUM(U4:U26)</f>
        <v>33370.2692307692</v>
      </c>
      <c r="V27" s="65">
        <f t="shared" ref="V27:AD27" si="12">SUM(V4:V26)</f>
        <v>3294.23076923077</v>
      </c>
      <c r="W27" s="65">
        <f t="shared" si="12"/>
        <v>0</v>
      </c>
      <c r="X27" s="65">
        <f t="shared" si="12"/>
        <v>7100</v>
      </c>
      <c r="Y27" s="65">
        <f t="shared" si="12"/>
        <v>3900</v>
      </c>
      <c r="Z27" s="65">
        <f t="shared" si="12"/>
        <v>4658.4</v>
      </c>
      <c r="AA27" s="65">
        <f t="shared" si="12"/>
        <v>0</v>
      </c>
      <c r="AB27" s="74">
        <f t="shared" si="12"/>
        <v>11646</v>
      </c>
      <c r="AC27" s="74">
        <f t="shared" si="12"/>
        <v>39692</v>
      </c>
      <c r="AD27" s="74">
        <f t="shared" si="12"/>
        <v>1400</v>
      </c>
      <c r="AE27" s="27"/>
      <c r="AF27" s="41">
        <f>SUM((AF4:AF20))</f>
        <v>104183.348742754</v>
      </c>
      <c r="AG27" s="46"/>
    </row>
    <row r="28" s="5" customFormat="1" customHeight="1" spans="1:32">
      <c r="A28" s="8"/>
      <c r="B28" s="56"/>
      <c r="C28" s="56"/>
      <c r="D28" s="57"/>
      <c r="E28" s="55"/>
      <c r="F28" s="55"/>
      <c r="G28" s="55"/>
      <c r="H28" s="55"/>
      <c r="I28" s="63"/>
      <c r="J28" s="55"/>
      <c r="K28" s="55"/>
      <c r="M28" s="55"/>
      <c r="N28" s="55"/>
      <c r="O28" s="55"/>
      <c r="P28" s="55"/>
      <c r="Q28" s="55"/>
      <c r="S28" s="55"/>
      <c r="T28" s="55"/>
      <c r="U28" s="63"/>
      <c r="V28" s="63"/>
      <c r="W28" s="8"/>
      <c r="X28" s="8"/>
      <c r="Y28" s="7"/>
      <c r="Z28" s="1"/>
      <c r="AA28" s="56"/>
      <c r="AB28" s="8"/>
      <c r="AC28" s="1"/>
      <c r="AD28" s="1"/>
      <c r="AE28" s="9"/>
      <c r="AF28" s="9"/>
    </row>
    <row r="29" s="3" customFormat="1" customHeight="1" spans="1:33">
      <c r="A29" s="56"/>
      <c r="B29" s="56"/>
      <c r="C29" s="59" t="s">
        <v>513</v>
      </c>
      <c r="D29" s="60"/>
      <c r="E29" s="58"/>
      <c r="F29" s="58"/>
      <c r="G29" s="58"/>
      <c r="H29" s="58"/>
      <c r="I29" s="60"/>
      <c r="J29" s="60"/>
      <c r="K29" s="64"/>
      <c r="L29" s="60" t="s">
        <v>514</v>
      </c>
      <c r="M29" s="60"/>
      <c r="N29" s="60"/>
      <c r="O29" s="60"/>
      <c r="P29" s="60"/>
      <c r="Q29" s="64"/>
      <c r="R29" s="63"/>
      <c r="S29" s="55"/>
      <c r="T29" s="55" t="s">
        <v>64</v>
      </c>
      <c r="U29" s="8"/>
      <c r="V29" s="8"/>
      <c r="W29" s="8"/>
      <c r="X29" s="8"/>
      <c r="Y29" s="7"/>
      <c r="Z29" s="1"/>
      <c r="AA29" s="56"/>
      <c r="AB29" s="8"/>
      <c r="AC29" s="1"/>
      <c r="AD29" s="1"/>
      <c r="AE29" s="9"/>
      <c r="AF29" s="9"/>
      <c r="AG29" s="1"/>
    </row>
    <row r="30" s="3" customFormat="1" customHeight="1" spans="1:33">
      <c r="A30" s="1"/>
      <c r="B30" s="1"/>
      <c r="C30" s="1"/>
      <c r="D30" s="1"/>
      <c r="E30" s="1"/>
      <c r="F30" s="55"/>
      <c r="G30" s="55"/>
      <c r="H30" s="55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1900</v>
      </c>
      <c r="T30" s="1"/>
      <c r="U30" s="1"/>
      <c r="V30" s="1"/>
      <c r="W30" s="1"/>
      <c r="X30" s="1"/>
      <c r="Y30" s="7"/>
      <c r="Z30" s="1"/>
      <c r="AA30" s="1"/>
      <c r="AB30" s="8"/>
      <c r="AC30" s="1"/>
      <c r="AD30" s="1"/>
      <c r="AE30" s="9"/>
      <c r="AF30" s="9"/>
      <c r="AG30" s="1"/>
    </row>
    <row r="31" s="3" customFormat="1" customHeight="1" spans="1:33">
      <c r="A31" s="1"/>
      <c r="F31" s="58"/>
      <c r="G31" s="58"/>
      <c r="H31" s="58"/>
      <c r="AG31" s="1"/>
    </row>
    <row r="32" s="3" customFormat="1" customHeight="1" spans="1:33">
      <c r="A32" s="1"/>
      <c r="F32" s="1"/>
      <c r="G32" s="1"/>
      <c r="H32" s="1"/>
      <c r="AG32" s="1"/>
    </row>
    <row r="33" s="3" customFormat="1" customHeight="1" spans="1:33">
      <c r="A33" s="1"/>
      <c r="F33" s="1"/>
      <c r="G33" s="1"/>
      <c r="H33" s="1"/>
      <c r="AG33" s="1"/>
    </row>
    <row r="34" s="3" customFormat="1" customHeight="1" spans="1:33">
      <c r="A34" s="1"/>
      <c r="F34" s="5"/>
      <c r="G34" s="5"/>
      <c r="H34" s="5"/>
      <c r="AG34" s="1"/>
    </row>
    <row r="35" s="3" customFormat="1" customHeight="1" spans="1:33">
      <c r="A35" s="1"/>
      <c r="F35" s="5"/>
      <c r="G35" s="5"/>
      <c r="H35" s="5"/>
      <c r="AG35" s="1"/>
    </row>
    <row r="36" s="3" customFormat="1" customHeight="1" spans="1:33">
      <c r="A36" s="1"/>
      <c r="B36" s="1"/>
      <c r="C36" s="1"/>
      <c r="D36" s="5"/>
      <c r="E36" s="5"/>
      <c r="F36" s="5"/>
      <c r="G36" s="5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7"/>
      <c r="Z36" s="1"/>
      <c r="AA36" s="1"/>
      <c r="AB36" s="8"/>
      <c r="AC36" s="1"/>
      <c r="AD36" s="1"/>
      <c r="AE36" s="9"/>
      <c r="AF36" s="9"/>
      <c r="AG36" s="1"/>
    </row>
    <row r="37" s="3" customFormat="1" customHeight="1" spans="1:33">
      <c r="A37" s="1"/>
      <c r="B37" s="1"/>
      <c r="C37" s="1"/>
      <c r="D37" s="5"/>
      <c r="E37" s="5"/>
      <c r="F37" s="5"/>
      <c r="G37" s="5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7"/>
      <c r="Z37" s="1"/>
      <c r="AA37" s="1"/>
      <c r="AB37" s="8"/>
      <c r="AC37" s="1"/>
      <c r="AD37" s="1"/>
      <c r="AE37" s="9"/>
      <c r="AF37" s="9"/>
      <c r="AG37" s="1"/>
    </row>
    <row r="38" s="3" customFormat="1" customHeight="1" spans="1:33">
      <c r="A38" s="1"/>
      <c r="B38" s="1"/>
      <c r="C38" s="1"/>
      <c r="D38" s="5"/>
      <c r="E38" s="5"/>
      <c r="F38" s="5"/>
      <c r="G38" s="5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7"/>
      <c r="Z38" s="1"/>
      <c r="AA38" s="1"/>
      <c r="AB38" s="8"/>
      <c r="AC38" s="1"/>
      <c r="AD38" s="1"/>
      <c r="AE38" s="9"/>
      <c r="AF38" s="9"/>
      <c r="AG38" s="1"/>
    </row>
    <row r="39" s="3" customFormat="1" customHeight="1" spans="1:33">
      <c r="A39" s="1"/>
      <c r="B39" s="1"/>
      <c r="C39" s="1"/>
      <c r="D39" s="5"/>
      <c r="E39" s="5"/>
      <c r="F39" s="5"/>
      <c r="G39" s="5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7"/>
      <c r="Z39" s="1"/>
      <c r="AA39" s="1"/>
      <c r="AB39" s="8"/>
      <c r="AC39" s="1"/>
      <c r="AD39" s="1"/>
      <c r="AE39" s="9"/>
      <c r="AF39" s="9"/>
      <c r="AG39" s="1"/>
    </row>
    <row r="40" s="3" customFormat="1" customHeight="1" spans="1:33">
      <c r="A40" s="1"/>
      <c r="B40" s="1"/>
      <c r="C40" s="1"/>
      <c r="D40" s="5"/>
      <c r="E40" s="5"/>
      <c r="F40" s="5"/>
      <c r="G40" s="5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7"/>
      <c r="Z40" s="1"/>
      <c r="AA40" s="1"/>
      <c r="AB40" s="8"/>
      <c r="AC40" s="1"/>
      <c r="AD40" s="1"/>
      <c r="AE40" s="9"/>
      <c r="AF40" s="9"/>
      <c r="AG40" s="1"/>
    </row>
    <row r="41" s="3" customFormat="1" customHeight="1" spans="1:33">
      <c r="A41" s="1"/>
      <c r="B41" s="1"/>
      <c r="C41" s="1"/>
      <c r="D41" s="5"/>
      <c r="E41" s="5"/>
      <c r="F41" s="5"/>
      <c r="G41" s="5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7"/>
      <c r="Z41" s="1"/>
      <c r="AA41" s="1"/>
      <c r="AB41" s="8"/>
      <c r="AC41" s="1"/>
      <c r="AD41" s="1"/>
      <c r="AE41" s="9"/>
      <c r="AF41" s="9"/>
      <c r="AG41" s="1"/>
    </row>
    <row r="42" s="3" customFormat="1" customHeight="1" spans="1:33">
      <c r="A42" s="1"/>
      <c r="B42" s="1"/>
      <c r="C42" s="1"/>
      <c r="D42" s="5"/>
      <c r="E42" s="5"/>
      <c r="F42" s="5"/>
      <c r="G42" s="5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7"/>
      <c r="Z42" s="1"/>
      <c r="AA42" s="1"/>
      <c r="AB42" s="8"/>
      <c r="AC42" s="1"/>
      <c r="AD42" s="1"/>
      <c r="AE42" s="9"/>
      <c r="AF42" s="9"/>
      <c r="AG42" s="1"/>
    </row>
    <row r="43" s="3" customFormat="1" customHeight="1" spans="1:33">
      <c r="A43" s="1"/>
      <c r="B43" s="1"/>
      <c r="C43" s="1"/>
      <c r="D43" s="5"/>
      <c r="E43" s="5"/>
      <c r="F43" s="5"/>
      <c r="G43" s="5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7"/>
      <c r="Z43" s="1"/>
      <c r="AA43" s="1"/>
      <c r="AB43" s="8"/>
      <c r="AC43" s="1"/>
      <c r="AD43" s="1"/>
      <c r="AE43" s="9"/>
      <c r="AF43" s="9"/>
      <c r="AG43" s="1"/>
    </row>
    <row r="44" s="3" customFormat="1" customHeight="1" spans="1:33">
      <c r="A44" s="1"/>
      <c r="B44" s="1"/>
      <c r="C44" s="1"/>
      <c r="D44" s="5"/>
      <c r="E44" s="5"/>
      <c r="F44" s="5"/>
      <c r="G44" s="5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7"/>
      <c r="Z44" s="1"/>
      <c r="AA44" s="1"/>
      <c r="AB44" s="8"/>
      <c r="AC44" s="1"/>
      <c r="AD44" s="1"/>
      <c r="AE44" s="9"/>
      <c r="AF44" s="9"/>
      <c r="AG44" s="1"/>
    </row>
    <row r="45" s="3" customFormat="1" customHeight="1" spans="1:33">
      <c r="A45" s="1"/>
      <c r="B45" s="1"/>
      <c r="C45" s="1"/>
      <c r="D45" s="5"/>
      <c r="E45" s="5"/>
      <c r="F45" s="5"/>
      <c r="G45" s="5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7"/>
      <c r="Z45" s="1"/>
      <c r="AA45" s="1"/>
      <c r="AB45" s="8"/>
      <c r="AC45" s="1"/>
      <c r="AD45" s="1"/>
      <c r="AE45" s="9"/>
      <c r="AF45" s="9"/>
      <c r="AG45" s="1"/>
    </row>
    <row r="46" s="3" customFormat="1" customHeight="1" spans="1:33">
      <c r="A46" s="1"/>
      <c r="B46" s="1"/>
      <c r="C46" s="1"/>
      <c r="D46" s="5"/>
      <c r="E46" s="5"/>
      <c r="F46" s="5"/>
      <c r="G46" s="5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7"/>
      <c r="Z46" s="1"/>
      <c r="AA46" s="1"/>
      <c r="AB46" s="8"/>
      <c r="AC46" s="1"/>
      <c r="AD46" s="1"/>
      <c r="AE46" s="9"/>
      <c r="AF46" s="9"/>
      <c r="AG46" s="1"/>
    </row>
    <row r="47" s="3" customFormat="1" customHeight="1" spans="1:33">
      <c r="A47" s="1"/>
      <c r="B47" s="1"/>
      <c r="C47" s="1"/>
      <c r="D47" s="5"/>
      <c r="E47" s="5"/>
      <c r="F47" s="5"/>
      <c r="G47" s="5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7"/>
      <c r="Z47" s="1"/>
      <c r="AA47" s="1"/>
      <c r="AB47" s="8"/>
      <c r="AC47" s="1"/>
      <c r="AD47" s="1"/>
      <c r="AE47" s="9"/>
      <c r="AF47" s="9"/>
      <c r="AG47" s="1"/>
    </row>
    <row r="48" s="3" customFormat="1" customHeight="1" spans="1:33">
      <c r="A48" s="1"/>
      <c r="B48" s="1"/>
      <c r="C48" s="1"/>
      <c r="D48" s="5"/>
      <c r="E48" s="5"/>
      <c r="F48" s="5"/>
      <c r="G48" s="5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7"/>
      <c r="Z48" s="1"/>
      <c r="AA48" s="1"/>
      <c r="AB48" s="8"/>
      <c r="AC48" s="1"/>
      <c r="AD48" s="1"/>
      <c r="AE48" s="9"/>
      <c r="AF48" s="9"/>
      <c r="AG48" s="1"/>
    </row>
    <row r="49" s="3" customFormat="1" customHeight="1" spans="1:33">
      <c r="A49" s="1"/>
      <c r="B49" s="1"/>
      <c r="C49" s="1"/>
      <c r="D49" s="5"/>
      <c r="E49" s="5"/>
      <c r="F49" s="5"/>
      <c r="G49" s="5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7"/>
      <c r="Z49" s="1"/>
      <c r="AA49" s="1"/>
      <c r="AB49" s="8"/>
      <c r="AC49" s="1"/>
      <c r="AD49" s="1"/>
      <c r="AE49" s="9"/>
      <c r="AF49" s="9"/>
      <c r="AG49" s="1"/>
    </row>
    <row r="50" s="3" customFormat="1" customHeight="1" spans="1:33">
      <c r="A50" s="1"/>
      <c r="B50" s="1"/>
      <c r="C50" s="1"/>
      <c r="D50" s="5"/>
      <c r="E50" s="5"/>
      <c r="F50" s="5"/>
      <c r="G50" s="5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7"/>
      <c r="Z50" s="1"/>
      <c r="AA50" s="1"/>
      <c r="AB50" s="8"/>
      <c r="AC50" s="1"/>
      <c r="AD50" s="1"/>
      <c r="AE50" s="9"/>
      <c r="AF50" s="9"/>
      <c r="AG50" s="1"/>
    </row>
    <row r="51" s="3" customFormat="1" customHeight="1" spans="1:33">
      <c r="A51" s="1"/>
      <c r="B51" s="1"/>
      <c r="C51" s="1"/>
      <c r="D51" s="5"/>
      <c r="E51" s="5"/>
      <c r="F51" s="5"/>
      <c r="G51" s="5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7"/>
      <c r="Z51" s="1"/>
      <c r="AA51" s="1"/>
      <c r="AB51" s="8"/>
      <c r="AC51" s="1"/>
      <c r="AD51" s="1"/>
      <c r="AE51" s="9"/>
      <c r="AF51" s="9"/>
      <c r="AG51" s="1"/>
    </row>
    <row r="52" s="3" customFormat="1" customHeight="1" spans="1:33">
      <c r="A52" s="1"/>
      <c r="B52" s="1"/>
      <c r="C52" s="1"/>
      <c r="D52" s="5"/>
      <c r="E52" s="5"/>
      <c r="F52" s="5"/>
      <c r="G52" s="5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7"/>
      <c r="Z52" s="1"/>
      <c r="AA52" s="1"/>
      <c r="AB52" s="8"/>
      <c r="AC52" s="1"/>
      <c r="AD52" s="1"/>
      <c r="AE52" s="9"/>
      <c r="AF52" s="9"/>
      <c r="AG52" s="1"/>
    </row>
    <row r="53" s="3" customFormat="1" customHeight="1" spans="1:33">
      <c r="A53" s="1"/>
      <c r="B53" s="1"/>
      <c r="C53" s="1"/>
      <c r="D53" s="5"/>
      <c r="E53" s="5"/>
      <c r="F53" s="5"/>
      <c r="G53" s="5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7"/>
      <c r="Z53" s="1"/>
      <c r="AA53" s="1"/>
      <c r="AB53" s="8"/>
      <c r="AC53" s="1"/>
      <c r="AD53" s="1"/>
      <c r="AE53" s="9"/>
      <c r="AF53" s="9"/>
      <c r="AG53" s="1"/>
    </row>
    <row r="54" s="3" customFormat="1" customHeight="1" spans="1:33">
      <c r="A54" s="1"/>
      <c r="B54" s="1"/>
      <c r="C54" s="1"/>
      <c r="D54" s="5"/>
      <c r="E54" s="5"/>
      <c r="F54" s="5"/>
      <c r="G54" s="5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7"/>
      <c r="Z54" s="1"/>
      <c r="AA54" s="1"/>
      <c r="AB54" s="8"/>
      <c r="AC54" s="1"/>
      <c r="AD54" s="1"/>
      <c r="AE54" s="9"/>
      <c r="AF54" s="9"/>
      <c r="AG54" s="1"/>
    </row>
    <row r="55" s="3" customFormat="1" customHeight="1" spans="1:33">
      <c r="A55" s="1"/>
      <c r="B55" s="1"/>
      <c r="C55" s="1"/>
      <c r="D55" s="5"/>
      <c r="E55" s="5"/>
      <c r="F55" s="5"/>
      <c r="G55" s="5"/>
      <c r="H55" s="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7"/>
      <c r="Z55" s="1"/>
      <c r="AA55" s="1"/>
      <c r="AB55" s="8"/>
      <c r="AC55" s="1"/>
      <c r="AD55" s="1"/>
      <c r="AE55" s="9"/>
      <c r="AF55" s="9"/>
      <c r="AG55" s="1"/>
    </row>
    <row r="56" s="3" customFormat="1" customHeight="1" spans="1:33">
      <c r="A56" s="1"/>
      <c r="B56" s="1"/>
      <c r="C56" s="1"/>
      <c r="D56" s="5"/>
      <c r="E56" s="5"/>
      <c r="F56" s="5"/>
      <c r="G56" s="5"/>
      <c r="H56" s="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7"/>
      <c r="Z56" s="1"/>
      <c r="AA56" s="1"/>
      <c r="AB56" s="8"/>
      <c r="AC56" s="1"/>
      <c r="AD56" s="1"/>
      <c r="AE56" s="9"/>
      <c r="AF56" s="9"/>
      <c r="AG56" s="1"/>
    </row>
    <row r="57" s="3" customFormat="1" customHeight="1" spans="1:33">
      <c r="A57" s="1"/>
      <c r="B57" s="1"/>
      <c r="C57" s="1"/>
      <c r="D57" s="5"/>
      <c r="E57" s="5"/>
      <c r="F57" s="5"/>
      <c r="G57" s="5"/>
      <c r="H57" s="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7"/>
      <c r="Z57" s="1"/>
      <c r="AA57" s="1"/>
      <c r="AB57" s="8"/>
      <c r="AC57" s="1"/>
      <c r="AD57" s="1"/>
      <c r="AE57" s="9"/>
      <c r="AF57" s="9"/>
      <c r="AG57" s="1"/>
    </row>
    <row r="58" s="3" customFormat="1" customHeight="1" spans="1:33">
      <c r="A58" s="1"/>
      <c r="B58" s="1"/>
      <c r="C58" s="1"/>
      <c r="D58" s="5"/>
      <c r="E58" s="5"/>
      <c r="F58" s="5"/>
      <c r="G58" s="5"/>
      <c r="H58" s="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7"/>
      <c r="Z58" s="1"/>
      <c r="AA58" s="1"/>
      <c r="AB58" s="8"/>
      <c r="AC58" s="1"/>
      <c r="AD58" s="1"/>
      <c r="AE58" s="9"/>
      <c r="AF58" s="9"/>
      <c r="AG58" s="1"/>
    </row>
  </sheetData>
  <mergeCells count="4">
    <mergeCell ref="A1:AG1"/>
    <mergeCell ref="I2:R2"/>
    <mergeCell ref="S2:S3"/>
    <mergeCell ref="T2:T3"/>
  </mergeCells>
  <pageMargins left="0.156944444444444" right="0.314583333333333" top="1.37777777777778" bottom="1" header="1.33819444444444" footer="0.5"/>
  <pageSetup paperSize="9" scale="45" orientation="landscape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4"/>
  <sheetViews>
    <sheetView zoomScale="70" zoomScaleNormal="70" workbookViewId="0">
      <pane xSplit="19" topLeftCell="AB1" activePane="topRight" state="frozen"/>
      <selection/>
      <selection pane="topRight" activeCell="N27" sqref="N27"/>
    </sheetView>
  </sheetViews>
  <sheetFormatPr defaultColWidth="9" defaultRowHeight="26.1" customHeight="1"/>
  <cols>
    <col min="1" max="1" width="6.5" style="1" customWidth="1"/>
    <col min="2" max="2" width="10.5" style="1" customWidth="1"/>
    <col min="3" max="3" width="11" style="1" customWidth="1"/>
    <col min="4" max="4" width="7.87962962962963" style="5" customWidth="1"/>
    <col min="5" max="8" width="7.5" style="5" customWidth="1"/>
    <col min="9" max="9" width="7.62962962962963" style="1" customWidth="1"/>
    <col min="10" max="10" width="11.25" style="1" customWidth="1"/>
    <col min="11" max="11" width="7" style="1" customWidth="1"/>
    <col min="12" max="12" width="9.87962962962963" style="1" customWidth="1"/>
    <col min="13" max="13" width="7.12962962962963" style="1" customWidth="1"/>
    <col min="14" max="14" width="10" style="1" customWidth="1"/>
    <col min="15" max="15" width="6.37962962962963" style="1" customWidth="1"/>
    <col min="16" max="16" width="11.25" style="1" customWidth="1"/>
    <col min="17" max="17" width="5.12962962962963" style="1" customWidth="1"/>
    <col min="18" max="18" width="11.25" style="1" customWidth="1"/>
    <col min="19" max="19" width="10.6296296296296" style="1" customWidth="1"/>
    <col min="20" max="20" width="13.8796296296296" style="1" customWidth="1"/>
    <col min="21" max="21" width="14" style="1" customWidth="1"/>
    <col min="22" max="22" width="12.1296296296296" style="1" customWidth="1"/>
    <col min="23" max="23" width="12" style="1" customWidth="1"/>
    <col min="24" max="24" width="11.1296296296296" style="1" customWidth="1"/>
    <col min="25" max="25" width="11.25" style="7" customWidth="1"/>
    <col min="26" max="26" width="11.3796296296296" style="1" customWidth="1"/>
    <col min="27" max="27" width="12" style="1" customWidth="1"/>
    <col min="28" max="28" width="13.75" style="8" customWidth="1"/>
    <col min="29" max="29" width="5.87962962962963" style="1" hidden="1" customWidth="1"/>
    <col min="30" max="30" width="14.8796296296296" style="1" customWidth="1"/>
    <col min="31" max="31" width="17.1296296296296" style="9" customWidth="1"/>
    <col min="32" max="32" width="15.8796296296296" style="9" customWidth="1"/>
    <col min="33" max="33" width="14.25" style="1" customWidth="1"/>
    <col min="34" max="16262" width="9" style="1"/>
    <col min="16263" max="16384" width="9" style="10"/>
  </cols>
  <sheetData>
    <row r="1" s="1" customFormat="1" ht="45" customHeight="1" spans="1:33">
      <c r="A1" s="11" t="s">
        <v>444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</row>
    <row r="2" s="2" customFormat="1" ht="56.1" customHeight="1" spans="1:33">
      <c r="A2" s="12" t="s">
        <v>67</v>
      </c>
      <c r="B2" s="12" t="s">
        <v>445</v>
      </c>
      <c r="C2" s="13" t="s">
        <v>446</v>
      </c>
      <c r="D2" s="13" t="s">
        <v>447</v>
      </c>
      <c r="E2" s="13" t="s">
        <v>448</v>
      </c>
      <c r="F2" s="67" t="s">
        <v>449</v>
      </c>
      <c r="G2" s="68" t="s">
        <v>450</v>
      </c>
      <c r="H2" s="68" t="s">
        <v>451</v>
      </c>
      <c r="I2" s="13" t="s">
        <v>452</v>
      </c>
      <c r="J2" s="13"/>
      <c r="K2" s="13"/>
      <c r="L2" s="13"/>
      <c r="M2" s="13"/>
      <c r="N2" s="13"/>
      <c r="O2" s="13"/>
      <c r="P2" s="13"/>
      <c r="Q2" s="13"/>
      <c r="R2" s="13"/>
      <c r="S2" s="13" t="s">
        <v>453</v>
      </c>
      <c r="T2" s="13" t="s">
        <v>454</v>
      </c>
      <c r="U2" s="27" t="s">
        <v>455</v>
      </c>
      <c r="V2" s="28" t="s">
        <v>456</v>
      </c>
      <c r="W2" s="28" t="s">
        <v>457</v>
      </c>
      <c r="X2" s="36" t="s">
        <v>458</v>
      </c>
      <c r="Y2" s="37" t="s">
        <v>515</v>
      </c>
      <c r="Z2" s="38" t="s">
        <v>460</v>
      </c>
      <c r="AA2" s="13" t="s">
        <v>461</v>
      </c>
      <c r="AB2" s="13" t="s">
        <v>516</v>
      </c>
      <c r="AC2" s="13" t="s">
        <v>463</v>
      </c>
      <c r="AD2" s="13" t="s">
        <v>463</v>
      </c>
      <c r="AE2" s="13" t="s">
        <v>464</v>
      </c>
      <c r="AF2" s="36" t="s">
        <v>517</v>
      </c>
      <c r="AG2" s="36" t="s">
        <v>466</v>
      </c>
    </row>
    <row r="3" s="2" customFormat="1" ht="56.1" customHeight="1" spans="1:33">
      <c r="A3" s="12"/>
      <c r="B3" s="12"/>
      <c r="C3" s="13"/>
      <c r="D3" s="13"/>
      <c r="E3" s="13"/>
      <c r="F3" s="13"/>
      <c r="G3" s="14"/>
      <c r="H3" s="14"/>
      <c r="I3" s="13" t="s">
        <v>467</v>
      </c>
      <c r="J3" s="13" t="s">
        <v>468</v>
      </c>
      <c r="K3" s="13" t="s">
        <v>469</v>
      </c>
      <c r="L3" s="13" t="s">
        <v>470</v>
      </c>
      <c r="M3" s="13" t="s">
        <v>471</v>
      </c>
      <c r="N3" s="13" t="s">
        <v>472</v>
      </c>
      <c r="O3" s="13" t="s">
        <v>473</v>
      </c>
      <c r="P3" s="13" t="s">
        <v>474</v>
      </c>
      <c r="Q3" s="13" t="s">
        <v>475</v>
      </c>
      <c r="R3" s="13" t="s">
        <v>476</v>
      </c>
      <c r="S3" s="13"/>
      <c r="T3" s="13"/>
      <c r="U3" s="27"/>
      <c r="V3" s="27"/>
      <c r="W3" s="27" t="s">
        <v>518</v>
      </c>
      <c r="X3" s="28"/>
      <c r="Y3" s="29">
        <v>300</v>
      </c>
      <c r="Z3" s="32" t="s">
        <v>519</v>
      </c>
      <c r="AA3" s="38"/>
      <c r="AB3" s="13"/>
      <c r="AC3" s="13" t="s">
        <v>516</v>
      </c>
      <c r="AD3" s="67">
        <v>350</v>
      </c>
      <c r="AE3" s="39"/>
      <c r="AF3" s="13"/>
      <c r="AG3" s="36"/>
    </row>
    <row r="4" s="4" customFormat="1" customHeight="1" spans="1:33">
      <c r="A4" s="17">
        <v>1</v>
      </c>
      <c r="B4" s="17" t="s">
        <v>531</v>
      </c>
      <c r="C4" s="21" t="s">
        <v>560</v>
      </c>
      <c r="D4" s="17">
        <v>26</v>
      </c>
      <c r="E4" s="19">
        <v>2</v>
      </c>
      <c r="F4" s="69">
        <v>24.5</v>
      </c>
      <c r="G4" s="70">
        <f>I4+K4+M4+O4+Q4</f>
        <v>2</v>
      </c>
      <c r="H4" s="70">
        <f>G4-E4</f>
        <v>0</v>
      </c>
      <c r="I4" s="25">
        <v>0</v>
      </c>
      <c r="J4" s="25">
        <v>99.23</v>
      </c>
      <c r="K4" s="25">
        <v>0</v>
      </c>
      <c r="L4" s="26">
        <v>109.23</v>
      </c>
      <c r="M4" s="25">
        <v>0</v>
      </c>
      <c r="N4" s="25">
        <v>119.23</v>
      </c>
      <c r="O4" s="25">
        <v>2</v>
      </c>
      <c r="P4" s="25">
        <v>129.23</v>
      </c>
      <c r="Q4" s="25">
        <v>0</v>
      </c>
      <c r="R4" s="25">
        <v>139.23</v>
      </c>
      <c r="S4" s="25">
        <f>(+I4*J4+K4*L4+M4*N4+O4*P4+Q4*R4)</f>
        <v>258.46</v>
      </c>
      <c r="T4" s="25"/>
      <c r="U4" s="27">
        <f>+E4/D4*1490</f>
        <v>114.615384615385</v>
      </c>
      <c r="V4" s="27">
        <f>150/D4*E4</f>
        <v>11.5384615384615</v>
      </c>
      <c r="W4" s="27"/>
      <c r="X4" s="30">
        <f>200/D4*E4</f>
        <v>15.3846153846154</v>
      </c>
      <c r="Y4" s="29">
        <v>0</v>
      </c>
      <c r="Z4" s="32">
        <f>8*E4</f>
        <v>16</v>
      </c>
      <c r="AA4" s="33"/>
      <c r="AB4" s="34">
        <f>20*E4</f>
        <v>40</v>
      </c>
      <c r="AC4" s="13"/>
      <c r="AD4" s="34">
        <v>0</v>
      </c>
      <c r="AE4" s="41">
        <v>0.988</v>
      </c>
      <c r="AF4" s="34">
        <f>S4*AE4+T4+U4+V4+W4+X4+Y4+Z4+AA4+AB4+AD4</f>
        <v>452.896941538462</v>
      </c>
      <c r="AG4" s="46"/>
    </row>
    <row r="5" s="3" customFormat="1" customHeight="1" spans="1:33">
      <c r="A5" s="17">
        <v>2</v>
      </c>
      <c r="B5" s="17" t="s">
        <v>531</v>
      </c>
      <c r="C5" s="21" t="s">
        <v>561</v>
      </c>
      <c r="D5" s="17">
        <v>26</v>
      </c>
      <c r="E5" s="19">
        <v>28</v>
      </c>
      <c r="F5" s="70">
        <v>28</v>
      </c>
      <c r="G5" s="70">
        <f>I5+K5+M5+O5+Q5</f>
        <v>28</v>
      </c>
      <c r="H5" s="71">
        <f>G5-E5</f>
        <v>0</v>
      </c>
      <c r="I5" s="17">
        <v>2</v>
      </c>
      <c r="J5" s="25">
        <v>99.23</v>
      </c>
      <c r="K5" s="17">
        <v>3</v>
      </c>
      <c r="L5" s="26">
        <v>109.23</v>
      </c>
      <c r="M5" s="25">
        <v>4</v>
      </c>
      <c r="N5" s="25">
        <v>119.23</v>
      </c>
      <c r="O5" s="25">
        <v>9</v>
      </c>
      <c r="P5" s="25">
        <v>129.23</v>
      </c>
      <c r="Q5" s="25">
        <v>10</v>
      </c>
      <c r="R5" s="25">
        <v>139.23</v>
      </c>
      <c r="S5" s="72">
        <f>(+I5*J5+K5*L5+M5*N5+O5*P5+Q5*R5)-100</f>
        <v>3458.44</v>
      </c>
      <c r="T5" s="25">
        <v>1200</v>
      </c>
      <c r="U5" s="27">
        <f>+E5/D5*1490</f>
        <v>1604.61538461538</v>
      </c>
      <c r="V5" s="27">
        <v>150</v>
      </c>
      <c r="W5" s="27"/>
      <c r="X5" s="27">
        <v>200</v>
      </c>
      <c r="Y5" s="30">
        <v>300</v>
      </c>
      <c r="Z5" s="32">
        <f>8*E5</f>
        <v>224</v>
      </c>
      <c r="AA5" s="43"/>
      <c r="AB5" s="34">
        <f>20*E5</f>
        <v>560</v>
      </c>
      <c r="AC5" s="44">
        <f>+J5*20</f>
        <v>1984.6</v>
      </c>
      <c r="AD5" s="44">
        <v>100</v>
      </c>
      <c r="AE5" s="41">
        <v>0.988</v>
      </c>
      <c r="AF5" s="34">
        <f>S5*AE5+T5+U5+V5+W5+X5+Y5+Z5+AA5+AB5+AD5</f>
        <v>7755.55410461538</v>
      </c>
      <c r="AG5" s="46"/>
    </row>
    <row r="6" s="3" customFormat="1" customHeight="1" spans="1:33">
      <c r="A6" s="17">
        <v>3</v>
      </c>
      <c r="B6" s="17" t="s">
        <v>531</v>
      </c>
      <c r="C6" s="23" t="s">
        <v>562</v>
      </c>
      <c r="D6" s="17">
        <v>26</v>
      </c>
      <c r="E6" s="19">
        <v>30</v>
      </c>
      <c r="F6" s="70">
        <v>30</v>
      </c>
      <c r="G6" s="70">
        <f t="shared" ref="G6:G22" si="0">I6+K6+M6+O6+Q6</f>
        <v>30</v>
      </c>
      <c r="H6" s="70">
        <f t="shared" ref="H6:H22" si="1">G6-E6</f>
        <v>0</v>
      </c>
      <c r="I6" s="25">
        <v>0</v>
      </c>
      <c r="J6" s="25">
        <v>99.23</v>
      </c>
      <c r="K6" s="25">
        <v>13</v>
      </c>
      <c r="L6" s="26">
        <v>109.23</v>
      </c>
      <c r="M6" s="25">
        <v>17</v>
      </c>
      <c r="N6" s="25">
        <v>119.23</v>
      </c>
      <c r="O6" s="25">
        <v>0</v>
      </c>
      <c r="P6" s="25">
        <v>129.23</v>
      </c>
      <c r="Q6" s="25">
        <v>0</v>
      </c>
      <c r="R6" s="25">
        <v>139.23</v>
      </c>
      <c r="S6" s="25">
        <f>(+I6*J6+K6*L6+M6*N6+O6*P6+Q6*R6)</f>
        <v>3446.9</v>
      </c>
      <c r="T6" s="25"/>
      <c r="U6" s="27">
        <f t="shared" ref="U6:U17" si="2">+E6/D6*1490</f>
        <v>1719.23076923077</v>
      </c>
      <c r="V6" s="27">
        <v>150</v>
      </c>
      <c r="W6" s="27"/>
      <c r="X6" s="27">
        <v>200</v>
      </c>
      <c r="Y6" s="30">
        <v>300</v>
      </c>
      <c r="Z6" s="32">
        <f t="shared" ref="Z6:Z17" si="3">8*E6</f>
        <v>240</v>
      </c>
      <c r="AA6" s="43"/>
      <c r="AB6" s="34">
        <f t="shared" ref="AB6:AB17" si="4">20*E6</f>
        <v>600</v>
      </c>
      <c r="AC6" s="44">
        <f t="shared" ref="AC6:AC18" si="5">+J6*20</f>
        <v>1984.6</v>
      </c>
      <c r="AD6" s="44">
        <v>100</v>
      </c>
      <c r="AE6" s="41">
        <v>0.988</v>
      </c>
      <c r="AF6" s="34">
        <f>S6*AE6+T6+U6+V6+W6+X6+Y6+Z6+AA6+AB6+AD6</f>
        <v>6714.76796923077</v>
      </c>
      <c r="AG6" s="46"/>
    </row>
    <row r="7" s="3" customFormat="1" customHeight="1" spans="1:33">
      <c r="A7" s="17">
        <v>4</v>
      </c>
      <c r="B7" s="17" t="s">
        <v>495</v>
      </c>
      <c r="C7" s="23" t="s">
        <v>563</v>
      </c>
      <c r="D7" s="17">
        <v>26</v>
      </c>
      <c r="E7" s="19">
        <v>24.4</v>
      </c>
      <c r="F7" s="70">
        <v>24.5</v>
      </c>
      <c r="G7" s="70">
        <f t="shared" si="0"/>
        <v>24.4</v>
      </c>
      <c r="H7" s="71">
        <f t="shared" si="1"/>
        <v>0</v>
      </c>
      <c r="I7" s="25">
        <v>0</v>
      </c>
      <c r="J7" s="25">
        <v>99.23</v>
      </c>
      <c r="K7" s="25">
        <v>12</v>
      </c>
      <c r="L7" s="26">
        <v>109.23</v>
      </c>
      <c r="M7" s="25">
        <v>12.4</v>
      </c>
      <c r="N7" s="25">
        <v>119.23</v>
      </c>
      <c r="O7" s="25">
        <v>0</v>
      </c>
      <c r="P7" s="25">
        <v>129.23</v>
      </c>
      <c r="Q7" s="25">
        <v>0</v>
      </c>
      <c r="R7" s="25">
        <v>139.23</v>
      </c>
      <c r="S7" s="25">
        <f>+(I7*J7+K7*L7+M7*N7+O7*P7+Q7*R7)</f>
        <v>2789.212</v>
      </c>
      <c r="T7" s="25"/>
      <c r="U7" s="27">
        <f t="shared" si="2"/>
        <v>1398.30769230769</v>
      </c>
      <c r="V7" s="27">
        <f>150/D7*E7</f>
        <v>140.769230769231</v>
      </c>
      <c r="W7" s="27"/>
      <c r="X7" s="27">
        <f>200/D7*E7</f>
        <v>187.692307692308</v>
      </c>
      <c r="Y7" s="30">
        <v>0</v>
      </c>
      <c r="Z7" s="32">
        <f t="shared" si="3"/>
        <v>195.2</v>
      </c>
      <c r="AA7" s="43"/>
      <c r="AB7" s="34">
        <f t="shared" si="4"/>
        <v>488</v>
      </c>
      <c r="AC7" s="44">
        <f t="shared" si="5"/>
        <v>1984.6</v>
      </c>
      <c r="AD7" s="44">
        <v>0</v>
      </c>
      <c r="AE7" s="41">
        <v>0.988</v>
      </c>
      <c r="AF7" s="34">
        <f t="shared" ref="AF6:AF17" si="6">S7*AE7+T7+U7+V7+W7+X7+Y7+Z7+AA7+AB7+AD7</f>
        <v>5165.71068676923</v>
      </c>
      <c r="AG7" s="46"/>
    </row>
    <row r="8" s="3" customFormat="1" customHeight="1" spans="1:33">
      <c r="A8" s="17">
        <v>5</v>
      </c>
      <c r="B8" s="22" t="s">
        <v>538</v>
      </c>
      <c r="C8" s="23" t="s">
        <v>564</v>
      </c>
      <c r="D8" s="17">
        <v>26</v>
      </c>
      <c r="E8" s="19">
        <v>10.1</v>
      </c>
      <c r="F8" s="70">
        <v>10</v>
      </c>
      <c r="G8" s="70">
        <f t="shared" si="0"/>
        <v>10.1</v>
      </c>
      <c r="H8" s="71">
        <f t="shared" si="1"/>
        <v>0</v>
      </c>
      <c r="I8" s="25">
        <v>0</v>
      </c>
      <c r="J8" s="25">
        <v>99.23</v>
      </c>
      <c r="K8" s="25">
        <v>10.1</v>
      </c>
      <c r="L8" s="26">
        <v>109.23</v>
      </c>
      <c r="M8" s="25">
        <v>0</v>
      </c>
      <c r="N8" s="25">
        <v>119.23</v>
      </c>
      <c r="O8" s="25">
        <v>0</v>
      </c>
      <c r="P8" s="25">
        <v>129.23</v>
      </c>
      <c r="Q8" s="25">
        <v>0</v>
      </c>
      <c r="R8" s="25">
        <v>139.23</v>
      </c>
      <c r="S8" s="25">
        <f t="shared" ref="S8:S18" si="7">+(I8*J8+K8*L8+M8*N8+O8*P8+Q8*R8)</f>
        <v>1103.223</v>
      </c>
      <c r="T8" s="25"/>
      <c r="U8" s="27">
        <f t="shared" si="2"/>
        <v>578.807692307692</v>
      </c>
      <c r="V8" s="27">
        <f t="shared" ref="V8:V17" si="8">150/D8*E8</f>
        <v>58.2692307692308</v>
      </c>
      <c r="W8" s="27"/>
      <c r="X8" s="27">
        <f t="shared" ref="X8:X17" si="9">200/D8*E8</f>
        <v>77.6923076923077</v>
      </c>
      <c r="Y8" s="30">
        <v>0</v>
      </c>
      <c r="Z8" s="32">
        <f t="shared" si="3"/>
        <v>80.8</v>
      </c>
      <c r="AA8" s="43"/>
      <c r="AB8" s="34">
        <f t="shared" si="4"/>
        <v>202</v>
      </c>
      <c r="AC8" s="44">
        <f t="shared" si="5"/>
        <v>1984.6</v>
      </c>
      <c r="AD8" s="44">
        <v>0</v>
      </c>
      <c r="AE8" s="41">
        <v>0.988</v>
      </c>
      <c r="AF8" s="34">
        <f t="shared" si="6"/>
        <v>2087.55355476923</v>
      </c>
      <c r="AG8" s="46"/>
    </row>
    <row r="9" s="3" customFormat="1" customHeight="1" spans="1:33">
      <c r="A9" s="17">
        <v>6</v>
      </c>
      <c r="B9" s="22" t="s">
        <v>538</v>
      </c>
      <c r="C9" s="23" t="s">
        <v>53</v>
      </c>
      <c r="D9" s="17">
        <v>26</v>
      </c>
      <c r="E9" s="19">
        <v>19</v>
      </c>
      <c r="F9" s="70">
        <v>19</v>
      </c>
      <c r="G9" s="70">
        <f t="shared" si="0"/>
        <v>19</v>
      </c>
      <c r="H9" s="70">
        <f t="shared" si="1"/>
        <v>0</v>
      </c>
      <c r="I9" s="25">
        <v>0</v>
      </c>
      <c r="J9" s="25">
        <v>99.23</v>
      </c>
      <c r="K9" s="25">
        <v>10</v>
      </c>
      <c r="L9" s="26">
        <v>109.23</v>
      </c>
      <c r="M9" s="25">
        <v>9</v>
      </c>
      <c r="N9" s="25">
        <v>119.23</v>
      </c>
      <c r="O9" s="25">
        <v>0</v>
      </c>
      <c r="P9" s="25">
        <v>129.23</v>
      </c>
      <c r="Q9" s="25">
        <v>0</v>
      </c>
      <c r="R9" s="25">
        <v>139.23</v>
      </c>
      <c r="S9" s="72">
        <f>(I9*J9+K9*L9+M9*N9+O9*P9+Q9*R9)-100</f>
        <v>2065.37</v>
      </c>
      <c r="T9" s="25"/>
      <c r="U9" s="27">
        <f t="shared" si="2"/>
        <v>1088.84615384615</v>
      </c>
      <c r="V9" s="27">
        <f t="shared" si="8"/>
        <v>109.615384615385</v>
      </c>
      <c r="W9" s="27"/>
      <c r="X9" s="27">
        <f t="shared" si="9"/>
        <v>146.153846153846</v>
      </c>
      <c r="Y9" s="30">
        <v>0</v>
      </c>
      <c r="Z9" s="32">
        <f t="shared" si="3"/>
        <v>152</v>
      </c>
      <c r="AA9" s="43"/>
      <c r="AB9" s="34">
        <f t="shared" si="4"/>
        <v>380</v>
      </c>
      <c r="AC9" s="44">
        <f t="shared" si="5"/>
        <v>1984.6</v>
      </c>
      <c r="AD9" s="44">
        <v>0</v>
      </c>
      <c r="AE9" s="41">
        <v>0.988</v>
      </c>
      <c r="AF9" s="34">
        <f t="shared" si="6"/>
        <v>3917.20094461539</v>
      </c>
      <c r="AG9" s="46"/>
    </row>
    <row r="10" s="4" customFormat="1" customHeight="1" spans="1:33">
      <c r="A10" s="17">
        <v>7</v>
      </c>
      <c r="B10" s="22" t="s">
        <v>493</v>
      </c>
      <c r="C10" s="23" t="s">
        <v>565</v>
      </c>
      <c r="D10" s="17">
        <v>26</v>
      </c>
      <c r="E10" s="19">
        <v>26</v>
      </c>
      <c r="F10" s="70">
        <v>26</v>
      </c>
      <c r="G10" s="70">
        <f t="shared" si="0"/>
        <v>26</v>
      </c>
      <c r="H10" s="70">
        <f t="shared" si="1"/>
        <v>0</v>
      </c>
      <c r="I10" s="17">
        <v>0</v>
      </c>
      <c r="J10" s="25">
        <v>99.23</v>
      </c>
      <c r="K10" s="17">
        <v>12</v>
      </c>
      <c r="L10" s="26">
        <v>109.23</v>
      </c>
      <c r="M10" s="25">
        <v>14</v>
      </c>
      <c r="N10" s="25">
        <v>119.23</v>
      </c>
      <c r="O10" s="25">
        <v>0</v>
      </c>
      <c r="P10" s="25">
        <v>129.23</v>
      </c>
      <c r="Q10" s="25">
        <v>0</v>
      </c>
      <c r="R10" s="25">
        <v>139.23</v>
      </c>
      <c r="S10" s="72">
        <f>+(I10*J10+K10*L10+M10*N10+O10*P10+Q10*R10)-100</f>
        <v>2879.98</v>
      </c>
      <c r="T10" s="25"/>
      <c r="U10" s="27">
        <f t="shared" si="2"/>
        <v>1490</v>
      </c>
      <c r="V10" s="27">
        <f t="shared" si="8"/>
        <v>150</v>
      </c>
      <c r="W10" s="27"/>
      <c r="X10" s="27">
        <v>800</v>
      </c>
      <c r="Y10" s="30">
        <v>300</v>
      </c>
      <c r="Z10" s="32">
        <f t="shared" si="3"/>
        <v>208</v>
      </c>
      <c r="AA10" s="43"/>
      <c r="AB10" s="34">
        <f t="shared" si="4"/>
        <v>520</v>
      </c>
      <c r="AC10" s="44">
        <f t="shared" si="5"/>
        <v>1984.6</v>
      </c>
      <c r="AD10" s="44">
        <v>100</v>
      </c>
      <c r="AE10" s="41">
        <v>0.988</v>
      </c>
      <c r="AF10" s="34">
        <f t="shared" si="6"/>
        <v>6413.42024</v>
      </c>
      <c r="AG10" s="46"/>
    </row>
    <row r="11" s="3" customFormat="1" customHeight="1" spans="1:33">
      <c r="A11" s="17">
        <v>8</v>
      </c>
      <c r="B11" s="22" t="s">
        <v>534</v>
      </c>
      <c r="C11" s="23" t="s">
        <v>566</v>
      </c>
      <c r="D11" s="17">
        <v>26</v>
      </c>
      <c r="E11" s="19">
        <v>8</v>
      </c>
      <c r="F11" s="70">
        <v>8</v>
      </c>
      <c r="G11" s="70">
        <f t="shared" si="0"/>
        <v>8</v>
      </c>
      <c r="H11" s="71">
        <f t="shared" si="1"/>
        <v>0</v>
      </c>
      <c r="I11" s="25">
        <v>0</v>
      </c>
      <c r="J11" s="25">
        <v>99.23</v>
      </c>
      <c r="K11" s="25">
        <v>8</v>
      </c>
      <c r="L11" s="26">
        <v>109.23</v>
      </c>
      <c r="M11" s="25">
        <v>0</v>
      </c>
      <c r="N11" s="25">
        <v>119.23</v>
      </c>
      <c r="O11" s="25">
        <v>0</v>
      </c>
      <c r="P11" s="25">
        <v>129.23</v>
      </c>
      <c r="Q11" s="25">
        <v>0</v>
      </c>
      <c r="R11" s="25">
        <v>139.23</v>
      </c>
      <c r="S11" s="25">
        <f t="shared" si="7"/>
        <v>873.84</v>
      </c>
      <c r="T11" s="25"/>
      <c r="U11" s="27">
        <f t="shared" si="2"/>
        <v>458.461538461539</v>
      </c>
      <c r="V11" s="27">
        <f t="shared" si="8"/>
        <v>46.1538461538462</v>
      </c>
      <c r="W11" s="27"/>
      <c r="X11" s="27">
        <f t="shared" si="9"/>
        <v>61.5384615384615</v>
      </c>
      <c r="Y11" s="30">
        <v>0</v>
      </c>
      <c r="Z11" s="32">
        <f t="shared" si="3"/>
        <v>64</v>
      </c>
      <c r="AA11" s="43"/>
      <c r="AB11" s="34">
        <f t="shared" si="4"/>
        <v>160</v>
      </c>
      <c r="AC11" s="44">
        <f t="shared" si="5"/>
        <v>1984.6</v>
      </c>
      <c r="AD11" s="44">
        <v>0</v>
      </c>
      <c r="AE11" s="41">
        <v>0.988</v>
      </c>
      <c r="AF11" s="34">
        <f t="shared" si="6"/>
        <v>1653.50776615385</v>
      </c>
      <c r="AG11" s="46"/>
    </row>
    <row r="12" s="3" customFormat="1" customHeight="1" spans="1:33">
      <c r="A12" s="17">
        <v>9</v>
      </c>
      <c r="B12" s="22" t="s">
        <v>508</v>
      </c>
      <c r="C12" s="23" t="s">
        <v>567</v>
      </c>
      <c r="D12" s="17">
        <v>26</v>
      </c>
      <c r="E12" s="19">
        <v>6</v>
      </c>
      <c r="F12" s="70">
        <v>6</v>
      </c>
      <c r="G12" s="70">
        <f t="shared" si="0"/>
        <v>6</v>
      </c>
      <c r="H12" s="71">
        <f t="shared" si="1"/>
        <v>0</v>
      </c>
      <c r="I12" s="25">
        <v>0</v>
      </c>
      <c r="J12" s="25">
        <v>99.23</v>
      </c>
      <c r="K12" s="25">
        <v>6</v>
      </c>
      <c r="L12" s="26">
        <v>109.23</v>
      </c>
      <c r="M12" s="25">
        <v>0</v>
      </c>
      <c r="N12" s="25">
        <v>119.23</v>
      </c>
      <c r="O12" s="25">
        <v>0</v>
      </c>
      <c r="P12" s="25">
        <v>129.23</v>
      </c>
      <c r="Q12" s="25">
        <v>0</v>
      </c>
      <c r="R12" s="25">
        <v>139.23</v>
      </c>
      <c r="S12" s="25">
        <f t="shared" si="7"/>
        <v>655.38</v>
      </c>
      <c r="T12" s="25"/>
      <c r="U12" s="27">
        <f t="shared" si="2"/>
        <v>343.846153846154</v>
      </c>
      <c r="V12" s="27">
        <f t="shared" si="8"/>
        <v>34.6153846153846</v>
      </c>
      <c r="W12" s="27"/>
      <c r="X12" s="27">
        <f t="shared" si="9"/>
        <v>46.1538461538462</v>
      </c>
      <c r="Y12" s="30">
        <v>0</v>
      </c>
      <c r="Z12" s="32">
        <f t="shared" si="3"/>
        <v>48</v>
      </c>
      <c r="AA12" s="43"/>
      <c r="AB12" s="34">
        <f t="shared" si="4"/>
        <v>120</v>
      </c>
      <c r="AC12" s="44">
        <f t="shared" si="5"/>
        <v>1984.6</v>
      </c>
      <c r="AD12" s="44">
        <v>0</v>
      </c>
      <c r="AE12" s="41">
        <v>0.988</v>
      </c>
      <c r="AF12" s="34">
        <f t="shared" si="6"/>
        <v>1240.13082461538</v>
      </c>
      <c r="AG12" s="46"/>
    </row>
    <row r="13" s="1" customFormat="1" customHeight="1" spans="1:33">
      <c r="A13" s="17">
        <v>10</v>
      </c>
      <c r="B13" s="22" t="s">
        <v>534</v>
      </c>
      <c r="C13" s="23" t="s">
        <v>568</v>
      </c>
      <c r="D13" s="17">
        <v>26</v>
      </c>
      <c r="E13" s="19">
        <v>4</v>
      </c>
      <c r="F13" s="70">
        <v>4</v>
      </c>
      <c r="G13" s="70">
        <f t="shared" si="0"/>
        <v>4</v>
      </c>
      <c r="H13" s="71">
        <f t="shared" si="1"/>
        <v>0</v>
      </c>
      <c r="I13" s="25">
        <v>0</v>
      </c>
      <c r="J13" s="25">
        <v>99.23</v>
      </c>
      <c r="K13" s="25">
        <v>4</v>
      </c>
      <c r="L13" s="26">
        <v>109.23</v>
      </c>
      <c r="M13" s="25">
        <v>0</v>
      </c>
      <c r="N13" s="25">
        <v>119.23</v>
      </c>
      <c r="O13" s="25">
        <v>0</v>
      </c>
      <c r="P13" s="25">
        <v>129.23</v>
      </c>
      <c r="Q13" s="25">
        <v>0</v>
      </c>
      <c r="R13" s="25">
        <v>139.23</v>
      </c>
      <c r="S13" s="25">
        <f t="shared" si="7"/>
        <v>436.92</v>
      </c>
      <c r="T13" s="25"/>
      <c r="U13" s="27">
        <f t="shared" si="2"/>
        <v>229.230769230769</v>
      </c>
      <c r="V13" s="27">
        <f t="shared" si="8"/>
        <v>23.0769230769231</v>
      </c>
      <c r="W13" s="27"/>
      <c r="X13" s="27">
        <f t="shared" si="9"/>
        <v>30.7692307692308</v>
      </c>
      <c r="Y13" s="30">
        <v>0</v>
      </c>
      <c r="Z13" s="32">
        <f t="shared" si="3"/>
        <v>32</v>
      </c>
      <c r="AA13" s="43"/>
      <c r="AB13" s="34">
        <f t="shared" si="4"/>
        <v>80</v>
      </c>
      <c r="AC13" s="44">
        <f t="shared" si="5"/>
        <v>1984.6</v>
      </c>
      <c r="AD13" s="44">
        <v>0</v>
      </c>
      <c r="AE13" s="41">
        <v>0.988</v>
      </c>
      <c r="AF13" s="34">
        <f t="shared" si="6"/>
        <v>826.753883076923</v>
      </c>
      <c r="AG13" s="46"/>
    </row>
    <row r="14" s="3" customFormat="1" customHeight="1" spans="1:33">
      <c r="A14" s="17">
        <v>11</v>
      </c>
      <c r="B14" s="22" t="s">
        <v>534</v>
      </c>
      <c r="C14" s="21" t="s">
        <v>569</v>
      </c>
      <c r="D14" s="17">
        <v>26</v>
      </c>
      <c r="E14" s="19">
        <v>5</v>
      </c>
      <c r="F14" s="70">
        <v>5</v>
      </c>
      <c r="G14" s="70">
        <f t="shared" si="0"/>
        <v>5</v>
      </c>
      <c r="H14" s="70">
        <f t="shared" si="1"/>
        <v>0</v>
      </c>
      <c r="I14" s="25">
        <v>0</v>
      </c>
      <c r="J14" s="25">
        <v>99.23</v>
      </c>
      <c r="K14" s="25">
        <v>0</v>
      </c>
      <c r="L14" s="26">
        <v>109.23</v>
      </c>
      <c r="M14" s="25">
        <v>1</v>
      </c>
      <c r="N14" s="25">
        <v>119.23</v>
      </c>
      <c r="O14" s="25">
        <v>3</v>
      </c>
      <c r="P14" s="25">
        <v>129.23</v>
      </c>
      <c r="Q14" s="25">
        <v>1</v>
      </c>
      <c r="R14" s="25">
        <v>139.23</v>
      </c>
      <c r="S14" s="25">
        <f t="shared" si="7"/>
        <v>646.15</v>
      </c>
      <c r="T14" s="25"/>
      <c r="U14" s="27">
        <f t="shared" si="2"/>
        <v>286.538461538462</v>
      </c>
      <c r="V14" s="27">
        <f t="shared" si="8"/>
        <v>28.8461538461538</v>
      </c>
      <c r="W14" s="27"/>
      <c r="X14" s="27">
        <f t="shared" si="9"/>
        <v>38.4615384615385</v>
      </c>
      <c r="Y14" s="30">
        <v>0</v>
      </c>
      <c r="Z14" s="32">
        <f t="shared" si="3"/>
        <v>40</v>
      </c>
      <c r="AA14" s="43"/>
      <c r="AB14" s="34">
        <f t="shared" si="4"/>
        <v>100</v>
      </c>
      <c r="AC14" s="44">
        <f t="shared" si="5"/>
        <v>1984.6</v>
      </c>
      <c r="AD14" s="44">
        <v>0</v>
      </c>
      <c r="AE14" s="41">
        <v>0.988</v>
      </c>
      <c r="AF14" s="34">
        <f t="shared" si="6"/>
        <v>1132.24235384615</v>
      </c>
      <c r="AG14" s="46"/>
    </row>
    <row r="15" s="3" customFormat="1" customHeight="1" spans="1:33">
      <c r="A15" s="17">
        <v>12</v>
      </c>
      <c r="B15" s="22" t="s">
        <v>508</v>
      </c>
      <c r="C15" s="21" t="s">
        <v>570</v>
      </c>
      <c r="D15" s="17">
        <v>26</v>
      </c>
      <c r="E15" s="19">
        <v>6</v>
      </c>
      <c r="F15" s="70">
        <v>6</v>
      </c>
      <c r="G15" s="70">
        <f t="shared" si="0"/>
        <v>6</v>
      </c>
      <c r="H15" s="70">
        <f t="shared" si="1"/>
        <v>0</v>
      </c>
      <c r="I15" s="25">
        <v>0</v>
      </c>
      <c r="J15" s="25">
        <v>99.23</v>
      </c>
      <c r="K15" s="25">
        <v>0</v>
      </c>
      <c r="L15" s="26">
        <v>109.23</v>
      </c>
      <c r="M15" s="25">
        <v>1</v>
      </c>
      <c r="N15" s="25">
        <v>119.23</v>
      </c>
      <c r="O15" s="25">
        <v>2</v>
      </c>
      <c r="P15" s="25">
        <v>129.23</v>
      </c>
      <c r="Q15" s="25">
        <v>3</v>
      </c>
      <c r="R15" s="25">
        <v>139.23</v>
      </c>
      <c r="S15" s="25">
        <f t="shared" si="7"/>
        <v>795.38</v>
      </c>
      <c r="T15" s="25"/>
      <c r="U15" s="27">
        <f t="shared" ref="U15:U22" si="10">+E15/D15*1490</f>
        <v>343.846153846154</v>
      </c>
      <c r="V15" s="27">
        <f t="shared" ref="V15:V22" si="11">150/D15*E15</f>
        <v>34.6153846153846</v>
      </c>
      <c r="W15" s="27"/>
      <c r="X15" s="27">
        <f t="shared" ref="X15:X22" si="12">200/D15*E15</f>
        <v>46.1538461538462</v>
      </c>
      <c r="Y15" s="30">
        <v>0</v>
      </c>
      <c r="Z15" s="32">
        <f t="shared" ref="Z15:Z22" si="13">8*E15</f>
        <v>48</v>
      </c>
      <c r="AA15" s="43"/>
      <c r="AB15" s="34">
        <f t="shared" ref="AB15:AB22" si="14">20*E15</f>
        <v>120</v>
      </c>
      <c r="AC15" s="44"/>
      <c r="AD15" s="44">
        <v>0</v>
      </c>
      <c r="AE15" s="41">
        <v>0.988</v>
      </c>
      <c r="AF15" s="34">
        <f t="shared" ref="AF15:AF22" si="15">S15*AE15+T15+U15+V15+W15+X15+Y15+Z15+AA15+AB15+AD15</f>
        <v>1378.45082461538</v>
      </c>
      <c r="AG15" s="46"/>
    </row>
    <row r="16" s="3" customFormat="1" customHeight="1" spans="1:33">
      <c r="A16" s="17">
        <v>13</v>
      </c>
      <c r="B16" s="22" t="s">
        <v>508</v>
      </c>
      <c r="C16" s="21" t="s">
        <v>571</v>
      </c>
      <c r="D16" s="17">
        <v>26</v>
      </c>
      <c r="E16" s="19">
        <v>6</v>
      </c>
      <c r="F16" s="70">
        <v>6</v>
      </c>
      <c r="G16" s="70">
        <f t="shared" si="0"/>
        <v>6</v>
      </c>
      <c r="H16" s="70">
        <f t="shared" si="1"/>
        <v>0</v>
      </c>
      <c r="I16" s="25">
        <v>1</v>
      </c>
      <c r="J16" s="25">
        <v>99.23</v>
      </c>
      <c r="K16" s="25">
        <v>0</v>
      </c>
      <c r="L16" s="26">
        <v>109.23</v>
      </c>
      <c r="M16" s="25">
        <v>1</v>
      </c>
      <c r="N16" s="25">
        <v>119.23</v>
      </c>
      <c r="O16" s="25">
        <v>1</v>
      </c>
      <c r="P16" s="25">
        <v>129.23</v>
      </c>
      <c r="Q16" s="25">
        <v>3</v>
      </c>
      <c r="R16" s="25">
        <v>139.23</v>
      </c>
      <c r="S16" s="25">
        <f t="shared" si="7"/>
        <v>765.38</v>
      </c>
      <c r="T16" s="25"/>
      <c r="U16" s="27">
        <f t="shared" si="10"/>
        <v>343.846153846154</v>
      </c>
      <c r="V16" s="27">
        <f t="shared" si="11"/>
        <v>34.6153846153846</v>
      </c>
      <c r="W16" s="27"/>
      <c r="X16" s="27">
        <f t="shared" si="12"/>
        <v>46.1538461538462</v>
      </c>
      <c r="Y16" s="30">
        <v>0</v>
      </c>
      <c r="Z16" s="32">
        <f t="shared" si="13"/>
        <v>48</v>
      </c>
      <c r="AA16" s="43"/>
      <c r="AB16" s="34">
        <f t="shared" si="14"/>
        <v>120</v>
      </c>
      <c r="AC16" s="44"/>
      <c r="AD16" s="44">
        <v>0</v>
      </c>
      <c r="AE16" s="41">
        <v>0.988</v>
      </c>
      <c r="AF16" s="34">
        <f t="shared" si="15"/>
        <v>1348.81082461538</v>
      </c>
      <c r="AG16" s="46"/>
    </row>
    <row r="17" s="3" customFormat="1" customHeight="1" spans="1:33">
      <c r="A17" s="17">
        <v>14</v>
      </c>
      <c r="B17" s="22" t="s">
        <v>534</v>
      </c>
      <c r="C17" s="21" t="s">
        <v>572</v>
      </c>
      <c r="D17" s="17">
        <v>26</v>
      </c>
      <c r="E17" s="19">
        <v>2.4</v>
      </c>
      <c r="F17" s="70">
        <v>2.5</v>
      </c>
      <c r="G17" s="70">
        <f t="shared" si="0"/>
        <v>2.4</v>
      </c>
      <c r="H17" s="71">
        <f t="shared" si="1"/>
        <v>0</v>
      </c>
      <c r="I17" s="25">
        <v>0</v>
      </c>
      <c r="J17" s="25">
        <v>99.23</v>
      </c>
      <c r="K17" s="25">
        <v>1.4</v>
      </c>
      <c r="L17" s="26">
        <v>109.23</v>
      </c>
      <c r="M17" s="25">
        <v>1</v>
      </c>
      <c r="N17" s="25">
        <v>119.23</v>
      </c>
      <c r="O17" s="25">
        <v>0</v>
      </c>
      <c r="P17" s="25">
        <v>129.23</v>
      </c>
      <c r="Q17" s="25">
        <v>0</v>
      </c>
      <c r="R17" s="25">
        <v>139.23</v>
      </c>
      <c r="S17" s="25">
        <f t="shared" si="7"/>
        <v>272.152</v>
      </c>
      <c r="T17" s="25"/>
      <c r="U17" s="27">
        <f t="shared" si="10"/>
        <v>137.538461538462</v>
      </c>
      <c r="V17" s="27">
        <f t="shared" si="11"/>
        <v>13.8461538461538</v>
      </c>
      <c r="W17" s="27"/>
      <c r="X17" s="27">
        <f t="shared" si="12"/>
        <v>18.4615384615385</v>
      </c>
      <c r="Y17" s="30">
        <v>0</v>
      </c>
      <c r="Z17" s="32">
        <f t="shared" si="13"/>
        <v>19.2</v>
      </c>
      <c r="AA17" s="43"/>
      <c r="AB17" s="34">
        <f t="shared" si="14"/>
        <v>48</v>
      </c>
      <c r="AC17" s="44"/>
      <c r="AD17" s="44">
        <v>0</v>
      </c>
      <c r="AE17" s="41">
        <v>0.988</v>
      </c>
      <c r="AF17" s="34">
        <f t="shared" si="15"/>
        <v>505.932329846154</v>
      </c>
      <c r="AG17" s="46"/>
    </row>
    <row r="18" s="3" customFormat="1" customHeight="1" spans="1:33">
      <c r="A18" s="17">
        <v>15</v>
      </c>
      <c r="B18" s="51" t="s">
        <v>573</v>
      </c>
      <c r="C18" s="52" t="s">
        <v>574</v>
      </c>
      <c r="D18" s="53">
        <v>26</v>
      </c>
      <c r="E18" s="54">
        <v>27</v>
      </c>
      <c r="F18" s="71">
        <v>26</v>
      </c>
      <c r="G18" s="70">
        <f t="shared" si="0"/>
        <v>1</v>
      </c>
      <c r="H18" s="71">
        <f t="shared" si="1"/>
        <v>-26</v>
      </c>
      <c r="I18" s="61">
        <v>0</v>
      </c>
      <c r="J18" s="61">
        <v>99.23</v>
      </c>
      <c r="K18" s="61">
        <v>0</v>
      </c>
      <c r="L18" s="62">
        <v>109.23</v>
      </c>
      <c r="M18" s="61">
        <v>0</v>
      </c>
      <c r="N18" s="61">
        <v>119.23</v>
      </c>
      <c r="O18" s="61">
        <v>1</v>
      </c>
      <c r="P18" s="61">
        <v>129.23</v>
      </c>
      <c r="Q18" s="61">
        <v>0</v>
      </c>
      <c r="R18" s="61">
        <v>139.23</v>
      </c>
      <c r="S18" s="61">
        <f t="shared" si="7"/>
        <v>129.23</v>
      </c>
      <c r="T18" s="25"/>
      <c r="U18" s="27">
        <f t="shared" si="10"/>
        <v>1547.30769230769</v>
      </c>
      <c r="V18" s="27">
        <f t="shared" si="11"/>
        <v>155.769230769231</v>
      </c>
      <c r="W18" s="27"/>
      <c r="X18" s="27">
        <f t="shared" si="12"/>
        <v>207.692307692308</v>
      </c>
      <c r="Y18" s="30">
        <v>0</v>
      </c>
      <c r="Z18" s="32">
        <f t="shared" si="13"/>
        <v>216</v>
      </c>
      <c r="AA18" s="43"/>
      <c r="AB18" s="34">
        <f t="shared" si="14"/>
        <v>540</v>
      </c>
      <c r="AC18" s="44">
        <f>+J18*20</f>
        <v>1984.6</v>
      </c>
      <c r="AD18" s="44">
        <v>0</v>
      </c>
      <c r="AE18" s="41">
        <v>0.988</v>
      </c>
      <c r="AF18" s="34">
        <f t="shared" si="15"/>
        <v>2794.44847076923</v>
      </c>
      <c r="AG18" s="46"/>
    </row>
    <row r="19" s="3" customFormat="1" customHeight="1" spans="1:33">
      <c r="A19" s="17">
        <v>16</v>
      </c>
      <c r="B19" s="22" t="s">
        <v>493</v>
      </c>
      <c r="C19" s="21" t="s">
        <v>575</v>
      </c>
      <c r="D19" s="17">
        <v>26</v>
      </c>
      <c r="E19" s="19">
        <v>14</v>
      </c>
      <c r="F19" s="70">
        <v>14</v>
      </c>
      <c r="G19" s="70">
        <f t="shared" si="0"/>
        <v>14</v>
      </c>
      <c r="H19" s="71">
        <f t="shared" si="1"/>
        <v>0</v>
      </c>
      <c r="I19" s="25">
        <v>0</v>
      </c>
      <c r="J19" s="25">
        <v>99.23</v>
      </c>
      <c r="K19" s="25">
        <v>2</v>
      </c>
      <c r="L19" s="26">
        <v>109.23</v>
      </c>
      <c r="M19" s="25">
        <v>2</v>
      </c>
      <c r="N19" s="25">
        <v>119.23</v>
      </c>
      <c r="O19" s="25">
        <v>6</v>
      </c>
      <c r="P19" s="25">
        <v>129.23</v>
      </c>
      <c r="Q19" s="25">
        <v>4</v>
      </c>
      <c r="R19" s="25">
        <v>139.23</v>
      </c>
      <c r="S19" s="72">
        <f>+(I19*J19+K19*L19+M19*N19+O19*P19+Q19*R19)-100</f>
        <v>1689.22</v>
      </c>
      <c r="T19" s="25"/>
      <c r="U19" s="27">
        <f t="shared" si="10"/>
        <v>802.307692307692</v>
      </c>
      <c r="V19" s="27">
        <f t="shared" si="11"/>
        <v>80.7692307692308</v>
      </c>
      <c r="W19" s="27"/>
      <c r="X19" s="27">
        <f t="shared" si="12"/>
        <v>107.692307692308</v>
      </c>
      <c r="Y19" s="30">
        <v>0</v>
      </c>
      <c r="Z19" s="32">
        <f t="shared" si="13"/>
        <v>112</v>
      </c>
      <c r="AA19" s="43"/>
      <c r="AB19" s="34">
        <f t="shared" si="14"/>
        <v>280</v>
      </c>
      <c r="AC19" s="44"/>
      <c r="AD19" s="44">
        <v>0</v>
      </c>
      <c r="AE19" s="41">
        <v>0.988</v>
      </c>
      <c r="AF19" s="34">
        <f t="shared" si="15"/>
        <v>3051.71859076923</v>
      </c>
      <c r="AG19" s="46"/>
    </row>
    <row r="20" s="3" customFormat="1" customHeight="1" spans="1:33">
      <c r="A20" s="17">
        <v>17</v>
      </c>
      <c r="B20" s="22" t="s">
        <v>538</v>
      </c>
      <c r="C20" s="21" t="s">
        <v>576</v>
      </c>
      <c r="D20" s="17">
        <v>26</v>
      </c>
      <c r="E20" s="19">
        <v>2</v>
      </c>
      <c r="F20" s="70">
        <v>2</v>
      </c>
      <c r="G20" s="70">
        <f t="shared" si="0"/>
        <v>2</v>
      </c>
      <c r="H20" s="71">
        <f t="shared" si="1"/>
        <v>0</v>
      </c>
      <c r="I20" s="25">
        <v>0</v>
      </c>
      <c r="J20" s="25">
        <v>99.23</v>
      </c>
      <c r="K20" s="25">
        <v>0</v>
      </c>
      <c r="L20" s="26">
        <v>109.23</v>
      </c>
      <c r="M20" s="25">
        <v>2</v>
      </c>
      <c r="N20" s="25">
        <v>119.23</v>
      </c>
      <c r="O20" s="25">
        <v>0</v>
      </c>
      <c r="P20" s="25">
        <v>129.23</v>
      </c>
      <c r="Q20" s="25">
        <v>0</v>
      </c>
      <c r="R20" s="25">
        <v>139.23</v>
      </c>
      <c r="S20" s="25">
        <f>+(I20*J20+K20*L20+M20*N20+O20*P20+Q20*R20)</f>
        <v>238.46</v>
      </c>
      <c r="T20" s="25"/>
      <c r="U20" s="27">
        <f t="shared" si="10"/>
        <v>114.615384615385</v>
      </c>
      <c r="V20" s="27">
        <f t="shared" si="11"/>
        <v>11.5384615384615</v>
      </c>
      <c r="W20" s="27"/>
      <c r="X20" s="27">
        <f t="shared" si="12"/>
        <v>15.3846153846154</v>
      </c>
      <c r="Y20" s="30">
        <v>0</v>
      </c>
      <c r="Z20" s="32">
        <f t="shared" si="13"/>
        <v>16</v>
      </c>
      <c r="AA20" s="43"/>
      <c r="AB20" s="34">
        <f t="shared" si="14"/>
        <v>40</v>
      </c>
      <c r="AC20" s="44"/>
      <c r="AD20" s="44">
        <v>0</v>
      </c>
      <c r="AE20" s="41">
        <v>0.988</v>
      </c>
      <c r="AF20" s="34">
        <f t="shared" si="15"/>
        <v>433.136941538462</v>
      </c>
      <c r="AG20" s="46"/>
    </row>
    <row r="21" s="3" customFormat="1" customHeight="1" spans="1:33">
      <c r="A21" s="17">
        <v>18</v>
      </c>
      <c r="B21" s="22" t="s">
        <v>538</v>
      </c>
      <c r="C21" s="21" t="s">
        <v>577</v>
      </c>
      <c r="D21" s="17">
        <v>26</v>
      </c>
      <c r="E21" s="19">
        <v>2</v>
      </c>
      <c r="F21" s="70">
        <v>2</v>
      </c>
      <c r="G21" s="70">
        <f t="shared" si="0"/>
        <v>2</v>
      </c>
      <c r="H21" s="71">
        <f t="shared" si="1"/>
        <v>0</v>
      </c>
      <c r="I21" s="25">
        <v>0</v>
      </c>
      <c r="J21" s="25">
        <v>99.23</v>
      </c>
      <c r="K21" s="25">
        <v>0</v>
      </c>
      <c r="L21" s="26">
        <v>109.23</v>
      </c>
      <c r="M21" s="25">
        <v>2</v>
      </c>
      <c r="N21" s="25">
        <v>119.23</v>
      </c>
      <c r="O21" s="25">
        <v>0</v>
      </c>
      <c r="P21" s="25">
        <v>129.23</v>
      </c>
      <c r="Q21" s="25">
        <v>0</v>
      </c>
      <c r="R21" s="25">
        <v>139.23</v>
      </c>
      <c r="S21" s="25">
        <f>+(I21*J21+K21*L21+M21*N21+O21*P21+Q21*R21)</f>
        <v>238.46</v>
      </c>
      <c r="T21" s="25"/>
      <c r="U21" s="27">
        <f t="shared" si="10"/>
        <v>114.615384615385</v>
      </c>
      <c r="V21" s="27">
        <f t="shared" si="11"/>
        <v>11.5384615384615</v>
      </c>
      <c r="W21" s="27"/>
      <c r="X21" s="27">
        <f t="shared" si="12"/>
        <v>15.3846153846154</v>
      </c>
      <c r="Y21" s="30">
        <v>0</v>
      </c>
      <c r="Z21" s="32">
        <f t="shared" si="13"/>
        <v>16</v>
      </c>
      <c r="AA21" s="43"/>
      <c r="AB21" s="34">
        <f t="shared" si="14"/>
        <v>40</v>
      </c>
      <c r="AC21" s="44">
        <f>+J21*20</f>
        <v>1984.6</v>
      </c>
      <c r="AD21" s="44">
        <v>0</v>
      </c>
      <c r="AE21" s="41">
        <v>0.988</v>
      </c>
      <c r="AF21" s="34">
        <f t="shared" si="15"/>
        <v>433.136941538462</v>
      </c>
      <c r="AG21" s="46"/>
    </row>
    <row r="22" s="3" customFormat="1" customHeight="1" spans="1:33">
      <c r="A22" s="17">
        <v>19</v>
      </c>
      <c r="B22" s="22" t="s">
        <v>495</v>
      </c>
      <c r="C22" s="21" t="s">
        <v>578</v>
      </c>
      <c r="D22" s="17">
        <v>26</v>
      </c>
      <c r="E22" s="19">
        <v>21</v>
      </c>
      <c r="F22" s="70">
        <v>21</v>
      </c>
      <c r="G22" s="70">
        <f t="shared" si="0"/>
        <v>21</v>
      </c>
      <c r="H22" s="70">
        <f t="shared" si="1"/>
        <v>0</v>
      </c>
      <c r="I22" s="25">
        <v>0</v>
      </c>
      <c r="J22" s="25">
        <v>99.23</v>
      </c>
      <c r="K22" s="25">
        <v>2</v>
      </c>
      <c r="L22" s="26">
        <v>109.23</v>
      </c>
      <c r="M22" s="25">
        <v>4</v>
      </c>
      <c r="N22" s="25">
        <v>119.23</v>
      </c>
      <c r="O22" s="25">
        <v>7</v>
      </c>
      <c r="P22" s="25">
        <v>129.23</v>
      </c>
      <c r="Q22" s="25">
        <v>8</v>
      </c>
      <c r="R22" s="25">
        <v>139.23</v>
      </c>
      <c r="S22" s="72">
        <f>+(I22*J22+K22*L22+M22*N22+O22*P22+Q22*R22)-100</f>
        <v>2613.83</v>
      </c>
      <c r="T22" s="25"/>
      <c r="U22" s="27">
        <f t="shared" si="10"/>
        <v>1203.46153846154</v>
      </c>
      <c r="V22" s="27">
        <f t="shared" si="11"/>
        <v>121.153846153846</v>
      </c>
      <c r="W22" s="27"/>
      <c r="X22" s="27">
        <f t="shared" si="12"/>
        <v>161.538461538462</v>
      </c>
      <c r="Y22" s="30">
        <v>0</v>
      </c>
      <c r="Z22" s="32">
        <f t="shared" si="13"/>
        <v>168</v>
      </c>
      <c r="AA22" s="43"/>
      <c r="AB22" s="34">
        <f t="shared" si="14"/>
        <v>420</v>
      </c>
      <c r="AC22" s="44">
        <f>+J22*20</f>
        <v>1984.6</v>
      </c>
      <c r="AD22" s="44">
        <v>50</v>
      </c>
      <c r="AE22" s="41">
        <v>0.988</v>
      </c>
      <c r="AF22" s="34">
        <f t="shared" si="15"/>
        <v>4706.61788615385</v>
      </c>
      <c r="AG22" s="46"/>
    </row>
    <row r="23" s="5" customFormat="1" customHeight="1" spans="1:33">
      <c r="A23" s="17" t="s">
        <v>5</v>
      </c>
      <c r="B23" s="17"/>
      <c r="C23" s="17"/>
      <c r="D23" s="17"/>
      <c r="E23" s="19"/>
      <c r="F23" s="19"/>
      <c r="G23" s="19"/>
      <c r="H23" s="19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65">
        <f t="shared" ref="T23:AD23" si="16">SUM(T4:T22)</f>
        <v>1200</v>
      </c>
      <c r="U23" s="65">
        <f t="shared" si="16"/>
        <v>13920.0384615385</v>
      </c>
      <c r="V23" s="65">
        <f t="shared" si="16"/>
        <v>1366.73076923077</v>
      </c>
      <c r="W23" s="65">
        <f t="shared" si="16"/>
        <v>0</v>
      </c>
      <c r="X23" s="65">
        <f t="shared" si="16"/>
        <v>2422.30769230769</v>
      </c>
      <c r="Y23" s="65">
        <f t="shared" si="16"/>
        <v>900</v>
      </c>
      <c r="Z23" s="65">
        <f t="shared" si="16"/>
        <v>1943.2</v>
      </c>
      <c r="AA23" s="65">
        <f t="shared" si="16"/>
        <v>0</v>
      </c>
      <c r="AB23" s="65">
        <f t="shared" si="16"/>
        <v>4858</v>
      </c>
      <c r="AC23" s="65">
        <f t="shared" si="16"/>
        <v>25799.8</v>
      </c>
      <c r="AD23" s="65">
        <f t="shared" si="16"/>
        <v>350</v>
      </c>
      <c r="AE23" s="27"/>
      <c r="AF23" s="41">
        <f>SUM((AF4:AF22))</f>
        <v>52011.9920790769</v>
      </c>
      <c r="AG23" s="17"/>
    </row>
    <row r="24" s="5" customFormat="1" customHeight="1" spans="1:32">
      <c r="A24" s="8"/>
      <c r="B24" s="56"/>
      <c r="C24" s="56"/>
      <c r="D24" s="57"/>
      <c r="E24" s="55"/>
      <c r="F24" s="55"/>
      <c r="G24" s="55"/>
      <c r="H24" s="55"/>
      <c r="I24" s="63"/>
      <c r="J24" s="55"/>
      <c r="K24" s="55"/>
      <c r="M24" s="55"/>
      <c r="N24" s="55"/>
      <c r="O24" s="55"/>
      <c r="P24" s="55"/>
      <c r="Q24" s="55"/>
      <c r="S24" s="55"/>
      <c r="T24" s="55"/>
      <c r="U24" s="63"/>
      <c r="V24" s="63"/>
      <c r="W24" s="8"/>
      <c r="X24" s="8"/>
      <c r="Y24" s="7"/>
      <c r="Z24" s="1"/>
      <c r="AA24" s="56"/>
      <c r="AB24" s="8"/>
      <c r="AC24" s="1"/>
      <c r="AD24" s="1"/>
      <c r="AE24" s="9"/>
      <c r="AF24" s="9"/>
    </row>
    <row r="25" s="3" customFormat="1" customHeight="1" spans="1:33">
      <c r="A25" s="56"/>
      <c r="B25" s="56"/>
      <c r="C25" s="59" t="s">
        <v>513</v>
      </c>
      <c r="D25" s="60"/>
      <c r="E25" s="58"/>
      <c r="F25" s="58"/>
      <c r="G25" s="58"/>
      <c r="H25" s="58"/>
      <c r="I25" s="60"/>
      <c r="J25" s="60"/>
      <c r="K25" s="64"/>
      <c r="L25" s="60" t="s">
        <v>514</v>
      </c>
      <c r="M25" s="60"/>
      <c r="N25" s="60"/>
      <c r="O25" s="60"/>
      <c r="P25" s="60"/>
      <c r="Q25" s="64"/>
      <c r="R25" s="63"/>
      <c r="S25" s="55"/>
      <c r="T25" s="55" t="s">
        <v>64</v>
      </c>
      <c r="U25" s="8"/>
      <c r="V25" s="8"/>
      <c r="W25" s="8"/>
      <c r="X25" s="8"/>
      <c r="Y25" s="7"/>
      <c r="Z25" s="1"/>
      <c r="AA25" s="56"/>
      <c r="AB25" s="8"/>
      <c r="AC25" s="1"/>
      <c r="AD25" s="1"/>
      <c r="AE25" s="9"/>
      <c r="AF25" s="9"/>
      <c r="AG25" s="1"/>
    </row>
    <row r="26" s="3" customFormat="1" customHeight="1" spans="1:33">
      <c r="A26" s="1"/>
      <c r="B2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v>500</v>
      </c>
      <c r="T26" s="1"/>
      <c r="U26" s="1"/>
      <c r="V26" s="1"/>
      <c r="W26" s="1"/>
      <c r="X26" s="1"/>
      <c r="Y26" s="7"/>
      <c r="Z26" s="1"/>
      <c r="AA26" s="1"/>
      <c r="AB26" s="8"/>
      <c r="AC26" s="1"/>
      <c r="AD26" s="1"/>
      <c r="AE26" s="9"/>
      <c r="AF26" s="9"/>
      <c r="AG26" s="1"/>
    </row>
    <row r="27" s="3" customFormat="1" customHeight="1" spans="1:33">
      <c r="A27" s="1"/>
      <c r="AG27" s="1"/>
    </row>
    <row r="28" s="3" customFormat="1" customHeight="1" spans="1:33">
      <c r="A28" s="1"/>
      <c r="AG28" s="1"/>
    </row>
    <row r="29" s="3" customFormat="1" customHeight="1" spans="1:33">
      <c r="A29" s="1"/>
      <c r="B29"/>
      <c r="C29" s="1"/>
      <c r="D29" s="5"/>
      <c r="E29" s="5"/>
      <c r="F29" s="58"/>
      <c r="G29" s="58"/>
      <c r="H29" s="58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7"/>
      <c r="Z29" s="1"/>
      <c r="AA29" s="1"/>
      <c r="AB29" s="8"/>
      <c r="AC29" s="1"/>
      <c r="AD29" s="1"/>
      <c r="AE29" s="9"/>
      <c r="AF29" s="9"/>
      <c r="AG29" s="1"/>
    </row>
    <row r="30" s="3" customFormat="1" customHeight="1" spans="1:33">
      <c r="A30" s="1"/>
      <c r="B30"/>
      <c r="C30" s="1"/>
      <c r="D30" s="5"/>
      <c r="E30" s="5"/>
      <c r="F30" s="55"/>
      <c r="G30" s="55"/>
      <c r="H30" s="5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7"/>
      <c r="Z30" s="1"/>
      <c r="AA30" s="1"/>
      <c r="AB30" s="8"/>
      <c r="AC30" s="1"/>
      <c r="AD30" s="1"/>
      <c r="AE30" s="9"/>
      <c r="AF30" s="9"/>
      <c r="AG30" s="1"/>
    </row>
    <row r="31" s="3" customFormat="1" customHeight="1" spans="1:33">
      <c r="A31" s="1"/>
      <c r="B31"/>
      <c r="C31" s="1"/>
      <c r="D31" s="5"/>
      <c r="E31" s="5"/>
      <c r="F31" s="58"/>
      <c r="G31" s="58"/>
      <c r="H31" s="5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7"/>
      <c r="Z31" s="1"/>
      <c r="AA31" s="1"/>
      <c r="AB31" s="8"/>
      <c r="AC31" s="1"/>
      <c r="AD31" s="1"/>
      <c r="AE31" s="9"/>
      <c r="AF31" s="9"/>
      <c r="AG31" s="1"/>
    </row>
    <row r="32" s="3" customFormat="1" customHeight="1" spans="1:33">
      <c r="A32" s="1"/>
      <c r="B32"/>
      <c r="C32" s="1"/>
      <c r="D32" s="5"/>
      <c r="E32" s="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7"/>
      <c r="Z32" s="1"/>
      <c r="AA32" s="1"/>
      <c r="AB32" s="8"/>
      <c r="AC32" s="1"/>
      <c r="AD32" s="1"/>
      <c r="AE32" s="9"/>
      <c r="AF32" s="9"/>
      <c r="AG32" s="1"/>
    </row>
    <row r="33" s="3" customFormat="1" customHeight="1" spans="1:33">
      <c r="A33" s="1"/>
      <c r="B33"/>
      <c r="C33" s="1"/>
      <c r="D33" s="5"/>
      <c r="E33" s="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7"/>
      <c r="Z33" s="1"/>
      <c r="AA33" s="1"/>
      <c r="AB33" s="8"/>
      <c r="AC33" s="1"/>
      <c r="AD33" s="1"/>
      <c r="AE33" s="9"/>
      <c r="AF33" s="9"/>
      <c r="AG33" s="1"/>
    </row>
    <row r="34" s="3" customFormat="1" customHeight="1" spans="1:33">
      <c r="A34" s="1"/>
      <c r="B34"/>
      <c r="C34" s="1"/>
      <c r="D34" s="5"/>
      <c r="E34" s="5"/>
      <c r="F34" s="5"/>
      <c r="G34" s="5"/>
      <c r="H34" s="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7"/>
      <c r="Z34" s="1"/>
      <c r="AA34" s="1"/>
      <c r="AB34" s="8"/>
      <c r="AC34" s="1"/>
      <c r="AD34" s="1"/>
      <c r="AE34" s="9"/>
      <c r="AF34" s="9"/>
      <c r="AG34" s="1"/>
    </row>
    <row r="35" s="3" customFormat="1" customHeight="1" spans="1:33">
      <c r="A35" s="1"/>
      <c r="B35"/>
      <c r="C35" s="1"/>
      <c r="D35" s="5"/>
      <c r="E35" s="5"/>
      <c r="F35" s="5"/>
      <c r="G35" s="5"/>
      <c r="H35" s="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7"/>
      <c r="Z35" s="1"/>
      <c r="AA35" s="1"/>
      <c r="AB35" s="8"/>
      <c r="AC35" s="1"/>
      <c r="AD35" s="1"/>
      <c r="AE35" s="9"/>
      <c r="AF35" s="9"/>
      <c r="AG35" s="1"/>
    </row>
    <row r="36" s="3" customFormat="1" customHeight="1" spans="1:33">
      <c r="A36" s="1"/>
      <c r="B36"/>
      <c r="C36" s="1"/>
      <c r="D36" s="5"/>
      <c r="E36" s="5"/>
      <c r="F36" s="5"/>
      <c r="G36" s="5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7"/>
      <c r="Z36" s="1"/>
      <c r="AA36" s="1"/>
      <c r="AB36" s="8"/>
      <c r="AC36" s="1"/>
      <c r="AD36" s="1"/>
      <c r="AE36" s="9"/>
      <c r="AF36" s="9"/>
      <c r="AG36" s="1"/>
    </row>
    <row r="37" s="3" customFormat="1" customHeight="1" spans="1:33">
      <c r="A37" s="1"/>
      <c r="B37"/>
      <c r="C37" s="1"/>
      <c r="D37" s="5"/>
      <c r="E37" s="5"/>
      <c r="F37" s="5"/>
      <c r="G37" s="5"/>
      <c r="H37" s="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7"/>
      <c r="Z37" s="1"/>
      <c r="AA37" s="1"/>
      <c r="AB37" s="8"/>
      <c r="AC37" s="1"/>
      <c r="AD37" s="1"/>
      <c r="AE37" s="9"/>
      <c r="AF37" s="9"/>
      <c r="AG37" s="1"/>
    </row>
    <row r="38" s="3" customFormat="1" customHeight="1" spans="1:33">
      <c r="A38" s="1"/>
      <c r="B38"/>
      <c r="C38" s="1"/>
      <c r="D38" s="5"/>
      <c r="E38" s="5"/>
      <c r="F38" s="5"/>
      <c r="G38" s="5"/>
      <c r="H38" s="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7"/>
      <c r="Z38" s="1"/>
      <c r="AA38" s="1"/>
      <c r="AB38" s="8"/>
      <c r="AC38" s="1"/>
      <c r="AD38" s="1"/>
      <c r="AE38" s="9"/>
      <c r="AF38" s="9"/>
      <c r="AG38" s="1"/>
    </row>
    <row r="39" s="3" customFormat="1" customHeight="1" spans="1:33">
      <c r="A39" s="1"/>
      <c r="B39"/>
      <c r="C39" s="1"/>
      <c r="D39" s="5"/>
      <c r="E39" s="5"/>
      <c r="F39" s="5"/>
      <c r="G39" s="5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7"/>
      <c r="Z39" s="1"/>
      <c r="AA39" s="1"/>
      <c r="AB39" s="8"/>
      <c r="AC39" s="1"/>
      <c r="AD39" s="1"/>
      <c r="AE39" s="9"/>
      <c r="AF39" s="9"/>
      <c r="AG39" s="1"/>
    </row>
    <row r="40" s="3" customFormat="1" customHeight="1" spans="1:33">
      <c r="A40" s="1"/>
      <c r="B40"/>
      <c r="C40" s="1"/>
      <c r="D40" s="5"/>
      <c r="E40" s="5"/>
      <c r="F40" s="5"/>
      <c r="G40" s="5"/>
      <c r="H40" s="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7"/>
      <c r="Z40" s="1"/>
      <c r="AA40" s="1"/>
      <c r="AB40" s="8"/>
      <c r="AC40" s="1"/>
      <c r="AD40" s="1"/>
      <c r="AE40" s="9"/>
      <c r="AF40" s="9"/>
      <c r="AG40" s="1"/>
    </row>
    <row r="41" s="3" customFormat="1" customHeight="1" spans="1:33">
      <c r="A41" s="1"/>
      <c r="B41"/>
      <c r="C41" s="1"/>
      <c r="D41" s="5"/>
      <c r="E41" s="5"/>
      <c r="F41" s="5"/>
      <c r="G41" s="5"/>
      <c r="H41" s="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7"/>
      <c r="Z41" s="1"/>
      <c r="AA41" s="1"/>
      <c r="AB41" s="8"/>
      <c r="AC41" s="1"/>
      <c r="AD41" s="1"/>
      <c r="AE41" s="9"/>
      <c r="AF41" s="9"/>
      <c r="AG41" s="1"/>
    </row>
    <row r="42" s="3" customFormat="1" customHeight="1" spans="1:33">
      <c r="A42" s="1"/>
      <c r="B42" s="1"/>
      <c r="C42" s="1"/>
      <c r="D42" s="5"/>
      <c r="E42" s="5"/>
      <c r="F42" s="5"/>
      <c r="G42" s="5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7"/>
      <c r="Z42" s="1"/>
      <c r="AA42" s="1"/>
      <c r="AB42" s="8"/>
      <c r="AC42" s="1"/>
      <c r="AD42" s="1"/>
      <c r="AE42" s="9"/>
      <c r="AF42" s="9"/>
      <c r="AG42" s="1"/>
    </row>
    <row r="43" s="3" customFormat="1" customHeight="1" spans="1:33">
      <c r="A43" s="1"/>
      <c r="B43" s="1"/>
      <c r="C43" s="1"/>
      <c r="D43" s="5"/>
      <c r="E43" s="5"/>
      <c r="F43" s="5"/>
      <c r="G43" s="5"/>
      <c r="H43" s="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7"/>
      <c r="Z43" s="1"/>
      <c r="AA43" s="1"/>
      <c r="AB43" s="8"/>
      <c r="AC43" s="1"/>
      <c r="AD43" s="1"/>
      <c r="AE43" s="9"/>
      <c r="AF43" s="9"/>
      <c r="AG43" s="1"/>
    </row>
    <row r="44" s="3" customFormat="1" customHeight="1" spans="1:33">
      <c r="A44" s="1"/>
      <c r="B44" s="1"/>
      <c r="C44" s="1"/>
      <c r="D44" s="5"/>
      <c r="E44" s="5"/>
      <c r="F44" s="5"/>
      <c r="G44" s="5"/>
      <c r="H44" s="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7"/>
      <c r="Z44" s="1"/>
      <c r="AA44" s="1"/>
      <c r="AB44" s="8"/>
      <c r="AC44" s="1"/>
      <c r="AD44" s="1"/>
      <c r="AE44" s="9"/>
      <c r="AF44" s="9"/>
      <c r="AG44" s="1"/>
    </row>
    <row r="45" s="3" customFormat="1" customHeight="1" spans="1:33">
      <c r="A45" s="1"/>
      <c r="B45" s="1"/>
      <c r="C45" s="1"/>
      <c r="D45" s="5"/>
      <c r="E45" s="5"/>
      <c r="F45" s="5"/>
      <c r="G45" s="5"/>
      <c r="H45" s="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7"/>
      <c r="Z45" s="1"/>
      <c r="AA45" s="1"/>
      <c r="AB45" s="8"/>
      <c r="AC45" s="1"/>
      <c r="AD45" s="1"/>
      <c r="AE45" s="9"/>
      <c r="AF45" s="9"/>
      <c r="AG45" s="1"/>
    </row>
    <row r="46" s="3" customFormat="1" customHeight="1" spans="1:33">
      <c r="A46" s="1"/>
      <c r="B46" s="1"/>
      <c r="C46" s="1"/>
      <c r="D46" s="5"/>
      <c r="E46" s="5"/>
      <c r="F46" s="5"/>
      <c r="G46" s="5"/>
      <c r="H46" s="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7"/>
      <c r="Z46" s="1"/>
      <c r="AA46" s="1"/>
      <c r="AB46" s="8"/>
      <c r="AC46" s="1"/>
      <c r="AD46" s="1"/>
      <c r="AE46" s="9"/>
      <c r="AF46" s="9"/>
      <c r="AG46" s="1"/>
    </row>
    <row r="47" s="3" customFormat="1" customHeight="1" spans="1:33">
      <c r="A47" s="1"/>
      <c r="B47" s="1"/>
      <c r="C47" s="1"/>
      <c r="D47" s="5"/>
      <c r="E47" s="5"/>
      <c r="F47" s="5"/>
      <c r="G47" s="5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7"/>
      <c r="Z47" s="1"/>
      <c r="AA47" s="1"/>
      <c r="AB47" s="8"/>
      <c r="AC47" s="1"/>
      <c r="AD47" s="1"/>
      <c r="AE47" s="9"/>
      <c r="AF47" s="9"/>
      <c r="AG47" s="1"/>
    </row>
    <row r="48" s="3" customFormat="1" customHeight="1" spans="1:33">
      <c r="A48" s="1"/>
      <c r="B48" s="1"/>
      <c r="C48" s="1"/>
      <c r="D48" s="5"/>
      <c r="E48" s="5"/>
      <c r="F48" s="5"/>
      <c r="G48" s="5"/>
      <c r="H48" s="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7"/>
      <c r="Z48" s="1"/>
      <c r="AA48" s="1"/>
      <c r="AB48" s="8"/>
      <c r="AC48" s="1"/>
      <c r="AD48" s="1"/>
      <c r="AE48" s="9"/>
      <c r="AF48" s="9"/>
      <c r="AG48" s="1"/>
    </row>
    <row r="49" s="3" customFormat="1" customHeight="1" spans="1:33">
      <c r="A49" s="1"/>
      <c r="B49" s="1"/>
      <c r="C49" s="1"/>
      <c r="D49" s="5"/>
      <c r="E49" s="5"/>
      <c r="F49" s="5"/>
      <c r="G49" s="5"/>
      <c r="H49" s="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7"/>
      <c r="Z49" s="1"/>
      <c r="AA49" s="1"/>
      <c r="AB49" s="8"/>
      <c r="AC49" s="1"/>
      <c r="AD49" s="1"/>
      <c r="AE49" s="9"/>
      <c r="AF49" s="9"/>
      <c r="AG49" s="1"/>
    </row>
    <row r="50" s="3" customFormat="1" customHeight="1" spans="1:33">
      <c r="A50" s="1"/>
      <c r="B50" s="1"/>
      <c r="C50" s="1"/>
      <c r="D50" s="5"/>
      <c r="E50" s="5"/>
      <c r="F50" s="5"/>
      <c r="G50" s="5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7"/>
      <c r="Z50" s="1"/>
      <c r="AA50" s="1"/>
      <c r="AB50" s="8"/>
      <c r="AC50" s="1"/>
      <c r="AD50" s="1"/>
      <c r="AE50" s="9"/>
      <c r="AF50" s="9"/>
      <c r="AG50" s="1"/>
    </row>
    <row r="51" s="3" customFormat="1" customHeight="1" spans="1:33">
      <c r="A51" s="1"/>
      <c r="B51" s="1"/>
      <c r="C51" s="1"/>
      <c r="D51" s="5"/>
      <c r="E51" s="5"/>
      <c r="F51" s="5"/>
      <c r="G51" s="5"/>
      <c r="H51" s="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7"/>
      <c r="Z51" s="1"/>
      <c r="AA51" s="1"/>
      <c r="AB51" s="8"/>
      <c r="AC51" s="1"/>
      <c r="AD51" s="1"/>
      <c r="AE51" s="9"/>
      <c r="AF51" s="9"/>
      <c r="AG51" s="1"/>
    </row>
    <row r="52" s="3" customFormat="1" customHeight="1" spans="1:33">
      <c r="A52" s="1"/>
      <c r="B52" s="1"/>
      <c r="C52" s="1"/>
      <c r="D52" s="5"/>
      <c r="E52" s="5"/>
      <c r="F52" s="5"/>
      <c r="G52" s="5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7"/>
      <c r="Z52" s="1"/>
      <c r="AA52" s="1"/>
      <c r="AB52" s="8"/>
      <c r="AC52" s="1"/>
      <c r="AD52" s="1"/>
      <c r="AE52" s="9"/>
      <c r="AF52" s="9"/>
      <c r="AG52" s="1"/>
    </row>
    <row r="53" s="3" customFormat="1" customHeight="1" spans="1:33">
      <c r="A53" s="1"/>
      <c r="B53" s="1"/>
      <c r="C53" s="1"/>
      <c r="D53" s="5"/>
      <c r="E53" s="5"/>
      <c r="F53" s="5"/>
      <c r="G53" s="5"/>
      <c r="H53" s="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7"/>
      <c r="Z53" s="1"/>
      <c r="AA53" s="1"/>
      <c r="AB53" s="8"/>
      <c r="AC53" s="1"/>
      <c r="AD53" s="1"/>
      <c r="AE53" s="9"/>
      <c r="AF53" s="9"/>
      <c r="AG53" s="1"/>
    </row>
    <row r="54" s="3" customFormat="1" customHeight="1" spans="1:33">
      <c r="A54" s="1"/>
      <c r="B54" s="1"/>
      <c r="C54" s="1"/>
      <c r="D54" s="5"/>
      <c r="E54" s="5"/>
      <c r="F54" s="5"/>
      <c r="G54" s="5"/>
      <c r="H54" s="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7"/>
      <c r="Z54" s="1"/>
      <c r="AA54" s="1"/>
      <c r="AB54" s="8"/>
      <c r="AC54" s="1"/>
      <c r="AD54" s="1"/>
      <c r="AE54" s="9"/>
      <c r="AF54" s="9"/>
      <c r="AG54" s="1"/>
    </row>
  </sheetData>
  <mergeCells count="4">
    <mergeCell ref="A1:AG1"/>
    <mergeCell ref="I2:R2"/>
    <mergeCell ref="S2:S3"/>
    <mergeCell ref="T2:T3"/>
  </mergeCells>
  <pageMargins left="0.511805555555556" right="0.354166666666667" top="1.53541666666667" bottom="1" header="1.37777777777778" footer="0.5"/>
  <pageSetup paperSize="9" scale="45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发泡修补-计件工资</vt:lpstr>
      <vt:lpstr>修补数量统计</vt:lpstr>
      <vt:lpstr>修补数统计</vt:lpstr>
      <vt:lpstr>生产统计</vt:lpstr>
      <vt:lpstr>发泡生产统计1</vt:lpstr>
      <vt:lpstr>工资1</vt:lpstr>
      <vt:lpstr>工资2</vt:lpstr>
      <vt:lpstr>工资3</vt:lpstr>
      <vt:lpstr>工资4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2022-12-07T03:47:00Z</dcterms:created>
  <cp:lastPrinted>2023-01-05T07:09:00Z</cp:lastPrinted>
  <dcterms:modified xsi:type="dcterms:W3CDTF">2025-10-12T04:08:20Z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7A278D3F5B28466C99E0BC5CB6479D3D_13</vt:lpwstr>
  </property>
  <property fmtid="{D5CDD505-2E9C-101B-9397-08002B2CF9AE}" pid="3" name="KSOProductBuildVer">
    <vt:lpwstr>2052-11.1.0.14309</vt:lpwstr>
  </property>
</Properties>
</file>