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225" activeTab="3"/>
  </bookViews>
  <sheets>
    <sheet name="资金库存" sheetId="23" r:id="rId1"/>
    <sheet name="汇阅付款计划" sheetId="30" r:id="rId2"/>
    <sheet name="凯平付款计划" sheetId="34" r:id="rId3"/>
    <sheet name="9月份计划" sheetId="35" r:id="rId4"/>
    <sheet name="8月份计划" sheetId="31" r:id="rId5"/>
    <sheet name="7月份计划" sheetId="26" r:id="rId6"/>
    <sheet name="6月份计划" sheetId="24" r:id="rId7"/>
    <sheet name="5月份计划" sheetId="20" r:id="rId8"/>
    <sheet name="4月份计划" sheetId="16" r:id="rId9"/>
    <sheet name="3月份计划" sheetId="11" r:id="rId10"/>
    <sheet name="3月份计划-1" sheetId="8" r:id="rId11"/>
    <sheet name="2月份计划" sheetId="6" r:id="rId12"/>
    <sheet name="2月份科目余额" sheetId="7" r:id="rId13"/>
    <sheet name="3月份科目余额表" sheetId="12" r:id="rId14"/>
    <sheet name="4月份科目余额表" sheetId="14" r:id="rId15"/>
    <sheet name="5月份科目余额表" sheetId="21" r:id="rId16"/>
    <sheet name="6月份科目余额表" sheetId="25" r:id="rId17"/>
    <sheet name="7月份科目余额表" sheetId="29" r:id="rId18"/>
    <sheet name="8月份科目余额表" sheetId="32" r:id="rId19"/>
    <sheet name="9月份科目余额表" sheetId="36" r:id="rId20"/>
    <sheet name="1月份计划" sheetId="1" r:id="rId21"/>
    <sheet name="1月份科目余额（2.25导出）" sheetId="2" r:id="rId22"/>
    <sheet name="1月份挂账" sheetId="3" r:id="rId23"/>
    <sheet name="2月份挂账" sheetId="9" r:id="rId24"/>
    <sheet name="3月份挂账" sheetId="13" r:id="rId25"/>
    <sheet name="4月份挂账" sheetId="15" r:id="rId26"/>
    <sheet name="5月份挂账" sheetId="22" r:id="rId27"/>
    <sheet name="6月份挂账" sheetId="4" r:id="rId28"/>
    <sheet name="7月份挂账" sheetId="28" r:id="rId29"/>
    <sheet name="8月份挂账" sheetId="33" r:id="rId30"/>
    <sheet name="9月份挂账" sheetId="37" r:id="rId31"/>
    <sheet name="Sheet4" sheetId="27" r:id="rId32"/>
  </sheets>
  <externalReferences>
    <externalReference r:id="rId33"/>
    <externalReference r:id="rId34"/>
    <externalReference r:id="rId35"/>
    <externalReference r:id="rId36"/>
    <externalReference r:id="rId37"/>
  </externalReferences>
  <definedNames>
    <definedName name="_xlnm._FilterDatabase" localSheetId="3" hidden="1">'9月份计划'!$A$1:$J$56</definedName>
    <definedName name="_xlnm._FilterDatabase" localSheetId="4" hidden="1">'8月份计划'!$A$2:$G$85</definedName>
    <definedName name="_xlnm._FilterDatabase" localSheetId="5" hidden="1">'7月份计划'!$A$2:$G$85</definedName>
    <definedName name="_xlnm._FilterDatabase" localSheetId="6" hidden="1">'6月份计划'!$A$2:$J$82</definedName>
    <definedName name="_xlnm._FilterDatabase" localSheetId="7" hidden="1">'5月份计划'!$A$2:$X$82</definedName>
    <definedName name="_xlnm._FilterDatabase" localSheetId="8" hidden="1">'4月份计划'!$A$1:$I$82</definedName>
    <definedName name="_xlnm._FilterDatabase" localSheetId="9" hidden="1">'3月份计划'!$A$1:$H$93</definedName>
    <definedName name="_xlnm._FilterDatabase" localSheetId="10" hidden="1">'3月份计划-1'!$A$1:$M$93</definedName>
    <definedName name="_xlnm._FilterDatabase" localSheetId="11" hidden="1">'2月份计划'!$A$1:$H$85</definedName>
    <definedName name="_xlnm._FilterDatabase" localSheetId="12" hidden="1">'2月份科目余额'!$A$1:$P$115</definedName>
    <definedName name="_xlnm._FilterDatabase" localSheetId="14" hidden="1">'4月份科目余额表'!$A$1:$O$236</definedName>
    <definedName name="_xlnm._FilterDatabase" localSheetId="15" hidden="1">'5月份科目余额表'!$A$1:$P$239</definedName>
    <definedName name="_xlnm._FilterDatabase" localSheetId="16" hidden="1">'6月份科目余额表'!$A$1:$P$241</definedName>
    <definedName name="_xlnm._FilterDatabase" localSheetId="17" hidden="1">'7月份科目余额表'!$A$1:$P$241</definedName>
    <definedName name="_xlnm._FilterDatabase" localSheetId="18" hidden="1">'8月份科目余额表'!$A$1:$O$103</definedName>
    <definedName name="_xlnm._FilterDatabase" localSheetId="19" hidden="1">'9月份科目余额表'!$A$1:$P$97</definedName>
    <definedName name="_xlnm._FilterDatabase" localSheetId="20" hidden="1">'1月份计划'!$A$1:$H$87</definedName>
    <definedName name="_xlnm._FilterDatabase" localSheetId="21" hidden="1">'1月份科目余额（2.25导出）'!$A$1:$P$228</definedName>
    <definedName name="_xlnm._FilterDatabase" localSheetId="23" hidden="1">'2月份挂账'!$A$1:$Y$100</definedName>
    <definedName name="_xlnm._FilterDatabase" localSheetId="24" hidden="1">'3月份挂账'!$A$1:$W$93</definedName>
    <definedName name="_xlnm._FilterDatabase" localSheetId="25" hidden="1">'4月份挂账'!$A$1:$W$107</definedName>
    <definedName name="_xlnm._FilterDatabase" localSheetId="26" hidden="1">'5月份挂账'!$A$1:$W$108</definedName>
    <definedName name="_xlnm._FilterDatabase" localSheetId="27" hidden="1">'6月份挂账'!$A$1:$W$180</definedName>
    <definedName name="_xlnm._FilterDatabase" localSheetId="28" hidden="1">'7月份挂账'!$A$1:$W$180</definedName>
    <definedName name="_xlnm._FilterDatabase" localSheetId="29" hidden="1">'8月份挂账'!$A$1:$W$181</definedName>
    <definedName name="_xlnm._FilterDatabase" localSheetId="30" hidden="1">'9月份挂账'!$A$1:$W$181</definedName>
    <definedName name="_xlnm.Print_Area" localSheetId="20">'1月份计划'!$A$1:$J$87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G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二个月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AG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二个月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C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余额应加串户29659.42，最后余额33027.64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C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余额应加串户29659.42，最后余额33027.64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C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余额应加串户29659.42，最后余额33027.64</t>
        </r>
      </text>
    </comment>
    <comment ref="C4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余额应减串户金额29659.42，最终余额为250805.66，还要减考核款6万多元</t>
        </r>
      </text>
    </comment>
  </commentList>
</comments>
</file>

<file path=xl/comments6.xml><?xml version="1.0" encoding="utf-8"?>
<comments xmlns="http://schemas.openxmlformats.org/spreadsheetml/2006/main">
  <authors>
    <author>Administrator</author>
  </authors>
  <commentList>
    <comment ref="O8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预计数 按实际数支付</t>
        </r>
      </text>
    </comment>
  </commentList>
</comments>
</file>

<file path=xl/comments7.xml><?xml version="1.0" encoding="utf-8"?>
<comments xmlns="http://schemas.openxmlformats.org/spreadsheetml/2006/main">
  <authors>
    <author>Administrator</author>
  </authors>
  <commentList>
    <comment ref="M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货款未收到</t>
        </r>
      </text>
    </comment>
  </commentList>
</comments>
</file>

<file path=xl/comments8.xml><?xml version="1.0" encoding="utf-8"?>
<comments xmlns="http://schemas.openxmlformats.org/spreadsheetml/2006/main">
  <authors>
    <author>Administrator</author>
  </authors>
  <commentList>
    <comment ref="L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货款未收到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<sst xmlns="http://schemas.openxmlformats.org/spreadsheetml/2006/main" count="31975" uniqueCount="3347">
  <si>
    <t>会计单位</t>
  </si>
  <si>
    <t>参考</t>
  </si>
  <si>
    <t>生效日期</t>
  </si>
  <si>
    <t>供应商</t>
  </si>
  <si>
    <t>基本金额</t>
  </si>
  <si>
    <t>已申请的基本金额</t>
  </si>
  <si>
    <t>内部参考</t>
  </si>
  <si>
    <t>支付方式</t>
  </si>
  <si>
    <t>类型</t>
  </si>
  <si>
    <t>发票</t>
  </si>
  <si>
    <t>发票日期</t>
  </si>
  <si>
    <t>采购订单编号</t>
  </si>
  <si>
    <t>行</t>
  </si>
  <si>
    <t>零件号</t>
  </si>
  <si>
    <t xml:space="preserve">描述 </t>
  </si>
  <si>
    <t>发票数量</t>
  </si>
  <si>
    <t>产品线</t>
  </si>
  <si>
    <t>发票单价</t>
  </si>
  <si>
    <t>订单单价</t>
  </si>
  <si>
    <t>订单标准成本</t>
  </si>
  <si>
    <t>APV价差</t>
  </si>
  <si>
    <t>ppv价差</t>
  </si>
  <si>
    <t>纳税类型</t>
  </si>
  <si>
    <t>应纳税</t>
  </si>
  <si>
    <t>收货日期</t>
  </si>
  <si>
    <t>挂账金额</t>
  </si>
  <si>
    <t>押款基数</t>
  </si>
  <si>
    <t>黑料款</t>
  </si>
  <si>
    <t>脱模剂及小料款</t>
  </si>
  <si>
    <t>合计</t>
  </si>
  <si>
    <t>黑料</t>
  </si>
  <si>
    <t>其他</t>
  </si>
  <si>
    <t>7100</t>
  </si>
  <si>
    <t>8433</t>
  </si>
  <si>
    <t>L5593</t>
  </si>
  <si>
    <t>RC28375</t>
  </si>
  <si>
    <t>AP</t>
  </si>
  <si>
    <t>2531200000022621732</t>
  </si>
  <si>
    <t>NL5593</t>
  </si>
  <si>
    <t>tft0000003</t>
  </si>
  <si>
    <t>脱模剂</t>
  </si>
  <si>
    <t/>
  </si>
  <si>
    <t>YC03</t>
  </si>
  <si>
    <t>13</t>
  </si>
  <si>
    <t>Yes</t>
  </si>
  <si>
    <t>RC28923</t>
  </si>
  <si>
    <t>现汇支付</t>
  </si>
  <si>
    <t>8501</t>
  </si>
  <si>
    <t>RC28374</t>
  </si>
  <si>
    <t>25312000000022616362</t>
  </si>
  <si>
    <t>TFT0000086</t>
  </si>
  <si>
    <t>NE317</t>
  </si>
  <si>
    <t>迪链支付</t>
  </si>
  <si>
    <t>RC28561</t>
  </si>
  <si>
    <t>RC28930</t>
  </si>
  <si>
    <t>TFT0000001</t>
  </si>
  <si>
    <t>8563</t>
  </si>
  <si>
    <t>RC29234</t>
  </si>
  <si>
    <t>25312000000048566414</t>
  </si>
  <si>
    <t>TFT0000085</t>
  </si>
  <si>
    <t>DP530</t>
  </si>
  <si>
    <t>8606</t>
  </si>
  <si>
    <t>RC29692</t>
  </si>
  <si>
    <t>25312000000050762958</t>
  </si>
  <si>
    <t>8637</t>
  </si>
  <si>
    <t>RC29415</t>
  </si>
  <si>
    <t>25312000000036652606</t>
  </si>
  <si>
    <t>8898</t>
  </si>
  <si>
    <t>RC31049</t>
  </si>
  <si>
    <t>25312000000109749703</t>
  </si>
  <si>
    <t>8926</t>
  </si>
  <si>
    <t>RC31287</t>
  </si>
  <si>
    <t>25312000000126545400</t>
  </si>
  <si>
    <t>8955</t>
  </si>
  <si>
    <t>RC31428</t>
  </si>
  <si>
    <t>25312000000142820304</t>
  </si>
  <si>
    <t>8988</t>
  </si>
  <si>
    <t>RC30939</t>
  </si>
  <si>
    <t>25312000000153945151</t>
  </si>
  <si>
    <t>RC31053</t>
  </si>
  <si>
    <t>TFT0010011</t>
  </si>
  <si>
    <t>水性胶水</t>
  </si>
  <si>
    <t>1038-KP-1038</t>
  </si>
  <si>
    <t>BC01</t>
  </si>
  <si>
    <t>RC31155</t>
  </si>
  <si>
    <t>RC31207</t>
  </si>
  <si>
    <t>RC31445</t>
  </si>
  <si>
    <t>9001</t>
  </si>
  <si>
    <t>RC31472</t>
  </si>
  <si>
    <t>25312000000142830803</t>
  </si>
  <si>
    <t>9151</t>
  </si>
  <si>
    <t>RC31612</t>
  </si>
  <si>
    <t>25312000000180600293</t>
  </si>
  <si>
    <t>9152</t>
  </si>
  <si>
    <t>RC31620</t>
  </si>
  <si>
    <t>25312000000180608271</t>
  </si>
  <si>
    <t>9150</t>
  </si>
  <si>
    <t>RC31536</t>
  </si>
  <si>
    <t>25312000000180615232</t>
  </si>
  <si>
    <t>9159</t>
  </si>
  <si>
    <t>RC31488</t>
  </si>
  <si>
    <t>25312000000185093878</t>
  </si>
  <si>
    <t>RC31489</t>
  </si>
  <si>
    <t>RC31588</t>
  </si>
  <si>
    <t>9209</t>
  </si>
  <si>
    <t>RC31585</t>
  </si>
  <si>
    <t>25312000000184532309</t>
  </si>
  <si>
    <t>9307</t>
  </si>
  <si>
    <t>RC31637</t>
  </si>
  <si>
    <t>25312000000228814284</t>
  </si>
  <si>
    <t>RC31675</t>
  </si>
  <si>
    <t>RC31732</t>
  </si>
  <si>
    <t>9337</t>
  </si>
  <si>
    <t>25312000000222947078</t>
  </si>
  <si>
    <t>RC31624</t>
  </si>
  <si>
    <t>RC31733</t>
  </si>
  <si>
    <t>降价追溯</t>
  </si>
  <si>
    <t>采购试制用硅油等</t>
  </si>
  <si>
    <t>9416</t>
  </si>
  <si>
    <t>RC31636</t>
  </si>
  <si>
    <t>25312000000255682511</t>
  </si>
  <si>
    <t>9417</t>
  </si>
  <si>
    <t>RC31803</t>
  </si>
  <si>
    <t>25312000000255676734</t>
  </si>
  <si>
    <t>9425</t>
  </si>
  <si>
    <t>RC31822</t>
  </si>
  <si>
    <t>25312000000264733689</t>
  </si>
  <si>
    <t>RC31824</t>
  </si>
  <si>
    <t>9521</t>
  </si>
  <si>
    <t>RC31877</t>
  </si>
  <si>
    <t>25312000000291261417</t>
  </si>
  <si>
    <t>RC31931</t>
  </si>
  <si>
    <t>9519</t>
  </si>
  <si>
    <t>RC31909</t>
  </si>
  <si>
    <t>25312000000299835354</t>
  </si>
  <si>
    <t>9520</t>
  </si>
  <si>
    <t>RC31914</t>
  </si>
  <si>
    <t>25312000000299844708</t>
  </si>
  <si>
    <t>9549</t>
  </si>
  <si>
    <t>RC31934</t>
  </si>
  <si>
    <t>25312000000306113724</t>
  </si>
  <si>
    <t>9563</t>
  </si>
  <si>
    <t>RC31840</t>
  </si>
  <si>
    <t>25312000000300101544</t>
  </si>
  <si>
    <t>RC31841</t>
  </si>
  <si>
    <t>TFT0000093</t>
  </si>
  <si>
    <t>汇阅延迟催化剂</t>
  </si>
  <si>
    <t>PDX-8</t>
  </si>
  <si>
    <t>8457</t>
  </si>
  <si>
    <t>1935367</t>
  </si>
  <si>
    <t>RC28087</t>
  </si>
  <si>
    <t>25942000000002861721</t>
  </si>
  <si>
    <t>A1935367</t>
  </si>
  <si>
    <t>TFT0000019</t>
  </si>
  <si>
    <t>开孔剂(凯平)</t>
  </si>
  <si>
    <t>聚醚3405</t>
  </si>
  <si>
    <t>TFT0000025</t>
  </si>
  <si>
    <t>三乙醇胺</t>
  </si>
  <si>
    <t>TFT0000033</t>
  </si>
  <si>
    <t>硅油PU-1231</t>
  </si>
  <si>
    <t>RC28088</t>
  </si>
  <si>
    <t>tft0000032</t>
  </si>
  <si>
    <t>硅油PU-1254</t>
  </si>
  <si>
    <t>8465</t>
  </si>
  <si>
    <t>RC29019</t>
  </si>
  <si>
    <t>TFT0000083</t>
  </si>
  <si>
    <t>8645</t>
  </si>
  <si>
    <t>RC29269</t>
  </si>
  <si>
    <t>2594200000007753164</t>
  </si>
  <si>
    <t>RC29270</t>
  </si>
  <si>
    <t>RC29271</t>
  </si>
  <si>
    <t>RC29272</t>
  </si>
  <si>
    <t>RC30010</t>
  </si>
  <si>
    <t>8777</t>
  </si>
  <si>
    <t>RC30960</t>
  </si>
  <si>
    <t>25942000000011815644</t>
  </si>
  <si>
    <t>8906</t>
  </si>
  <si>
    <t>RC31212</t>
  </si>
  <si>
    <t>25942000000013940802</t>
  </si>
  <si>
    <t>RC31288</t>
  </si>
  <si>
    <t>8920</t>
  </si>
  <si>
    <t>RC31315</t>
  </si>
  <si>
    <t>25942000000017543112</t>
  </si>
  <si>
    <t>9003</t>
  </si>
  <si>
    <t>RC31474</t>
  </si>
  <si>
    <t>25942000000019829467</t>
  </si>
  <si>
    <t>9005</t>
  </si>
  <si>
    <t>RC31429</t>
  </si>
  <si>
    <t>25942000000019205679</t>
  </si>
  <si>
    <t>9211</t>
  </si>
  <si>
    <t>RC30996</t>
  </si>
  <si>
    <t>20249116</t>
  </si>
  <si>
    <t>N1935367</t>
  </si>
  <si>
    <t>RC31174</t>
  </si>
  <si>
    <t>TFT0000003</t>
  </si>
  <si>
    <t>RC31181</t>
  </si>
  <si>
    <t>RC31182</t>
  </si>
  <si>
    <t>9314</t>
  </si>
  <si>
    <t>RC31640</t>
  </si>
  <si>
    <t>25942000000036506994</t>
  </si>
  <si>
    <t>RC31641</t>
  </si>
  <si>
    <t>TFT0000024</t>
  </si>
  <si>
    <t>二乙醇胺</t>
  </si>
  <si>
    <t>9315</t>
  </si>
  <si>
    <t>RC31366</t>
  </si>
  <si>
    <t>25942000000035454417</t>
  </si>
  <si>
    <t>RC31493</t>
  </si>
  <si>
    <t>RC31494</t>
  </si>
  <si>
    <t>RC31527</t>
  </si>
  <si>
    <t>RC31528</t>
  </si>
  <si>
    <t>9433</t>
  </si>
  <si>
    <t>RC31362</t>
  </si>
  <si>
    <t>25942000000040303796</t>
  </si>
  <si>
    <t>RC31363</t>
  </si>
  <si>
    <t>RC31446</t>
  </si>
  <si>
    <t>9457</t>
  </si>
  <si>
    <t>RC31736</t>
  </si>
  <si>
    <t>25942000000042477888</t>
  </si>
  <si>
    <t>RC31737</t>
  </si>
  <si>
    <t>9487</t>
  </si>
  <si>
    <t>RC31908</t>
  </si>
  <si>
    <t>25942000000043542513</t>
  </si>
  <si>
    <t>9489</t>
  </si>
  <si>
    <t>RC31843</t>
  </si>
  <si>
    <t>25942000000044937912</t>
  </si>
  <si>
    <t>RC31844</t>
  </si>
  <si>
    <t>9550</t>
  </si>
  <si>
    <t>RC31933</t>
  </si>
  <si>
    <t>25942000000046871578</t>
  </si>
  <si>
    <t>2025年9月付款计划（10月10前付款）</t>
  </si>
  <si>
    <t>付款方式</t>
  </si>
  <si>
    <t>供应商名称</t>
  </si>
  <si>
    <t>供比亚迪产品供应商</t>
  </si>
  <si>
    <t>9.30日
账面余额-10.10上午导出</t>
  </si>
  <si>
    <t>8月份挂账</t>
  </si>
  <si>
    <t>9月份挂账</t>
  </si>
  <si>
    <t>按2个月账期
计算的到期货款</t>
  </si>
  <si>
    <t>付款计划</t>
  </si>
  <si>
    <t>现金支付</t>
  </si>
  <si>
    <t>承兑</t>
  </si>
  <si>
    <t>重庆厚元汽车配件有限公司</t>
  </si>
  <si>
    <t>天津琪安科技有限公司</t>
  </si>
  <si>
    <t>黄骅市广亿汽车部件有限公司</t>
  </si>
  <si>
    <t>霸州市自强汽车零部件厂</t>
  </si>
  <si>
    <t>沧州临港明康汽车配件有限公司</t>
  </si>
  <si>
    <t>黄骅市建昌塑料制品有限公司</t>
  </si>
  <si>
    <t>廊坊市烁鑫汽车配件有限公司</t>
  </si>
  <si>
    <t>黄骅市汇铭汽车部件有限公司</t>
  </si>
  <si>
    <t>上海明芳汽车零件有限公司</t>
  </si>
  <si>
    <t>江苏力乐汽车部件股份有限公司</t>
  </si>
  <si>
    <t>溧阳鑫岩汽车零部件有限公司</t>
  </si>
  <si>
    <t>厦门凯平化工有限公司</t>
  </si>
  <si>
    <t>湖北伟士通汽车零件有限公司</t>
  </si>
  <si>
    <t>衡阳县标准件厂株洲销售处</t>
  </si>
  <si>
    <t>湖南凌天汽车零部件有限公司</t>
  </si>
  <si>
    <t>重庆光大产业有限公司</t>
  </si>
  <si>
    <t>湘乡简美工贸有限公司</t>
  </si>
  <si>
    <t>佛吉亚（无锡）座椅部件有限公</t>
  </si>
  <si>
    <t>吉林省德邦汽车电子有限公司</t>
  </si>
  <si>
    <t>吉林省方舟电子科技有限公司</t>
  </si>
  <si>
    <t>黄骅市雍丰塑料制品有限公司</t>
  </si>
  <si>
    <t>景德镇市乾立运输有限公司</t>
  </si>
  <si>
    <t>景德镇市凯达汽车配件有限公司</t>
  </si>
  <si>
    <t>武汉德锐隆科技有限公司</t>
  </si>
  <si>
    <t>湘潭湘和汽车零部件制造有限公</t>
  </si>
  <si>
    <t>湖南中道机械设备有限公司</t>
  </si>
  <si>
    <t>扣点</t>
  </si>
  <si>
    <t>湘潭市忠强气体有限公司</t>
  </si>
  <si>
    <t>湖南驷马机械有限公司</t>
  </si>
  <si>
    <t>长沙真旺钢铁贸易有限公司</t>
  </si>
  <si>
    <t>深州市晶立泰机械配件有限公司</t>
  </si>
  <si>
    <t>山东鼎信新材料科技有限公司</t>
  </si>
  <si>
    <t>湖南诺亿科技有限公司</t>
  </si>
  <si>
    <t>长春超力内饰件有限公司</t>
  </si>
  <si>
    <t>湖南裕腾兴汽车配件有限公司</t>
  </si>
  <si>
    <t>株洲诚康实业有限责任公司</t>
  </si>
  <si>
    <t>山东鼎昌智能科技有限公司</t>
  </si>
  <si>
    <t>汇阅（上海）新材料科技有限公</t>
  </si>
  <si>
    <t>重庆渝融兴汽车配件有限公司</t>
  </si>
  <si>
    <t>上海秉直精密机械有限公司</t>
  </si>
  <si>
    <t>文安县德实汽车配件有限公司</t>
  </si>
  <si>
    <t>湖南奥瑞格工贸有限公司</t>
  </si>
  <si>
    <t>天津鑫淼塑料制品有限公司</t>
  </si>
  <si>
    <t>黄骅市成卓汽车部件厂</t>
  </si>
  <si>
    <t>湖南兴天宏实业有限公司</t>
  </si>
  <si>
    <t>株洲铖亿轨道交通技术有限</t>
  </si>
  <si>
    <t>俱泰(上海)汽车零部件有限公司</t>
  </si>
  <si>
    <t>广州自强汽车零部件有限公司</t>
  </si>
  <si>
    <t>广州市三泰汽车内饰材料有限公</t>
  </si>
  <si>
    <t>维克罗（中国）搭扣系统有限公</t>
  </si>
  <si>
    <t>江阴同威科技有限公司</t>
  </si>
  <si>
    <t>深圳市新和荣无纺布有限公司</t>
  </si>
  <si>
    <t>天津市鹰力目标新材料有限公司</t>
  </si>
  <si>
    <t>不含负数合计</t>
  </si>
  <si>
    <t>2025年8月付款计划（9月10前付款）</t>
  </si>
  <si>
    <t>8.31日
账面余额-9.1下午导出</t>
  </si>
  <si>
    <t>7月份挂账</t>
  </si>
  <si>
    <t>海兴中盛弹簧有限公司</t>
  </si>
  <si>
    <t>浙江华悦汽车零部件股份有限公</t>
  </si>
  <si>
    <t>长春富维安道拓汽车金属零部件</t>
  </si>
  <si>
    <t>广州市信征汽车零件有限公司</t>
  </si>
  <si>
    <t>醴陵广仁环保科技有限公司</t>
  </si>
  <si>
    <t>重庆市宏立摩托车制造有限公司</t>
  </si>
  <si>
    <t>湖北欣辰达商贸有限公司</t>
  </si>
  <si>
    <t>常州立天汽车零部件有限公司</t>
  </si>
  <si>
    <t>霸州市政锦五金制品有限公司</t>
  </si>
  <si>
    <t>江苏忠明祥和精工股份有限公司</t>
  </si>
  <si>
    <t>沧州宇诺五金制造有限公司</t>
  </si>
  <si>
    <t>清河县沁园汽车零部件有限公司</t>
  </si>
  <si>
    <t>新梦顶（上海）贸易有限公司</t>
  </si>
  <si>
    <t>浙江松原汽车安全系统股份有限</t>
  </si>
  <si>
    <t>江苏全盛座舱技术股份有限公司</t>
  </si>
  <si>
    <t>沧州旭兴五金制品有限公司</t>
  </si>
  <si>
    <t>江苏万金汽车零部件制造有限公</t>
  </si>
  <si>
    <t>北京美好生活家居用品有限公司</t>
  </si>
  <si>
    <t>江苏凌派通信科技有限公司</t>
  </si>
  <si>
    <t>无锡中天汽车部件有限公司</t>
  </si>
  <si>
    <t>天津力登维汽车部件有限公司</t>
  </si>
  <si>
    <t>重庆品高弹簧有限公司</t>
  </si>
  <si>
    <t>昆山吉山会津塑料工业股份有限</t>
  </si>
  <si>
    <t>武汉凯密科汽车零部件有限公司</t>
  </si>
  <si>
    <t>霸州市汇行汽车零部件有限公司</t>
  </si>
  <si>
    <t>上海盛创克科技发展有限公司</t>
  </si>
  <si>
    <t>2025年7月付款计划（8月10前付款）</t>
  </si>
  <si>
    <t>7.31日
账面余额</t>
  </si>
  <si>
    <t>6月份挂账</t>
  </si>
  <si>
    <t>2025年6月付款计划（7月20前付款）</t>
  </si>
  <si>
    <t>6.30日
账面余额</t>
  </si>
  <si>
    <t>减：7月初付款</t>
  </si>
  <si>
    <t>调整后
应付账款</t>
  </si>
  <si>
    <t>4月份挂账</t>
  </si>
  <si>
    <t>5月份挂账</t>
  </si>
  <si>
    <t>海纳川房租</t>
  </si>
  <si>
    <t>2025年5月付款计划（5月20前付款）</t>
  </si>
  <si>
    <t>5.31日
账面余额</t>
  </si>
  <si>
    <t>减：4月份付款计划未支付</t>
  </si>
  <si>
    <t>调整后
5.31应付账款</t>
  </si>
  <si>
    <t>3月份挂账</t>
  </si>
  <si>
    <t>农商行500万承兑</t>
  </si>
  <si>
    <t>中国银行500万贷款</t>
  </si>
  <si>
    <t>株分6月份170万回款</t>
  </si>
  <si>
    <t>一、512日库存</t>
  </si>
  <si>
    <t>6月份可回款</t>
  </si>
  <si>
    <t>6.19盘点</t>
  </si>
  <si>
    <t>含汇给凌天20</t>
  </si>
  <si>
    <t>迪链等</t>
  </si>
  <si>
    <t>现汇</t>
  </si>
  <si>
    <t>二、客户回款</t>
  </si>
  <si>
    <t>1、股份</t>
  </si>
  <si>
    <t>2、福田长沙</t>
  </si>
  <si>
    <t>估计</t>
  </si>
  <si>
    <t>3、金琥</t>
  </si>
  <si>
    <t>4、麦格纳</t>
  </si>
  <si>
    <t>5、福田潍坊</t>
  </si>
  <si>
    <t>6、比亚迪</t>
  </si>
  <si>
    <t>三、贷款</t>
  </si>
  <si>
    <t>中国银行</t>
  </si>
  <si>
    <t>农商行敞口</t>
  </si>
  <si>
    <t>支出</t>
  </si>
  <si>
    <t>长沙银行</t>
  </si>
  <si>
    <t>一、5-6月份工资、五险</t>
  </si>
  <si>
    <t>二、5、6电费</t>
  </si>
  <si>
    <t>欠北京</t>
  </si>
  <si>
    <t>三、供应商货款-4月计划未支付</t>
  </si>
  <si>
    <t>含凌天20+德锐隆20</t>
  </si>
  <si>
    <t>三、供应商货款-5月支付化料</t>
  </si>
  <si>
    <t>化料-到期</t>
  </si>
  <si>
    <t>四、厂房租赁费</t>
  </si>
  <si>
    <t>化料-5月止余额</t>
  </si>
  <si>
    <t>7月份发放6月份工资</t>
  </si>
  <si>
    <t>五：支付供应商五月份货款</t>
  </si>
  <si>
    <t>5-6月五险</t>
  </si>
  <si>
    <t>差异</t>
  </si>
  <si>
    <t>7月份电费</t>
  </si>
  <si>
    <t>供应商货款</t>
  </si>
  <si>
    <t>4月份计划未支付</t>
  </si>
  <si>
    <t>5月份付款计划</t>
  </si>
  <si>
    <t>已付凌天30万</t>
  </si>
  <si>
    <t>厂房租金</t>
  </si>
  <si>
    <t>款已付</t>
  </si>
  <si>
    <t>无锡市奇胜五金制品有限公司</t>
  </si>
  <si>
    <t>2025年4月付款计划（5月20前付款）</t>
  </si>
  <si>
    <t>代贴现</t>
  </si>
  <si>
    <t>湘和</t>
  </si>
  <si>
    <t>4.30日余额</t>
  </si>
  <si>
    <t>2月份挂账</t>
  </si>
  <si>
    <t>按3个月账期
计算的到期货款</t>
  </si>
  <si>
    <t>最终付款</t>
  </si>
  <si>
    <t>中到</t>
  </si>
  <si>
    <t>一、3.25日库存</t>
  </si>
  <si>
    <t>减：3.25日支付</t>
  </si>
  <si>
    <t>四月份回款</t>
  </si>
  <si>
    <t>五月份回款</t>
  </si>
  <si>
    <t>一、4月份工资、五险</t>
  </si>
  <si>
    <t>二、电费</t>
  </si>
  <si>
    <t>三、供应商货款</t>
  </si>
  <si>
    <t>中道100+凌天30</t>
  </si>
  <si>
    <t>五：支付简美及凯平汇阅货款</t>
  </si>
  <si>
    <t>5.20日前应支付化料</t>
  </si>
  <si>
    <t>2025年3月付款计划（4月初付款）</t>
  </si>
  <si>
    <t>3.31日余额</t>
  </si>
  <si>
    <t>1月份挂账</t>
  </si>
  <si>
    <t>加前期10万  这次付40万 余20万待付</t>
  </si>
  <si>
    <t>暂付10万 余10万待付</t>
  </si>
  <si>
    <t>暂付50万</t>
  </si>
  <si>
    <t>已付70万  这次付70万</t>
  </si>
  <si>
    <t>广州吉中汽车内饰系统有限公司</t>
  </si>
  <si>
    <t>广州松兴电气股份有限公司</t>
  </si>
  <si>
    <t>十堰市盈旭工贸有限公司</t>
  </si>
  <si>
    <t>河北方基恒达汽车部件有限公司</t>
  </si>
  <si>
    <t>慈溪市维克多自控元件有限公司</t>
  </si>
  <si>
    <t>山东金达汽车部件制造股份有限</t>
  </si>
  <si>
    <t>安徽汉升工业部件股份有限公司</t>
  </si>
  <si>
    <t>易格斯(上海)拖链系统有限公司</t>
  </si>
  <si>
    <t>北京浦东三浦标准件有限公司</t>
  </si>
  <si>
    <t>惠州市唐群座椅科技股份有限公</t>
  </si>
  <si>
    <t>厦门劲亨五金工业有限公司</t>
  </si>
  <si>
    <t>太航常青汽车安全系统(苏州)股</t>
  </si>
  <si>
    <t>河北莫特美橡塑科技有限公司</t>
  </si>
  <si>
    <t>2.28日余额</t>
  </si>
  <si>
    <t>减：未过账付款</t>
  </si>
  <si>
    <t>减：已付款未做账</t>
  </si>
  <si>
    <t>调整后余额</t>
  </si>
  <si>
    <t>拟付款</t>
  </si>
  <si>
    <t>按600万做付款计划</t>
  </si>
  <si>
    <t>2025年1月付款计划（2月初付款）</t>
  </si>
  <si>
    <t>1月31余额
(2月6日导出）</t>
  </si>
  <si>
    <t>11月份挂账</t>
  </si>
  <si>
    <t>12月份挂账</t>
  </si>
  <si>
    <t>账户</t>
  </si>
  <si>
    <t>账户描述</t>
  </si>
  <si>
    <t>分账户</t>
  </si>
  <si>
    <t>单位/个人</t>
  </si>
  <si>
    <t>部门</t>
  </si>
  <si>
    <t>货币</t>
  </si>
  <si>
    <t>借/贷</t>
  </si>
  <si>
    <t>期初</t>
  </si>
  <si>
    <t>借方发生额</t>
  </si>
  <si>
    <t>贷方发生额</t>
  </si>
  <si>
    <t>借方年度</t>
  </si>
  <si>
    <t>贷方年度</t>
  </si>
  <si>
    <t>期末</t>
  </si>
  <si>
    <t>期末余额</t>
  </si>
  <si>
    <t>CNY</t>
  </si>
  <si>
    <t>2202</t>
  </si>
  <si>
    <t>应付账款</t>
  </si>
  <si>
    <t>北京光华荣昌汽车部件有限公司</t>
  </si>
  <si>
    <t>贷</t>
  </si>
  <si>
    <t>北京市橡塑减震器材厂</t>
  </si>
  <si>
    <t>湖南松柏模具有限公司</t>
  </si>
  <si>
    <t>北京德实汽车饰件有限公司</t>
  </si>
  <si>
    <t>河北光华荣昌汽车部件有限公司</t>
  </si>
  <si>
    <t>安路普（北京）汽车技术有限公</t>
  </si>
  <si>
    <t>借</t>
  </si>
  <si>
    <t>株洲锐昌再生资源有限公司</t>
  </si>
  <si>
    <t>江阴市诚信模具有限公司</t>
  </si>
  <si>
    <t>江阴长青工艺品有限公司</t>
  </si>
  <si>
    <t>黄骅市泽方模具有限公司</t>
  </si>
  <si>
    <t>黄骅市荣丰塑料模具有限公司</t>
  </si>
  <si>
    <t>黄骅市震雄塑料模具有限公司</t>
  </si>
  <si>
    <t>湖南精正设备制造有限公司</t>
  </si>
  <si>
    <t>天津国际铁工焊接装备有限公司</t>
  </si>
  <si>
    <t>北京江森汽车部件有限公司</t>
  </si>
  <si>
    <t>张家港环球塑料机械厂</t>
  </si>
  <si>
    <t>厦门市三友和机械有限公司</t>
  </si>
  <si>
    <t>廊坊华文机电设备有限公司</t>
  </si>
  <si>
    <t>株洲美佳机械实业有限公司</t>
  </si>
  <si>
    <t>上海江川国际贸易有限公司</t>
  </si>
  <si>
    <t>芜湖海川汽车部件有限公司</t>
  </si>
  <si>
    <t>张家港保税区得英达利化工材料</t>
  </si>
  <si>
    <t>合肥都维自动给料设备有限公司</t>
  </si>
  <si>
    <t>江西昌兴汽车配件有限公司</t>
  </si>
  <si>
    <t>景德镇市劲元汽车配件有限公司</t>
  </si>
  <si>
    <t>湖南金能安全科技有限责任公司</t>
  </si>
  <si>
    <t>株洲飞马橡胶实业有限公司</t>
  </si>
  <si>
    <t>长沙市自翔机械有限公司</t>
  </si>
  <si>
    <t>株洲博锐服装辅料有限公司</t>
  </si>
  <si>
    <t>长沙晶丰轻钢结构工程有限公司</t>
  </si>
  <si>
    <t>株洲市华霖机电有限公司</t>
  </si>
  <si>
    <t>株洲江淮叉车有限公司</t>
  </si>
  <si>
    <t>湘潭众冠五金有限公司</t>
  </si>
  <si>
    <t>广州市耐迪涂料有限公司</t>
  </si>
  <si>
    <t>重庆幻速汽车配件有限公司</t>
  </si>
  <si>
    <t>山东蓝星东大有限公司</t>
  </si>
  <si>
    <t>cny</t>
  </si>
  <si>
    <t>广州市盈尔安防火材料有限公司</t>
  </si>
  <si>
    <t>广东佰匠模具科技有限公司</t>
  </si>
  <si>
    <t>湖南诚俊自动化科技有限公司</t>
  </si>
  <si>
    <t>台州市黄岩增益模塑有限公司</t>
  </si>
  <si>
    <t>平</t>
  </si>
  <si>
    <t>4104001</t>
  </si>
  <si>
    <t>利润分配-未分配利润</t>
  </si>
  <si>
    <t>blank</t>
  </si>
  <si>
    <t>东莞市博仪自动化科技有限公司</t>
  </si>
  <si>
    <t>北京瑞隆祥模具有限公司</t>
  </si>
  <si>
    <t>北京盛奥金华包装有限公司</t>
  </si>
  <si>
    <t>河北安闻汽车零部件有限公司</t>
  </si>
  <si>
    <t>河北新强力机械制造有限公司</t>
  </si>
  <si>
    <t>黄骅市鑫昌五金制品厂</t>
  </si>
  <si>
    <t>潍坊光华荣昌汽车技术有限公司</t>
  </si>
  <si>
    <t>河北岳钢数控设备有限公司</t>
  </si>
  <si>
    <t>保定兆龙通用电器塑业有限公司</t>
  </si>
  <si>
    <t>德州志鹏海绵制品有限公司</t>
  </si>
  <si>
    <t>黄骅市峰霞科技有限公司</t>
  </si>
  <si>
    <t>黄骅市万昌五金制品有限公司</t>
  </si>
  <si>
    <t>沧州华联钢管有限公司</t>
  </si>
  <si>
    <t>深州市安广顺机械配件有限公司</t>
  </si>
  <si>
    <t>威县永盛汽车配件制造有限公司</t>
  </si>
  <si>
    <t>南皮县泰航五金制造有限公司</t>
  </si>
  <si>
    <t>新发展（长春）汽车自控系统有</t>
  </si>
  <si>
    <t>上海怀德机电有限公司</t>
  </si>
  <si>
    <t>上海庆利机械设备有限公司</t>
  </si>
  <si>
    <t>江阴市达尔安汽车内饰科技</t>
  </si>
  <si>
    <t>江阴市达尔安汽车内饰科技有限</t>
  </si>
  <si>
    <t>浙江龙生汽车部件有限公司</t>
  </si>
  <si>
    <t>德清三和塑胶有限公司</t>
  </si>
  <si>
    <t>宁波威源软件有限公司</t>
  </si>
  <si>
    <t>浙江富昌泰汽车零部件有限公司</t>
  </si>
  <si>
    <t>芜湖金安世腾汽车安全系统有限</t>
  </si>
  <si>
    <t>盐城默成汽车内饰科技有限公司</t>
  </si>
  <si>
    <t>佳化化学（滨州）有限公司</t>
  </si>
  <si>
    <t>万华化学（烟台）销售有限公司</t>
  </si>
  <si>
    <t>永州巴佛莱特汽车饰品有限公司</t>
  </si>
  <si>
    <t>永州市巴佛莱特车辆饰件有限公</t>
  </si>
  <si>
    <t>株洲诺亿模具制造有限公司</t>
  </si>
  <si>
    <t>湖南益泰安环技术咨询有限公司</t>
  </si>
  <si>
    <t>株洲恺撒机电有限公司</t>
  </si>
  <si>
    <t>株洲市凡美斯汽车配件有限公司</t>
  </si>
  <si>
    <t>广州市永达汽车用品有限公司</t>
  </si>
  <si>
    <t>东莞市双和机车拉索有限公司</t>
  </si>
  <si>
    <t>广州永晔化工科技有限公司</t>
  </si>
  <si>
    <t>广州市耀林汽车装备有限公司</t>
  </si>
  <si>
    <t>广州添亿高分子材料有限公司</t>
  </si>
  <si>
    <t>东莞市君赢机械制造有限公司</t>
  </si>
  <si>
    <t>赵五祥</t>
  </si>
  <si>
    <t>湖南星宇龙机械有限公司</t>
  </si>
  <si>
    <t>东莞市高泰检测仪器有限公司</t>
  </si>
  <si>
    <t>黄骅市正大纺织机械配件厂</t>
  </si>
  <si>
    <t>沧州强宇五金制造有限公司</t>
  </si>
  <si>
    <t>江阴常青模具有限公司</t>
  </si>
  <si>
    <t>长春赛诺汽车材料有限公</t>
  </si>
  <si>
    <t>西安光华荣昌汽车部件有限公司</t>
  </si>
  <si>
    <t>武汉信测标准技术服务有限公司</t>
  </si>
  <si>
    <t>安莘供应链管理（上海）有限公</t>
  </si>
  <si>
    <t>长沙浩睿精密机械有限公司</t>
  </si>
  <si>
    <t>北京兴达恒源商贸有限公司</t>
  </si>
  <si>
    <t>昆山佰益通仓储设备有限公司</t>
  </si>
  <si>
    <t>浙江光安标准件有限公司</t>
  </si>
  <si>
    <t>安徽楚江特钢有限公司</t>
  </si>
  <si>
    <t>江西省仁义航空机械加工有限公</t>
  </si>
  <si>
    <t>景德镇市骏达汽车零部件有限公</t>
  </si>
  <si>
    <t>江西国匠汽车部件有限公司</t>
  </si>
  <si>
    <t>湖南鑫起人力资源管理有限公司</t>
  </si>
  <si>
    <t>湖南天平正大有限责任会计事务</t>
  </si>
  <si>
    <t>株洲博雅实业有限公司</t>
  </si>
  <si>
    <t>株洲县德鲲物流有限责任公司</t>
  </si>
  <si>
    <t>株洲国铁实业有限公司</t>
  </si>
  <si>
    <t>株洲久润物资贸易有限公司</t>
  </si>
  <si>
    <t>湘潭市得力焊材有限公司</t>
  </si>
  <si>
    <t>湖南瑞安汽车零部件有限公司</t>
  </si>
  <si>
    <t>株洲恒博工贸有限公司</t>
  </si>
  <si>
    <t>湖南易兹自动化有限公司</t>
  </si>
  <si>
    <t>江门东科化工有限公司</t>
  </si>
  <si>
    <t>深圳市和和机械有限公司</t>
  </si>
  <si>
    <t>佛山市顺德区勒流华通机电设备</t>
  </si>
  <si>
    <t>重庆聚贤汽车零部件制造有限公</t>
  </si>
  <si>
    <t>浙江维日托自动化科技有限公司</t>
  </si>
  <si>
    <t>广州熙锐自动化设备有限公司</t>
  </si>
  <si>
    <t>常州宝虎汽车配件有限公司</t>
  </si>
  <si>
    <t>停用-湘乡简美工贸有限公司</t>
  </si>
  <si>
    <t>湖南蝴蝶智能科技有限公司</t>
  </si>
  <si>
    <t>湖北瑞彼德自动化有限公司</t>
  </si>
  <si>
    <t>浙江泰极信汽车部件有限公司</t>
  </si>
  <si>
    <t>陕西擎创艺汽车零配件制造有限</t>
  </si>
  <si>
    <t>重庆乐康汽车配件有限公司</t>
  </si>
  <si>
    <t>麦格纳宏立汽车系统集团有限公</t>
  </si>
  <si>
    <t>上海菱林自动化科技有限公司</t>
  </si>
  <si>
    <t>长沙市跨越物流有限公司</t>
  </si>
  <si>
    <t>上海衡驰化工有限公司</t>
  </si>
  <si>
    <t>胜华波汽车电器（滁州）有限公</t>
  </si>
  <si>
    <t>湖南博恒机械设备有限公司</t>
  </si>
  <si>
    <t>湖南鸿骏机电有限公司</t>
  </si>
  <si>
    <t>武汉金悦力化工科技有限公司</t>
  </si>
  <si>
    <t>潍坊鑫腾物流有限公司</t>
  </si>
  <si>
    <t>湖南容正环保科技有限公司</t>
  </si>
  <si>
    <t>湖南道同生态环境科技有限公司</t>
  </si>
  <si>
    <t>广州可卓材料科技有限公司</t>
  </si>
  <si>
    <t>株洲市华龙特种气体有限公司</t>
  </si>
  <si>
    <t>湖南金远东汽车部件有限公司</t>
  </si>
  <si>
    <t>株洲和元智能科技有限公司</t>
  </si>
  <si>
    <t>无锡市康尼化工有限公司</t>
  </si>
  <si>
    <t>山东锐王工业科技有限公司</t>
  </si>
  <si>
    <t>上海凯密克新材料有限公司</t>
  </si>
  <si>
    <t>长沙享鑫机械有限公司</t>
  </si>
  <si>
    <t>泊头市捷润五金制品有限公司</t>
  </si>
  <si>
    <t>上海绽奇汽车部件有限公司</t>
  </si>
  <si>
    <t>徐州睿轴琦机械设备有限公司</t>
  </si>
  <si>
    <t>芜湖市卓人汽车配件有限责任公</t>
  </si>
  <si>
    <t>江西北汽海纳川星徽汽车部件有</t>
  </si>
  <si>
    <t>无锡永泰模具制造有限公司</t>
  </si>
  <si>
    <t>德阳光华荣昌汽车科技有限公司</t>
  </si>
  <si>
    <t>北京海纳川汽车部件股份有限公</t>
  </si>
  <si>
    <t>2025年1月付款计划（2月底付款）</t>
  </si>
  <si>
    <t>1月31余额
(2月25日导出）</t>
  </si>
  <si>
    <t>采购计划付款</t>
  </si>
  <si>
    <t>第一批</t>
  </si>
  <si>
    <t>第二批</t>
  </si>
  <si>
    <t>最终付款（第一批）</t>
  </si>
  <si>
    <t>原计划没完成本次支付</t>
  </si>
  <si>
    <t>承兑（元）</t>
  </si>
  <si>
    <t>现汇（元）</t>
  </si>
  <si>
    <t>2月25日资金库存</t>
  </si>
  <si>
    <t>现金</t>
  </si>
  <si>
    <t>简美</t>
  </si>
  <si>
    <t>承兑（可用）</t>
  </si>
  <si>
    <t>安道拓</t>
  </si>
  <si>
    <t>2月份可回款</t>
  </si>
  <si>
    <t>金达</t>
  </si>
  <si>
    <t>北京还款</t>
  </si>
  <si>
    <t>欣辰达</t>
  </si>
  <si>
    <t>潍坊货款</t>
  </si>
  <si>
    <t>汇阅</t>
  </si>
  <si>
    <t>长沙货款</t>
  </si>
  <si>
    <t>德邦</t>
  </si>
  <si>
    <t>麦格纳货款</t>
  </si>
  <si>
    <t>诺亿</t>
  </si>
  <si>
    <t>金琥货款</t>
  </si>
  <si>
    <t>信征</t>
  </si>
  <si>
    <t>株分货款</t>
  </si>
  <si>
    <t>凌天</t>
  </si>
  <si>
    <t>中行倒贷</t>
  </si>
  <si>
    <t>乾立</t>
  </si>
  <si>
    <t>3月底之前需开支</t>
  </si>
  <si>
    <t>工资五险</t>
  </si>
  <si>
    <t>计划没完成</t>
  </si>
  <si>
    <t>电费</t>
  </si>
  <si>
    <t>中行还贷</t>
  </si>
  <si>
    <t>资金缺口</t>
  </si>
  <si>
    <t xml:space="preserve">编制：                审核：    </t>
  </si>
  <si>
    <t xml:space="preserve">       财务部审核：                        批准：</t>
  </si>
  <si>
    <t>总账参考号</t>
  </si>
  <si>
    <t>批处理</t>
  </si>
  <si>
    <t>输入日期</t>
  </si>
  <si>
    <t>帐户描述</t>
  </si>
  <si>
    <t>明细账户</t>
  </si>
  <si>
    <t>分帐户描述</t>
  </si>
  <si>
    <t>成本中心</t>
  </si>
  <si>
    <t>成本中心描述</t>
  </si>
  <si>
    <t>项目</t>
  </si>
  <si>
    <t>凭证说明</t>
  </si>
  <si>
    <t>借方金额</t>
  </si>
  <si>
    <t>贷方金额</t>
  </si>
  <si>
    <t>地址</t>
  </si>
  <si>
    <t>名称</t>
  </si>
  <si>
    <t>事务类型</t>
  </si>
  <si>
    <t>单据类型</t>
  </si>
  <si>
    <t>单据</t>
  </si>
  <si>
    <t>用户 ID</t>
  </si>
  <si>
    <t>AP250131009697</t>
  </si>
  <si>
    <t>10740</t>
  </si>
  <si>
    <t>空白</t>
  </si>
  <si>
    <t>购裕腾兴材料一批</t>
  </si>
  <si>
    <t>L5437</t>
  </si>
  <si>
    <t>VO</t>
  </si>
  <si>
    <t>8422</t>
  </si>
  <si>
    <t>CW57</t>
  </si>
  <si>
    <t>AP250131009698</t>
  </si>
  <si>
    <t>10741</t>
  </si>
  <si>
    <t>调整10740税差</t>
  </si>
  <si>
    <t>8423</t>
  </si>
  <si>
    <t>AP250131009699</t>
  </si>
  <si>
    <t>10742</t>
  </si>
  <si>
    <t>购入河北光华材料一批</t>
  </si>
  <si>
    <t>1913037</t>
  </si>
  <si>
    <t>8424</t>
  </si>
  <si>
    <t>AP250131009700</t>
  </si>
  <si>
    <t>10743</t>
  </si>
  <si>
    <t>调整10742税差</t>
  </si>
  <si>
    <t>8425</t>
  </si>
  <si>
    <t>AP250131009701</t>
  </si>
  <si>
    <t>10744</t>
  </si>
  <si>
    <t>转至北京光华</t>
  </si>
  <si>
    <t>8426</t>
  </si>
  <si>
    <t>AP250131009702</t>
  </si>
  <si>
    <t>10745</t>
  </si>
  <si>
    <t>应付账款凭证</t>
  </si>
  <si>
    <t>1911037</t>
  </si>
  <si>
    <t>8427</t>
  </si>
  <si>
    <t>AP250131009703</t>
  </si>
  <si>
    <t>10746</t>
  </si>
  <si>
    <t>购入宏立材料一批</t>
  </si>
  <si>
    <t>L5382</t>
  </si>
  <si>
    <t>8428</t>
  </si>
  <si>
    <t>AP250131009704</t>
  </si>
  <si>
    <t>10747</t>
  </si>
  <si>
    <t>购入上海明芳材料一批</t>
  </si>
  <si>
    <t>1931528</t>
  </si>
  <si>
    <t>8429</t>
  </si>
  <si>
    <t>AP250131009705</t>
  </si>
  <si>
    <t>10748</t>
  </si>
  <si>
    <t>购入凌派通材料一批</t>
  </si>
  <si>
    <t>S432042</t>
  </si>
  <si>
    <t>8430</t>
  </si>
  <si>
    <t>AP250131009706</t>
  </si>
  <si>
    <t>10749</t>
  </si>
  <si>
    <t>购入厚元材料一批</t>
  </si>
  <si>
    <t>S450002</t>
  </si>
  <si>
    <t>8431</t>
  </si>
  <si>
    <t>AP250131009707</t>
  </si>
  <si>
    <t>10750</t>
  </si>
  <si>
    <t>购入全盛材料一批</t>
  </si>
  <si>
    <t>1932593</t>
  </si>
  <si>
    <t>8432</t>
  </si>
  <si>
    <t>AP250131009708</t>
  </si>
  <si>
    <t>10751</t>
  </si>
  <si>
    <t>购入汇阅材料一批</t>
  </si>
  <si>
    <t>AP250131009709</t>
  </si>
  <si>
    <t>10752</t>
  </si>
  <si>
    <t>购入劲亨材料一批</t>
  </si>
  <si>
    <t>L1122</t>
  </si>
  <si>
    <t>8434</t>
  </si>
  <si>
    <t>AP250131009710</t>
  </si>
  <si>
    <t>10753</t>
  </si>
  <si>
    <t>购入忠明材料一批</t>
  </si>
  <si>
    <t>L4469</t>
  </si>
  <si>
    <t>8435</t>
  </si>
  <si>
    <t>AP250131009711</t>
  </si>
  <si>
    <t>10754</t>
  </si>
  <si>
    <t>购入成卓材料一批</t>
  </si>
  <si>
    <t>1913102</t>
  </si>
  <si>
    <t>8436</t>
  </si>
  <si>
    <t>AP250131009714</t>
  </si>
  <si>
    <t>10757</t>
  </si>
  <si>
    <t>购入渝融兴材料一批</t>
  </si>
  <si>
    <t>L4133</t>
  </si>
  <si>
    <t>8438</t>
  </si>
  <si>
    <t>AP250131009715</t>
  </si>
  <si>
    <t>10758</t>
  </si>
  <si>
    <t>购力乐材料一批</t>
  </si>
  <si>
    <t>1932313</t>
  </si>
  <si>
    <t>8439</t>
  </si>
  <si>
    <t>AP250131009716</t>
  </si>
  <si>
    <t>10759</t>
  </si>
  <si>
    <t>调整10758税差</t>
  </si>
  <si>
    <t>8440</t>
  </si>
  <si>
    <t>AP250131009717</t>
  </si>
  <si>
    <t>10760</t>
  </si>
  <si>
    <t>购入吉林方舟材料一批</t>
  </si>
  <si>
    <t>L4311</t>
  </si>
  <si>
    <t>8441</t>
  </si>
  <si>
    <t>AP250131009718</t>
  </si>
  <si>
    <t>10761</t>
  </si>
  <si>
    <t>购入伟世通材料一批</t>
  </si>
  <si>
    <t>1942582</t>
  </si>
  <si>
    <t>8442</t>
  </si>
  <si>
    <t>AP250131009719</t>
  </si>
  <si>
    <t>10762</t>
  </si>
  <si>
    <t>购入美好生活材料一批</t>
  </si>
  <si>
    <t>S411036</t>
  </si>
  <si>
    <t>8443</t>
  </si>
  <si>
    <t>AP250131009720</t>
  </si>
  <si>
    <t>10763</t>
  </si>
  <si>
    <t>购入诚康材料一批</t>
  </si>
  <si>
    <t>L5474</t>
  </si>
  <si>
    <t>8444</t>
  </si>
  <si>
    <t>AP250131009721</t>
  </si>
  <si>
    <t>10764</t>
  </si>
  <si>
    <t>购入宇诺材料一批</t>
  </si>
  <si>
    <t>S413025</t>
  </si>
  <si>
    <t>8445</t>
  </si>
  <si>
    <t>AP250131009722</t>
  </si>
  <si>
    <t>10767</t>
  </si>
  <si>
    <t>购入太航材料一批</t>
  </si>
  <si>
    <t>1932375</t>
  </si>
  <si>
    <t>8448</t>
  </si>
  <si>
    <t>AP250131009723</t>
  </si>
  <si>
    <t>10768</t>
  </si>
  <si>
    <t>购入万金材料一批</t>
  </si>
  <si>
    <t>S432014</t>
  </si>
  <si>
    <t>8449</t>
  </si>
  <si>
    <t>AP250131009724</t>
  </si>
  <si>
    <t>10769</t>
  </si>
  <si>
    <t>购入文安德实材料一批</t>
  </si>
  <si>
    <t>1913289</t>
  </si>
  <si>
    <t>8450</t>
  </si>
  <si>
    <t>AP250131009725</t>
  </si>
  <si>
    <t>10770</t>
  </si>
  <si>
    <t>购入汉升材料一批</t>
  </si>
  <si>
    <t>L4164</t>
  </si>
  <si>
    <t>8451</t>
  </si>
  <si>
    <t>AP250131009726</t>
  </si>
  <si>
    <t>10771</t>
  </si>
  <si>
    <t>购入长春富维材料一批</t>
  </si>
  <si>
    <t>L4312</t>
  </si>
  <si>
    <t>8452</t>
  </si>
  <si>
    <t>AP250131009727</t>
  </si>
  <si>
    <t>10772</t>
  </si>
  <si>
    <t>购入忠强材料一批</t>
  </si>
  <si>
    <t>L4549</t>
  </si>
  <si>
    <t>8453</t>
  </si>
  <si>
    <t>AP250131009728</t>
  </si>
  <si>
    <t>10773</t>
  </si>
  <si>
    <t>购入奥瑞格材料一批</t>
  </si>
  <si>
    <t>L5475</t>
  </si>
  <si>
    <t>8454</t>
  </si>
  <si>
    <t>AP250131009729</t>
  </si>
  <si>
    <t>10774</t>
  </si>
  <si>
    <t>购入真旺材料一批</t>
  </si>
  <si>
    <t>L4964</t>
  </si>
  <si>
    <t>8455</t>
  </si>
  <si>
    <t>AP250131009730</t>
  </si>
  <si>
    <t>10776</t>
  </si>
  <si>
    <t>购入凯平材料一批</t>
  </si>
  <si>
    <t>AP250131009736</t>
  </si>
  <si>
    <t>10781</t>
  </si>
  <si>
    <t>购入广仁材料一批</t>
  </si>
  <si>
    <t>L4925</t>
  </si>
  <si>
    <t>8458</t>
  </si>
  <si>
    <t>AP250131009737</t>
  </si>
  <si>
    <t>10783</t>
  </si>
  <si>
    <t>调整10781税差</t>
  </si>
  <si>
    <t>8459</t>
  </si>
  <si>
    <t>AP250131009742</t>
  </si>
  <si>
    <t>10787</t>
  </si>
  <si>
    <t>8460</t>
  </si>
  <si>
    <t>AP250131009760</t>
  </si>
  <si>
    <t>10797</t>
  </si>
  <si>
    <t>购入胜华波材料一批</t>
  </si>
  <si>
    <t>L5462</t>
  </si>
  <si>
    <t>8461</t>
  </si>
  <si>
    <t>AP250131009762</t>
  </si>
  <si>
    <t>10807</t>
  </si>
  <si>
    <t>购入莫特美材料一批</t>
  </si>
  <si>
    <t>L5708</t>
  </si>
  <si>
    <t>8462</t>
  </si>
  <si>
    <t>AP250131009776</t>
  </si>
  <si>
    <t>10819</t>
  </si>
  <si>
    <t>8463</t>
  </si>
  <si>
    <t>AP250131009782</t>
  </si>
  <si>
    <t>10825</t>
  </si>
  <si>
    <t>购入欣辰达材料一批</t>
  </si>
  <si>
    <t>L5436</t>
  </si>
  <si>
    <t>8464</t>
  </si>
  <si>
    <t>AP250131009784</t>
  </si>
  <si>
    <t>10828</t>
  </si>
  <si>
    <t>AP250131009785</t>
  </si>
  <si>
    <t>10829</t>
  </si>
  <si>
    <t>购入华悦材料一批</t>
  </si>
  <si>
    <t>1933501A</t>
  </si>
  <si>
    <t>8466</t>
  </si>
  <si>
    <t>AP250131009791</t>
  </si>
  <si>
    <t>10835</t>
  </si>
  <si>
    <t>购入中道材料一批</t>
  </si>
  <si>
    <t>L4533</t>
  </si>
  <si>
    <t>8469</t>
  </si>
  <si>
    <t>AP250131009817</t>
  </si>
  <si>
    <t>10860</t>
  </si>
  <si>
    <t>8471</t>
  </si>
  <si>
    <t>AP250131009821</t>
  </si>
  <si>
    <t>10864</t>
  </si>
  <si>
    <t>购入临港明康材料一批</t>
  </si>
  <si>
    <t>1913100</t>
  </si>
  <si>
    <t>8472</t>
  </si>
  <si>
    <t>AP250131009824</t>
  </si>
  <si>
    <t>10868</t>
  </si>
  <si>
    <t>购入鑫岩材料一批</t>
  </si>
  <si>
    <t>1932389A</t>
  </si>
  <si>
    <t>8473</t>
  </si>
  <si>
    <t>AP250131009828</t>
  </si>
  <si>
    <t>10874</t>
  </si>
  <si>
    <t>购入烁鑫材料一批</t>
  </si>
  <si>
    <t>1913517</t>
  </si>
  <si>
    <t>8478</t>
  </si>
  <si>
    <t>AP250131009829</t>
  </si>
  <si>
    <t>10875</t>
  </si>
  <si>
    <t>购入诺亿材料一批</t>
  </si>
  <si>
    <t>L5335</t>
  </si>
  <si>
    <t>8479</t>
  </si>
  <si>
    <t>AP250131009830</t>
  </si>
  <si>
    <t>10878</t>
  </si>
  <si>
    <t>购入自强材料一批</t>
  </si>
  <si>
    <t>1913022</t>
  </si>
  <si>
    <t>8482</t>
  </si>
  <si>
    <t>AP250131009831</t>
  </si>
  <si>
    <t>10879</t>
  </si>
  <si>
    <t>调整10878税差</t>
  </si>
  <si>
    <t>8483</t>
  </si>
  <si>
    <t>AP250131009832</t>
  </si>
  <si>
    <t>10880</t>
  </si>
  <si>
    <t>购入德锐隆材料一批</t>
  </si>
  <si>
    <t>L4494</t>
  </si>
  <si>
    <t>8484</t>
  </si>
  <si>
    <t>AP250131009833</t>
  </si>
  <si>
    <t>10881</t>
  </si>
  <si>
    <t>调整10880税差</t>
  </si>
  <si>
    <t>8486</t>
  </si>
  <si>
    <t>AP250131009834</t>
  </si>
  <si>
    <t>10882</t>
  </si>
  <si>
    <t>购入建昌材料一批</t>
  </si>
  <si>
    <t>1913101</t>
  </si>
  <si>
    <t>8487</t>
  </si>
  <si>
    <t>AP250131009835</t>
  </si>
  <si>
    <t>10884</t>
  </si>
  <si>
    <t>购入德邦材料一批</t>
  </si>
  <si>
    <t>L4309</t>
  </si>
  <si>
    <t>8490</t>
  </si>
  <si>
    <t>AP250131009836</t>
  </si>
  <si>
    <t>10885</t>
  </si>
  <si>
    <t>购入广亿材料一批</t>
  </si>
  <si>
    <t>1913006</t>
  </si>
  <si>
    <t>8491</t>
  </si>
  <si>
    <t>AP250131009837</t>
  </si>
  <si>
    <t>10886</t>
  </si>
  <si>
    <t>购入晶立泰材料一批</t>
  </si>
  <si>
    <t>L5322</t>
  </si>
  <si>
    <t>8493</t>
  </si>
  <si>
    <t>AP250131009838</t>
  </si>
  <si>
    <t>10889</t>
  </si>
  <si>
    <t>购入雍丰材料一批</t>
  </si>
  <si>
    <t>L4443</t>
  </si>
  <si>
    <t>8496</t>
  </si>
  <si>
    <t>AP250131009839</t>
  </si>
  <si>
    <t>10890</t>
  </si>
  <si>
    <t>调整10889税差</t>
  </si>
  <si>
    <t>8497</t>
  </si>
  <si>
    <t>AP250131009840</t>
  </si>
  <si>
    <t>10892</t>
  </si>
  <si>
    <t>购入琪安材料一批</t>
  </si>
  <si>
    <t>1912608</t>
  </si>
  <si>
    <t>8499</t>
  </si>
  <si>
    <t>AP250131009841</t>
  </si>
  <si>
    <t>10893</t>
  </si>
  <si>
    <t>8500</t>
  </si>
  <si>
    <t>AP250131009842</t>
  </si>
  <si>
    <t>10894</t>
  </si>
  <si>
    <t>AP250131009843</t>
  </si>
  <si>
    <t>10895</t>
  </si>
  <si>
    <t>购入衡阳标准件材料</t>
  </si>
  <si>
    <t>1943003</t>
  </si>
  <si>
    <t>8502</t>
  </si>
  <si>
    <t>AP250131009844</t>
  </si>
  <si>
    <t>10896</t>
  </si>
  <si>
    <t>调整10895税差</t>
  </si>
  <si>
    <t>8503</t>
  </si>
  <si>
    <t>AP250131009845</t>
  </si>
  <si>
    <t>10897</t>
  </si>
  <si>
    <t>购入信征材料一批</t>
  </si>
  <si>
    <t>L4579</t>
  </si>
  <si>
    <t>8504</t>
  </si>
  <si>
    <t>AP250131009846</t>
  </si>
  <si>
    <t>10899</t>
  </si>
  <si>
    <t>购入湘和材料一批</t>
  </si>
  <si>
    <t>L4527</t>
  </si>
  <si>
    <t>8507</t>
  </si>
  <si>
    <t>AP250131009847</t>
  </si>
  <si>
    <t>10900</t>
  </si>
  <si>
    <t>调整10899税差</t>
  </si>
  <si>
    <t>8508</t>
  </si>
  <si>
    <t>AP250131009848</t>
  </si>
  <si>
    <t>10901</t>
  </si>
  <si>
    <t>购入凌天材料一批</t>
  </si>
  <si>
    <t>1943004</t>
  </si>
  <si>
    <t>8509</t>
  </si>
  <si>
    <t>AP250131009849</t>
  </si>
  <si>
    <t>10902</t>
  </si>
  <si>
    <t>调整10901税差</t>
  </si>
  <si>
    <t>8510</t>
  </si>
  <si>
    <t>AP250131009850</t>
  </si>
  <si>
    <t>10903</t>
  </si>
  <si>
    <t>收到广仁座框电泳费发</t>
  </si>
  <si>
    <t>8511</t>
  </si>
  <si>
    <t>AP250131009851</t>
  </si>
  <si>
    <t>10904</t>
  </si>
  <si>
    <t>8512</t>
  </si>
  <si>
    <t>AP250131009852</t>
  </si>
  <si>
    <t>10905</t>
  </si>
  <si>
    <t>8514</t>
  </si>
  <si>
    <t>AP250131009853</t>
  </si>
  <si>
    <t>10906</t>
  </si>
  <si>
    <t>8515</t>
  </si>
  <si>
    <t>中国财务凭证号</t>
  </si>
  <si>
    <t>AP250226009912</t>
  </si>
  <si>
    <t>20250000026253</t>
  </si>
  <si>
    <t>10964</t>
  </si>
  <si>
    <t>8555</t>
  </si>
  <si>
    <t>AP250226009913</t>
  </si>
  <si>
    <t>20250000026254</t>
  </si>
  <si>
    <t>10965</t>
  </si>
  <si>
    <t>购全盛材料一批</t>
  </si>
  <si>
    <t>8556</t>
  </si>
  <si>
    <t>AP250226009915</t>
  </si>
  <si>
    <t>20250000026256</t>
  </si>
  <si>
    <t>10968</t>
  </si>
  <si>
    <t>购入无锡中天材料一批</t>
  </si>
  <si>
    <t>S432068</t>
  </si>
  <si>
    <t>8559</t>
  </si>
  <si>
    <t>AP250226009916</t>
  </si>
  <si>
    <t>20250000026257</t>
  </si>
  <si>
    <t>10969</t>
  </si>
  <si>
    <t>购入力乐材料一批</t>
  </si>
  <si>
    <t>8560</t>
  </si>
  <si>
    <t>AP250226009917</t>
  </si>
  <si>
    <t>20250000026258</t>
  </si>
  <si>
    <t>10971</t>
  </si>
  <si>
    <t>购入清河沁园材料一批</t>
  </si>
  <si>
    <t>S413201</t>
  </si>
  <si>
    <t>8562</t>
  </si>
  <si>
    <t>AP250226009918</t>
  </si>
  <si>
    <t>20250000026259</t>
  </si>
  <si>
    <t>10972</t>
  </si>
  <si>
    <t>AP250226009919</t>
  </si>
  <si>
    <t>20250000026260</t>
  </si>
  <si>
    <t>10973</t>
  </si>
  <si>
    <t>8564</t>
  </si>
  <si>
    <t>AP250226009920</t>
  </si>
  <si>
    <t>20250000026261</t>
  </si>
  <si>
    <t>10975</t>
  </si>
  <si>
    <t>购入方舟材料一批</t>
  </si>
  <si>
    <t>8566</t>
  </si>
  <si>
    <t>AP250226009921</t>
  </si>
  <si>
    <t>20250000026262</t>
  </si>
  <si>
    <t>10976</t>
  </si>
  <si>
    <t>购入力登维材料一批</t>
  </si>
  <si>
    <t>S412041</t>
  </si>
  <si>
    <t>8567</t>
  </si>
  <si>
    <t>AP250226009922</t>
  </si>
  <si>
    <t>20250000026263</t>
  </si>
  <si>
    <t>10977</t>
  </si>
  <si>
    <t>购入品高材料一批</t>
  </si>
  <si>
    <t>S450004</t>
  </si>
  <si>
    <t>8568</t>
  </si>
  <si>
    <t>AP250226009923</t>
  </si>
  <si>
    <t>20250000026264</t>
  </si>
  <si>
    <t>10978</t>
  </si>
  <si>
    <t>调整10977税差</t>
  </si>
  <si>
    <t>8570</t>
  </si>
  <si>
    <t>AP250226009924</t>
  </si>
  <si>
    <t>20250000026265</t>
  </si>
  <si>
    <t>10982</t>
  </si>
  <si>
    <t>购入凯达材料一批</t>
  </si>
  <si>
    <t>L4488</t>
  </si>
  <si>
    <t>8574</t>
  </si>
  <si>
    <t>AP250226009925</t>
  </si>
  <si>
    <t>20250000026266</t>
  </si>
  <si>
    <t>10983</t>
  </si>
  <si>
    <t>调整10982税差</t>
  </si>
  <si>
    <t>8575</t>
  </si>
  <si>
    <t>AP250226009926</t>
  </si>
  <si>
    <t>20250000026267</t>
  </si>
  <si>
    <t>10984</t>
  </si>
  <si>
    <t>购入昆山吉山材料一批</t>
  </si>
  <si>
    <t>S432067</t>
  </si>
  <si>
    <t>8576</t>
  </si>
  <si>
    <t>AP250226009927</t>
  </si>
  <si>
    <t>20250000026268</t>
  </si>
  <si>
    <t>10985</t>
  </si>
  <si>
    <t>购入俱泰材料一批</t>
  </si>
  <si>
    <t>S431050</t>
  </si>
  <si>
    <t>8577</t>
  </si>
  <si>
    <t>AP250226009928</t>
  </si>
  <si>
    <t>20250000026269</t>
  </si>
  <si>
    <t>10986</t>
  </si>
  <si>
    <t>调整10985税差</t>
  </si>
  <si>
    <t>8579</t>
  </si>
  <si>
    <t>AP250226009929</t>
  </si>
  <si>
    <t>20250000026270</t>
  </si>
  <si>
    <t>10987</t>
  </si>
  <si>
    <t>购入广州自强材料一批</t>
  </si>
  <si>
    <t>S444040</t>
  </si>
  <si>
    <t>8580</t>
  </si>
  <si>
    <t>AP250226009930</t>
  </si>
  <si>
    <t>20250000026271</t>
  </si>
  <si>
    <t>10988</t>
  </si>
  <si>
    <t>购入广州三泰材料一批</t>
  </si>
  <si>
    <t>S444037</t>
  </si>
  <si>
    <t>8581</t>
  </si>
  <si>
    <t>AP250226009931</t>
  </si>
  <si>
    <t>20250000026272</t>
  </si>
  <si>
    <t>10989</t>
  </si>
  <si>
    <t>购入霸州政锦材料一批</t>
  </si>
  <si>
    <t>S413132</t>
  </si>
  <si>
    <t>8582</t>
  </si>
  <si>
    <t>AP250227009933</t>
  </si>
  <si>
    <t>20250000026274</t>
  </si>
  <si>
    <t>10991</t>
  </si>
  <si>
    <t>8584</t>
  </si>
  <si>
    <t>AP250227009934</t>
  </si>
  <si>
    <t>20250000026275</t>
  </si>
  <si>
    <t>10992</t>
  </si>
  <si>
    <t>购厚元材料一批</t>
  </si>
  <si>
    <t>8585</t>
  </si>
  <si>
    <t>AP250227009935</t>
  </si>
  <si>
    <t>20250000026276</t>
  </si>
  <si>
    <t>10993</t>
  </si>
  <si>
    <t xml:space="preserve"> 调整10992税差</t>
  </si>
  <si>
    <t>8587</t>
  </si>
  <si>
    <t>AP250227009936</t>
  </si>
  <si>
    <t>20250000026277</t>
  </si>
  <si>
    <t>10995</t>
  </si>
  <si>
    <t>8589</t>
  </si>
  <si>
    <t>AP250227009937</t>
  </si>
  <si>
    <t>20250000026278</t>
  </si>
  <si>
    <t>10996</t>
  </si>
  <si>
    <t>8590</t>
  </si>
  <si>
    <t>AP250227009938</t>
  </si>
  <si>
    <t>20250000026279</t>
  </si>
  <si>
    <t>10997</t>
  </si>
  <si>
    <t>购入伟士通材料一批</t>
  </si>
  <si>
    <t>8591</t>
  </si>
  <si>
    <t>AP250227009939</t>
  </si>
  <si>
    <t>20250000026280</t>
  </si>
  <si>
    <t>10998</t>
  </si>
  <si>
    <t>购入北京光华材料一批</t>
  </si>
  <si>
    <t>8592</t>
  </si>
  <si>
    <t>AP250227009940</t>
  </si>
  <si>
    <t>20250000026281</t>
  </si>
  <si>
    <t>10999</t>
  </si>
  <si>
    <t>购入旭兴材料一批</t>
  </si>
  <si>
    <t>1913266</t>
  </si>
  <si>
    <t>8593</t>
  </si>
  <si>
    <t>AP250227009941</t>
  </si>
  <si>
    <t>20250000026282</t>
  </si>
  <si>
    <t>11000</t>
  </si>
  <si>
    <t>8594</t>
  </si>
  <si>
    <t>AP250227009942</t>
  </si>
  <si>
    <t>20250000026283</t>
  </si>
  <si>
    <t>11002</t>
  </si>
  <si>
    <t>购入明芳材料一批</t>
  </si>
  <si>
    <t>8596</t>
  </si>
  <si>
    <t>AP250227009943</t>
  </si>
  <si>
    <t>20250000026284</t>
  </si>
  <si>
    <t>11003</t>
  </si>
  <si>
    <t>购入富维安道拓材料一</t>
  </si>
  <si>
    <t>8597</t>
  </si>
  <si>
    <t>AP250227009944</t>
  </si>
  <si>
    <t>20250000026285</t>
  </si>
  <si>
    <t>11005</t>
  </si>
  <si>
    <t>购入德实材料一批</t>
  </si>
  <si>
    <t>8599</t>
  </si>
  <si>
    <t>AP250227009945</t>
  </si>
  <si>
    <t>20250000026286</t>
  </si>
  <si>
    <t>11006</t>
  </si>
  <si>
    <t>购入驷马材料一批</t>
  </si>
  <si>
    <t>L4550</t>
  </si>
  <si>
    <t>8600</t>
  </si>
  <si>
    <t>AP250227009946</t>
  </si>
  <si>
    <t>20250000026287</t>
  </si>
  <si>
    <t>11007</t>
  </si>
  <si>
    <t>购入鑫淼材料一批</t>
  </si>
  <si>
    <t>S412054</t>
  </si>
  <si>
    <t>8601</t>
  </si>
  <si>
    <t>AP250227009947</t>
  </si>
  <si>
    <t>20250000026288</t>
  </si>
  <si>
    <t>11008</t>
  </si>
  <si>
    <t>8602</t>
  </si>
  <si>
    <t>AP250227009948</t>
  </si>
  <si>
    <t>20250000026289</t>
  </si>
  <si>
    <t>11009</t>
  </si>
  <si>
    <t>8603</t>
  </si>
  <si>
    <t>AP250227009949</t>
  </si>
  <si>
    <t>20250000026290</t>
  </si>
  <si>
    <t>11010</t>
  </si>
  <si>
    <t>购入北京美好材料一批</t>
  </si>
  <si>
    <t>8604</t>
  </si>
  <si>
    <t>AP250227009950</t>
  </si>
  <si>
    <t>20250000026291</t>
  </si>
  <si>
    <t>11011</t>
  </si>
  <si>
    <t>8605</t>
  </si>
  <si>
    <t>AP250227009951</t>
  </si>
  <si>
    <t>20250000026292</t>
  </si>
  <si>
    <t>11012</t>
  </si>
  <si>
    <t>AP250227009952</t>
  </si>
  <si>
    <t>20250000026293</t>
  </si>
  <si>
    <t>11014</t>
  </si>
  <si>
    <t>8608</t>
  </si>
  <si>
    <t>AP250228009953</t>
  </si>
  <si>
    <t>20250000026294</t>
  </si>
  <si>
    <t>11015</t>
  </si>
  <si>
    <t>8609</t>
  </si>
  <si>
    <t>AP250228009954</t>
  </si>
  <si>
    <t>20250000026295</t>
  </si>
  <si>
    <t>11016</t>
  </si>
  <si>
    <t>8610</t>
  </si>
  <si>
    <t>AP250228009955</t>
  </si>
  <si>
    <t>20250000026296</t>
  </si>
  <si>
    <t>11017</t>
  </si>
  <si>
    <t>8612</t>
  </si>
  <si>
    <t>AP250228009956</t>
  </si>
  <si>
    <t>20250000026297</t>
  </si>
  <si>
    <t>11018</t>
  </si>
  <si>
    <t>购入光大材料一批</t>
  </si>
  <si>
    <t>1950401</t>
  </si>
  <si>
    <t>8613</t>
  </si>
  <si>
    <t>AP250228009957</t>
  </si>
  <si>
    <t>20250000026298</t>
  </si>
  <si>
    <t>11019</t>
  </si>
  <si>
    <t>购中道材料一批</t>
  </si>
  <si>
    <t>8614</t>
  </si>
  <si>
    <t>AP250228009958</t>
  </si>
  <si>
    <t>20250000026299</t>
  </si>
  <si>
    <t>11023</t>
  </si>
  <si>
    <t>调整11019税差</t>
  </si>
  <si>
    <t>8619</t>
  </si>
  <si>
    <t>AP250228009959</t>
  </si>
  <si>
    <t>20250000026300</t>
  </si>
  <si>
    <t>11024</t>
  </si>
  <si>
    <t>购自强材料一批</t>
  </si>
  <si>
    <t>8620</t>
  </si>
  <si>
    <t>AP250228009960</t>
  </si>
  <si>
    <t>20250000026301</t>
  </si>
  <si>
    <t>11025</t>
  </si>
  <si>
    <t>购晶立泰材料一批</t>
  </si>
  <si>
    <t>8621</t>
  </si>
  <si>
    <t>AP250228009961</t>
  </si>
  <si>
    <t>20250000026302</t>
  </si>
  <si>
    <t>11026</t>
  </si>
  <si>
    <t>8622</t>
  </si>
  <si>
    <t>AP250228009962</t>
  </si>
  <si>
    <t>20250000026303</t>
  </si>
  <si>
    <t>11027</t>
  </si>
  <si>
    <t>购雍丰材料一批</t>
  </si>
  <si>
    <t>8623</t>
  </si>
  <si>
    <t>AP250228009963</t>
  </si>
  <si>
    <t>20250000026304</t>
  </si>
  <si>
    <t>11028</t>
  </si>
  <si>
    <t>调整11027税差</t>
  </si>
  <si>
    <t>8624</t>
  </si>
  <si>
    <t>AP250228009964</t>
  </si>
  <si>
    <t>20250000026305</t>
  </si>
  <si>
    <t>11029</t>
  </si>
  <si>
    <t>购天津琪安材料一批</t>
  </si>
  <si>
    <t>8625</t>
  </si>
  <si>
    <t>AP250228009965</t>
  </si>
  <si>
    <t>20250000026306</t>
  </si>
  <si>
    <t>11030</t>
  </si>
  <si>
    <t>8626</t>
  </si>
  <si>
    <t>AP250228009966</t>
  </si>
  <si>
    <t>20250000026307</t>
  </si>
  <si>
    <t>11032</t>
  </si>
  <si>
    <t>购建昌材料一批</t>
  </si>
  <si>
    <t>8628</t>
  </si>
  <si>
    <t>AP250228009967</t>
  </si>
  <si>
    <t>20250000026308</t>
  </si>
  <si>
    <t>11033</t>
  </si>
  <si>
    <t>调整11032税差</t>
  </si>
  <si>
    <t>8629</t>
  </si>
  <si>
    <t>AP250228009968</t>
  </si>
  <si>
    <t>20250000026309</t>
  </si>
  <si>
    <t>11036</t>
  </si>
  <si>
    <t>购德邦材料一批</t>
  </si>
  <si>
    <t>8632</t>
  </si>
  <si>
    <t>AP250228009969</t>
  </si>
  <si>
    <t>20250000026310</t>
  </si>
  <si>
    <t>11037</t>
  </si>
  <si>
    <t>调整11036税差</t>
  </si>
  <si>
    <t>l4309</t>
  </si>
  <si>
    <t>8633</t>
  </si>
  <si>
    <t>AP250228009970</t>
  </si>
  <si>
    <t>20250000026311</t>
  </si>
  <si>
    <t>11038</t>
  </si>
  <si>
    <t>8634</t>
  </si>
  <si>
    <t>AP250228009971</t>
  </si>
  <si>
    <t>20250000026312</t>
  </si>
  <si>
    <t>11039</t>
  </si>
  <si>
    <t>8635</t>
  </si>
  <si>
    <t>AP250228009972</t>
  </si>
  <si>
    <t>20250000026313</t>
  </si>
  <si>
    <t>11040</t>
  </si>
  <si>
    <t>购入铖亿材料一批</t>
  </si>
  <si>
    <t>L4899</t>
  </si>
  <si>
    <t>8636</t>
  </si>
  <si>
    <t>AP250228009973</t>
  </si>
  <si>
    <t>20250000026314</t>
  </si>
  <si>
    <t>11041</t>
  </si>
  <si>
    <t>购汇阅材料一批</t>
  </si>
  <si>
    <t>AP250228009974</t>
  </si>
  <si>
    <t>20250000026315</t>
  </si>
  <si>
    <t>11042</t>
  </si>
  <si>
    <t>购凌天材料一批</t>
  </si>
  <si>
    <t>8638</t>
  </si>
  <si>
    <t>AP250228009975</t>
  </si>
  <si>
    <t>20250000026316</t>
  </si>
  <si>
    <t>11043</t>
  </si>
  <si>
    <t>调整11042税差</t>
  </si>
  <si>
    <t>8640</t>
  </si>
  <si>
    <t>AP250228009976</t>
  </si>
  <si>
    <t>20250000026317</t>
  </si>
  <si>
    <t>11044</t>
  </si>
  <si>
    <t>购入兴天宏材料一批</t>
  </si>
  <si>
    <t>L5516</t>
  </si>
  <si>
    <t>8641</t>
  </si>
  <si>
    <t>AP250228009977</t>
  </si>
  <si>
    <t>20250000026318</t>
  </si>
  <si>
    <t>11046</t>
  </si>
  <si>
    <t>购入衡阳标准件一批</t>
  </si>
  <si>
    <t>8643</t>
  </si>
  <si>
    <t>AP250228009978</t>
  </si>
  <si>
    <t>20250000026319</t>
  </si>
  <si>
    <t>11047</t>
  </si>
  <si>
    <t>调整11046税差</t>
  </si>
  <si>
    <t>8644</t>
  </si>
  <si>
    <t>AP250228009979</t>
  </si>
  <si>
    <t>20250000026320</t>
  </si>
  <si>
    <t>11048</t>
  </si>
  <si>
    <t>AP250228009980</t>
  </si>
  <si>
    <t>20250000026321</t>
  </si>
  <si>
    <t>11049</t>
  </si>
  <si>
    <t>购入维克罗材料一批</t>
  </si>
  <si>
    <t>S432069</t>
  </si>
  <si>
    <t>8646</t>
  </si>
  <si>
    <t>AP250228009981</t>
  </si>
  <si>
    <t>20250000026322</t>
  </si>
  <si>
    <t>11050</t>
  </si>
  <si>
    <t>购入佛吉亚材料一批</t>
  </si>
  <si>
    <t>L2057</t>
  </si>
  <si>
    <t>8647</t>
  </si>
  <si>
    <t>AP250228009982</t>
  </si>
  <si>
    <t>20250000026323</t>
  </si>
  <si>
    <t>11051</t>
  </si>
  <si>
    <t>购河北光华材料一批</t>
  </si>
  <si>
    <t>8648</t>
  </si>
  <si>
    <t>AP250228009983</t>
  </si>
  <si>
    <t>20250000026324</t>
  </si>
  <si>
    <t>11052</t>
  </si>
  <si>
    <t>调整11051税差</t>
  </si>
  <si>
    <t>8649</t>
  </si>
  <si>
    <t>AP250228009996</t>
  </si>
  <si>
    <t>20250000026335</t>
  </si>
  <si>
    <t>11063</t>
  </si>
  <si>
    <t>8654</t>
  </si>
  <si>
    <t>AP250228009997</t>
  </si>
  <si>
    <t>20250000026336</t>
  </si>
  <si>
    <t>11064</t>
  </si>
  <si>
    <t>8655</t>
  </si>
  <si>
    <t>AP250319010055</t>
  </si>
  <si>
    <t>20250000058892</t>
  </si>
  <si>
    <t>11119</t>
  </si>
  <si>
    <t>8672</t>
  </si>
  <si>
    <t>AP250319010056</t>
  </si>
  <si>
    <t>20250000058893</t>
  </si>
  <si>
    <t>11120</t>
  </si>
  <si>
    <t>购入汇行材料一批</t>
  </si>
  <si>
    <t>S413221</t>
  </si>
  <si>
    <t>8673</t>
  </si>
  <si>
    <t>AP250319010057</t>
  </si>
  <si>
    <t>20250000058894</t>
  </si>
  <si>
    <t>11121</t>
  </si>
  <si>
    <t>8674</t>
  </si>
  <si>
    <t>AP250319010058</t>
  </si>
  <si>
    <t>20250000058895</t>
  </si>
  <si>
    <t>11123</t>
  </si>
  <si>
    <t>调整11121税差</t>
  </si>
  <si>
    <t>8676</t>
  </si>
  <si>
    <t>AP250319010059</t>
  </si>
  <si>
    <t>20250000058896</t>
  </si>
  <si>
    <t>11126</t>
  </si>
  <si>
    <t>8679</t>
  </si>
  <si>
    <t>AP250319010060</t>
  </si>
  <si>
    <t>20250000058897</t>
  </si>
  <si>
    <t>11127</t>
  </si>
  <si>
    <t>8680</t>
  </si>
  <si>
    <t>AP250319010061</t>
  </si>
  <si>
    <t>20250000058898</t>
  </si>
  <si>
    <t>11128</t>
  </si>
  <si>
    <t>购入凯密科材料一批</t>
  </si>
  <si>
    <t>S442009</t>
  </si>
  <si>
    <t>8681</t>
  </si>
  <si>
    <t>AP250319010062</t>
  </si>
  <si>
    <t>20250000058899</t>
  </si>
  <si>
    <t>11129</t>
  </si>
  <si>
    <t>调整11128税差</t>
  </si>
  <si>
    <t>8682</t>
  </si>
  <si>
    <t>AP250319010063</t>
  </si>
  <si>
    <t>20250000058900</t>
  </si>
  <si>
    <t>11130</t>
  </si>
  <si>
    <t>购入松原材料一批</t>
  </si>
  <si>
    <t>1933384A</t>
  </si>
  <si>
    <t>8683</t>
  </si>
  <si>
    <t>AP250319010064</t>
  </si>
  <si>
    <t>20250000058901</t>
  </si>
  <si>
    <t>11133</t>
  </si>
  <si>
    <t>8686</t>
  </si>
  <si>
    <t>AP250319010065</t>
  </si>
  <si>
    <t>20250000058902</t>
  </si>
  <si>
    <t>11135</t>
  </si>
  <si>
    <t>8688</t>
  </si>
  <si>
    <t>AP250319010066</t>
  </si>
  <si>
    <t>20250000058903</t>
  </si>
  <si>
    <t>11136</t>
  </si>
  <si>
    <t>8689</t>
  </si>
  <si>
    <t>AP250319010067</t>
  </si>
  <si>
    <t>20250000058904</t>
  </si>
  <si>
    <t>11137</t>
  </si>
  <si>
    <t>8690</t>
  </si>
  <si>
    <t>AP250319010068</t>
  </si>
  <si>
    <t>20250000058905</t>
  </si>
  <si>
    <t>11138</t>
  </si>
  <si>
    <t>8691</t>
  </si>
  <si>
    <t>AP250319010069</t>
  </si>
  <si>
    <t>20250000058906</t>
  </si>
  <si>
    <t>11139</t>
  </si>
  <si>
    <t>8693</t>
  </si>
  <si>
    <t>AP250319010070</t>
  </si>
  <si>
    <t>20250000058907</t>
  </si>
  <si>
    <t>11140</t>
  </si>
  <si>
    <t>8694</t>
  </si>
  <si>
    <t>AP250319010071</t>
  </si>
  <si>
    <t>20250000058908</t>
  </si>
  <si>
    <t>11142</t>
  </si>
  <si>
    <t>8697</t>
  </si>
  <si>
    <t>AP250319010072</t>
  </si>
  <si>
    <t>20250000058909</t>
  </si>
  <si>
    <t>11145</t>
  </si>
  <si>
    <t>购入霸州自强材料一批</t>
  </si>
  <si>
    <t>8700</t>
  </si>
  <si>
    <t>AP250319010073</t>
  </si>
  <si>
    <t>20250000058910</t>
  </si>
  <si>
    <t>11148</t>
  </si>
  <si>
    <t>8703</t>
  </si>
  <si>
    <t>AP250319010074</t>
  </si>
  <si>
    <t>20250000058911</t>
  </si>
  <si>
    <t>11149</t>
  </si>
  <si>
    <t>购入沁园材料一批</t>
  </si>
  <si>
    <t>8704</t>
  </si>
  <si>
    <t>AP250319010075</t>
  </si>
  <si>
    <t>20250000058912</t>
  </si>
  <si>
    <t>11150</t>
  </si>
  <si>
    <t>8705</t>
  </si>
  <si>
    <t>AP250319010076</t>
  </si>
  <si>
    <t>20250000058913</t>
  </si>
  <si>
    <t>11151</t>
  </si>
  <si>
    <t>8706</t>
  </si>
  <si>
    <t>AP250319010077</t>
  </si>
  <si>
    <t>20250000058914</t>
  </si>
  <si>
    <t>11153</t>
  </si>
  <si>
    <t>购入卓人材料一批</t>
  </si>
  <si>
    <t>S434003</t>
  </si>
  <si>
    <t>8708</t>
  </si>
  <si>
    <t>AP250319010078</t>
  </si>
  <si>
    <t>20250000058915</t>
  </si>
  <si>
    <t>11154</t>
  </si>
  <si>
    <t>8709</t>
  </si>
  <si>
    <t>AP250319010079</t>
  </si>
  <si>
    <t>20250000058916</t>
  </si>
  <si>
    <t>11155</t>
  </si>
  <si>
    <t>8710</t>
  </si>
  <si>
    <t>AP250319010080</t>
  </si>
  <si>
    <t>20250000058917</t>
  </si>
  <si>
    <t>11157</t>
  </si>
  <si>
    <t>8712</t>
  </si>
  <si>
    <t>AP250319010081</t>
  </si>
  <si>
    <t>20250000058918</t>
  </si>
  <si>
    <t>11160</t>
  </si>
  <si>
    <t>购入中天材料一批</t>
  </si>
  <si>
    <t>8715</t>
  </si>
  <si>
    <t>AP250319010082</t>
  </si>
  <si>
    <t>20250000058919</t>
  </si>
  <si>
    <t>11161</t>
  </si>
  <si>
    <t>8716</t>
  </si>
  <si>
    <t>AP250319010083</t>
  </si>
  <si>
    <t>20250000058920</t>
  </si>
  <si>
    <t>11162</t>
  </si>
  <si>
    <t>8717</t>
  </si>
  <si>
    <t>AP250319010084</t>
  </si>
  <si>
    <t>20250000058921</t>
  </si>
  <si>
    <t>11164</t>
  </si>
  <si>
    <t>8719</t>
  </si>
  <si>
    <t>AP250319010085</t>
  </si>
  <si>
    <t>20250000058922</t>
  </si>
  <si>
    <t>11165</t>
  </si>
  <si>
    <t>8720</t>
  </si>
  <si>
    <t>AP250319010086</t>
  </si>
  <si>
    <t>20250000058923</t>
  </si>
  <si>
    <t>11167</t>
  </si>
  <si>
    <t>8722</t>
  </si>
  <si>
    <t>AP250319010087</t>
  </si>
  <si>
    <t>20250000058924</t>
  </si>
  <si>
    <t>11169</t>
  </si>
  <si>
    <t>购入安道拓材料一批</t>
  </si>
  <si>
    <t>8724</t>
  </si>
  <si>
    <t>AP250320010089</t>
  </si>
  <si>
    <t>20250000058926</t>
  </si>
  <si>
    <t>11172</t>
  </si>
  <si>
    <t>购兴天宏材料一批</t>
  </si>
  <si>
    <t>8727</t>
  </si>
  <si>
    <t>AP250320010090</t>
  </si>
  <si>
    <t>20250000058927</t>
  </si>
  <si>
    <t>11174</t>
  </si>
  <si>
    <t>8729</t>
  </si>
  <si>
    <t>AP250320010091</t>
  </si>
  <si>
    <t>20250000058928</t>
  </si>
  <si>
    <t>11176</t>
  </si>
  <si>
    <t>8731</t>
  </si>
  <si>
    <t>AP250320010092</t>
  </si>
  <si>
    <t>20250000058929</t>
  </si>
  <si>
    <t>11178</t>
  </si>
  <si>
    <t>购入政锦材料一批</t>
  </si>
  <si>
    <t>8733</t>
  </si>
  <si>
    <t>AP250320010093</t>
  </si>
  <si>
    <t>20250000058930</t>
  </si>
  <si>
    <t>11180</t>
  </si>
  <si>
    <t>8735</t>
  </si>
  <si>
    <t>AP250320010094</t>
  </si>
  <si>
    <t>20250000058931</t>
  </si>
  <si>
    <t>11181</t>
  </si>
  <si>
    <t>购入霸州汇行材料一批</t>
  </si>
  <si>
    <t>8736</t>
  </si>
  <si>
    <t>AP250320010095</t>
  </si>
  <si>
    <t>20250000058932</t>
  </si>
  <si>
    <t>11182</t>
  </si>
  <si>
    <t>8737</t>
  </si>
  <si>
    <t>AP250320010096</t>
  </si>
  <si>
    <t>20250000058933</t>
  </si>
  <si>
    <t>11183</t>
  </si>
  <si>
    <t>8738</t>
  </si>
  <si>
    <t>AP250320010097</t>
  </si>
  <si>
    <t>20250000058934</t>
  </si>
  <si>
    <t>11184</t>
  </si>
  <si>
    <t>购入唐群材料一批</t>
  </si>
  <si>
    <t>L4401</t>
  </si>
  <si>
    <t>8739</t>
  </si>
  <si>
    <t>AP250324010114</t>
  </si>
  <si>
    <t>20250000058950</t>
  </si>
  <si>
    <t>11201</t>
  </si>
  <si>
    <t>8741</t>
  </si>
  <si>
    <t>AP250324010116</t>
  </si>
  <si>
    <t>20250000058952</t>
  </si>
  <si>
    <t>11203</t>
  </si>
  <si>
    <t>8743</t>
  </si>
  <si>
    <t>AP250324010118</t>
  </si>
  <si>
    <t>20250000058953</t>
  </si>
  <si>
    <t>11205</t>
  </si>
  <si>
    <t>8745</t>
  </si>
  <si>
    <t>AP250324010119</t>
  </si>
  <si>
    <t>20250000058954</t>
  </si>
  <si>
    <t>11207</t>
  </si>
  <si>
    <t>8747</t>
  </si>
  <si>
    <t>AP250324010120</t>
  </si>
  <si>
    <t>20250000058955</t>
  </si>
  <si>
    <t>11208</t>
  </si>
  <si>
    <t>调整11207税差</t>
  </si>
  <si>
    <t>8748</t>
  </si>
  <si>
    <t>AP250324010121</t>
  </si>
  <si>
    <t>20250000058956</t>
  </si>
  <si>
    <t>11209</t>
  </si>
  <si>
    <t>购长春超力材料一批</t>
  </si>
  <si>
    <t>L5380</t>
  </si>
  <si>
    <t>8749</t>
  </si>
  <si>
    <t>AP250324010125</t>
  </si>
  <si>
    <t>20250000058960</t>
  </si>
  <si>
    <t>11213</t>
  </si>
  <si>
    <t>购简美材料一批</t>
  </si>
  <si>
    <t>2143048</t>
  </si>
  <si>
    <t>8752</t>
  </si>
  <si>
    <t>AP250324010126</t>
  </si>
  <si>
    <t>20250000058961</t>
  </si>
  <si>
    <t>11214</t>
  </si>
  <si>
    <t>调整11213税差</t>
  </si>
  <si>
    <t>8753</t>
  </si>
  <si>
    <t>AP250324010127</t>
  </si>
  <si>
    <t>20250000058962</t>
  </si>
  <si>
    <t>11215</t>
  </si>
  <si>
    <t>库存差异损耗</t>
  </si>
  <si>
    <t>8754</t>
  </si>
  <si>
    <t>AP250325010137</t>
  </si>
  <si>
    <t>20250000058971</t>
  </si>
  <si>
    <t>11225</t>
  </si>
  <si>
    <t>购衡阳材料一批</t>
  </si>
  <si>
    <t>8758</t>
  </si>
  <si>
    <t>AP250325010138</t>
  </si>
  <si>
    <t>20250000058972</t>
  </si>
  <si>
    <t>11226</t>
  </si>
  <si>
    <t>调整11225税差</t>
  </si>
  <si>
    <t>8759</t>
  </si>
  <si>
    <t>AP250325010154</t>
  </si>
  <si>
    <t>20250000058986</t>
  </si>
  <si>
    <t>11242</t>
  </si>
  <si>
    <t>8760</t>
  </si>
  <si>
    <t>AP250325010158</t>
  </si>
  <si>
    <t>20250000058990</t>
  </si>
  <si>
    <t>11246</t>
  </si>
  <si>
    <t>8761</t>
  </si>
  <si>
    <t>AP250326010174</t>
  </si>
  <si>
    <t>20250000059002</t>
  </si>
  <si>
    <t>11260</t>
  </si>
  <si>
    <t>购入汇铭材料一批</t>
  </si>
  <si>
    <t>1913717</t>
  </si>
  <si>
    <t>8766</t>
  </si>
  <si>
    <t>AP250326010175</t>
  </si>
  <si>
    <t>20250000059003</t>
  </si>
  <si>
    <t>11261</t>
  </si>
  <si>
    <t>8767</t>
  </si>
  <si>
    <t>AP250326010176</t>
  </si>
  <si>
    <t>20250000059004</t>
  </si>
  <si>
    <t>11262</t>
  </si>
  <si>
    <t>调整11261税差</t>
  </si>
  <si>
    <t>8768</t>
  </si>
  <si>
    <t>AP250326010177</t>
  </si>
  <si>
    <t>20250000059005</t>
  </si>
  <si>
    <t>11264</t>
  </si>
  <si>
    <t>8770</t>
  </si>
  <si>
    <t>AP250326010178</t>
  </si>
  <si>
    <t>20250000059006</t>
  </si>
  <si>
    <t>11265</t>
  </si>
  <si>
    <t>调整11264税差</t>
  </si>
  <si>
    <t>8771</t>
  </si>
  <si>
    <t>AP250329010188</t>
  </si>
  <si>
    <t>20250000059014</t>
  </si>
  <si>
    <t>11275</t>
  </si>
  <si>
    <t>购入同威材料一批</t>
  </si>
  <si>
    <t>S432066</t>
  </si>
  <si>
    <t>8775</t>
  </si>
  <si>
    <t>AP250329010189</t>
  </si>
  <si>
    <t>20250000059015</t>
  </si>
  <si>
    <t>11277</t>
  </si>
  <si>
    <t>AP250329010190</t>
  </si>
  <si>
    <t>20250000059016</t>
  </si>
  <si>
    <t>11278</t>
  </si>
  <si>
    <t>8778</t>
  </si>
  <si>
    <t>AP250329010191</t>
  </si>
  <si>
    <t>20250000059017</t>
  </si>
  <si>
    <t>11279</t>
  </si>
  <si>
    <t>调整11278税差</t>
  </si>
  <si>
    <t>8779</t>
  </si>
  <si>
    <t>AP250329010192</t>
  </si>
  <si>
    <t>20250000059018</t>
  </si>
  <si>
    <t>11280</t>
  </si>
  <si>
    <t>调整河北至北京</t>
  </si>
  <si>
    <t>8780</t>
  </si>
  <si>
    <t>AP250329010193</t>
  </si>
  <si>
    <t>20250000059019</t>
  </si>
  <si>
    <t>11281</t>
  </si>
  <si>
    <t>8781</t>
  </si>
  <si>
    <t>AP250329010194</t>
  </si>
  <si>
    <t>20250000059020</t>
  </si>
  <si>
    <t>11282</t>
  </si>
  <si>
    <t>8782</t>
  </si>
  <si>
    <t>AP250329010195</t>
  </si>
  <si>
    <t>20250000059021</t>
  </si>
  <si>
    <t>11283</t>
  </si>
  <si>
    <t>8783</t>
  </si>
  <si>
    <t>AP250329010196</t>
  </si>
  <si>
    <t>20250000059022</t>
  </si>
  <si>
    <t>11285</t>
  </si>
  <si>
    <t>8786</t>
  </si>
  <si>
    <t>AP250417010239</t>
  </si>
  <si>
    <t>20250000088475</t>
  </si>
  <si>
    <t>11317</t>
  </si>
  <si>
    <t>8811</t>
  </si>
  <si>
    <t>AP250417010242</t>
  </si>
  <si>
    <t>20250000088478</t>
  </si>
  <si>
    <t>11328</t>
  </si>
  <si>
    <t>8812</t>
  </si>
  <si>
    <t>AP250417010245</t>
  </si>
  <si>
    <t>20250000088481</t>
  </si>
  <si>
    <t>11332</t>
  </si>
  <si>
    <t>8813</t>
  </si>
  <si>
    <t>AP250417010250</t>
  </si>
  <si>
    <t>20250000088486</t>
  </si>
  <si>
    <t>11334</t>
  </si>
  <si>
    <t>8814</t>
  </si>
  <si>
    <t>AP250417010262</t>
  </si>
  <si>
    <t>20250000088498</t>
  </si>
  <si>
    <t>11339</t>
  </si>
  <si>
    <t>8815</t>
  </si>
  <si>
    <t>AP250417010265</t>
  </si>
  <si>
    <t>20250000088501</t>
  </si>
  <si>
    <t>11353</t>
  </si>
  <si>
    <t>8817</t>
  </si>
  <si>
    <t>AP250417010268</t>
  </si>
  <si>
    <t>20250000088504</t>
  </si>
  <si>
    <t>11355</t>
  </si>
  <si>
    <t>8818</t>
  </si>
  <si>
    <t>AP250421010269</t>
  </si>
  <si>
    <t>20250000088505</t>
  </si>
  <si>
    <t>11357</t>
  </si>
  <si>
    <t>购入湘乡简美材料一批</t>
  </si>
  <si>
    <t>8819</t>
  </si>
  <si>
    <t>AP250421010270</t>
  </si>
  <si>
    <t>20250000088506</t>
  </si>
  <si>
    <t>11358</t>
  </si>
  <si>
    <t>调整11357税差</t>
  </si>
  <si>
    <t>8820</t>
  </si>
  <si>
    <t>AP250421010271</t>
  </si>
  <si>
    <t>20250000088507</t>
  </si>
  <si>
    <t>11359</t>
  </si>
  <si>
    <t>购入简美材料一批</t>
  </si>
  <si>
    <t>8821</t>
  </si>
  <si>
    <t>AP250421010272</t>
  </si>
  <si>
    <t>20250000088508</t>
  </si>
  <si>
    <t>11360</t>
  </si>
  <si>
    <t>调整11359税差</t>
  </si>
  <si>
    <t>8823</t>
  </si>
  <si>
    <t>AP250421010273</t>
  </si>
  <si>
    <t>20250000088509</t>
  </si>
  <si>
    <t>11361</t>
  </si>
  <si>
    <t>8824</t>
  </si>
  <si>
    <t>AP250423010274</t>
  </si>
  <si>
    <t>20250000088510</t>
  </si>
  <si>
    <t>11363</t>
  </si>
  <si>
    <t>8826</t>
  </si>
  <si>
    <t>AP250423010275</t>
  </si>
  <si>
    <t>20250000088511</t>
  </si>
  <si>
    <t>11364</t>
  </si>
  <si>
    <t>8827</t>
  </si>
  <si>
    <t>AP250423010276</t>
  </si>
  <si>
    <t>20250000088512</t>
  </si>
  <si>
    <t>11365</t>
  </si>
  <si>
    <t>8828</t>
  </si>
  <si>
    <t>AP250423010277</t>
  </si>
  <si>
    <t>20250000088513</t>
  </si>
  <si>
    <t>11366</t>
  </si>
  <si>
    <t>8829</t>
  </si>
  <si>
    <t>AP250423010278</t>
  </si>
  <si>
    <t>20250000088514</t>
  </si>
  <si>
    <t>11367</t>
  </si>
  <si>
    <t>购入北京美好生活材料</t>
  </si>
  <si>
    <t>8830</t>
  </si>
  <si>
    <t>AP250423010279</t>
  </si>
  <si>
    <t>20250000088515</t>
  </si>
  <si>
    <t>11371</t>
  </si>
  <si>
    <t>购入忠明祥和材料一批</t>
  </si>
  <si>
    <t>8834</t>
  </si>
  <si>
    <t>AP250423010280</t>
  </si>
  <si>
    <t>20250000088516</t>
  </si>
  <si>
    <t>11374</t>
  </si>
  <si>
    <t>购德锐隆材料一批</t>
  </si>
  <si>
    <t>8837</t>
  </si>
  <si>
    <t>AP250423010281</t>
  </si>
  <si>
    <t>20250000088517</t>
  </si>
  <si>
    <t>11375</t>
  </si>
  <si>
    <t>8838</t>
  </si>
  <si>
    <t>AP250423010282</t>
  </si>
  <si>
    <t>20250000088518</t>
  </si>
  <si>
    <t>11376</t>
  </si>
  <si>
    <t>8839</t>
  </si>
  <si>
    <t>AP250423010283</t>
  </si>
  <si>
    <t>20250000088519</t>
  </si>
  <si>
    <t>11377</t>
  </si>
  <si>
    <t>8840</t>
  </si>
  <si>
    <t>AP250423010284</t>
  </si>
  <si>
    <t>20250000088520</t>
  </si>
  <si>
    <t>11378</t>
  </si>
  <si>
    <t>调整11377税差</t>
  </si>
  <si>
    <t>8842</t>
  </si>
  <si>
    <t>AP250423010285</t>
  </si>
  <si>
    <t>20250000088521</t>
  </si>
  <si>
    <t>11379</t>
  </si>
  <si>
    <t>8843</t>
  </si>
  <si>
    <t>AP250423010286</t>
  </si>
  <si>
    <t>20250000088522</t>
  </si>
  <si>
    <t>11382</t>
  </si>
  <si>
    <t>8847</t>
  </si>
  <si>
    <t>AP250423010287</t>
  </si>
  <si>
    <t>20250000088523</t>
  </si>
  <si>
    <t>11383</t>
  </si>
  <si>
    <t>调整11382税差</t>
  </si>
  <si>
    <t>8848</t>
  </si>
  <si>
    <t>AP250423010288</t>
  </si>
  <si>
    <t>20250000088524</t>
  </si>
  <si>
    <t>11384</t>
  </si>
  <si>
    <t>8849</t>
  </si>
  <si>
    <t>AP250423010289</t>
  </si>
  <si>
    <t>20250000088525</t>
  </si>
  <si>
    <t>11385</t>
  </si>
  <si>
    <t>8850</t>
  </si>
  <si>
    <t>AP250423010290</t>
  </si>
  <si>
    <t>20250000088526</t>
  </si>
  <si>
    <t>11386</t>
  </si>
  <si>
    <t>8851</t>
  </si>
  <si>
    <t>AP250423010291</t>
  </si>
  <si>
    <t>20250000088527</t>
  </si>
  <si>
    <t>11387</t>
  </si>
  <si>
    <t>8852</t>
  </si>
  <si>
    <t>AP250423010292</t>
  </si>
  <si>
    <t>20250000088528</t>
  </si>
  <si>
    <t>11390</t>
  </si>
  <si>
    <t>8855</t>
  </si>
  <si>
    <t>AP250423010293</t>
  </si>
  <si>
    <t>20250000088529</t>
  </si>
  <si>
    <t>11392</t>
  </si>
  <si>
    <t>8857</t>
  </si>
  <si>
    <t>AP250423010294</t>
  </si>
  <si>
    <t>20250000088530</t>
  </si>
  <si>
    <t>11393</t>
  </si>
  <si>
    <t>8858</t>
  </si>
  <si>
    <t>AP250423010295</t>
  </si>
  <si>
    <t>20250000088531</t>
  </si>
  <si>
    <t>11394</t>
  </si>
  <si>
    <t>8860</t>
  </si>
  <si>
    <t>AP250423010296</t>
  </si>
  <si>
    <t>20250000088532</t>
  </si>
  <si>
    <t>11395</t>
  </si>
  <si>
    <t>调整11394税差</t>
  </si>
  <si>
    <t>8861</t>
  </si>
  <si>
    <t>AP250423010297</t>
  </si>
  <si>
    <t>20250000088533</t>
  </si>
  <si>
    <t>11399</t>
  </si>
  <si>
    <t>8865</t>
  </si>
  <si>
    <t>AP250423010298</t>
  </si>
  <si>
    <t>20250000088534</t>
  </si>
  <si>
    <t>11400</t>
  </si>
  <si>
    <t>8866</t>
  </si>
  <si>
    <t>AP250423010299</t>
  </si>
  <si>
    <t>20250000088535</t>
  </si>
  <si>
    <t>11402</t>
  </si>
  <si>
    <t>8868</t>
  </si>
  <si>
    <t>AP250423010300</t>
  </si>
  <si>
    <t>20250000088536</t>
  </si>
  <si>
    <t>11404</t>
  </si>
  <si>
    <t>8870</t>
  </si>
  <si>
    <t>AP250423010301</t>
  </si>
  <si>
    <t>20250000088537</t>
  </si>
  <si>
    <t>11405</t>
  </si>
  <si>
    <t>购入海兴中盛材料一批</t>
  </si>
  <si>
    <t>1913023</t>
  </si>
  <si>
    <t>8871</t>
  </si>
  <si>
    <t>AP250423010302</t>
  </si>
  <si>
    <t>20250000088538</t>
  </si>
  <si>
    <t>11406</t>
  </si>
  <si>
    <t>8872</t>
  </si>
  <si>
    <t>AP250423010303</t>
  </si>
  <si>
    <t>20250000088539</t>
  </si>
  <si>
    <t>11407</t>
  </si>
  <si>
    <t>8873</t>
  </si>
  <si>
    <t>AP250423010304</t>
  </si>
  <si>
    <t>20250000088540</t>
  </si>
  <si>
    <t>11410</t>
  </si>
  <si>
    <t>8876</t>
  </si>
  <si>
    <t>AP250423010305</t>
  </si>
  <si>
    <t>20250000088541</t>
  </si>
  <si>
    <t>11411</t>
  </si>
  <si>
    <t>调整11410税差</t>
  </si>
  <si>
    <t>8877</t>
  </si>
  <si>
    <t>AP250423010306</t>
  </si>
  <si>
    <t>20250000088542</t>
  </si>
  <si>
    <t>11412</t>
  </si>
  <si>
    <t>8878</t>
  </si>
  <si>
    <t>AP250423010307</t>
  </si>
  <si>
    <t>20250000088543</t>
  </si>
  <si>
    <t>11413</t>
  </si>
  <si>
    <t>8879</t>
  </si>
  <si>
    <t>AP250424010308</t>
  </si>
  <si>
    <t>20250000088544</t>
  </si>
  <si>
    <t>11414</t>
  </si>
  <si>
    <t>购湘和材料一批</t>
  </si>
  <si>
    <t>8880</t>
  </si>
  <si>
    <t>AP250424010309</t>
  </si>
  <si>
    <t>20250000088545</t>
  </si>
  <si>
    <t>11415</t>
  </si>
  <si>
    <t>调整11414税差</t>
  </si>
  <si>
    <t>8881</t>
  </si>
  <si>
    <t>AP250424010310</t>
  </si>
  <si>
    <t>20250000088546</t>
  </si>
  <si>
    <t>11416</t>
  </si>
  <si>
    <t>8882</t>
  </si>
  <si>
    <t>AP250424010311</t>
  </si>
  <si>
    <t>20250000088547</t>
  </si>
  <si>
    <t>11418</t>
  </si>
  <si>
    <t>调整11416税差</t>
  </si>
  <si>
    <t>8885</t>
  </si>
  <si>
    <t>AP250424010312</t>
  </si>
  <si>
    <t>20250000088548</t>
  </si>
  <si>
    <t>11422</t>
  </si>
  <si>
    <t>8889</t>
  </si>
  <si>
    <t>AP250424010313</t>
  </si>
  <si>
    <t>20250000088549</t>
  </si>
  <si>
    <t>11423</t>
  </si>
  <si>
    <t>8890</t>
  </si>
  <si>
    <t>AP250424010314</t>
  </si>
  <si>
    <t>20250000088550</t>
  </si>
  <si>
    <t>11424</t>
  </si>
  <si>
    <t>调整11423税差</t>
  </si>
  <si>
    <t>8891</t>
  </si>
  <si>
    <t>AP250424010315</t>
  </si>
  <si>
    <t>20250000088551</t>
  </si>
  <si>
    <t>11425</t>
  </si>
  <si>
    <t>购入新和荣材料一批</t>
  </si>
  <si>
    <t>S444039</t>
  </si>
  <si>
    <t>8892</t>
  </si>
  <si>
    <t>AP250424010316</t>
  </si>
  <si>
    <t>20250000088552</t>
  </si>
  <si>
    <t>11426</t>
  </si>
  <si>
    <t>8893</t>
  </si>
  <si>
    <t>AP250424010317</t>
  </si>
  <si>
    <t>20250000088553</t>
  </si>
  <si>
    <t>11428</t>
  </si>
  <si>
    <t>购入深圳新荣和材料一</t>
  </si>
  <si>
    <t>8895</t>
  </si>
  <si>
    <t>AP250424010318</t>
  </si>
  <si>
    <t>20250000088554</t>
  </si>
  <si>
    <t>11429</t>
  </si>
  <si>
    <t>购入新梦顶材料一批</t>
  </si>
  <si>
    <t>S431004</t>
  </si>
  <si>
    <t>8896</t>
  </si>
  <si>
    <t>AP250424010319</t>
  </si>
  <si>
    <t>20250000088555</t>
  </si>
  <si>
    <t>11430</t>
  </si>
  <si>
    <t>8897</t>
  </si>
  <si>
    <t>AP250424010320</t>
  </si>
  <si>
    <t>20250000088556</t>
  </si>
  <si>
    <t>11431</t>
  </si>
  <si>
    <t>AP250425010321</t>
  </si>
  <si>
    <t>20250000088557</t>
  </si>
  <si>
    <t>11432</t>
  </si>
  <si>
    <t>8899</t>
  </si>
  <si>
    <t>AP250425010322</t>
  </si>
  <si>
    <t>20250000088558</t>
  </si>
  <si>
    <t>11434</t>
  </si>
  <si>
    <t>8901</t>
  </si>
  <si>
    <t>AP250425010323</t>
  </si>
  <si>
    <t>20250000088559</t>
  </si>
  <si>
    <t>11435</t>
  </si>
  <si>
    <t>购品高材料一批</t>
  </si>
  <si>
    <t>8902</t>
  </si>
  <si>
    <t>AP250425010324</t>
  </si>
  <si>
    <t>20250000088560</t>
  </si>
  <si>
    <t>11436</t>
  </si>
  <si>
    <t>调整11435税差</t>
  </si>
  <si>
    <t>8903</t>
  </si>
  <si>
    <t>AP250425010325</t>
  </si>
  <si>
    <t>20250000088561</t>
  </si>
  <si>
    <t>11437</t>
  </si>
  <si>
    <t>8904</t>
  </si>
  <si>
    <t>AP250425010326</t>
  </si>
  <si>
    <t>20250000088562</t>
  </si>
  <si>
    <t>11439</t>
  </si>
  <si>
    <t>AP250425010327</t>
  </si>
  <si>
    <t>20250000088563</t>
  </si>
  <si>
    <t>11440</t>
  </si>
  <si>
    <t>8907</t>
  </si>
  <si>
    <t>AP250425010328</t>
  </si>
  <si>
    <t>20250000088564</t>
  </si>
  <si>
    <t>11441</t>
  </si>
  <si>
    <t>调整11440税差</t>
  </si>
  <si>
    <t>8908</t>
  </si>
  <si>
    <t>AP250425010329</t>
  </si>
  <si>
    <t>20250000088565</t>
  </si>
  <si>
    <t>11442</t>
  </si>
  <si>
    <t>调整前期差价</t>
  </si>
  <si>
    <t>8909</t>
  </si>
  <si>
    <t>AP250428010348</t>
  </si>
  <si>
    <t>20250000088580</t>
  </si>
  <si>
    <t>11461</t>
  </si>
  <si>
    <t>8918</t>
  </si>
  <si>
    <t>AP250428010349</t>
  </si>
  <si>
    <t>20250000088581</t>
  </si>
  <si>
    <t>11463</t>
  </si>
  <si>
    <t>AP250428010352</t>
  </si>
  <si>
    <t>20250000088584</t>
  </si>
  <si>
    <t>11466</t>
  </si>
  <si>
    <t>8922</t>
  </si>
  <si>
    <t>AP250428010354</t>
  </si>
  <si>
    <t>20250000088586</t>
  </si>
  <si>
    <t>11468</t>
  </si>
  <si>
    <t>8923</t>
  </si>
  <si>
    <t>AP250428010355</t>
  </si>
  <si>
    <t>20250000088587</t>
  </si>
  <si>
    <t>11471</t>
  </si>
  <si>
    <t>AP250429010362</t>
  </si>
  <si>
    <t>20250000088594</t>
  </si>
  <si>
    <t>11479</t>
  </si>
  <si>
    <t>3月份河北光华使用量</t>
  </si>
  <si>
    <t>8933</t>
  </si>
  <si>
    <t>AP250429010363</t>
  </si>
  <si>
    <t>20250000088595</t>
  </si>
  <si>
    <t>11480</t>
  </si>
  <si>
    <t>调整11479税差</t>
  </si>
  <si>
    <t>8934</t>
  </si>
  <si>
    <t>AP250429010364</t>
  </si>
  <si>
    <t>20250000088596</t>
  </si>
  <si>
    <t>11481</t>
  </si>
  <si>
    <t>转至北京光华往来</t>
  </si>
  <si>
    <t>8935</t>
  </si>
  <si>
    <t>AP250429010365</t>
  </si>
  <si>
    <t>20250000088597</t>
  </si>
  <si>
    <t>11482</t>
  </si>
  <si>
    <t>河北转北京往来</t>
  </si>
  <si>
    <t>8936</t>
  </si>
  <si>
    <t>AP250429010366</t>
  </si>
  <si>
    <t>20250000088598</t>
  </si>
  <si>
    <t>11484</t>
  </si>
  <si>
    <t>3月份北京光华使用量</t>
  </si>
  <si>
    <t>8938</t>
  </si>
  <si>
    <t>AP250430010371</t>
  </si>
  <si>
    <t>20250000088603</t>
  </si>
  <si>
    <t>11489</t>
  </si>
  <si>
    <t>购入江阴长青M4模具一</t>
  </si>
  <si>
    <t>L1031</t>
  </si>
  <si>
    <t>8940</t>
  </si>
  <si>
    <t>cw47</t>
  </si>
  <si>
    <t>AP250522010399</t>
  </si>
  <si>
    <t>20250000101498</t>
  </si>
  <si>
    <t>11519</t>
  </si>
  <si>
    <t>4月份对账单</t>
  </si>
  <si>
    <t>AP250522010400</t>
  </si>
  <si>
    <t>20250000101499</t>
  </si>
  <si>
    <t>11520</t>
  </si>
  <si>
    <t>3月份对账单</t>
  </si>
  <si>
    <t>8956</t>
  </si>
  <si>
    <t>AP250522010401</t>
  </si>
  <si>
    <t>20250000101500</t>
  </si>
  <si>
    <t>11521</t>
  </si>
  <si>
    <t>8957</t>
  </si>
  <si>
    <t>AP250523010402</t>
  </si>
  <si>
    <t>20250000101501</t>
  </si>
  <si>
    <t>11523</t>
  </si>
  <si>
    <t>8959</t>
  </si>
  <si>
    <t>AP250523010403</t>
  </si>
  <si>
    <t>20250000101502</t>
  </si>
  <si>
    <t>11524</t>
  </si>
  <si>
    <t>8960</t>
  </si>
  <si>
    <t>AP250523010404</t>
  </si>
  <si>
    <t>20250000101503</t>
  </si>
  <si>
    <t>11525</t>
  </si>
  <si>
    <t>调整11524税差</t>
  </si>
  <si>
    <t>8961</t>
  </si>
  <si>
    <t>AP250523010405</t>
  </si>
  <si>
    <t>20250000101504</t>
  </si>
  <si>
    <t>11526</t>
  </si>
  <si>
    <t>8962</t>
  </si>
  <si>
    <t>AP250523010406</t>
  </si>
  <si>
    <t>20250000101505</t>
  </si>
  <si>
    <t>11527</t>
  </si>
  <si>
    <t>8963</t>
  </si>
  <si>
    <t>AP250523010407</t>
  </si>
  <si>
    <t>20250000101506</t>
  </si>
  <si>
    <t>11528</t>
  </si>
  <si>
    <t>4月份江阴同威对账单</t>
  </si>
  <si>
    <t>8964</t>
  </si>
  <si>
    <t>AP250523010408</t>
  </si>
  <si>
    <t>20250000101507</t>
  </si>
  <si>
    <t>11529</t>
  </si>
  <si>
    <t>8965</t>
  </si>
  <si>
    <t>AP250523010409</t>
  </si>
  <si>
    <t>20250000101508</t>
  </si>
  <si>
    <t>11530</t>
  </si>
  <si>
    <t>8966</t>
  </si>
  <si>
    <t>AP250523010410</t>
  </si>
  <si>
    <t>20250000101509</t>
  </si>
  <si>
    <t>11531</t>
  </si>
  <si>
    <t>8967</t>
  </si>
  <si>
    <t>AP250526010411</t>
  </si>
  <si>
    <t>20250000101510</t>
  </si>
  <si>
    <t>11532</t>
  </si>
  <si>
    <t>8968</t>
  </si>
  <si>
    <t>AP250526010412</t>
  </si>
  <si>
    <t>20250000101511</t>
  </si>
  <si>
    <t>11533</t>
  </si>
  <si>
    <t>8969</t>
  </si>
  <si>
    <t>AP250526010413</t>
  </si>
  <si>
    <t>20250000101512</t>
  </si>
  <si>
    <t>11534</t>
  </si>
  <si>
    <t>8970</t>
  </si>
  <si>
    <t>AP250526010414</t>
  </si>
  <si>
    <t>20250000101513</t>
  </si>
  <si>
    <t>11535</t>
  </si>
  <si>
    <t>8971</t>
  </si>
  <si>
    <t>AP250526010415</t>
  </si>
  <si>
    <t>20250000101514</t>
  </si>
  <si>
    <t>11536</t>
  </si>
  <si>
    <t>8972</t>
  </si>
  <si>
    <t>AP250526010416</t>
  </si>
  <si>
    <t>20250000101515</t>
  </si>
  <si>
    <t>11537</t>
  </si>
  <si>
    <t>8973</t>
  </si>
  <si>
    <t>AP250526010417</t>
  </si>
  <si>
    <t>20250000101516</t>
  </si>
  <si>
    <t>11538</t>
  </si>
  <si>
    <t>8974</t>
  </si>
  <si>
    <t>AP250526010418</t>
  </si>
  <si>
    <t>20250000101517</t>
  </si>
  <si>
    <t>11539</t>
  </si>
  <si>
    <t>8975</t>
  </si>
  <si>
    <t>AP250526010419</t>
  </si>
  <si>
    <t>20250000101518</t>
  </si>
  <si>
    <t>11540</t>
  </si>
  <si>
    <t>8976</t>
  </si>
  <si>
    <t>AP250526010420</t>
  </si>
  <si>
    <t>20250000101519</t>
  </si>
  <si>
    <t>11541</t>
  </si>
  <si>
    <t>购入长春超力材料一批</t>
  </si>
  <si>
    <t>8978</t>
  </si>
  <si>
    <t>AP250526010422</t>
  </si>
  <si>
    <t>20250000101521</t>
  </si>
  <si>
    <t>11543</t>
  </si>
  <si>
    <t>8980</t>
  </si>
  <si>
    <t>AP250526010425</t>
  </si>
  <si>
    <t>20250000101524</t>
  </si>
  <si>
    <t>11546</t>
  </si>
  <si>
    <t>L5675</t>
  </si>
  <si>
    <t>8983</t>
  </si>
  <si>
    <t>AP250526010426</t>
  </si>
  <si>
    <t>20250000101525</t>
  </si>
  <si>
    <t>11548</t>
  </si>
  <si>
    <t>8984</t>
  </si>
  <si>
    <t>AP250526010434</t>
  </si>
  <si>
    <t>20250000101533</t>
  </si>
  <si>
    <t>11557</t>
  </si>
  <si>
    <t>3-4月份对账单</t>
  </si>
  <si>
    <t>AP250526010435</t>
  </si>
  <si>
    <t>20250000101534</t>
  </si>
  <si>
    <t>11558</t>
  </si>
  <si>
    <t>前期追溯调差</t>
  </si>
  <si>
    <t>8989</t>
  </si>
  <si>
    <t>AP250526010441</t>
  </si>
  <si>
    <t>20250000101536</t>
  </si>
  <si>
    <t>11564</t>
  </si>
  <si>
    <t>8994</t>
  </si>
  <si>
    <t>AP250527010442</t>
  </si>
  <si>
    <t>20250000101537</t>
  </si>
  <si>
    <t>11565</t>
  </si>
  <si>
    <t>2月份对账单</t>
  </si>
  <si>
    <t>8995</t>
  </si>
  <si>
    <t>AP250527010443</t>
  </si>
  <si>
    <t>20250000101538</t>
  </si>
  <si>
    <t>11566</t>
  </si>
  <si>
    <t>8996</t>
  </si>
  <si>
    <t>AP250527010444</t>
  </si>
  <si>
    <t>20250000101539</t>
  </si>
  <si>
    <t>11567</t>
  </si>
  <si>
    <t>8997</t>
  </si>
  <si>
    <t>AP250527010445</t>
  </si>
  <si>
    <t>20250000101540</t>
  </si>
  <si>
    <t>11568</t>
  </si>
  <si>
    <t>8998</t>
  </si>
  <si>
    <t>AP250527010446</t>
  </si>
  <si>
    <t>20250000101541</t>
  </si>
  <si>
    <t>11569</t>
  </si>
  <si>
    <t>追溯2025.01-2025.03</t>
  </si>
  <si>
    <t>8999</t>
  </si>
  <si>
    <t>AP250527010447</t>
  </si>
  <si>
    <t>20250000101542</t>
  </si>
  <si>
    <t>11571</t>
  </si>
  <si>
    <t>5月份对账单</t>
  </si>
  <si>
    <t>AP250527010448</t>
  </si>
  <si>
    <t>20250000101543</t>
  </si>
  <si>
    <t>11573</t>
  </si>
  <si>
    <t>AP250527010449</t>
  </si>
  <si>
    <t>20250000101544</t>
  </si>
  <si>
    <t>11574</t>
  </si>
  <si>
    <t>9004</t>
  </si>
  <si>
    <t>AP250527010450</t>
  </si>
  <si>
    <t>20250000101545</t>
  </si>
  <si>
    <t>11575</t>
  </si>
  <si>
    <t>AP250527010454</t>
  </si>
  <si>
    <t>20250000101549</t>
  </si>
  <si>
    <t>11579</t>
  </si>
  <si>
    <t>9008</t>
  </si>
  <si>
    <t>AP250527010455</t>
  </si>
  <si>
    <t>20250000101550</t>
  </si>
  <si>
    <t>11580</t>
  </si>
  <si>
    <t>9009</t>
  </si>
  <si>
    <t>AP250527010456</t>
  </si>
  <si>
    <t>20250000101551</t>
  </si>
  <si>
    <t>11581</t>
  </si>
  <si>
    <t>调整11580税差</t>
  </si>
  <si>
    <t>9010</t>
  </si>
  <si>
    <t>AP250527010457</t>
  </si>
  <si>
    <t>20250000101552</t>
  </si>
  <si>
    <t>11583</t>
  </si>
  <si>
    <t>9012</t>
  </si>
  <si>
    <t>AP250528010458</t>
  </si>
  <si>
    <t>20250000101553</t>
  </si>
  <si>
    <t>11584</t>
  </si>
  <si>
    <t>9013</t>
  </si>
  <si>
    <t>AP250528010459</t>
  </si>
  <si>
    <t>20250000101554</t>
  </si>
  <si>
    <t>11585</t>
  </si>
  <si>
    <t>9014</t>
  </si>
  <si>
    <t>AP250528010460</t>
  </si>
  <si>
    <t>20250000101555</t>
  </si>
  <si>
    <t>11586</t>
  </si>
  <si>
    <t>9015</t>
  </si>
  <si>
    <t>AP250528010461</t>
  </si>
  <si>
    <t>20250000101556</t>
  </si>
  <si>
    <t>11587</t>
  </si>
  <si>
    <t>调整11586税差</t>
  </si>
  <si>
    <t>9017</t>
  </si>
  <si>
    <t>AP250528010464</t>
  </si>
  <si>
    <t>20250000101559</t>
  </si>
  <si>
    <t>11590</t>
  </si>
  <si>
    <t>9020</t>
  </si>
  <si>
    <t>AP250528010467</t>
  </si>
  <si>
    <t>20250000101562</t>
  </si>
  <si>
    <t>11592</t>
  </si>
  <si>
    <t>9021</t>
  </si>
  <si>
    <t>AP250528010469</t>
  </si>
  <si>
    <t>20250000101564</t>
  </si>
  <si>
    <t>11598</t>
  </si>
  <si>
    <t>4月份建昌对账单</t>
  </si>
  <si>
    <t>9026</t>
  </si>
  <si>
    <t>AP250528010470</t>
  </si>
  <si>
    <t>20250000101565</t>
  </si>
  <si>
    <t>11599</t>
  </si>
  <si>
    <t>调整11578税差</t>
  </si>
  <si>
    <t>9027</t>
  </si>
  <si>
    <t>AP250528010474</t>
  </si>
  <si>
    <t>20250000101569</t>
  </si>
  <si>
    <t>11603</t>
  </si>
  <si>
    <t>9029</t>
  </si>
  <si>
    <t>AP250528010475</t>
  </si>
  <si>
    <t>20250000101570</t>
  </si>
  <si>
    <t>11604</t>
  </si>
  <si>
    <t>9031</t>
  </si>
  <si>
    <t>AP250528010476</t>
  </si>
  <si>
    <t>20250000101571</t>
  </si>
  <si>
    <t>11605</t>
  </si>
  <si>
    <t>9032</t>
  </si>
  <si>
    <t>AP250528010477</t>
  </si>
  <si>
    <t>20250000101572</t>
  </si>
  <si>
    <t>11606</t>
  </si>
  <si>
    <t>9033</t>
  </si>
  <si>
    <t>AP250528010478</t>
  </si>
  <si>
    <t>20250000101573</t>
  </si>
  <si>
    <t>11607</t>
  </si>
  <si>
    <t>9034</t>
  </si>
  <si>
    <t>AP250528010479</t>
  </si>
  <si>
    <t>20250000101574</t>
  </si>
  <si>
    <t>11609</t>
  </si>
  <si>
    <t>9036</t>
  </si>
  <si>
    <t>AP250528010480</t>
  </si>
  <si>
    <t>20250000101575</t>
  </si>
  <si>
    <t>11611</t>
  </si>
  <si>
    <t>9038</t>
  </si>
  <si>
    <t>AP250528010481</t>
  </si>
  <si>
    <t>20250000101576</t>
  </si>
  <si>
    <t>11612</t>
  </si>
  <si>
    <t>9039</t>
  </si>
  <si>
    <t>AP250529010482</t>
  </si>
  <si>
    <t>20250000101577</t>
  </si>
  <si>
    <t>11613</t>
  </si>
  <si>
    <t>9040</t>
  </si>
  <si>
    <t>AP250529010483</t>
  </si>
  <si>
    <t>20250000101578</t>
  </si>
  <si>
    <t>11614</t>
  </si>
  <si>
    <t>9041</t>
  </si>
  <si>
    <t>AP250529010484</t>
  </si>
  <si>
    <t>20250000101579</t>
  </si>
  <si>
    <t>11615</t>
  </si>
  <si>
    <t>9042</t>
  </si>
  <si>
    <t>AP250529010486</t>
  </si>
  <si>
    <t>20250000101581</t>
  </si>
  <si>
    <t>11617</t>
  </si>
  <si>
    <t>9044</t>
  </si>
  <si>
    <t>AP250529010488</t>
  </si>
  <si>
    <t>20250000101583</t>
  </si>
  <si>
    <t>11619</t>
  </si>
  <si>
    <t>调整11617税差</t>
  </si>
  <si>
    <t>9046</t>
  </si>
  <si>
    <t>AP250529010489</t>
  </si>
  <si>
    <t>20250000101584</t>
  </si>
  <si>
    <t>AP250529010490</t>
  </si>
  <si>
    <t>20250000101585</t>
  </si>
  <si>
    <t>11620</t>
  </si>
  <si>
    <t>9047</t>
  </si>
  <si>
    <t>AP250529010491</t>
  </si>
  <si>
    <t>20250000101586</t>
  </si>
  <si>
    <t>11623</t>
  </si>
  <si>
    <t>追溯2025年1-3月份发</t>
  </si>
  <si>
    <t>9051</t>
  </si>
  <si>
    <t>AP250529010492</t>
  </si>
  <si>
    <t>20250000101587</t>
  </si>
  <si>
    <t>11625</t>
  </si>
  <si>
    <t>9053</t>
  </si>
  <si>
    <t>AP250529010493</t>
  </si>
  <si>
    <t>20250000101588</t>
  </si>
  <si>
    <t>11626</t>
  </si>
  <si>
    <t>9054</t>
  </si>
  <si>
    <t>AP250529010494</t>
  </si>
  <si>
    <t>20250000101589</t>
  </si>
  <si>
    <t>.</t>
  </si>
  <si>
    <t>1月份对账单</t>
  </si>
  <si>
    <t>9056</t>
  </si>
  <si>
    <t>AP250529010495</t>
  </si>
  <si>
    <t>20250000101590</t>
  </si>
  <si>
    <t>11629</t>
  </si>
  <si>
    <t>9060</t>
  </si>
  <si>
    <t>AP250529010496</t>
  </si>
  <si>
    <t>20250000101591</t>
  </si>
  <si>
    <t>11630</t>
  </si>
  <si>
    <t>调整11629税差</t>
  </si>
  <si>
    <t>9061</t>
  </si>
  <si>
    <t>AP250529010497</t>
  </si>
  <si>
    <t>20250000101592</t>
  </si>
  <si>
    <t>11633</t>
  </si>
  <si>
    <t>9064</t>
  </si>
  <si>
    <t>AP250529010498</t>
  </si>
  <si>
    <t>20250000101593</t>
  </si>
  <si>
    <t>11635</t>
  </si>
  <si>
    <t>调整11633税差</t>
  </si>
  <si>
    <t>9066</t>
  </si>
  <si>
    <t>AP250530010499</t>
  </si>
  <si>
    <t>20250000101594</t>
  </si>
  <si>
    <t>11636</t>
  </si>
  <si>
    <t>9067</t>
  </si>
  <si>
    <t>AP250530010501</t>
  </si>
  <si>
    <t>20250000101596</t>
  </si>
  <si>
    <t>11639</t>
  </si>
  <si>
    <t>9070</t>
  </si>
  <si>
    <t>AP250531010503</t>
  </si>
  <si>
    <t>20250000111632</t>
  </si>
  <si>
    <t>11641</t>
  </si>
  <si>
    <t>9071</t>
  </si>
  <si>
    <t>AP250531010504</t>
  </si>
  <si>
    <t>20250000111633</t>
  </si>
  <si>
    <t>11643</t>
  </si>
  <si>
    <t>调整11641税差</t>
  </si>
  <si>
    <t>9073</t>
  </si>
  <si>
    <t>AP250531010505</t>
  </si>
  <si>
    <t>20250000111634</t>
  </si>
  <si>
    <t>11646</t>
  </si>
  <si>
    <t>往来转换</t>
  </si>
  <si>
    <t>9077</t>
  </si>
  <si>
    <t>AP250531010506</t>
  </si>
  <si>
    <t>20250000111635</t>
  </si>
  <si>
    <t>11647</t>
  </si>
  <si>
    <t>9078</t>
  </si>
  <si>
    <t>AP250601010669</t>
  </si>
  <si>
    <t>20250000122746</t>
  </si>
  <si>
    <t>11821</t>
  </si>
  <si>
    <t>9225</t>
  </si>
  <si>
    <t>AP250601010670</t>
  </si>
  <si>
    <t>20250000122747</t>
  </si>
  <si>
    <t>11822</t>
  </si>
  <si>
    <t>6月份对账单</t>
  </si>
  <si>
    <t>A100</t>
  </si>
  <si>
    <t>9226</t>
  </si>
  <si>
    <t>AP250601010671</t>
  </si>
  <si>
    <t>20250000122748</t>
  </si>
  <si>
    <t>11823</t>
  </si>
  <si>
    <t>9227</t>
  </si>
  <si>
    <t>AP250623010523</t>
  </si>
  <si>
    <t>20250000122749</t>
  </si>
  <si>
    <t>11668</t>
  </si>
  <si>
    <t>9102</t>
  </si>
  <si>
    <t>AP250623010524</t>
  </si>
  <si>
    <t>20250000122750</t>
  </si>
  <si>
    <t>11669</t>
  </si>
  <si>
    <t>9103</t>
  </si>
  <si>
    <t>AP250623010525</t>
  </si>
  <si>
    <t>20250000122751</t>
  </si>
  <si>
    <t>11670</t>
  </si>
  <si>
    <t>前期制费冲回</t>
  </si>
  <si>
    <t>9104</t>
  </si>
  <si>
    <t>AP250623010526</t>
  </si>
  <si>
    <t>20250000122752</t>
  </si>
  <si>
    <t>11672</t>
  </si>
  <si>
    <t>9106</t>
  </si>
  <si>
    <t>AP250623010527</t>
  </si>
  <si>
    <t>20250000122753</t>
  </si>
  <si>
    <t>11673</t>
  </si>
  <si>
    <t>S412066</t>
  </si>
  <si>
    <t>9107</t>
  </si>
  <si>
    <t>AP250623010528</t>
  </si>
  <si>
    <t>20250000122754</t>
  </si>
  <si>
    <t>11675</t>
  </si>
  <si>
    <t>9109</t>
  </si>
  <si>
    <t>AP250623010529</t>
  </si>
  <si>
    <t>20250000122755</t>
  </si>
  <si>
    <t>11677</t>
  </si>
  <si>
    <t>9111</t>
  </si>
  <si>
    <t>AP250623010530</t>
  </si>
  <si>
    <t>20250000122756</t>
  </si>
  <si>
    <t>11678</t>
  </si>
  <si>
    <t>9112</t>
  </si>
  <si>
    <t>AP250623010531</t>
  </si>
  <si>
    <t>20250000122757</t>
  </si>
  <si>
    <t>11679</t>
  </si>
  <si>
    <t>9113</t>
  </si>
  <si>
    <t>AP250623010532</t>
  </si>
  <si>
    <t>20250000122758</t>
  </si>
  <si>
    <t>11680</t>
  </si>
  <si>
    <t>9114</t>
  </si>
  <si>
    <t>AP250623010533</t>
  </si>
  <si>
    <t>20250000122759</t>
  </si>
  <si>
    <t>11681</t>
  </si>
  <si>
    <t>9115</t>
  </si>
  <si>
    <t>AP250623010534</t>
  </si>
  <si>
    <t>20250000122760</t>
  </si>
  <si>
    <t>11682</t>
  </si>
  <si>
    <t>9116</t>
  </si>
  <si>
    <t>AP250623010535</t>
  </si>
  <si>
    <t>20250000122761</t>
  </si>
  <si>
    <t>11683</t>
  </si>
  <si>
    <t>9117</t>
  </si>
  <si>
    <t>AP250623010536</t>
  </si>
  <si>
    <t>20250000122762</t>
  </si>
  <si>
    <t>11684</t>
  </si>
  <si>
    <t>9118</t>
  </si>
  <si>
    <t>AP250623010537</t>
  </si>
  <si>
    <t>20250000122763</t>
  </si>
  <si>
    <t>11685</t>
  </si>
  <si>
    <t>调整11684税差</t>
  </si>
  <si>
    <t>9119</t>
  </si>
  <si>
    <t>AP250624010538</t>
  </si>
  <si>
    <t>20250000122764</t>
  </si>
  <si>
    <t>11686</t>
  </si>
  <si>
    <t>9120</t>
  </si>
  <si>
    <t>AP250624010539</t>
  </si>
  <si>
    <t>20250000122765</t>
  </si>
  <si>
    <t>11687</t>
  </si>
  <si>
    <t>9121</t>
  </si>
  <si>
    <t>AP250624010540</t>
  </si>
  <si>
    <t>20250000122766</t>
  </si>
  <si>
    <t>11688</t>
  </si>
  <si>
    <t>9122</t>
  </si>
  <si>
    <t>AP250624010541</t>
  </si>
  <si>
    <t>20250000122767</t>
  </si>
  <si>
    <t>11689</t>
  </si>
  <si>
    <t>9123</t>
  </si>
  <si>
    <t>AP250624010542</t>
  </si>
  <si>
    <t>20250000122768</t>
  </si>
  <si>
    <t>11690</t>
  </si>
  <si>
    <t>9124</t>
  </si>
  <si>
    <t>AP250624010543</t>
  </si>
  <si>
    <t>20250000122769</t>
  </si>
  <si>
    <t>11692</t>
  </si>
  <si>
    <t>9126</t>
  </si>
  <si>
    <t>AP250624010546</t>
  </si>
  <si>
    <t>20250000122772</t>
  </si>
  <si>
    <t>11695</t>
  </si>
  <si>
    <t>9129</t>
  </si>
  <si>
    <t>AP250624010547</t>
  </si>
  <si>
    <t>20250000122773</t>
  </si>
  <si>
    <t>11696</t>
  </si>
  <si>
    <t>9130</t>
  </si>
  <si>
    <t>AP250624010548</t>
  </si>
  <si>
    <t>20250000122774</t>
  </si>
  <si>
    <t>11697</t>
  </si>
  <si>
    <t>9131</t>
  </si>
  <si>
    <t>AP250624010549</t>
  </si>
  <si>
    <t>20250000122775</t>
  </si>
  <si>
    <t>11699</t>
  </si>
  <si>
    <t>9133</t>
  </si>
  <si>
    <t>AP250624010553</t>
  </si>
  <si>
    <t>20250000122776</t>
  </si>
  <si>
    <t>11701</t>
  </si>
  <si>
    <t>9135</t>
  </si>
  <si>
    <t>AP250624010555</t>
  </si>
  <si>
    <t>20250000122778</t>
  </si>
  <si>
    <t>11703</t>
  </si>
  <si>
    <t>9136</t>
  </si>
  <si>
    <t>AP250624010556</t>
  </si>
  <si>
    <t>20250000122779</t>
  </si>
  <si>
    <t>11706</t>
  </si>
  <si>
    <t>9139</t>
  </si>
  <si>
    <t>AP250624010557</t>
  </si>
  <si>
    <t>20250000122780</t>
  </si>
  <si>
    <t>11707</t>
  </si>
  <si>
    <t>9140</t>
  </si>
  <si>
    <t>AP250624010561</t>
  </si>
  <si>
    <t>20250000122781</t>
  </si>
  <si>
    <t>11710</t>
  </si>
  <si>
    <t>9143</t>
  </si>
  <si>
    <t>AP250624010563</t>
  </si>
  <si>
    <t>20250000122783</t>
  </si>
  <si>
    <t>11714</t>
  </si>
  <si>
    <t>9147</t>
  </si>
  <si>
    <t>AP250624010564</t>
  </si>
  <si>
    <t>20250000122784</t>
  </si>
  <si>
    <t>11717</t>
  </si>
  <si>
    <t>AP250624010565</t>
  </si>
  <si>
    <t>20250000122785</t>
  </si>
  <si>
    <t>11718</t>
  </si>
  <si>
    <t>AP250624010566</t>
  </si>
  <si>
    <t>20250000122786</t>
  </si>
  <si>
    <t>11719</t>
  </si>
  <si>
    <t>AP250625010574</t>
  </si>
  <si>
    <t>20250000122789</t>
  </si>
  <si>
    <t>11726</t>
  </si>
  <si>
    <t>9157</t>
  </si>
  <si>
    <t>AP250625010575</t>
  </si>
  <si>
    <t>20250000122790</t>
  </si>
  <si>
    <t>11727</t>
  </si>
  <si>
    <t>9158</t>
  </si>
  <si>
    <t>AP250625010576</t>
  </si>
  <si>
    <t>20250000122791</t>
  </si>
  <si>
    <t>11728</t>
  </si>
  <si>
    <t>AP250625010577</t>
  </si>
  <si>
    <t>20250000122792</t>
  </si>
  <si>
    <t>11729</t>
  </si>
  <si>
    <t>硅油试用品报销</t>
  </si>
  <si>
    <t>9160</t>
  </si>
  <si>
    <t>AP250625010578</t>
  </si>
  <si>
    <t>20250000122793</t>
  </si>
  <si>
    <t>11730</t>
  </si>
  <si>
    <t>9161</t>
  </si>
  <si>
    <t>AP250626010591</t>
  </si>
  <si>
    <t>20250000122801</t>
  </si>
  <si>
    <t>11742</t>
  </si>
  <si>
    <t>9167</t>
  </si>
  <si>
    <t>AP250626010592</t>
  </si>
  <si>
    <t>20250000122802</t>
  </si>
  <si>
    <t>11743</t>
  </si>
  <si>
    <t>9168</t>
  </si>
  <si>
    <t>AP250626010593</t>
  </si>
  <si>
    <t>20250000122803</t>
  </si>
  <si>
    <t>11744</t>
  </si>
  <si>
    <t>9169</t>
  </si>
  <si>
    <t>AP250626010594</t>
  </si>
  <si>
    <t>20250000122804</t>
  </si>
  <si>
    <t>11745</t>
  </si>
  <si>
    <t>9170</t>
  </si>
  <si>
    <t>AP250626010595</t>
  </si>
  <si>
    <t>20250000122805</t>
  </si>
  <si>
    <t>11746</t>
  </si>
  <si>
    <t>调整2024.01-2025.03</t>
  </si>
  <si>
    <t>9171</t>
  </si>
  <si>
    <t>AP250626010597</t>
  </si>
  <si>
    <t>20250000122807</t>
  </si>
  <si>
    <t>11747</t>
  </si>
  <si>
    <t>9172</t>
  </si>
  <si>
    <t>AP250626010598</t>
  </si>
  <si>
    <t>20250000122808</t>
  </si>
  <si>
    <t>11750</t>
  </si>
  <si>
    <t>9175</t>
  </si>
  <si>
    <t>AP250626010604</t>
  </si>
  <si>
    <t>20250000122814</t>
  </si>
  <si>
    <t>11756</t>
  </si>
  <si>
    <t>9178</t>
  </si>
  <si>
    <t>AP250626010607</t>
  </si>
  <si>
    <t>20250000122817</t>
  </si>
  <si>
    <t>11757</t>
  </si>
  <si>
    <t>9179</t>
  </si>
  <si>
    <t>AP250626010611</t>
  </si>
  <si>
    <t>20250000122821</t>
  </si>
  <si>
    <t>11762</t>
  </si>
  <si>
    <t>9180</t>
  </si>
  <si>
    <t>AP250626010615</t>
  </si>
  <si>
    <t>20250000122825</t>
  </si>
  <si>
    <t>11766</t>
  </si>
  <si>
    <t>9181</t>
  </si>
  <si>
    <t>AP250626010616</t>
  </si>
  <si>
    <t>20250000122826</t>
  </si>
  <si>
    <t>11768</t>
  </si>
  <si>
    <t>9182</t>
  </si>
  <si>
    <t>AP250626010617</t>
  </si>
  <si>
    <t>20250000122827</t>
  </si>
  <si>
    <t>11770</t>
  </si>
  <si>
    <t>9184</t>
  </si>
  <si>
    <t>AP250626010618</t>
  </si>
  <si>
    <t>20250000122828</t>
  </si>
  <si>
    <t>11771</t>
  </si>
  <si>
    <t>9185</t>
  </si>
  <si>
    <t>AP250626010631</t>
  </si>
  <si>
    <t>20250000122838</t>
  </si>
  <si>
    <t>11782</t>
  </si>
  <si>
    <t>9189</t>
  </si>
  <si>
    <t>AP250626010632</t>
  </si>
  <si>
    <t>20250000122839</t>
  </si>
  <si>
    <t>11783</t>
  </si>
  <si>
    <t>5月对账单</t>
  </si>
  <si>
    <t>9190</t>
  </si>
  <si>
    <t>AP250627010634</t>
  </si>
  <si>
    <t>20250000122841</t>
  </si>
  <si>
    <t>11784</t>
  </si>
  <si>
    <t>24年11月份对账单</t>
  </si>
  <si>
    <t>9192</t>
  </si>
  <si>
    <t>AP250627010637</t>
  </si>
  <si>
    <t>20250000122844</t>
  </si>
  <si>
    <t>11788</t>
  </si>
  <si>
    <t>9196</t>
  </si>
  <si>
    <t>AP250627010638</t>
  </si>
  <si>
    <t>20250000122845</t>
  </si>
  <si>
    <t>11789</t>
  </si>
  <si>
    <t>9197</t>
  </si>
  <si>
    <t>AP250627010639</t>
  </si>
  <si>
    <t>20250000122846</t>
  </si>
  <si>
    <t>11790</t>
  </si>
  <si>
    <t>调整11789税差</t>
  </si>
  <si>
    <t>9198</t>
  </si>
  <si>
    <t>AP250627010640</t>
  </si>
  <si>
    <t>20250000122847</t>
  </si>
  <si>
    <t>11791</t>
  </si>
  <si>
    <t>9199</t>
  </si>
  <si>
    <t>AP250627010641</t>
  </si>
  <si>
    <t>20250000122848</t>
  </si>
  <si>
    <t>11792</t>
  </si>
  <si>
    <t>9201</t>
  </si>
  <si>
    <t>AP250627010642</t>
  </si>
  <si>
    <t>20250000122849</t>
  </si>
  <si>
    <t>11793</t>
  </si>
  <si>
    <t>9202</t>
  </si>
  <si>
    <t>AP250627010643</t>
  </si>
  <si>
    <t>20250000122850</t>
  </si>
  <si>
    <t>11794</t>
  </si>
  <si>
    <t>9204</t>
  </si>
  <si>
    <t>AP250627010645</t>
  </si>
  <si>
    <t>20250000122851</t>
  </si>
  <si>
    <t>11796</t>
  </si>
  <si>
    <t>9206</t>
  </si>
  <si>
    <t>AP250627010646</t>
  </si>
  <si>
    <t>20250000122852</t>
  </si>
  <si>
    <t>11797</t>
  </si>
  <si>
    <t>9207</t>
  </si>
  <si>
    <t>AP250627010647</t>
  </si>
  <si>
    <t>20250000122853</t>
  </si>
  <si>
    <t>11799</t>
  </si>
  <si>
    <t>AP250630010648</t>
  </si>
  <si>
    <t>20250000122854</t>
  </si>
  <si>
    <t>11801</t>
  </si>
  <si>
    <t>AP250630010649</t>
  </si>
  <si>
    <t>20250000122855</t>
  </si>
  <si>
    <t>11802</t>
  </si>
  <si>
    <t>9212</t>
  </si>
  <si>
    <t>AP250630010650</t>
  </si>
  <si>
    <t>20250000122856</t>
  </si>
  <si>
    <t>11803</t>
  </si>
  <si>
    <t>9213</t>
  </si>
  <si>
    <t>AP250630010651</t>
  </si>
  <si>
    <t>20250000122857</t>
  </si>
  <si>
    <t>11804</t>
  </si>
  <si>
    <t>9214</t>
  </si>
  <si>
    <t>AP250630010652</t>
  </si>
  <si>
    <t>20250000122858</t>
  </si>
  <si>
    <t>11805</t>
  </si>
  <si>
    <t>调整11804税差</t>
  </si>
  <si>
    <t>9215</t>
  </si>
  <si>
    <t>AP250630010653</t>
  </si>
  <si>
    <t>20250000122859</t>
  </si>
  <si>
    <t>11806</t>
  </si>
  <si>
    <t>9216</t>
  </si>
  <si>
    <t>AP250630010654</t>
  </si>
  <si>
    <t>20250000122860</t>
  </si>
  <si>
    <t>11807</t>
  </si>
  <si>
    <t>调整11806税差</t>
  </si>
  <si>
    <t>9217</t>
  </si>
  <si>
    <t>AP250630010655</t>
  </si>
  <si>
    <t>20250000122861</t>
  </si>
  <si>
    <t>11808</t>
  </si>
  <si>
    <t>过渡到北京光华</t>
  </si>
  <si>
    <t>9218</t>
  </si>
  <si>
    <t>AP250630010656</t>
  </si>
  <si>
    <t>20250000122862</t>
  </si>
  <si>
    <t>11809</t>
  </si>
  <si>
    <t>9219</t>
  </si>
  <si>
    <t>AP250630010657</t>
  </si>
  <si>
    <t>20250000122863</t>
  </si>
  <si>
    <t>11811</t>
  </si>
  <si>
    <t>4-5月份对账单</t>
  </si>
  <si>
    <t>9221</t>
  </si>
  <si>
    <t>AP250630010658</t>
  </si>
  <si>
    <t>20250000122864</t>
  </si>
  <si>
    <t>11812</t>
  </si>
  <si>
    <t>9222</t>
  </si>
  <si>
    <t>AP250630010659</t>
  </si>
  <si>
    <t>20250000122865</t>
  </si>
  <si>
    <t>11813</t>
  </si>
  <si>
    <t>9223</t>
  </si>
  <si>
    <t>AP250710010723</t>
  </si>
  <si>
    <t>20250000126237</t>
  </si>
  <si>
    <t>11870</t>
  </si>
  <si>
    <t>调整23年5月份52861凭</t>
  </si>
  <si>
    <t>9245</t>
  </si>
  <si>
    <t>AP250710010724</t>
  </si>
  <si>
    <t>20250000126238</t>
  </si>
  <si>
    <t>11872</t>
  </si>
  <si>
    <t>调整23年5月52861凭证</t>
  </si>
  <si>
    <t>9247</t>
  </si>
  <si>
    <t>AP250723010815</t>
  </si>
  <si>
    <t>20250000126299</t>
  </si>
  <si>
    <t>11952</t>
  </si>
  <si>
    <t>9279</t>
  </si>
  <si>
    <t>AP250723010816</t>
  </si>
  <si>
    <t>20250000126300</t>
  </si>
  <si>
    <t>11953</t>
  </si>
  <si>
    <t>调整11952税差</t>
  </si>
  <si>
    <t>9280</t>
  </si>
  <si>
    <t>AP250723010819</t>
  </si>
  <si>
    <t>20250000126302</t>
  </si>
  <si>
    <t>11956</t>
  </si>
  <si>
    <t>9283</t>
  </si>
  <si>
    <t>AP250724010820</t>
  </si>
  <si>
    <t>20250000126303</t>
  </si>
  <si>
    <t>11957</t>
  </si>
  <si>
    <t>9284</t>
  </si>
  <si>
    <t>AP250724010821</t>
  </si>
  <si>
    <t>20250000126304</t>
  </si>
  <si>
    <t>11958</t>
  </si>
  <si>
    <t>9285</t>
  </si>
  <si>
    <t>AP250724010822</t>
  </si>
  <si>
    <t>20250000126305</t>
  </si>
  <si>
    <t>11959</t>
  </si>
  <si>
    <t>9286</t>
  </si>
  <si>
    <t>AP250724010823</t>
  </si>
  <si>
    <t>20250000126306</t>
  </si>
  <si>
    <t>11960</t>
  </si>
  <si>
    <t>7月份对账单</t>
  </si>
  <si>
    <t>9287</t>
  </si>
  <si>
    <t>AP250724010824</t>
  </si>
  <si>
    <t>20250000126307</t>
  </si>
  <si>
    <t>11961</t>
  </si>
  <si>
    <t>9288</t>
  </si>
  <si>
    <t>AP250724010825</t>
  </si>
  <si>
    <t>20250000126308</t>
  </si>
  <si>
    <t>11962</t>
  </si>
  <si>
    <t>9289</t>
  </si>
  <si>
    <t>AP250724010826</t>
  </si>
  <si>
    <t>20250000126309</t>
  </si>
  <si>
    <t>11964</t>
  </si>
  <si>
    <t>9291</t>
  </si>
  <si>
    <t>AP250724010827</t>
  </si>
  <si>
    <t>20250000126310</t>
  </si>
  <si>
    <t>11965</t>
  </si>
  <si>
    <t>9292</t>
  </si>
  <si>
    <t>AP250724010828</t>
  </si>
  <si>
    <t>20250000126311</t>
  </si>
  <si>
    <t>11966</t>
  </si>
  <si>
    <t>9293</t>
  </si>
  <si>
    <t>AP250724010829</t>
  </si>
  <si>
    <t>20250000126312</t>
  </si>
  <si>
    <t>11968</t>
  </si>
  <si>
    <t>9295</t>
  </si>
  <si>
    <t>AP250724010830</t>
  </si>
  <si>
    <t>20250000126313</t>
  </si>
  <si>
    <t>11971</t>
  </si>
  <si>
    <t>9298</t>
  </si>
  <si>
    <t>AP250724010831</t>
  </si>
  <si>
    <t>20250000126314</t>
  </si>
  <si>
    <t>11972</t>
  </si>
  <si>
    <t>调整11971税差</t>
  </si>
  <si>
    <t>9299</t>
  </si>
  <si>
    <t>AP250724010832</t>
  </si>
  <si>
    <t>20250000126315</t>
  </si>
  <si>
    <t>11973</t>
  </si>
  <si>
    <t>9300</t>
  </si>
  <si>
    <t>AP250724010833</t>
  </si>
  <si>
    <t>20250000126316</t>
  </si>
  <si>
    <t>11974</t>
  </si>
  <si>
    <t>调整11973税差</t>
  </si>
  <si>
    <t>9302</t>
  </si>
  <si>
    <t>AP250724010834</t>
  </si>
  <si>
    <t>20250000126317</t>
  </si>
  <si>
    <t>11975</t>
  </si>
  <si>
    <t>9303</t>
  </si>
  <si>
    <t>AP250724010835</t>
  </si>
  <si>
    <t>20250000126318</t>
  </si>
  <si>
    <t>11976</t>
  </si>
  <si>
    <t>调整11975税差</t>
  </si>
  <si>
    <t>9304</t>
  </si>
  <si>
    <t>AP250724010836</t>
  </si>
  <si>
    <t>20250000126319</t>
  </si>
  <si>
    <t>11977</t>
  </si>
  <si>
    <t>9305</t>
  </si>
  <si>
    <t>AP250724010837</t>
  </si>
  <si>
    <t>20250000126320</t>
  </si>
  <si>
    <t>11978</t>
  </si>
  <si>
    <t>9306</t>
  </si>
  <si>
    <t>AP250724010838</t>
  </si>
  <si>
    <t>20250000126321</t>
  </si>
  <si>
    <t>11979</t>
  </si>
  <si>
    <t>AP250724010839</t>
  </si>
  <si>
    <t>20250000126322</t>
  </si>
  <si>
    <t>11980</t>
  </si>
  <si>
    <t>追溯2025.01-05脱模剂</t>
  </si>
  <si>
    <t>9308</t>
  </si>
  <si>
    <t>AP250724010840</t>
  </si>
  <si>
    <t>20250000126323</t>
  </si>
  <si>
    <t>11982</t>
  </si>
  <si>
    <t>9310</t>
  </si>
  <si>
    <t>AP250724010841</t>
  </si>
  <si>
    <t>20250000126324</t>
  </si>
  <si>
    <t>11983</t>
  </si>
  <si>
    <t>9311</t>
  </si>
  <si>
    <t>AP250724010842</t>
  </si>
  <si>
    <t>20250000126325</t>
  </si>
  <si>
    <t>11984</t>
  </si>
  <si>
    <t>9312</t>
  </si>
  <si>
    <t>AP250724010843</t>
  </si>
  <si>
    <t>20250000126326</t>
  </si>
  <si>
    <t>11985</t>
  </si>
  <si>
    <t>调整11984税差</t>
  </si>
  <si>
    <t>9313</t>
  </si>
  <si>
    <t>AP250725010844</t>
  </si>
  <si>
    <t>20250000126327</t>
  </si>
  <si>
    <t>11986</t>
  </si>
  <si>
    <t>AP250725010845</t>
  </si>
  <si>
    <t>20250000126328</t>
  </si>
  <si>
    <t>11987</t>
  </si>
  <si>
    <t>AP250725010846</t>
  </si>
  <si>
    <t>20250000126329</t>
  </si>
  <si>
    <t>11988</t>
  </si>
  <si>
    <t>9316</t>
  </si>
  <si>
    <t>AP250725010847</t>
  </si>
  <si>
    <t>20250000126330</t>
  </si>
  <si>
    <t>11989</t>
  </si>
  <si>
    <t>9317</t>
  </si>
  <si>
    <t>AP250725010848</t>
  </si>
  <si>
    <t>20250000126331</t>
  </si>
  <si>
    <t>11991</t>
  </si>
  <si>
    <t>9319</t>
  </si>
  <si>
    <t>AP250725010849</t>
  </si>
  <si>
    <t>20250000126332</t>
  </si>
  <si>
    <t>11992</t>
  </si>
  <si>
    <t>9320</t>
  </si>
  <si>
    <t>AP250725010850</t>
  </si>
  <si>
    <t>20250000126333</t>
  </si>
  <si>
    <t>11993</t>
  </si>
  <si>
    <t>9321</t>
  </si>
  <si>
    <t>AP250725010851</t>
  </si>
  <si>
    <t>20250000126334</t>
  </si>
  <si>
    <t>11994</t>
  </si>
  <si>
    <t>9322</t>
  </si>
  <si>
    <t>AP250725010852</t>
  </si>
  <si>
    <t>20250000126335</t>
  </si>
  <si>
    <t>11996</t>
  </si>
  <si>
    <t>9324</t>
  </si>
  <si>
    <t>AP250725010853</t>
  </si>
  <si>
    <t>20250000126336</t>
  </si>
  <si>
    <t>11998</t>
  </si>
  <si>
    <t>9326</t>
  </si>
  <si>
    <t>AP250725010854</t>
  </si>
  <si>
    <t>20250000126337</t>
  </si>
  <si>
    <t>11999</t>
  </si>
  <si>
    <t>9327</t>
  </si>
  <si>
    <t>AP250725010855</t>
  </si>
  <si>
    <t>20250000126338</t>
  </si>
  <si>
    <t>12000</t>
  </si>
  <si>
    <t>9328</t>
  </si>
  <si>
    <t>AP250725010856</t>
  </si>
  <si>
    <t>20250000126339</t>
  </si>
  <si>
    <t>12002</t>
  </si>
  <si>
    <t>9330</t>
  </si>
  <si>
    <t>AP250725010857</t>
  </si>
  <si>
    <t>20250000126340</t>
  </si>
  <si>
    <t>12003</t>
  </si>
  <si>
    <t>9331</t>
  </si>
  <si>
    <t>AP250725010858</t>
  </si>
  <si>
    <t>20250000126341</t>
  </si>
  <si>
    <t>12004</t>
  </si>
  <si>
    <t>调整12002.12003税差</t>
  </si>
  <si>
    <t>9332</t>
  </si>
  <si>
    <t>AP250725010859</t>
  </si>
  <si>
    <t>20250000126342</t>
  </si>
  <si>
    <t>12005</t>
  </si>
  <si>
    <t>9333</t>
  </si>
  <si>
    <t>AP250725010860</t>
  </si>
  <si>
    <t>20250000126343</t>
  </si>
  <si>
    <t>12006</t>
  </si>
  <si>
    <t>9334</t>
  </si>
  <si>
    <t>AP250725010861</t>
  </si>
  <si>
    <t>20250000126344</t>
  </si>
  <si>
    <t>12007</t>
  </si>
  <si>
    <t>9336</t>
  </si>
  <si>
    <t>AP250725010862</t>
  </si>
  <si>
    <t>20250000126345</t>
  </si>
  <si>
    <t>12008</t>
  </si>
  <si>
    <t>6-7月份对账单</t>
  </si>
  <si>
    <t>AP250725010863</t>
  </si>
  <si>
    <t>20250000126346</t>
  </si>
  <si>
    <t>12011</t>
  </si>
  <si>
    <t>9340</t>
  </si>
  <si>
    <t>AP250725010864</t>
  </si>
  <si>
    <t>20250000126347</t>
  </si>
  <si>
    <t>12013</t>
  </si>
  <si>
    <t>9342</t>
  </si>
  <si>
    <t>AP250725010865</t>
  </si>
  <si>
    <t>20250000126348</t>
  </si>
  <si>
    <t>12014</t>
  </si>
  <si>
    <t>9343</t>
  </si>
  <si>
    <t>AP250725010866</t>
  </si>
  <si>
    <t>20250000126349</t>
  </si>
  <si>
    <t>12015</t>
  </si>
  <si>
    <t>9344</t>
  </si>
  <si>
    <t>AP250728010871</t>
  </si>
  <si>
    <t>20250000126352</t>
  </si>
  <si>
    <t>12020</t>
  </si>
  <si>
    <t>5-6月份对账单</t>
  </si>
  <si>
    <t>9345</t>
  </si>
  <si>
    <t>AP250730010872</t>
  </si>
  <si>
    <t>20250000126353</t>
  </si>
  <si>
    <t>12021</t>
  </si>
  <si>
    <t>9346</t>
  </si>
  <si>
    <t>AP250730010873</t>
  </si>
  <si>
    <t>20250000126354</t>
  </si>
  <si>
    <t>12022</t>
  </si>
  <si>
    <t>追溯2025.01-2025.04</t>
  </si>
  <si>
    <t>9347</t>
  </si>
  <si>
    <t>AP250731010892</t>
  </si>
  <si>
    <t>20250000126364</t>
  </si>
  <si>
    <t>12036</t>
  </si>
  <si>
    <t>9352</t>
  </si>
  <si>
    <t>AP250731010893</t>
  </si>
  <si>
    <t>20250000126365</t>
  </si>
  <si>
    <t>12037</t>
  </si>
  <si>
    <t>9353</t>
  </si>
  <si>
    <t>AP250731010894</t>
  </si>
  <si>
    <t>20250000126366</t>
  </si>
  <si>
    <t>12038</t>
  </si>
  <si>
    <t>调整12037税差</t>
  </si>
  <si>
    <t>9354</t>
  </si>
  <si>
    <t>AP250731010895</t>
  </si>
  <si>
    <t>20250000126367</t>
  </si>
  <si>
    <t>12039</t>
  </si>
  <si>
    <t>调整</t>
  </si>
  <si>
    <t>9355</t>
  </si>
  <si>
    <t>AP250731010896</t>
  </si>
  <si>
    <t>20250000126368</t>
  </si>
  <si>
    <t>12040</t>
  </si>
  <si>
    <t>调整至北京</t>
  </si>
  <si>
    <t>9356</t>
  </si>
  <si>
    <t>AP250731010900</t>
  </si>
  <si>
    <t>20250000126372</t>
  </si>
  <si>
    <t>12044</t>
  </si>
  <si>
    <t>前期对账单</t>
  </si>
  <si>
    <t>9358</t>
  </si>
  <si>
    <t>AP250731010901</t>
  </si>
  <si>
    <t>20250000126373</t>
  </si>
  <si>
    <t>12045</t>
  </si>
  <si>
    <t>调整12044税差</t>
  </si>
  <si>
    <t>9360</t>
  </si>
  <si>
    <t>AP250731010903</t>
  </si>
  <si>
    <t>20250000126375</t>
  </si>
  <si>
    <t>12047</t>
  </si>
  <si>
    <t>9362</t>
  </si>
  <si>
    <t>AP250731010904</t>
  </si>
  <si>
    <t>20250000126376</t>
  </si>
  <si>
    <t>12049</t>
  </si>
  <si>
    <t>9364</t>
  </si>
  <si>
    <t>AP250731010905</t>
  </si>
  <si>
    <t>20250000126377</t>
  </si>
  <si>
    <t>12050</t>
  </si>
  <si>
    <t>9365</t>
  </si>
  <si>
    <t>AP250826011015</t>
  </si>
  <si>
    <t>20250000137165</t>
  </si>
  <si>
    <t>12159</t>
  </si>
  <si>
    <t>9392</t>
  </si>
  <si>
    <t>AP250826011016</t>
  </si>
  <si>
    <t>20250000137166</t>
  </si>
  <si>
    <t>12160</t>
  </si>
  <si>
    <t>9393</t>
  </si>
  <si>
    <t>AP250826011019</t>
  </si>
  <si>
    <t>20250000137168</t>
  </si>
  <si>
    <t>12163</t>
  </si>
  <si>
    <t>9394</t>
  </si>
  <si>
    <t>AP250826011020</t>
  </si>
  <si>
    <t>20250000137169</t>
  </si>
  <si>
    <t>12164</t>
  </si>
  <si>
    <t>9395</t>
  </si>
  <si>
    <t>AP250826011021</t>
  </si>
  <si>
    <t>20250000137170</t>
  </si>
  <si>
    <t>12165</t>
  </si>
  <si>
    <t>9396</t>
  </si>
  <si>
    <t>AP250826011022</t>
  </si>
  <si>
    <t>20250000137171</t>
  </si>
  <si>
    <t>12168</t>
  </si>
  <si>
    <t>9399</t>
  </si>
  <si>
    <t>AP250826011023</t>
  </si>
  <si>
    <t>20250000137172</t>
  </si>
  <si>
    <t>12170</t>
  </si>
  <si>
    <t>9401</t>
  </si>
  <si>
    <t>AP250826011024</t>
  </si>
  <si>
    <t>20250000137173</t>
  </si>
  <si>
    <t>12171</t>
  </si>
  <si>
    <t>9402</t>
  </si>
  <si>
    <t>AP250826011025</t>
  </si>
  <si>
    <t>20250000137174</t>
  </si>
  <si>
    <t>12172</t>
  </si>
  <si>
    <t>9403</t>
  </si>
  <si>
    <t>AP250826011026</t>
  </si>
  <si>
    <t>20250000137175</t>
  </si>
  <si>
    <t>12173</t>
  </si>
  <si>
    <t>9404</t>
  </si>
  <si>
    <t>AP250826011028</t>
  </si>
  <si>
    <t>20250000137177</t>
  </si>
  <si>
    <t>12176</t>
  </si>
  <si>
    <t>9408</t>
  </si>
  <si>
    <t>AP250826011029</t>
  </si>
  <si>
    <t>20250000137178</t>
  </si>
  <si>
    <t>12177</t>
  </si>
  <si>
    <t>9409</t>
  </si>
  <si>
    <t>AP250826011030</t>
  </si>
  <si>
    <t>20250000137179</t>
  </si>
  <si>
    <t>12180</t>
  </si>
  <si>
    <t>9412</t>
  </si>
  <si>
    <t>AP250826011031</t>
  </si>
  <si>
    <t>20250000137180</t>
  </si>
  <si>
    <t>12182</t>
  </si>
  <si>
    <t>9414</t>
  </si>
  <si>
    <t>AP250826011032</t>
  </si>
  <si>
    <t>20250000137181</t>
  </si>
  <si>
    <t>12184</t>
  </si>
  <si>
    <t>AP250826011033</t>
  </si>
  <si>
    <t>20250000137182</t>
  </si>
  <si>
    <t>12185</t>
  </si>
  <si>
    <t>AP250826011034</t>
  </si>
  <si>
    <t>20250000137183</t>
  </si>
  <si>
    <t>12187</t>
  </si>
  <si>
    <t>9419</t>
  </si>
  <si>
    <t>AP250826011035</t>
  </si>
  <si>
    <t>20250000137184</t>
  </si>
  <si>
    <t>12188</t>
  </si>
  <si>
    <t>9420</t>
  </si>
  <si>
    <t>AP250826011036</t>
  </si>
  <si>
    <t>20250000137185</t>
  </si>
  <si>
    <t>12189</t>
  </si>
  <si>
    <t>调整12188税差</t>
  </si>
  <si>
    <t>9421</t>
  </si>
  <si>
    <t>AP250826011037</t>
  </si>
  <si>
    <t>20250000137186</t>
  </si>
  <si>
    <t>12191</t>
  </si>
  <si>
    <t>9423</t>
  </si>
  <si>
    <t>AP250826011038</t>
  </si>
  <si>
    <t>20250000137187</t>
  </si>
  <si>
    <t>12192</t>
  </si>
  <si>
    <t>9424</t>
  </si>
  <si>
    <t>AP250826011039</t>
  </si>
  <si>
    <t>20250000137188</t>
  </si>
  <si>
    <t>12193</t>
  </si>
  <si>
    <t>8月份对账单</t>
  </si>
  <si>
    <t>AP250826011040</t>
  </si>
  <si>
    <t>20250000137189</t>
  </si>
  <si>
    <t>12194</t>
  </si>
  <si>
    <t>9426</t>
  </si>
  <si>
    <t>AP250826011041</t>
  </si>
  <si>
    <t>20250000137190</t>
  </si>
  <si>
    <t>12195</t>
  </si>
  <si>
    <t>调整12194税差</t>
  </si>
  <si>
    <t>9428</t>
  </si>
  <si>
    <t>AP250826011042</t>
  </si>
  <si>
    <t>20250000137191</t>
  </si>
  <si>
    <t>12198</t>
  </si>
  <si>
    <t>9431</t>
  </si>
  <si>
    <t>AP250826011043</t>
  </si>
  <si>
    <t>20250000137192</t>
  </si>
  <si>
    <t>12199</t>
  </si>
  <si>
    <t>9432</t>
  </si>
  <si>
    <t>AP250826011044</t>
  </si>
  <si>
    <t>20250000137193</t>
  </si>
  <si>
    <t>12200</t>
  </si>
  <si>
    <t>AP250826011045</t>
  </si>
  <si>
    <t>20250000137194</t>
  </si>
  <si>
    <t>12201</t>
  </si>
  <si>
    <t>9434</t>
  </si>
  <si>
    <t>AP250827011046</t>
  </si>
  <si>
    <t>20250000137195</t>
  </si>
  <si>
    <t>12202</t>
  </si>
  <si>
    <t>9435</t>
  </si>
  <si>
    <t>AP250827011047</t>
  </si>
  <si>
    <t>20250000137196</t>
  </si>
  <si>
    <t>12203</t>
  </si>
  <si>
    <t>9436</t>
  </si>
  <si>
    <t>AP250827011048</t>
  </si>
  <si>
    <t>20250000137197</t>
  </si>
  <si>
    <t>12204</t>
  </si>
  <si>
    <t>9437</t>
  </si>
  <si>
    <t>AP250827011049</t>
  </si>
  <si>
    <t>20250000137198</t>
  </si>
  <si>
    <t>12205</t>
  </si>
  <si>
    <t>调整12204税差</t>
  </si>
  <si>
    <t>9438</t>
  </si>
  <si>
    <t>AP250827011053</t>
  </si>
  <si>
    <t>20250000137202</t>
  </si>
  <si>
    <t>12209</t>
  </si>
  <si>
    <t>9439</t>
  </si>
  <si>
    <t>AP250827011054</t>
  </si>
  <si>
    <t>20250000137203</t>
  </si>
  <si>
    <t>12210</t>
  </si>
  <si>
    <t>24年4月对账单</t>
  </si>
  <si>
    <t>9440</t>
  </si>
  <si>
    <t>AP250827011055</t>
  </si>
  <si>
    <t>20250000137204</t>
  </si>
  <si>
    <t>12211</t>
  </si>
  <si>
    <t>调整12210税差</t>
  </si>
  <si>
    <t>9441</t>
  </si>
  <si>
    <t>AP250827011056</t>
  </si>
  <si>
    <t>20250000137205</t>
  </si>
  <si>
    <t>12212</t>
  </si>
  <si>
    <t>9442</t>
  </si>
  <si>
    <t>AP250827011057</t>
  </si>
  <si>
    <t>20250000137206</t>
  </si>
  <si>
    <t>12213</t>
  </si>
  <si>
    <t>9443</t>
  </si>
  <si>
    <t>AP250827011058</t>
  </si>
  <si>
    <t>20250000137207</t>
  </si>
  <si>
    <t>12214</t>
  </si>
  <si>
    <t>9444</t>
  </si>
  <si>
    <t>AP250827011059</t>
  </si>
  <si>
    <t>20250000137208</t>
  </si>
  <si>
    <t>12215</t>
  </si>
  <si>
    <t>9445</t>
  </si>
  <si>
    <t>AP250827011060</t>
  </si>
  <si>
    <t>20250000137209</t>
  </si>
  <si>
    <t>12216</t>
  </si>
  <si>
    <t>9446</t>
  </si>
  <si>
    <t>AP250827011061</t>
  </si>
  <si>
    <t>20250000137210</t>
  </si>
  <si>
    <t>12217</t>
  </si>
  <si>
    <t>19130371</t>
  </si>
  <si>
    <t>9447</t>
  </si>
  <si>
    <t>AP250827011062</t>
  </si>
  <si>
    <t>20250000137211</t>
  </si>
  <si>
    <t>12218</t>
  </si>
  <si>
    <t>调整12217税差</t>
  </si>
  <si>
    <t>9448</t>
  </si>
  <si>
    <t>AP250827011063</t>
  </si>
  <si>
    <t>20250000137212</t>
  </si>
  <si>
    <t>12219</t>
  </si>
  <si>
    <t>9449</t>
  </si>
  <si>
    <t>AP250827011064</t>
  </si>
  <si>
    <t>20250000137213</t>
  </si>
  <si>
    <t>12220</t>
  </si>
  <si>
    <t>调整12219税差</t>
  </si>
  <si>
    <t>9450</t>
  </si>
  <si>
    <t>AP250828011066</t>
  </si>
  <si>
    <t>20250000137215</t>
  </si>
  <si>
    <t>12222</t>
  </si>
  <si>
    <t>9451</t>
  </si>
  <si>
    <t>AP250828011070</t>
  </si>
  <si>
    <t>20250000137216</t>
  </si>
  <si>
    <t>12224</t>
  </si>
  <si>
    <t>24年12月对账单</t>
  </si>
  <si>
    <t>9453</t>
  </si>
  <si>
    <t>AP250828011071</t>
  </si>
  <si>
    <t>20250000137217</t>
  </si>
  <si>
    <t>12225</t>
  </si>
  <si>
    <t>调整12224税差</t>
  </si>
  <si>
    <t>9454</t>
  </si>
  <si>
    <t>AP250829011076</t>
  </si>
  <si>
    <t>20250000137222</t>
  </si>
  <si>
    <t>12230</t>
  </si>
  <si>
    <t>9456</t>
  </si>
  <si>
    <t>AP250829011077</t>
  </si>
  <si>
    <t>20250000137223</t>
  </si>
  <si>
    <t>12231</t>
  </si>
  <si>
    <t>AP250829011078</t>
  </si>
  <si>
    <t>20250000137224</t>
  </si>
  <si>
    <t>12232</t>
  </si>
  <si>
    <t>9458</t>
  </si>
  <si>
    <t>AP250919011118</t>
  </si>
  <si>
    <t>20250000151499</t>
  </si>
  <si>
    <t>12275</t>
  </si>
  <si>
    <t>9478</t>
  </si>
  <si>
    <t>AP250919011119</t>
  </si>
  <si>
    <t>20250000151500</t>
  </si>
  <si>
    <t>12276</t>
  </si>
  <si>
    <t>9479</t>
  </si>
  <si>
    <t>AP250919011120</t>
  </si>
  <si>
    <t>20250000151501</t>
  </si>
  <si>
    <t>12277</t>
  </si>
  <si>
    <t>9480</t>
  </si>
  <si>
    <t>AP250919011121</t>
  </si>
  <si>
    <t>20250000151502</t>
  </si>
  <si>
    <t>12279</t>
  </si>
  <si>
    <t>9483</t>
  </si>
  <si>
    <t>AP250919011122</t>
  </si>
  <si>
    <t>20250000151503</t>
  </si>
  <si>
    <t>12280</t>
  </si>
  <si>
    <t>9484</t>
  </si>
  <si>
    <t>AP250919011123</t>
  </si>
  <si>
    <t>20250000151504</t>
  </si>
  <si>
    <t>12281</t>
  </si>
  <si>
    <t>9485</t>
  </si>
  <si>
    <t>AP250919011124</t>
  </si>
  <si>
    <t>20250000151505</t>
  </si>
  <si>
    <t>12282</t>
  </si>
  <si>
    <t>9486</t>
  </si>
  <si>
    <t>AP250919011125</t>
  </si>
  <si>
    <t>20250000151506</t>
  </si>
  <si>
    <t>12283</t>
  </si>
  <si>
    <t>9月份对账单</t>
  </si>
  <si>
    <t>AP250919011126</t>
  </si>
  <si>
    <t>20250000151507</t>
  </si>
  <si>
    <t>12284</t>
  </si>
  <si>
    <t>9488</t>
  </si>
  <si>
    <t>AP250919011127</t>
  </si>
  <si>
    <t>20250000151508</t>
  </si>
  <si>
    <t>12285</t>
  </si>
  <si>
    <t>AP250919011128</t>
  </si>
  <si>
    <t>20250000151509</t>
  </si>
  <si>
    <t>12286</t>
  </si>
  <si>
    <t>9490</t>
  </si>
  <si>
    <t>AP250919011129</t>
  </si>
  <si>
    <t>20250000151510</t>
  </si>
  <si>
    <t>12287</t>
  </si>
  <si>
    <t>9491</t>
  </si>
  <si>
    <t>AP250919011130</t>
  </si>
  <si>
    <t>20250000151511</t>
  </si>
  <si>
    <t>12288</t>
  </si>
  <si>
    <t>9492</t>
  </si>
  <si>
    <t>AP250919011131</t>
  </si>
  <si>
    <t>20250000151512</t>
  </si>
  <si>
    <t>12289</t>
  </si>
  <si>
    <t>9493</t>
  </si>
  <si>
    <t>AP250919011132</t>
  </si>
  <si>
    <t>20250000151513</t>
  </si>
  <si>
    <t>12290</t>
  </si>
  <si>
    <t>9494</t>
  </si>
  <si>
    <t>AP250919011133</t>
  </si>
  <si>
    <t>20250000151514</t>
  </si>
  <si>
    <t>12292</t>
  </si>
  <si>
    <t>9496</t>
  </si>
  <si>
    <t>AP250919011134</t>
  </si>
  <si>
    <t>20250000151515</t>
  </si>
  <si>
    <t>12293</t>
  </si>
  <si>
    <t>9497</t>
  </si>
  <si>
    <t>AP250919011135</t>
  </si>
  <si>
    <t>20250000151516</t>
  </si>
  <si>
    <t>12294</t>
  </si>
  <si>
    <t>9498</t>
  </si>
  <si>
    <t>AP250919011136</t>
  </si>
  <si>
    <t>20250000151517</t>
  </si>
  <si>
    <t>12295</t>
  </si>
  <si>
    <t>9499</t>
  </si>
  <si>
    <t>AP250919011137</t>
  </si>
  <si>
    <t>20250000151518</t>
  </si>
  <si>
    <t>12297</t>
  </si>
  <si>
    <t>9501</t>
  </si>
  <si>
    <t>AP250919011138</t>
  </si>
  <si>
    <t>20250000151519</t>
  </si>
  <si>
    <t>12298</t>
  </si>
  <si>
    <t>9502</t>
  </si>
  <si>
    <t>AP250919011139</t>
  </si>
  <si>
    <t>20250000151520</t>
  </si>
  <si>
    <t>12299</t>
  </si>
  <si>
    <t>调整12298税差</t>
  </si>
  <si>
    <t>9504</t>
  </si>
  <si>
    <t>AP250919011140</t>
  </si>
  <si>
    <t>20250000151521</t>
  </si>
  <si>
    <t>12300</t>
  </si>
  <si>
    <t>9505</t>
  </si>
  <si>
    <t>AP250919011141</t>
  </si>
  <si>
    <t>20250000151522</t>
  </si>
  <si>
    <t>12301</t>
  </si>
  <si>
    <t>9506</t>
  </si>
  <si>
    <t>AP250919011142</t>
  </si>
  <si>
    <t>20250000151523</t>
  </si>
  <si>
    <t>12303</t>
  </si>
  <si>
    <t>9508</t>
  </si>
  <si>
    <t>AP250919011143</t>
  </si>
  <si>
    <t>20250000151524</t>
  </si>
  <si>
    <t>12305</t>
  </si>
  <si>
    <t>9510</t>
  </si>
  <si>
    <t>AP250919011144</t>
  </si>
  <si>
    <t>20250000151525</t>
  </si>
  <si>
    <t>12306</t>
  </si>
  <si>
    <t>9511</t>
  </si>
  <si>
    <t>AP250922011154</t>
  </si>
  <si>
    <t>20250000151534</t>
  </si>
  <si>
    <t>12316</t>
  </si>
  <si>
    <t>9516</t>
  </si>
  <si>
    <t>AP250922011155</t>
  </si>
  <si>
    <t>20250000151535</t>
  </si>
  <si>
    <t>12317</t>
  </si>
  <si>
    <t>调整12316税差</t>
  </si>
  <si>
    <t>9517</t>
  </si>
  <si>
    <t>AP250922011158</t>
  </si>
  <si>
    <t>20250000151538</t>
  </si>
  <si>
    <t>12320</t>
  </si>
  <si>
    <t>AP250922011159</t>
  </si>
  <si>
    <t>20250000151539</t>
  </si>
  <si>
    <t>12321</t>
  </si>
  <si>
    <t>AP250922011160</t>
  </si>
  <si>
    <t>20250000151540</t>
  </si>
  <si>
    <t>12322</t>
  </si>
  <si>
    <t>AP250922011161</t>
  </si>
  <si>
    <t>20250000151541</t>
  </si>
  <si>
    <t>12323</t>
  </si>
  <si>
    <t>9522</t>
  </si>
  <si>
    <t>AP250922011162</t>
  </si>
  <si>
    <t>20250000151542</t>
  </si>
  <si>
    <t>12324</t>
  </si>
  <si>
    <t>9523</t>
  </si>
  <si>
    <t>AP250922011163</t>
  </si>
  <si>
    <t>20250000151543</t>
  </si>
  <si>
    <t>12325</t>
  </si>
  <si>
    <t>9524</t>
  </si>
  <si>
    <t>AP250922011164</t>
  </si>
  <si>
    <t>20250000151544</t>
  </si>
  <si>
    <t>12326</t>
  </si>
  <si>
    <t>9525</t>
  </si>
  <si>
    <t>AP250922011165</t>
  </si>
  <si>
    <t>20250000151545</t>
  </si>
  <si>
    <t>12327</t>
  </si>
  <si>
    <t>9526</t>
  </si>
  <si>
    <t>AP250922011166</t>
  </si>
  <si>
    <t>20250000151546</t>
  </si>
  <si>
    <t>12330</t>
  </si>
  <si>
    <t>9529</t>
  </si>
  <si>
    <t>AP250922011167</t>
  </si>
  <si>
    <t>20250000151547</t>
  </si>
  <si>
    <t>12331</t>
  </si>
  <si>
    <t>调整12330税差</t>
  </si>
  <si>
    <t>9530</t>
  </si>
  <si>
    <t>AP250925011196</t>
  </si>
  <si>
    <t>20250000151576</t>
  </si>
  <si>
    <t>12361</t>
  </si>
  <si>
    <t>9539</t>
  </si>
  <si>
    <t>AP250925011197</t>
  </si>
  <si>
    <t>20250000151577</t>
  </si>
  <si>
    <t>12362</t>
  </si>
  <si>
    <t>23.05-25.04</t>
  </si>
  <si>
    <t>9540</t>
  </si>
  <si>
    <t>AP250925011198</t>
  </si>
  <si>
    <t>20250000151578</t>
  </si>
  <si>
    <t>12363</t>
  </si>
  <si>
    <t>调整12362税差</t>
  </si>
  <si>
    <t>9541</t>
  </si>
  <si>
    <t>AP250925011199</t>
  </si>
  <si>
    <t>20250000151579</t>
  </si>
  <si>
    <t>12364</t>
  </si>
  <si>
    <t>9542</t>
  </si>
  <si>
    <t>AP250925011200</t>
  </si>
  <si>
    <t>20250000151580</t>
  </si>
  <si>
    <t>12365</t>
  </si>
  <si>
    <t>9543</t>
  </si>
  <si>
    <t>AP250926011201</t>
  </si>
  <si>
    <t>20250000151581</t>
  </si>
  <si>
    <t>12366</t>
  </si>
  <si>
    <t xml:space="preserve"> 8月份对账单</t>
  </si>
  <si>
    <t>9545</t>
  </si>
  <si>
    <t>AP250926011202</t>
  </si>
  <si>
    <t>20250000151582</t>
  </si>
  <si>
    <t>12367</t>
  </si>
  <si>
    <t>9546</t>
  </si>
  <si>
    <t>AP250926011203</t>
  </si>
  <si>
    <t>20250000151583</t>
  </si>
  <si>
    <t>12368</t>
  </si>
  <si>
    <t>9547</t>
  </si>
  <si>
    <t>AP250926011204</t>
  </si>
  <si>
    <t>20250000151584</t>
  </si>
  <si>
    <t>12370</t>
  </si>
  <si>
    <t>AP250926011205</t>
  </si>
  <si>
    <t>20250000151585</t>
  </si>
  <si>
    <t>12371</t>
  </si>
  <si>
    <t>AP250926011206</t>
  </si>
  <si>
    <t>20250000151586</t>
  </si>
  <si>
    <t>12372</t>
  </si>
  <si>
    <t>9551</t>
  </si>
  <si>
    <t>AP250926011207</t>
  </si>
  <si>
    <t>20250000151587</t>
  </si>
  <si>
    <t>12373</t>
  </si>
  <si>
    <t>9552</t>
  </si>
  <si>
    <t>AP250930011231</t>
  </si>
  <si>
    <t>20250000151608</t>
  </si>
  <si>
    <t>12395</t>
  </si>
  <si>
    <t>9560</t>
  </si>
  <si>
    <t>AP250930011233</t>
  </si>
  <si>
    <t>20250000151610</t>
  </si>
  <si>
    <t>12399</t>
  </si>
  <si>
    <t>AP250929011224</t>
  </si>
  <si>
    <t>20250000151601</t>
  </si>
  <si>
    <t>12389</t>
  </si>
  <si>
    <t>乾立物流8月运费来票</t>
  </si>
  <si>
    <t>L4484</t>
  </si>
  <si>
    <t>9556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</si>
</sst>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0"/>
    <numFmt numFmtId="177" formatCode="#,###,###,###.00"/>
    <numFmt numFmtId="178" formatCode="###,##0.00"/>
    <numFmt numFmtId="179" formatCode="0.00_ "/>
    <numFmt numFmtId="180" formatCode="0_ "/>
    <numFmt numFmtId="181" formatCode="&quot;￥&quot;#,##0.00_);[Red]\(&quot;￥&quot;#,##0.00\)"/>
    <numFmt numFmtId="182" formatCode="yyyy/m/d;@"/>
    <numFmt numFmtId="183" formatCode="##,###,###,##0.00"/>
    <numFmt numFmtId="184" formatCode="##0"/>
    <numFmt numFmtId="185" formatCode="##,###,##0.0########"/>
    <numFmt numFmtId="186" formatCode="##,###,###,##0.00###"/>
    <numFmt numFmtId="187" formatCode="#,###,###,##0.00###"/>
    <numFmt numFmtId="188" formatCode="0&quot;月&quot;&quot;底&quot;&quot;余&quot;&quot;额&quot;"/>
    <numFmt numFmtId="189" formatCode="0&quot;月&quot;&quot;到&quot;&quot;期&quot;&quot;货&quot;&quot;款&quot;"/>
    <numFmt numFmtId="190" formatCode="0&quot;月&quot;&quot;份&quot;&quot;来&quot;&quot;票&quot;"/>
  </numFmts>
  <fonts count="48">
    <font>
      <sz val="11"/>
      <color theme="1"/>
      <name val="宋体"/>
      <charset val="134"/>
      <scheme val="minor"/>
    </font>
    <font>
      <sz val="9"/>
      <color indexed="0"/>
      <name val="微软雅黑"/>
      <charset val="0"/>
    </font>
    <font>
      <sz val="9"/>
      <color theme="1"/>
      <name val="微软雅黑"/>
      <charset val="134"/>
    </font>
    <font>
      <sz val="9"/>
      <color indexed="4"/>
      <name val="微软雅黑"/>
      <charset val="0"/>
    </font>
    <font>
      <sz val="10"/>
      <color indexed="0"/>
      <name val="Arial"/>
      <charset val="0"/>
    </font>
    <font>
      <sz val="8.25"/>
      <color indexed="0"/>
      <name val="Microsoft Sans Serif"/>
      <charset val="0"/>
    </font>
    <font>
      <sz val="8.25"/>
      <color indexed="4"/>
      <name val="Microsoft Sans Serif"/>
      <charset val="0"/>
    </font>
    <font>
      <u/>
      <sz val="8.25"/>
      <color indexed="4"/>
      <name val="Microsoft Sans Serif"/>
      <charset val="0"/>
    </font>
    <font>
      <b/>
      <sz val="8"/>
      <color theme="1"/>
      <name val="微软雅黑"/>
      <charset val="134"/>
    </font>
    <font>
      <sz val="8"/>
      <color theme="1"/>
      <name val="微软雅黑"/>
      <charset val="134"/>
    </font>
    <font>
      <b/>
      <sz val="9"/>
      <color theme="1"/>
      <name val="微软雅黑"/>
      <charset val="134"/>
    </font>
    <font>
      <b/>
      <sz val="8"/>
      <name val="微软雅黑"/>
      <charset val="134"/>
    </font>
    <font>
      <sz val="8"/>
      <name val="微软雅黑"/>
      <charset val="134"/>
    </font>
    <font>
      <sz val="12"/>
      <color theme="1"/>
      <name val="微软雅黑"/>
      <charset val="134"/>
    </font>
    <font>
      <sz val="9"/>
      <color rgb="FF000000"/>
      <name val="微软雅黑"/>
      <charset val="0"/>
    </font>
    <font>
      <sz val="10"/>
      <color rgb="FF000000"/>
      <name val="Arial"/>
      <charset val="0"/>
    </font>
    <font>
      <b/>
      <sz val="10"/>
      <color theme="1"/>
      <name val="微软雅黑"/>
      <charset val="134"/>
    </font>
    <font>
      <b/>
      <sz val="9"/>
      <name val="微软雅黑"/>
      <charset val="134"/>
    </font>
    <font>
      <sz val="9"/>
      <name val="微软雅黑"/>
      <charset val="134"/>
    </font>
    <font>
      <sz val="9"/>
      <color rgb="FFFF0000"/>
      <name val="微软雅黑"/>
      <charset val="134"/>
    </font>
    <font>
      <b/>
      <sz val="9"/>
      <color indexed="0"/>
      <name val="微软雅黑"/>
      <charset val="0"/>
    </font>
    <font>
      <sz val="9"/>
      <color indexed="0"/>
      <name val="微软雅黑"/>
      <charset val="134"/>
    </font>
    <font>
      <sz val="9"/>
      <color indexed="4"/>
      <name val="微软雅黑"/>
      <charset val="134"/>
    </font>
    <font>
      <b/>
      <sz val="9"/>
      <color rgb="FF000000"/>
      <name val="微软雅黑"/>
      <charset val="0"/>
    </font>
    <font>
      <b/>
      <sz val="9"/>
      <color indexed="0"/>
      <name val="微软雅黑"/>
      <charset val="134"/>
    </font>
    <font>
      <b/>
      <sz val="9"/>
      <color rgb="FF000000"/>
      <name val="微软雅黑"/>
      <charset val="134"/>
    </font>
    <font>
      <sz val="8"/>
      <color indexed="0"/>
      <name val="Microsoft Sans Serif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4" tint="0.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5" borderId="14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16" borderId="17" applyNumberFormat="0" applyAlignment="0" applyProtection="0">
      <alignment vertical="center"/>
    </xf>
    <xf numFmtId="0" fontId="36" fillId="17" borderId="18" applyNumberFormat="0" applyAlignment="0" applyProtection="0">
      <alignment vertical="center"/>
    </xf>
    <xf numFmtId="0" fontId="37" fillId="17" borderId="17" applyNumberFormat="0" applyAlignment="0" applyProtection="0">
      <alignment vertical="center"/>
    </xf>
    <xf numFmtId="0" fontId="38" fillId="18" borderId="19" applyNumberFormat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</cellStyleXfs>
  <cellXfs count="194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2" fillId="0" borderId="0" xfId="0" applyFont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left" vertical="center"/>
    </xf>
    <xf numFmtId="176" fontId="1" fillId="0" borderId="3" xfId="0" applyNumberFormat="1" applyFont="1" applyFill="1" applyBorder="1" applyAlignment="1">
      <alignment horizontal="right" vertical="center"/>
    </xf>
    <xf numFmtId="14" fontId="1" fillId="0" borderId="3" xfId="0" applyNumberFormat="1" applyFont="1" applyFill="1" applyBorder="1" applyAlignment="1">
      <alignment horizontal="right" vertical="center"/>
    </xf>
    <xf numFmtId="0" fontId="3" fillId="0" borderId="3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176" fontId="1" fillId="2" borderId="3" xfId="0" applyNumberFormat="1" applyFont="1" applyFill="1" applyBorder="1" applyAlignment="1">
      <alignment horizontal="right" vertical="center"/>
    </xf>
    <xf numFmtId="14" fontId="1" fillId="2" borderId="3" xfId="0" applyNumberFormat="1" applyFont="1" applyFill="1" applyBorder="1" applyAlignment="1">
      <alignment horizontal="right" vertical="center"/>
    </xf>
    <xf numFmtId="0" fontId="3" fillId="2" borderId="3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177" fontId="1" fillId="0" borderId="3" xfId="0" applyNumberFormat="1" applyFont="1" applyFill="1" applyBorder="1" applyAlignment="1">
      <alignment horizontal="right" vertical="center"/>
    </xf>
    <xf numFmtId="0" fontId="1" fillId="2" borderId="3" xfId="0" applyFont="1" applyFill="1" applyBorder="1" applyAlignment="1">
      <alignment horizontal="center" vertical="center"/>
    </xf>
    <xf numFmtId="177" fontId="1" fillId="2" borderId="3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/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right" vertical="center"/>
    </xf>
    <xf numFmtId="0" fontId="5" fillId="0" borderId="3" xfId="0" applyFont="1" applyFill="1" applyBorder="1" applyAlignment="1">
      <alignment horizontal="left" vertical="center"/>
    </xf>
    <xf numFmtId="176" fontId="5" fillId="0" borderId="3" xfId="0" applyNumberFormat="1" applyFont="1" applyFill="1" applyBorder="1" applyAlignment="1">
      <alignment horizontal="right" vertical="center"/>
    </xf>
    <xf numFmtId="14" fontId="5" fillId="0" borderId="3" xfId="0" applyNumberFormat="1" applyFont="1" applyFill="1" applyBorder="1" applyAlignment="1">
      <alignment horizontal="right" vertical="center"/>
    </xf>
    <xf numFmtId="0" fontId="6" fillId="0" borderId="3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176" fontId="5" fillId="2" borderId="3" xfId="0" applyNumberFormat="1" applyFont="1" applyFill="1" applyBorder="1" applyAlignment="1">
      <alignment horizontal="right" vertical="center"/>
    </xf>
    <xf numFmtId="14" fontId="5" fillId="2" borderId="3" xfId="0" applyNumberFormat="1" applyFont="1" applyFill="1" applyBorder="1" applyAlignment="1">
      <alignment horizontal="right" vertical="center"/>
    </xf>
    <xf numFmtId="0" fontId="6" fillId="2" borderId="3" xfId="0" applyFont="1" applyFill="1" applyBorder="1" applyAlignment="1">
      <alignment horizontal="left" vertical="center"/>
    </xf>
    <xf numFmtId="177" fontId="5" fillId="0" borderId="3" xfId="0" applyNumberFormat="1" applyFont="1" applyFill="1" applyBorder="1" applyAlignment="1">
      <alignment horizontal="right" vertical="center"/>
    </xf>
    <xf numFmtId="177" fontId="5" fillId="2" borderId="3" xfId="0" applyNumberFormat="1" applyFont="1" applyFill="1" applyBorder="1" applyAlignment="1">
      <alignment horizontal="right" vertical="center"/>
    </xf>
    <xf numFmtId="0" fontId="7" fillId="2" borderId="3" xfId="0" applyFont="1" applyFill="1" applyBorder="1" applyAlignment="1">
      <alignment horizontal="left" vertical="center"/>
    </xf>
    <xf numFmtId="178" fontId="1" fillId="0" borderId="3" xfId="0" applyNumberFormat="1" applyFont="1" applyFill="1" applyBorder="1" applyAlignment="1">
      <alignment horizontal="right" vertical="center"/>
    </xf>
    <xf numFmtId="178" fontId="1" fillId="2" borderId="3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left" vertical="center"/>
    </xf>
    <xf numFmtId="179" fontId="2" fillId="0" borderId="0" xfId="0" applyNumberFormat="1" applyFont="1" applyAlignment="1">
      <alignment horizontal="center" vertical="center"/>
    </xf>
    <xf numFmtId="179" fontId="2" fillId="0" borderId="0" xfId="0" applyNumberFormat="1" applyFont="1" applyAlignment="1">
      <alignment horizontal="right" vertical="center"/>
    </xf>
    <xf numFmtId="179" fontId="2" fillId="0" borderId="0" xfId="0" applyNumberFormat="1" applyFont="1" applyAlignment="1">
      <alignment horizontal="right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180" fontId="2" fillId="0" borderId="0" xfId="0" applyNumberFormat="1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79" fontId="8" fillId="0" borderId="2" xfId="0" applyNumberFormat="1" applyFont="1" applyBorder="1" applyAlignment="1">
      <alignment horizontal="center" vertical="center"/>
    </xf>
    <xf numFmtId="179" fontId="8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179" fontId="9" fillId="0" borderId="2" xfId="0" applyNumberFormat="1" applyFont="1" applyBorder="1" applyAlignment="1">
      <alignment horizontal="center" vertical="center"/>
    </xf>
    <xf numFmtId="179" fontId="9" fillId="0" borderId="2" xfId="0" applyNumberFormat="1" applyFont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179" fontId="9" fillId="3" borderId="2" xfId="0" applyNumberFormat="1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81" fontId="9" fillId="0" borderId="4" xfId="0" applyNumberFormat="1" applyFont="1" applyFill="1" applyBorder="1" applyAlignment="1">
      <alignment horizontal="center" vertical="center"/>
    </xf>
    <xf numFmtId="181" fontId="9" fillId="0" borderId="2" xfId="0" applyNumberFormat="1" applyFont="1" applyBorder="1" applyAlignment="1">
      <alignment horizontal="center" vertical="center"/>
    </xf>
    <xf numFmtId="181" fontId="2" fillId="0" borderId="2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9" fillId="0" borderId="0" xfId="0" applyFont="1" applyAlignment="1">
      <alignment horizontal="left" vertical="center"/>
    </xf>
    <xf numFmtId="179" fontId="9" fillId="0" borderId="0" xfId="0" applyNumberFormat="1" applyFont="1" applyAlignment="1">
      <alignment horizontal="center" vertical="center"/>
    </xf>
    <xf numFmtId="179" fontId="9" fillId="0" borderId="0" xfId="0" applyNumberFormat="1" applyFont="1" applyAlignment="1">
      <alignment horizontal="right" vertical="center"/>
    </xf>
    <xf numFmtId="179" fontId="9" fillId="0" borderId="0" xfId="0" applyNumberFormat="1" applyFont="1" applyAlignment="1">
      <alignment horizontal="right" vertical="center" wrapText="1"/>
    </xf>
    <xf numFmtId="179" fontId="11" fillId="0" borderId="2" xfId="0" applyNumberFormat="1" applyFont="1" applyFill="1" applyBorder="1" applyAlignment="1">
      <alignment horizontal="center" vertical="center"/>
    </xf>
    <xf numFmtId="179" fontId="12" fillId="0" borderId="2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181" fontId="9" fillId="0" borderId="0" xfId="0" applyNumberFormat="1" applyFont="1" applyFill="1" applyAlignment="1">
      <alignment horizontal="center" vertical="center"/>
    </xf>
    <xf numFmtId="181" fontId="9" fillId="0" borderId="2" xfId="0" applyNumberFormat="1" applyFont="1" applyFill="1" applyBorder="1" applyAlignment="1">
      <alignment horizontal="center" vertical="center"/>
    </xf>
    <xf numFmtId="179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179" fontId="1" fillId="0" borderId="0" xfId="0" applyNumberFormat="1" applyFont="1" applyFill="1" applyBorder="1" applyAlignment="1"/>
    <xf numFmtId="0" fontId="14" fillId="0" borderId="0" xfId="0" applyFont="1" applyFill="1" applyBorder="1" applyAlignment="1"/>
    <xf numFmtId="178" fontId="5" fillId="0" borderId="3" xfId="0" applyNumberFormat="1" applyFont="1" applyFill="1" applyBorder="1" applyAlignment="1">
      <alignment horizontal="right" vertical="center"/>
    </xf>
    <xf numFmtId="178" fontId="5" fillId="2" borderId="3" xfId="0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/>
    <xf numFmtId="0" fontId="2" fillId="0" borderId="0" xfId="0" applyFont="1" applyAlignment="1">
      <alignment horizontal="right" vertical="center"/>
    </xf>
    <xf numFmtId="0" fontId="16" fillId="0" borderId="0" xfId="0" applyFont="1" applyAlignment="1">
      <alignment horizontal="center" vertical="center"/>
    </xf>
    <xf numFmtId="179" fontId="16" fillId="0" borderId="0" xfId="0" applyNumberFormat="1" applyFont="1" applyAlignment="1">
      <alignment horizontal="center" vertical="center"/>
    </xf>
    <xf numFmtId="179" fontId="16" fillId="0" borderId="0" xfId="0" applyNumberFormat="1" applyFont="1" applyAlignment="1">
      <alignment horizontal="right" vertical="center"/>
    </xf>
    <xf numFmtId="179" fontId="16" fillId="0" borderId="0" xfId="0" applyNumberFormat="1" applyFont="1" applyAlignment="1">
      <alignment horizontal="right" vertical="center" wrapText="1"/>
    </xf>
    <xf numFmtId="0" fontId="16" fillId="0" borderId="0" xfId="0" applyFont="1" applyAlignment="1">
      <alignment horizontal="right" vertical="center"/>
    </xf>
    <xf numFmtId="179" fontId="10" fillId="0" borderId="0" xfId="0" applyNumberFormat="1" applyFont="1" applyAlignment="1">
      <alignment horizontal="center" vertical="center" wrapText="1"/>
    </xf>
    <xf numFmtId="179" fontId="10" fillId="0" borderId="0" xfId="0" applyNumberFormat="1" applyFont="1" applyAlignment="1">
      <alignment horizontal="center" vertical="center"/>
    </xf>
    <xf numFmtId="179" fontId="17" fillId="0" borderId="0" xfId="0" applyNumberFormat="1" applyFont="1" applyFill="1" applyAlignment="1">
      <alignment vertical="center"/>
    </xf>
    <xf numFmtId="179" fontId="17" fillId="0" borderId="0" xfId="0" applyNumberFormat="1" applyFont="1" applyFill="1" applyAlignment="1">
      <alignment horizontal="right" vertical="center"/>
    </xf>
    <xf numFmtId="179" fontId="18" fillId="0" borderId="0" xfId="0" applyNumberFormat="1" applyFont="1" applyFill="1" applyAlignment="1">
      <alignment horizontal="right" vertical="center"/>
    </xf>
    <xf numFmtId="0" fontId="2" fillId="6" borderId="0" xfId="0" applyFont="1" applyFill="1" applyAlignment="1">
      <alignment horizontal="center" vertical="center"/>
    </xf>
    <xf numFmtId="180" fontId="2" fillId="6" borderId="0" xfId="0" applyNumberFormat="1" applyFont="1" applyFill="1" applyAlignment="1">
      <alignment horizontal="center" vertical="center"/>
    </xf>
    <xf numFmtId="179" fontId="2" fillId="4" borderId="0" xfId="0" applyNumberFormat="1" applyFont="1" applyFill="1" applyAlignment="1">
      <alignment horizontal="right" vertical="center" wrapText="1"/>
    </xf>
    <xf numFmtId="0" fontId="2" fillId="7" borderId="0" xfId="0" applyFont="1" applyFill="1" applyAlignment="1">
      <alignment horizontal="center" vertical="center"/>
    </xf>
    <xf numFmtId="180" fontId="2" fillId="7" borderId="0" xfId="0" applyNumberFormat="1" applyFont="1" applyFill="1" applyAlignment="1">
      <alignment horizontal="center" vertical="center"/>
    </xf>
    <xf numFmtId="179" fontId="2" fillId="5" borderId="0" xfId="0" applyNumberFormat="1" applyFont="1" applyFill="1" applyAlignment="1">
      <alignment horizontal="right" vertical="center" wrapText="1"/>
    </xf>
    <xf numFmtId="0" fontId="2" fillId="8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179" fontId="2" fillId="0" borderId="0" xfId="0" applyNumberFormat="1" applyFont="1" applyFill="1" applyAlignment="1">
      <alignment horizontal="center" vertical="center"/>
    </xf>
    <xf numFmtId="179" fontId="2" fillId="0" borderId="0" xfId="0" applyNumberFormat="1" applyFont="1" applyFill="1" applyAlignment="1">
      <alignment horizontal="right" vertical="center"/>
    </xf>
    <xf numFmtId="179" fontId="2" fillId="0" borderId="0" xfId="0" applyNumberFormat="1" applyFont="1" applyFill="1" applyAlignment="1">
      <alignment horizontal="right" vertical="center" wrapText="1"/>
    </xf>
    <xf numFmtId="0" fontId="2" fillId="0" borderId="0" xfId="0" applyFont="1" applyFill="1" applyAlignment="1">
      <alignment horizontal="right" vertical="center"/>
    </xf>
    <xf numFmtId="180" fontId="2" fillId="0" borderId="0" xfId="0" applyNumberFormat="1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79" fontId="16" fillId="0" borderId="0" xfId="0" applyNumberFormat="1" applyFont="1" applyFill="1" applyAlignment="1">
      <alignment horizontal="center" vertical="center"/>
    </xf>
    <xf numFmtId="179" fontId="16" fillId="0" borderId="0" xfId="0" applyNumberFormat="1" applyFont="1" applyFill="1" applyAlignment="1">
      <alignment horizontal="right" vertical="center"/>
    </xf>
    <xf numFmtId="179" fontId="16" fillId="0" borderId="0" xfId="0" applyNumberFormat="1" applyFont="1" applyFill="1" applyAlignment="1">
      <alignment horizontal="right" vertical="center" wrapText="1"/>
    </xf>
    <xf numFmtId="0" fontId="10" fillId="0" borderId="0" xfId="0" applyFont="1" applyFill="1" applyAlignment="1">
      <alignment horizontal="center" vertical="center"/>
    </xf>
    <xf numFmtId="179" fontId="10" fillId="0" borderId="0" xfId="0" applyNumberFormat="1" applyFont="1" applyFill="1" applyAlignment="1">
      <alignment horizontal="center" vertical="center" wrapText="1"/>
    </xf>
    <xf numFmtId="179" fontId="10" fillId="0" borderId="0" xfId="0" applyNumberFormat="1" applyFont="1" applyFill="1" applyAlignment="1">
      <alignment horizontal="center" vertical="center"/>
    </xf>
    <xf numFmtId="0" fontId="2" fillId="8" borderId="0" xfId="0" applyFont="1" applyFill="1" applyAlignment="1">
      <alignment horizontal="left" vertical="center"/>
    </xf>
    <xf numFmtId="0" fontId="2" fillId="4" borderId="0" xfId="0" applyFont="1" applyFill="1" applyAlignment="1">
      <alignment horizontal="left" vertical="center"/>
    </xf>
    <xf numFmtId="0" fontId="2" fillId="9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right" vertical="center"/>
    </xf>
    <xf numFmtId="0" fontId="2" fillId="5" borderId="0" xfId="0" applyFont="1" applyFill="1" applyAlignment="1">
      <alignment horizontal="left" vertical="center"/>
    </xf>
    <xf numFmtId="179" fontId="2" fillId="5" borderId="0" xfId="0" applyNumberFormat="1" applyFont="1" applyFill="1" applyAlignment="1">
      <alignment horizontal="center" vertical="center"/>
    </xf>
    <xf numFmtId="179" fontId="2" fillId="5" borderId="0" xfId="0" applyNumberFormat="1" applyFont="1" applyFill="1" applyAlignment="1">
      <alignment horizontal="right" vertical="center"/>
    </xf>
    <xf numFmtId="0" fontId="2" fillId="5" borderId="0" xfId="0" applyFont="1" applyFill="1" applyAlignment="1">
      <alignment horizontal="right" vertical="center"/>
    </xf>
    <xf numFmtId="180" fontId="2" fillId="5" borderId="0" xfId="0" applyNumberFormat="1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right" vertical="center"/>
    </xf>
    <xf numFmtId="0" fontId="18" fillId="10" borderId="0" xfId="0" applyFont="1" applyFill="1" applyAlignment="1">
      <alignment horizontal="left" vertical="center"/>
    </xf>
    <xf numFmtId="179" fontId="18" fillId="1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181" fontId="2" fillId="0" borderId="0" xfId="0" applyNumberFormat="1" applyFont="1" applyFill="1" applyAlignment="1">
      <alignment horizontal="right" vertical="center"/>
    </xf>
    <xf numFmtId="181" fontId="2" fillId="11" borderId="0" xfId="0" applyNumberFormat="1" applyFont="1" applyFill="1" applyAlignment="1">
      <alignment horizontal="right" vertical="center"/>
    </xf>
    <xf numFmtId="0" fontId="2" fillId="12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82" fontId="1" fillId="0" borderId="0" xfId="0" applyNumberFormat="1" applyFont="1" applyFill="1" applyBorder="1" applyAlignment="1">
      <alignment vertical="center"/>
    </xf>
    <xf numFmtId="179" fontId="20" fillId="0" borderId="0" xfId="0" applyNumberFormat="1" applyFont="1" applyFill="1" applyBorder="1" applyAlignment="1">
      <alignment horizontal="right" vertical="center"/>
    </xf>
    <xf numFmtId="179" fontId="1" fillId="0" borderId="0" xfId="0" applyNumberFormat="1" applyFont="1" applyFill="1" applyBorder="1" applyAlignment="1">
      <alignment vertical="center"/>
    </xf>
    <xf numFmtId="0" fontId="21" fillId="0" borderId="1" xfId="0" applyFont="1" applyFill="1" applyBorder="1" applyAlignment="1">
      <alignment horizontal="left" vertical="center"/>
    </xf>
    <xf numFmtId="0" fontId="21" fillId="0" borderId="1" xfId="0" applyFont="1" applyFill="1" applyBorder="1" applyAlignment="1">
      <alignment horizontal="right"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left" vertical="center"/>
    </xf>
    <xf numFmtId="0" fontId="21" fillId="0" borderId="6" xfId="0" applyFont="1" applyFill="1" applyBorder="1" applyAlignment="1">
      <alignment horizontal="right" vertical="center"/>
    </xf>
    <xf numFmtId="0" fontId="22" fillId="0" borderId="3" xfId="0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left" vertical="center"/>
    </xf>
    <xf numFmtId="0" fontId="21" fillId="0" borderId="3" xfId="0" applyFont="1" applyFill="1" applyBorder="1" applyAlignment="1">
      <alignment horizontal="left" vertical="center"/>
    </xf>
    <xf numFmtId="14" fontId="21" fillId="0" borderId="3" xfId="0" applyNumberFormat="1" applyFont="1" applyFill="1" applyBorder="1" applyAlignment="1">
      <alignment horizontal="right" vertical="center"/>
    </xf>
    <xf numFmtId="183" fontId="21" fillId="0" borderId="3" xfId="0" applyNumberFormat="1" applyFont="1" applyFill="1" applyBorder="1" applyAlignment="1">
      <alignment horizontal="right" vertical="center"/>
    </xf>
    <xf numFmtId="0" fontId="22" fillId="2" borderId="3" xfId="0" applyFont="1" applyFill="1" applyBorder="1" applyAlignment="1">
      <alignment horizontal="left" vertical="center"/>
    </xf>
    <xf numFmtId="0" fontId="21" fillId="2" borderId="3" xfId="0" applyFont="1" applyFill="1" applyBorder="1" applyAlignment="1">
      <alignment horizontal="left" vertical="center"/>
    </xf>
    <xf numFmtId="14" fontId="21" fillId="2" borderId="3" xfId="0" applyNumberFormat="1" applyFont="1" applyFill="1" applyBorder="1" applyAlignment="1">
      <alignment horizontal="right" vertical="center"/>
    </xf>
    <xf numFmtId="183" fontId="21" fillId="2" borderId="3" xfId="0" applyNumberFormat="1" applyFont="1" applyFill="1" applyBorder="1" applyAlignment="1">
      <alignment horizontal="right" vertical="center"/>
    </xf>
    <xf numFmtId="183" fontId="5" fillId="0" borderId="3" xfId="0" applyNumberFormat="1" applyFont="1" applyFill="1" applyBorder="1" applyAlignment="1">
      <alignment horizontal="right" vertical="center"/>
    </xf>
    <xf numFmtId="183" fontId="5" fillId="2" borderId="3" xfId="0" applyNumberFormat="1" applyFont="1" applyFill="1" applyBorder="1" applyAlignment="1">
      <alignment horizontal="right" vertical="center"/>
    </xf>
    <xf numFmtId="184" fontId="21" fillId="0" borderId="3" xfId="0" applyNumberFormat="1" applyFont="1" applyFill="1" applyBorder="1" applyAlignment="1">
      <alignment horizontal="right" vertical="center"/>
    </xf>
    <xf numFmtId="184" fontId="21" fillId="2" borderId="3" xfId="0" applyNumberFormat="1" applyFont="1" applyFill="1" applyBorder="1" applyAlignment="1">
      <alignment horizontal="right" vertical="center"/>
    </xf>
    <xf numFmtId="184" fontId="5" fillId="0" borderId="3" xfId="0" applyNumberFormat="1" applyFont="1" applyFill="1" applyBorder="1" applyAlignment="1">
      <alignment horizontal="right" vertical="center"/>
    </xf>
    <xf numFmtId="184" fontId="5" fillId="2" borderId="3" xfId="0" applyNumberFormat="1" applyFont="1" applyFill="1" applyBorder="1" applyAlignment="1">
      <alignment horizontal="right" vertical="center"/>
    </xf>
    <xf numFmtId="185" fontId="21" fillId="0" borderId="3" xfId="0" applyNumberFormat="1" applyFont="1" applyFill="1" applyBorder="1" applyAlignment="1">
      <alignment horizontal="right" vertical="center"/>
    </xf>
    <xf numFmtId="186" fontId="21" fillId="0" borderId="3" xfId="0" applyNumberFormat="1" applyFont="1" applyFill="1" applyBorder="1" applyAlignment="1">
      <alignment horizontal="right" vertical="center"/>
    </xf>
    <xf numFmtId="187" fontId="21" fillId="0" borderId="3" xfId="0" applyNumberFormat="1" applyFont="1" applyFill="1" applyBorder="1" applyAlignment="1">
      <alignment horizontal="right" vertical="center"/>
    </xf>
    <xf numFmtId="178" fontId="21" fillId="0" borderId="3" xfId="0" applyNumberFormat="1" applyFont="1" applyFill="1" applyBorder="1" applyAlignment="1">
      <alignment horizontal="right" vertical="center"/>
    </xf>
    <xf numFmtId="185" fontId="21" fillId="2" borderId="3" xfId="0" applyNumberFormat="1" applyFont="1" applyFill="1" applyBorder="1" applyAlignment="1">
      <alignment horizontal="right" vertical="center"/>
    </xf>
    <xf numFmtId="186" fontId="21" fillId="2" borderId="3" xfId="0" applyNumberFormat="1" applyFont="1" applyFill="1" applyBorder="1" applyAlignment="1">
      <alignment horizontal="right" vertical="center"/>
    </xf>
    <xf numFmtId="187" fontId="21" fillId="2" borderId="3" xfId="0" applyNumberFormat="1" applyFont="1" applyFill="1" applyBorder="1" applyAlignment="1">
      <alignment horizontal="right" vertical="center"/>
    </xf>
    <xf numFmtId="178" fontId="21" fillId="2" borderId="3" xfId="0" applyNumberFormat="1" applyFont="1" applyFill="1" applyBorder="1" applyAlignment="1">
      <alignment horizontal="right" vertical="center"/>
    </xf>
    <xf numFmtId="185" fontId="5" fillId="0" borderId="3" xfId="0" applyNumberFormat="1" applyFont="1" applyFill="1" applyBorder="1" applyAlignment="1">
      <alignment horizontal="right" vertical="center"/>
    </xf>
    <xf numFmtId="186" fontId="5" fillId="0" borderId="3" xfId="0" applyNumberFormat="1" applyFont="1" applyFill="1" applyBorder="1" applyAlignment="1">
      <alignment horizontal="right" vertical="center"/>
    </xf>
    <xf numFmtId="187" fontId="5" fillId="0" borderId="3" xfId="0" applyNumberFormat="1" applyFont="1" applyFill="1" applyBorder="1" applyAlignment="1">
      <alignment horizontal="right" vertical="center"/>
    </xf>
    <xf numFmtId="185" fontId="5" fillId="2" borderId="3" xfId="0" applyNumberFormat="1" applyFont="1" applyFill="1" applyBorder="1" applyAlignment="1">
      <alignment horizontal="right" vertical="center"/>
    </xf>
    <xf numFmtId="186" fontId="5" fillId="2" borderId="3" xfId="0" applyNumberFormat="1" applyFont="1" applyFill="1" applyBorder="1" applyAlignment="1">
      <alignment horizontal="right" vertical="center"/>
    </xf>
    <xf numFmtId="187" fontId="5" fillId="2" borderId="3" xfId="0" applyNumberFormat="1" applyFont="1" applyFill="1" applyBorder="1" applyAlignment="1">
      <alignment horizontal="right" vertical="center"/>
    </xf>
    <xf numFmtId="182" fontId="21" fillId="0" borderId="1" xfId="0" applyNumberFormat="1" applyFont="1" applyFill="1" applyBorder="1" applyAlignment="1">
      <alignment horizontal="right" vertical="center"/>
    </xf>
    <xf numFmtId="179" fontId="23" fillId="0" borderId="0" xfId="0" applyNumberFormat="1" applyFont="1" applyFill="1" applyBorder="1" applyAlignment="1">
      <alignment horizontal="center" vertical="center"/>
    </xf>
    <xf numFmtId="188" fontId="24" fillId="13" borderId="7" xfId="0" applyNumberFormat="1" applyFont="1" applyFill="1" applyBorder="1" applyAlignment="1">
      <alignment horizontal="center" vertical="center"/>
    </xf>
    <xf numFmtId="189" fontId="24" fillId="13" borderId="8" xfId="0" applyNumberFormat="1" applyFont="1" applyFill="1" applyBorder="1" applyAlignment="1">
      <alignment horizontal="center" vertical="center"/>
    </xf>
    <xf numFmtId="189" fontId="24" fillId="13" borderId="8" xfId="0" applyNumberFormat="1" applyFont="1" applyFill="1" applyBorder="1" applyAlignment="1">
      <alignment vertical="center"/>
    </xf>
    <xf numFmtId="179" fontId="25" fillId="13" borderId="8" xfId="0" applyNumberFormat="1" applyFont="1" applyFill="1" applyBorder="1" applyAlignment="1">
      <alignment horizontal="center" vertical="center"/>
    </xf>
    <xf numFmtId="182" fontId="21" fillId="0" borderId="6" xfId="0" applyNumberFormat="1" applyFont="1" applyFill="1" applyBorder="1" applyAlignment="1">
      <alignment horizontal="right" vertical="center"/>
    </xf>
    <xf numFmtId="188" fontId="24" fillId="13" borderId="9" xfId="0" applyNumberFormat="1" applyFont="1" applyFill="1" applyBorder="1" applyAlignment="1">
      <alignment horizontal="center" vertical="center"/>
    </xf>
    <xf numFmtId="188" fontId="24" fillId="13" borderId="10" xfId="0" applyNumberFormat="1" applyFont="1" applyFill="1" applyBorder="1" applyAlignment="1">
      <alignment horizontal="center" vertical="center"/>
    </xf>
    <xf numFmtId="189" fontId="24" fillId="13" borderId="10" xfId="0" applyNumberFormat="1" applyFont="1" applyFill="1" applyBorder="1" applyAlignment="1">
      <alignment horizontal="center" vertical="center"/>
    </xf>
    <xf numFmtId="179" fontId="24" fillId="13" borderId="10" xfId="0" applyNumberFormat="1" applyFont="1" applyFill="1" applyBorder="1" applyAlignment="1">
      <alignment horizontal="center" vertical="center"/>
    </xf>
    <xf numFmtId="182" fontId="21" fillId="0" borderId="3" xfId="0" applyNumberFormat="1" applyFont="1" applyFill="1" applyBorder="1" applyAlignment="1">
      <alignment horizontal="right" vertical="center"/>
    </xf>
    <xf numFmtId="179" fontId="24" fillId="13" borderId="11" xfId="0" applyNumberFormat="1" applyFont="1" applyFill="1" applyBorder="1" applyAlignment="1">
      <alignment vertical="center"/>
    </xf>
    <xf numFmtId="0" fontId="21" fillId="2" borderId="1" xfId="0" applyFont="1" applyFill="1" applyBorder="1" applyAlignment="1">
      <alignment horizontal="right" vertical="center"/>
    </xf>
    <xf numFmtId="182" fontId="21" fillId="2" borderId="3" xfId="0" applyNumberFormat="1" applyFont="1" applyFill="1" applyBorder="1" applyAlignment="1">
      <alignment horizontal="right" vertical="center"/>
    </xf>
    <xf numFmtId="179" fontId="1" fillId="0" borderId="0" xfId="0" applyNumberFormat="1" applyFont="1" applyFill="1" applyBorder="1" applyAlignment="1">
      <alignment horizontal="center" vertical="center"/>
    </xf>
    <xf numFmtId="179" fontId="20" fillId="0" borderId="0" xfId="0" applyNumberFormat="1" applyFont="1" applyFill="1" applyBorder="1" applyAlignment="1">
      <alignment vertical="center"/>
    </xf>
    <xf numFmtId="0" fontId="26" fillId="0" borderId="1" xfId="0" applyFont="1" applyFill="1" applyBorder="1" applyAlignment="1">
      <alignment horizontal="right" vertical="center"/>
    </xf>
    <xf numFmtId="0" fontId="26" fillId="2" borderId="1" xfId="0" applyFont="1" applyFill="1" applyBorder="1" applyAlignment="1">
      <alignment horizontal="right" vertical="center"/>
    </xf>
    <xf numFmtId="179" fontId="24" fillId="13" borderId="8" xfId="0" applyNumberFormat="1" applyFont="1" applyFill="1" applyBorder="1" applyAlignment="1">
      <alignment horizontal="center" vertical="center"/>
    </xf>
    <xf numFmtId="179" fontId="24" fillId="13" borderId="12" xfId="0" applyNumberFormat="1" applyFont="1" applyFill="1" applyBorder="1" applyAlignment="1">
      <alignment horizontal="center" vertical="center"/>
    </xf>
    <xf numFmtId="190" fontId="25" fillId="14" borderId="0" xfId="0" applyNumberFormat="1" applyFont="1" applyFill="1" applyBorder="1" applyAlignment="1">
      <alignment horizontal="center" vertical="center"/>
    </xf>
    <xf numFmtId="190" fontId="24" fillId="14" borderId="0" xfId="0" applyNumberFormat="1" applyFont="1" applyFill="1" applyBorder="1" applyAlignment="1">
      <alignment horizontal="center" vertical="center"/>
    </xf>
    <xf numFmtId="179" fontId="24" fillId="13" borderId="13" xfId="0" applyNumberFormat="1" applyFont="1" applyFill="1" applyBorder="1" applyAlignment="1">
      <alignment horizontal="center" vertical="center"/>
    </xf>
    <xf numFmtId="179" fontId="24" fillId="14" borderId="0" xfId="0" applyNumberFormat="1" applyFont="1" applyFill="1" applyBorder="1" applyAlignment="1">
      <alignment horizontal="center" vertical="center"/>
    </xf>
    <xf numFmtId="179" fontId="20" fillId="13" borderId="11" xfId="0" applyNumberFormat="1" applyFont="1" applyFill="1" applyBorder="1" applyAlignment="1">
      <alignment vertical="center"/>
    </xf>
    <xf numFmtId="179" fontId="21" fillId="0" borderId="0" xfId="0" applyNumberFormat="1" applyFont="1" applyFill="1" applyBorder="1" applyAlignment="1">
      <alignment vertical="center"/>
    </xf>
    <xf numFmtId="0" fontId="21" fillId="0" borderId="6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0"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6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colors>
    <mruColors>
      <color rgb="0000FF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1" Type="http://schemas.openxmlformats.org/officeDocument/2006/relationships/styles" Target="styles.xml"/><Relationship Id="rId40" Type="http://schemas.openxmlformats.org/officeDocument/2006/relationships/sheetMetadata" Target="metadata.xml"/><Relationship Id="rId4" Type="http://schemas.openxmlformats.org/officeDocument/2006/relationships/worksheet" Target="worksheets/sheet4.xml"/><Relationship Id="rId39" Type="http://schemas.openxmlformats.org/officeDocument/2006/relationships/sharedStrings" Target="sharedStrings.xml"/><Relationship Id="rId38" Type="http://schemas.openxmlformats.org/officeDocument/2006/relationships/theme" Target="theme/theme1.xml"/><Relationship Id="rId37" Type="http://schemas.openxmlformats.org/officeDocument/2006/relationships/externalLink" Target="externalLinks/externalLink5.xml"/><Relationship Id="rId36" Type="http://schemas.openxmlformats.org/officeDocument/2006/relationships/externalLink" Target="externalLinks/externalLink4.xml"/><Relationship Id="rId35" Type="http://schemas.openxmlformats.org/officeDocument/2006/relationships/externalLink" Target="externalLinks/externalLink3.xml"/><Relationship Id="rId34" Type="http://schemas.openxmlformats.org/officeDocument/2006/relationships/externalLink" Target="externalLinks/externalLink2.xml"/><Relationship Id="rId33" Type="http://schemas.openxmlformats.org/officeDocument/2006/relationships/externalLink" Target="externalLinks/externalLink1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AppData\Local\Temp\Shell\tmp99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AppData\Local\Temp\Shell\tmp13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AppData\Local\Temp\Shell\tmp97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ackup\Documents\WXWork\1688851262555430\Cache\File\2025-10\2025&#24180;4&#26376;&#20184;&#27454;&#35745;&#21010;(1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ackup\Documents\WXWork\1688851262555430\Cache\File\2025-05\&#21457;&#27873;&#29289;&#26009;&#20379;&#24212;&#21830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搜索条件"/>
      <sheetName val="信息"/>
    </sheetNames>
    <sheetDataSet>
      <sheetData sheetId="0">
        <row r="1">
          <cell r="D1" t="str">
            <v>单位/个人</v>
          </cell>
        </row>
        <row r="2">
          <cell r="D2" t="str">
            <v>安徽汉升工业部件股份有限公司</v>
          </cell>
        </row>
        <row r="2">
          <cell r="O2">
            <v>10750.82</v>
          </cell>
        </row>
        <row r="3">
          <cell r="D3" t="str">
            <v>吉林省德邦汽车电子有限公司</v>
          </cell>
        </row>
        <row r="3">
          <cell r="O3">
            <v>301598.94</v>
          </cell>
        </row>
        <row r="4">
          <cell r="D4" t="str">
            <v>吉林省方舟电子科技有限公司</v>
          </cell>
        </row>
        <row r="4">
          <cell r="O4">
            <v>795117.72</v>
          </cell>
        </row>
        <row r="5">
          <cell r="D5" t="str">
            <v>北京光华荣昌汽车部件有限公司</v>
          </cell>
        </row>
        <row r="5">
          <cell r="O5">
            <v>11191782.44</v>
          </cell>
        </row>
        <row r="6">
          <cell r="D6" t="str">
            <v>长春富维安道拓汽车金属零部件</v>
          </cell>
        </row>
        <row r="6">
          <cell r="O6">
            <v>534393.68</v>
          </cell>
        </row>
        <row r="7">
          <cell r="D7" t="str">
            <v>长沙浩睿精密机械有限公司</v>
          </cell>
        </row>
        <row r="7">
          <cell r="O7">
            <v>0</v>
          </cell>
        </row>
        <row r="8">
          <cell r="D8" t="str">
            <v>惠州市唐群座椅科技股份有限公</v>
          </cell>
        </row>
        <row r="8">
          <cell r="O8">
            <v>-46646.4</v>
          </cell>
        </row>
        <row r="9">
          <cell r="D9" t="str">
            <v>黄骅市雍丰塑料制品有限公司</v>
          </cell>
        </row>
        <row r="9">
          <cell r="O9">
            <v>460906.1</v>
          </cell>
        </row>
        <row r="10">
          <cell r="D10" t="str">
            <v>北京兴达恒源商贸有限公司</v>
          </cell>
        </row>
        <row r="10">
          <cell r="O10">
            <v>0</v>
          </cell>
        </row>
        <row r="11">
          <cell r="D11" t="str">
            <v>株洲美佳机械实业有限公司</v>
          </cell>
        </row>
        <row r="11">
          <cell r="O11">
            <v>1508.81</v>
          </cell>
        </row>
        <row r="12">
          <cell r="D12" t="str">
            <v>上海江川国际贸易有限公司</v>
          </cell>
        </row>
        <row r="12">
          <cell r="O12">
            <v>19684</v>
          </cell>
        </row>
        <row r="13">
          <cell r="D13" t="str">
            <v>江苏忠明祥和精工股份有限公司</v>
          </cell>
        </row>
        <row r="13">
          <cell r="O13">
            <v>92265.63</v>
          </cell>
        </row>
        <row r="14">
          <cell r="D14" t="str">
            <v>芜湖海川汽车部件有限公司</v>
          </cell>
        </row>
        <row r="14">
          <cell r="O14">
            <v>23.19</v>
          </cell>
        </row>
        <row r="15">
          <cell r="D15" t="str">
            <v>张家港保税区得英达利化工材料</v>
          </cell>
        </row>
        <row r="15">
          <cell r="O15">
            <v>5878.26</v>
          </cell>
        </row>
        <row r="16">
          <cell r="D16" t="str">
            <v>昆山佰益通仓储设备有限公司</v>
          </cell>
        </row>
        <row r="16">
          <cell r="O16">
            <v>0</v>
          </cell>
        </row>
        <row r="17">
          <cell r="D17" t="str">
            <v>浙江光安标准件有限公司</v>
          </cell>
        </row>
        <row r="17">
          <cell r="O17">
            <v>0</v>
          </cell>
        </row>
        <row r="18">
          <cell r="D18" t="str">
            <v>合肥都维自动给料设备有限公司</v>
          </cell>
        </row>
        <row r="18">
          <cell r="O18">
            <v>65450</v>
          </cell>
        </row>
        <row r="19">
          <cell r="D19" t="str">
            <v>安徽楚江特钢有限公司</v>
          </cell>
        </row>
        <row r="19">
          <cell r="O19">
            <v>0</v>
          </cell>
        </row>
        <row r="20">
          <cell r="D20" t="str">
            <v>江西昌兴汽车配件有限公司</v>
          </cell>
        </row>
        <row r="20">
          <cell r="O20">
            <v>61614.37</v>
          </cell>
        </row>
        <row r="21">
          <cell r="D21" t="str">
            <v>江西省仁义航空机械加工有限公</v>
          </cell>
        </row>
        <row r="21">
          <cell r="O21">
            <v>0</v>
          </cell>
        </row>
        <row r="22">
          <cell r="D22" t="str">
            <v>景德镇市乾立运输有限公司</v>
          </cell>
        </row>
        <row r="22">
          <cell r="O22">
            <v>403596.61</v>
          </cell>
        </row>
        <row r="23">
          <cell r="D23" t="str">
            <v>景德镇市骏达汽车零部件有限公</v>
          </cell>
        </row>
        <row r="23">
          <cell r="O23">
            <v>0</v>
          </cell>
        </row>
        <row r="24">
          <cell r="D24" t="str">
            <v>景德镇市劲元汽车配件有限公司</v>
          </cell>
        </row>
        <row r="24">
          <cell r="O24">
            <v>474</v>
          </cell>
        </row>
        <row r="25">
          <cell r="D25" t="str">
            <v>景德镇市凯达汽车配件有限公司</v>
          </cell>
        </row>
        <row r="25">
          <cell r="O25">
            <v>572439</v>
          </cell>
        </row>
        <row r="26">
          <cell r="D26" t="str">
            <v>江西国匠汽车部件有限公司</v>
          </cell>
        </row>
        <row r="26">
          <cell r="O26">
            <v>0</v>
          </cell>
        </row>
        <row r="27">
          <cell r="D27" t="str">
            <v>武汉德锐隆科技有限公司</v>
          </cell>
        </row>
        <row r="27">
          <cell r="O27">
            <v>384533.47</v>
          </cell>
        </row>
        <row r="28">
          <cell r="D28" t="str">
            <v>湖南金能安全科技有限责任公司</v>
          </cell>
        </row>
        <row r="28">
          <cell r="O28">
            <v>13000</v>
          </cell>
        </row>
        <row r="29">
          <cell r="D29" t="str">
            <v>湖南鑫起人力资源管理有限公司</v>
          </cell>
        </row>
        <row r="29">
          <cell r="O29">
            <v>0</v>
          </cell>
        </row>
        <row r="30">
          <cell r="D30" t="str">
            <v>湖南天平正大有限责任会计事务</v>
          </cell>
        </row>
        <row r="30">
          <cell r="O30">
            <v>0</v>
          </cell>
        </row>
        <row r="31">
          <cell r="D31" t="str">
            <v>株洲飞马橡胶实业有限公司</v>
          </cell>
        </row>
        <row r="31">
          <cell r="O31">
            <v>117.55</v>
          </cell>
        </row>
        <row r="32">
          <cell r="D32" t="str">
            <v>株洲博雅实业有限公司</v>
          </cell>
        </row>
        <row r="32">
          <cell r="O32">
            <v>0</v>
          </cell>
        </row>
        <row r="33">
          <cell r="D33" t="str">
            <v>长沙市自翔机械有限公司</v>
          </cell>
        </row>
        <row r="33">
          <cell r="O33">
            <v>32648.8</v>
          </cell>
        </row>
        <row r="34">
          <cell r="D34" t="str">
            <v>株洲县德鲲物流有限责任公司</v>
          </cell>
        </row>
        <row r="34">
          <cell r="O34">
            <v>0</v>
          </cell>
        </row>
        <row r="35">
          <cell r="D35" t="str">
            <v>株洲博锐服装辅料有限公司</v>
          </cell>
        </row>
        <row r="35">
          <cell r="O35">
            <v>10486.2</v>
          </cell>
        </row>
        <row r="36">
          <cell r="D36" t="str">
            <v>长沙晶丰轻钢结构工程有限公司</v>
          </cell>
        </row>
        <row r="36">
          <cell r="O36">
            <v>3730</v>
          </cell>
        </row>
        <row r="37">
          <cell r="D37" t="str">
            <v>株洲国铁实业有限公司</v>
          </cell>
        </row>
        <row r="37">
          <cell r="O37">
            <v>0</v>
          </cell>
        </row>
        <row r="38">
          <cell r="D38" t="str">
            <v>湘潭湘和汽车零部件制造有限公</v>
          </cell>
        </row>
        <row r="38">
          <cell r="O38">
            <v>2775259.37</v>
          </cell>
        </row>
        <row r="39">
          <cell r="D39" t="str">
            <v>湖南中道机械设备有限公司</v>
          </cell>
        </row>
        <row r="39">
          <cell r="O39">
            <v>3794380.21</v>
          </cell>
        </row>
        <row r="40">
          <cell r="D40" t="str">
            <v>株洲久润物资贸易有限公司</v>
          </cell>
        </row>
        <row r="40">
          <cell r="O40">
            <v>0</v>
          </cell>
        </row>
        <row r="41">
          <cell r="D41" t="str">
            <v/>
          </cell>
        </row>
        <row r="41">
          <cell r="O41">
            <v>0</v>
          </cell>
        </row>
        <row r="42">
          <cell r="D42" t="str">
            <v>北京浦东三浦标准件有限公司</v>
          </cell>
        </row>
        <row r="42">
          <cell r="O42">
            <v>0</v>
          </cell>
        </row>
        <row r="43">
          <cell r="D43" t="str">
            <v>北京市橡塑减震器材厂</v>
          </cell>
        </row>
        <row r="43">
          <cell r="O43">
            <v>80.3</v>
          </cell>
        </row>
        <row r="44">
          <cell r="D44" t="str">
            <v>北京瑞隆祥模具有限公司</v>
          </cell>
        </row>
        <row r="44">
          <cell r="O44">
            <v>0</v>
          </cell>
        </row>
        <row r="45">
          <cell r="D45" t="str">
            <v>北京盛奥金华包装有限公司</v>
          </cell>
        </row>
        <row r="45">
          <cell r="O45">
            <v>0</v>
          </cell>
        </row>
        <row r="46">
          <cell r="D46" t="str">
            <v>湖南松柏模具有限公司</v>
          </cell>
        </row>
        <row r="46">
          <cell r="O46">
            <v>23367.17</v>
          </cell>
        </row>
        <row r="47">
          <cell r="D47" t="str">
            <v>北京德实汽车饰件有限公司</v>
          </cell>
        </row>
        <row r="47">
          <cell r="O47">
            <v>9685.4</v>
          </cell>
        </row>
        <row r="48">
          <cell r="D48" t="str">
            <v>天津琪安科技有限公司</v>
          </cell>
        </row>
        <row r="48">
          <cell r="O48">
            <v>403937.07</v>
          </cell>
        </row>
        <row r="49">
          <cell r="D49" t="str">
            <v>黄骅市广亿汽车部件有限公司</v>
          </cell>
        </row>
        <row r="49">
          <cell r="O49">
            <v>171409.01</v>
          </cell>
        </row>
        <row r="50">
          <cell r="D50" t="str">
            <v>河北安闻汽车零部件有限公司</v>
          </cell>
        </row>
        <row r="50">
          <cell r="O50">
            <v>0</v>
          </cell>
        </row>
        <row r="51">
          <cell r="D51" t="str">
            <v>霸州市自强汽车零部件厂</v>
          </cell>
        </row>
        <row r="51">
          <cell r="O51">
            <v>69000.6</v>
          </cell>
        </row>
        <row r="52">
          <cell r="D52" t="str">
            <v>海兴中盛弹簧有限公司</v>
          </cell>
        </row>
        <row r="52">
          <cell r="O52">
            <v>16490.64</v>
          </cell>
        </row>
        <row r="53">
          <cell r="D53" t="str">
            <v>河北新强力机械制造有限公司</v>
          </cell>
        </row>
        <row r="53">
          <cell r="O53">
            <v>0</v>
          </cell>
        </row>
        <row r="54">
          <cell r="D54" t="str">
            <v>黄骅市鑫昌五金制品厂</v>
          </cell>
        </row>
        <row r="54">
          <cell r="O54">
            <v>0</v>
          </cell>
        </row>
        <row r="55">
          <cell r="D55" t="str">
            <v>河北光华荣昌汽车部件有限公司</v>
          </cell>
        </row>
        <row r="55">
          <cell r="O55">
            <v>29061319.46</v>
          </cell>
        </row>
        <row r="56">
          <cell r="D56" t="str">
            <v>潍坊光华荣昌汽车技术有限公司</v>
          </cell>
        </row>
        <row r="56">
          <cell r="O56">
            <v>0</v>
          </cell>
        </row>
        <row r="57">
          <cell r="D57" t="str">
            <v>河北岳钢数控设备有限公司</v>
          </cell>
        </row>
        <row r="57">
          <cell r="O57">
            <v>0</v>
          </cell>
        </row>
        <row r="58">
          <cell r="D58" t="str">
            <v>湖南裕腾兴汽车配件有限公司</v>
          </cell>
        </row>
        <row r="58">
          <cell r="O58">
            <v>232164.57</v>
          </cell>
        </row>
        <row r="59">
          <cell r="D59" t="str">
            <v>广东佰匠模具科技有限公司</v>
          </cell>
        </row>
        <row r="59">
          <cell r="O59">
            <v>-27216</v>
          </cell>
        </row>
        <row r="60">
          <cell r="D60" t="str">
            <v>上海衡驰化工有限公司</v>
          </cell>
        </row>
        <row r="60">
          <cell r="O60">
            <v>0</v>
          </cell>
        </row>
        <row r="61">
          <cell r="D61" t="str">
            <v>胜华波汽车电器（滁州）有限公</v>
          </cell>
        </row>
        <row r="61">
          <cell r="O61">
            <v>-22780.8</v>
          </cell>
        </row>
        <row r="62">
          <cell r="D62" t="str">
            <v>株洲诚康实业有限责任公司</v>
          </cell>
        </row>
        <row r="62">
          <cell r="O62">
            <v>19212.65</v>
          </cell>
        </row>
        <row r="63">
          <cell r="D63" t="str">
            <v>湖南奥瑞格工贸有限公司</v>
          </cell>
        </row>
        <row r="63">
          <cell r="O63">
            <v>28728</v>
          </cell>
        </row>
        <row r="64">
          <cell r="D64" t="str">
            <v>湖南博恒机械设备有限公司</v>
          </cell>
        </row>
        <row r="64">
          <cell r="O64">
            <v>0</v>
          </cell>
        </row>
        <row r="65">
          <cell r="D65" t="str">
            <v>湖南鸿骏机电有限公司</v>
          </cell>
        </row>
        <row r="65">
          <cell r="O65">
            <v>0</v>
          </cell>
        </row>
        <row r="66">
          <cell r="D66" t="str">
            <v>十堰市盈旭工贸有限公司</v>
          </cell>
        </row>
        <row r="66">
          <cell r="O66">
            <v>14278.43</v>
          </cell>
        </row>
        <row r="67">
          <cell r="D67" t="str">
            <v>湖南兴天宏实业有限公司</v>
          </cell>
        </row>
        <row r="67">
          <cell r="O67">
            <v>90106.85</v>
          </cell>
        </row>
        <row r="68">
          <cell r="D68" t="str">
            <v>武汉金悦力化工科技有限公司</v>
          </cell>
        </row>
        <row r="68">
          <cell r="O68">
            <v>0</v>
          </cell>
        </row>
        <row r="69">
          <cell r="D69" t="str">
            <v>湖南诚俊自动化科技有限公司</v>
          </cell>
        </row>
        <row r="69">
          <cell r="O69">
            <v>20</v>
          </cell>
        </row>
        <row r="70">
          <cell r="D70" t="str">
            <v>山东鼎昌智能科技有限公司</v>
          </cell>
        </row>
        <row r="70">
          <cell r="O70">
            <v>38188.24</v>
          </cell>
        </row>
        <row r="71">
          <cell r="D71" t="str">
            <v>潍坊鑫腾物流有限公司</v>
          </cell>
        </row>
        <row r="71">
          <cell r="O71">
            <v>0</v>
          </cell>
        </row>
        <row r="72">
          <cell r="D72" t="str">
            <v>湖南容正环保科技有限公司</v>
          </cell>
        </row>
        <row r="72">
          <cell r="O72">
            <v>0</v>
          </cell>
        </row>
        <row r="73">
          <cell r="D73" t="str">
            <v>湖南道同生态环境科技有限公司</v>
          </cell>
        </row>
        <row r="73">
          <cell r="O73">
            <v>0</v>
          </cell>
        </row>
        <row r="74">
          <cell r="D74" t="str">
            <v>广州可卓材料科技有限公司</v>
          </cell>
        </row>
        <row r="74">
          <cell r="O74">
            <v>0</v>
          </cell>
        </row>
        <row r="75">
          <cell r="D75" t="str">
            <v>株洲市华龙特种气体有限公司</v>
          </cell>
        </row>
        <row r="75">
          <cell r="O75">
            <v>0</v>
          </cell>
        </row>
        <row r="76">
          <cell r="D76" t="str">
            <v>湖南金远东汽车部件有限公司</v>
          </cell>
        </row>
        <row r="76">
          <cell r="O76">
            <v>0</v>
          </cell>
        </row>
        <row r="77">
          <cell r="D77" t="str">
            <v>汇阅（上海）新材料科技有限公</v>
          </cell>
        </row>
        <row r="77">
          <cell r="O77">
            <v>983536.47</v>
          </cell>
        </row>
        <row r="78">
          <cell r="D78" t="str">
            <v>株洲和元智能科技有限公司</v>
          </cell>
        </row>
        <row r="78">
          <cell r="O78">
            <v>0</v>
          </cell>
        </row>
        <row r="79">
          <cell r="D79" t="str">
            <v>无锡市康尼化工有限公司</v>
          </cell>
        </row>
        <row r="79">
          <cell r="O79">
            <v>0</v>
          </cell>
        </row>
        <row r="80">
          <cell r="D80" t="str">
            <v>山东锐王工业科技有限公司</v>
          </cell>
        </row>
        <row r="80">
          <cell r="O80">
            <v>0</v>
          </cell>
        </row>
        <row r="81">
          <cell r="D81" t="str">
            <v>上海凯密克新材料有限公司</v>
          </cell>
        </row>
        <row r="81">
          <cell r="O81">
            <v>0</v>
          </cell>
        </row>
        <row r="82">
          <cell r="D82" t="str">
            <v>常州立天汽车零部件有限公司</v>
          </cell>
        </row>
        <row r="82">
          <cell r="O82">
            <v>31814.02</v>
          </cell>
        </row>
        <row r="83">
          <cell r="D83" t="str">
            <v>台州市黄岩增益模塑有限公司</v>
          </cell>
        </row>
        <row r="83">
          <cell r="O83">
            <v>2927</v>
          </cell>
        </row>
        <row r="84">
          <cell r="D84" t="str">
            <v>河北莫特美橡塑科技有限公司</v>
          </cell>
        </row>
        <row r="84">
          <cell r="O84">
            <v>79817.67</v>
          </cell>
        </row>
        <row r="85">
          <cell r="D85" t="str">
            <v>长沙享鑫机械有限公司</v>
          </cell>
        </row>
        <row r="85">
          <cell r="O85">
            <v>0</v>
          </cell>
        </row>
        <row r="86">
          <cell r="D86" t="str">
            <v>北京美好生活家居用品有限公司</v>
          </cell>
        </row>
        <row r="86">
          <cell r="O86">
            <v>143468.88</v>
          </cell>
        </row>
        <row r="87">
          <cell r="D87" t="str">
            <v>天津力登维汽车部件有限公司</v>
          </cell>
        </row>
        <row r="87">
          <cell r="O87">
            <v>119235.69</v>
          </cell>
        </row>
        <row r="88">
          <cell r="D88" t="str">
            <v>天津鑫淼塑料制品有限公司</v>
          </cell>
        </row>
        <row r="88">
          <cell r="O88">
            <v>140518</v>
          </cell>
        </row>
        <row r="89">
          <cell r="D89" t="str">
            <v>沧州宇诺五金制造有限公司</v>
          </cell>
        </row>
        <row r="89">
          <cell r="O89">
            <v>29590.85</v>
          </cell>
        </row>
        <row r="90">
          <cell r="D90" t="str">
            <v>泊头市捷润五金制品有限公司</v>
          </cell>
        </row>
        <row r="90">
          <cell r="O90">
            <v>0</v>
          </cell>
        </row>
        <row r="91">
          <cell r="D91" t="str">
            <v>霸州市政锦五金制品有限公司</v>
          </cell>
        </row>
        <row r="91">
          <cell r="O91">
            <v>4135.8</v>
          </cell>
        </row>
        <row r="92">
          <cell r="D92" t="str">
            <v>河北方基恒达汽车部件有限公司</v>
          </cell>
        </row>
        <row r="92">
          <cell r="O92">
            <v>24590.72</v>
          </cell>
        </row>
        <row r="93">
          <cell r="D93" t="str">
            <v>清河县沁园汽车零部件有限公司</v>
          </cell>
        </row>
        <row r="93">
          <cell r="O93">
            <v>29587.92</v>
          </cell>
        </row>
        <row r="94">
          <cell r="D94" t="str">
            <v>霸州市汇行汽车零部件有限公司</v>
          </cell>
        </row>
        <row r="94">
          <cell r="O94">
            <v>0</v>
          </cell>
        </row>
        <row r="95">
          <cell r="D95" t="str">
            <v>新梦顶（上海）贸易有限公司</v>
          </cell>
        </row>
        <row r="95">
          <cell r="O95">
            <v>3245.36</v>
          </cell>
        </row>
        <row r="96">
          <cell r="D96" t="str">
            <v>上海绽奇汽车部件有限公司</v>
          </cell>
        </row>
        <row r="96">
          <cell r="O96">
            <v>0</v>
          </cell>
        </row>
        <row r="97">
          <cell r="D97" t="str">
            <v>俱泰(上海)汽车零部件有限公司</v>
          </cell>
        </row>
        <row r="97">
          <cell r="O97">
            <v>40135.34</v>
          </cell>
        </row>
        <row r="98">
          <cell r="D98" t="str">
            <v>江苏万金汽车零部件制造有限公</v>
          </cell>
        </row>
        <row r="98">
          <cell r="O98">
            <v>51058.12</v>
          </cell>
        </row>
        <row r="99">
          <cell r="D99" t="str">
            <v>江苏凌派通信科技有限公司</v>
          </cell>
        </row>
        <row r="99">
          <cell r="O99">
            <v>3305.25</v>
          </cell>
        </row>
        <row r="100">
          <cell r="D100" t="str">
            <v>徐州睿轴琦机械设备有限公司</v>
          </cell>
        </row>
        <row r="100">
          <cell r="O100">
            <v>0</v>
          </cell>
        </row>
        <row r="101">
          <cell r="D101" t="str">
            <v>无锡市奇胜五金制品有限公司</v>
          </cell>
        </row>
        <row r="101">
          <cell r="O101">
            <v>7000</v>
          </cell>
        </row>
        <row r="102">
          <cell r="D102" t="str">
            <v>昆山吉山会津塑料工业股份有限</v>
          </cell>
        </row>
        <row r="102">
          <cell r="O102">
            <v>5720.63</v>
          </cell>
        </row>
        <row r="103">
          <cell r="D103" t="str">
            <v>无锡中天汽车部件有限公司</v>
          </cell>
        </row>
        <row r="103">
          <cell r="O103">
            <v>7760.42</v>
          </cell>
        </row>
        <row r="104">
          <cell r="D104" t="str">
            <v>维克罗（中国）搭扣系统有限公</v>
          </cell>
        </row>
        <row r="104">
          <cell r="O104">
            <v>4069.44</v>
          </cell>
        </row>
        <row r="105">
          <cell r="D105" t="str">
            <v>慈溪市维克多自控元件有限公司</v>
          </cell>
        </row>
        <row r="105">
          <cell r="O105">
            <v>34880</v>
          </cell>
        </row>
        <row r="106">
          <cell r="D106" t="str">
            <v>芜湖市卓人汽车配件有限责任公</v>
          </cell>
        </row>
        <row r="106">
          <cell r="O106">
            <v>-1039.6</v>
          </cell>
        </row>
        <row r="107">
          <cell r="D107" t="str">
            <v>江西北汽海纳川星徽汽车部件有</v>
          </cell>
        </row>
        <row r="107">
          <cell r="O107">
            <v>0</v>
          </cell>
        </row>
        <row r="108">
          <cell r="D108" t="str">
            <v>山东金达汽车部件制造股份有限</v>
          </cell>
        </row>
        <row r="108">
          <cell r="O108">
            <v>0</v>
          </cell>
        </row>
        <row r="109">
          <cell r="D109" t="str">
            <v>广州市三泰汽车内饰材料有限公</v>
          </cell>
        </row>
        <row r="109">
          <cell r="O109">
            <v>28170.9</v>
          </cell>
        </row>
        <row r="110">
          <cell r="D110" t="str">
            <v>广州自强汽车零部件有限公司</v>
          </cell>
        </row>
        <row r="110">
          <cell r="O110">
            <v>55019.85</v>
          </cell>
        </row>
        <row r="111">
          <cell r="D111" t="str">
            <v>重庆厚元汽车配件有限公司</v>
          </cell>
        </row>
        <row r="111">
          <cell r="O111">
            <v>183523.86</v>
          </cell>
        </row>
        <row r="112">
          <cell r="D112" t="str">
            <v>重庆品高弹簧有限公司</v>
          </cell>
        </row>
        <row r="112">
          <cell r="O112">
            <v>120063.06</v>
          </cell>
        </row>
        <row r="113">
          <cell r="D113" t="str">
            <v>东莞市博仪自动化科技有限公司</v>
          </cell>
        </row>
        <row r="113">
          <cell r="O113">
            <v>0</v>
          </cell>
        </row>
        <row r="114">
          <cell r="D114" t="str">
            <v>湘潭市得力焊材有限公司</v>
          </cell>
        </row>
        <row r="114">
          <cell r="O114">
            <v>0</v>
          </cell>
        </row>
        <row r="115">
          <cell r="D115" t="str">
            <v>湘潭市忠强气体有限公司</v>
          </cell>
        </row>
        <row r="115">
          <cell r="O115">
            <v>32371.63</v>
          </cell>
        </row>
        <row r="116">
          <cell r="D116" t="str">
            <v>湖南驷马机械有限公司</v>
          </cell>
        </row>
        <row r="116">
          <cell r="O116">
            <v>50125</v>
          </cell>
        </row>
        <row r="117">
          <cell r="D117" t="str">
            <v>株洲市华霖机电有限公司</v>
          </cell>
        </row>
        <row r="117">
          <cell r="O117">
            <v>3629.95</v>
          </cell>
        </row>
        <row r="118">
          <cell r="D118" t="str">
            <v>湖南瑞安汽车零部件有限公司</v>
          </cell>
        </row>
        <row r="118">
          <cell r="O118">
            <v>0</v>
          </cell>
        </row>
        <row r="119">
          <cell r="D119" t="str">
            <v>株洲江淮叉车有限公司</v>
          </cell>
        </row>
        <row r="119">
          <cell r="O119">
            <v>949</v>
          </cell>
        </row>
        <row r="120">
          <cell r="D120" t="str">
            <v>株洲恒博工贸有限公司</v>
          </cell>
        </row>
        <row r="120">
          <cell r="O120">
            <v>0</v>
          </cell>
        </row>
        <row r="121">
          <cell r="D121" t="str">
            <v>湖南易兹自动化有限公司</v>
          </cell>
        </row>
        <row r="121">
          <cell r="O121">
            <v>0</v>
          </cell>
        </row>
        <row r="122">
          <cell r="D122" t="str">
            <v>湘潭众冠五金有限公司</v>
          </cell>
        </row>
        <row r="122">
          <cell r="O122">
            <v>497.5</v>
          </cell>
        </row>
        <row r="123">
          <cell r="D123" t="str">
            <v>广州吉中汽车内饰系统有限公司</v>
          </cell>
        </row>
        <row r="123">
          <cell r="O123">
            <v>2621.52</v>
          </cell>
        </row>
        <row r="124">
          <cell r="D124" t="str">
            <v>广州松兴电气股份有限公司</v>
          </cell>
        </row>
        <row r="124">
          <cell r="O124">
            <v>54943.1</v>
          </cell>
        </row>
        <row r="125">
          <cell r="D125" t="str">
            <v>江门东科化工有限公司</v>
          </cell>
        </row>
        <row r="125">
          <cell r="O125">
            <v>0</v>
          </cell>
        </row>
        <row r="126">
          <cell r="D126" t="str">
            <v>深圳市和和机械有限公司</v>
          </cell>
        </row>
        <row r="126">
          <cell r="O126">
            <v>0</v>
          </cell>
        </row>
        <row r="127">
          <cell r="D127" t="str">
            <v>广州市耐迪涂料有限公司</v>
          </cell>
        </row>
        <row r="127">
          <cell r="O127">
            <v>760</v>
          </cell>
        </row>
        <row r="128">
          <cell r="D128" t="str">
            <v>佛山市顺德区勒流华通机电设备</v>
          </cell>
        </row>
        <row r="128">
          <cell r="O128">
            <v>0</v>
          </cell>
        </row>
        <row r="129">
          <cell r="D129" t="str">
            <v>广州市信征汽车零件有限公司</v>
          </cell>
        </row>
        <row r="129">
          <cell r="O129">
            <v>435702.11</v>
          </cell>
        </row>
        <row r="130">
          <cell r="D130" t="str">
            <v>重庆幻速汽车配件有限公司</v>
          </cell>
        </row>
        <row r="130">
          <cell r="O130">
            <v>15050.16</v>
          </cell>
        </row>
        <row r="131">
          <cell r="D131" t="str">
            <v>重庆聚贤汽车零部件制造有限公</v>
          </cell>
        </row>
        <row r="131">
          <cell r="O131">
            <v>0</v>
          </cell>
        </row>
        <row r="132">
          <cell r="D132" t="str">
            <v>浙江维日托自动化科技有限公司</v>
          </cell>
        </row>
        <row r="132">
          <cell r="O132">
            <v>0</v>
          </cell>
        </row>
        <row r="133">
          <cell r="D133" t="str">
            <v>广州熙锐自动化设备有限公司</v>
          </cell>
        </row>
        <row r="133">
          <cell r="O133">
            <v>0</v>
          </cell>
        </row>
        <row r="134">
          <cell r="D134" t="str">
            <v>常州宝虎汽车配件有限公司</v>
          </cell>
        </row>
        <row r="134">
          <cell r="O134">
            <v>0</v>
          </cell>
        </row>
        <row r="135">
          <cell r="D135" t="str">
            <v>山东蓝星东大有限公司</v>
          </cell>
        </row>
        <row r="135">
          <cell r="O135">
            <v>-566</v>
          </cell>
        </row>
        <row r="136">
          <cell r="D136" t="str">
            <v>停用-湘乡简美工贸有限公司</v>
          </cell>
        </row>
        <row r="136">
          <cell r="O136">
            <v>0</v>
          </cell>
        </row>
        <row r="137">
          <cell r="D137" t="str">
            <v>株洲铖亿轨道交通技术有限</v>
          </cell>
        </row>
        <row r="137">
          <cell r="O137">
            <v>124125.98</v>
          </cell>
        </row>
        <row r="138">
          <cell r="D138" t="str">
            <v>广州市盈尔安防火材料有限公司</v>
          </cell>
        </row>
        <row r="138">
          <cell r="O138">
            <v>7961.51</v>
          </cell>
        </row>
        <row r="139">
          <cell r="D139" t="str">
            <v>湖南蝴蝶智能科技有限公司</v>
          </cell>
        </row>
        <row r="139">
          <cell r="O139">
            <v>0</v>
          </cell>
        </row>
        <row r="140">
          <cell r="D140" t="str">
            <v>醴陵广仁环保科技有限公司</v>
          </cell>
        </row>
        <row r="140">
          <cell r="O140">
            <v>141610.15</v>
          </cell>
        </row>
        <row r="141">
          <cell r="D141" t="str">
            <v>长沙真旺钢铁贸易有限公司</v>
          </cell>
        </row>
        <row r="141">
          <cell r="O141">
            <v>-10623.91</v>
          </cell>
        </row>
        <row r="142">
          <cell r="D142" t="str">
            <v>湖北瑞彼德自动化有限公司</v>
          </cell>
        </row>
        <row r="142">
          <cell r="O142">
            <v>0</v>
          </cell>
        </row>
        <row r="143">
          <cell r="D143" t="str">
            <v>深州市晶立泰机械配件有限公司</v>
          </cell>
        </row>
        <row r="143">
          <cell r="O143">
            <v>36813.73</v>
          </cell>
        </row>
        <row r="144">
          <cell r="D144" t="str">
            <v>山东鼎信新材料科技有限公司</v>
          </cell>
        </row>
        <row r="144">
          <cell r="O144">
            <v>22774.59</v>
          </cell>
        </row>
        <row r="145">
          <cell r="D145" t="str">
            <v>湖南诺亿科技有限公司</v>
          </cell>
        </row>
        <row r="145">
          <cell r="O145">
            <v>408622.83</v>
          </cell>
        </row>
        <row r="146">
          <cell r="D146" t="str">
            <v>浙江泰极信汽车部件有限公司</v>
          </cell>
        </row>
        <row r="146">
          <cell r="O146">
            <v>0</v>
          </cell>
        </row>
        <row r="147">
          <cell r="D147" t="str">
            <v>陕西擎创艺汽车零配件制造有限</v>
          </cell>
        </row>
        <row r="147">
          <cell r="O147">
            <v>0</v>
          </cell>
        </row>
        <row r="148">
          <cell r="D148" t="str">
            <v>长春超力内饰件有限公司</v>
          </cell>
        </row>
        <row r="148">
          <cell r="O148">
            <v>13613.57</v>
          </cell>
        </row>
        <row r="149">
          <cell r="D149" t="str">
            <v>重庆乐康汽车配件有限公司</v>
          </cell>
        </row>
        <row r="149">
          <cell r="O149">
            <v>0</v>
          </cell>
        </row>
        <row r="150">
          <cell r="D150" t="str">
            <v>重庆市宏立摩托车制造有限公司</v>
          </cell>
        </row>
        <row r="150">
          <cell r="O150">
            <v>221893.67</v>
          </cell>
        </row>
        <row r="151">
          <cell r="D151" t="str">
            <v>麦格纳宏立汽车系统集团有限公</v>
          </cell>
        </row>
        <row r="151">
          <cell r="O151">
            <v>0</v>
          </cell>
        </row>
        <row r="152">
          <cell r="D152" t="str">
            <v>上海菱林自动化科技有限公司</v>
          </cell>
        </row>
        <row r="152">
          <cell r="O152">
            <v>0</v>
          </cell>
        </row>
        <row r="153">
          <cell r="D153" t="str">
            <v>长沙市跨越物流有限公司</v>
          </cell>
        </row>
        <row r="153">
          <cell r="O153">
            <v>0</v>
          </cell>
        </row>
        <row r="154">
          <cell r="D154" t="str">
            <v>湖北欣辰达商贸有限公司</v>
          </cell>
        </row>
        <row r="154">
          <cell r="O154">
            <v>394240</v>
          </cell>
        </row>
        <row r="155">
          <cell r="D155" t="str">
            <v>湖南凌天汽车零部件有限公司</v>
          </cell>
        </row>
        <row r="155">
          <cell r="O155">
            <v>1287615.5</v>
          </cell>
        </row>
        <row r="156">
          <cell r="D156" t="str">
            <v>永州巴佛莱特汽车饰品有限公司</v>
          </cell>
        </row>
        <row r="156">
          <cell r="O156">
            <v>0</v>
          </cell>
        </row>
        <row r="157">
          <cell r="D157" t="str">
            <v>永州市巴佛莱特车辆饰件有限公</v>
          </cell>
        </row>
        <row r="157">
          <cell r="O157">
            <v>0</v>
          </cell>
        </row>
        <row r="158">
          <cell r="D158" t="str">
            <v>株洲锐昌再生资源有限公司</v>
          </cell>
        </row>
        <row r="158">
          <cell r="O158">
            <v>0.5</v>
          </cell>
        </row>
        <row r="159">
          <cell r="D159" t="str">
            <v>株洲诺亿模具制造有限公司</v>
          </cell>
        </row>
        <row r="159">
          <cell r="O159">
            <v>0</v>
          </cell>
        </row>
        <row r="160">
          <cell r="D160" t="str">
            <v>湖南益泰安环技术咨询有限公司</v>
          </cell>
        </row>
        <row r="160">
          <cell r="O160">
            <v>0</v>
          </cell>
        </row>
        <row r="161">
          <cell r="D161" t="str">
            <v>株洲恺撒机电有限公司</v>
          </cell>
        </row>
        <row r="161">
          <cell r="O161">
            <v>0</v>
          </cell>
        </row>
        <row r="162">
          <cell r="D162" t="str">
            <v>株洲市凡美斯汽车配件有限公司</v>
          </cell>
        </row>
        <row r="162">
          <cell r="O162">
            <v>0</v>
          </cell>
        </row>
        <row r="163">
          <cell r="D163" t="str">
            <v>广州市永达汽车用品有限公司</v>
          </cell>
        </row>
        <row r="163">
          <cell r="O163">
            <v>0</v>
          </cell>
        </row>
        <row r="164">
          <cell r="D164" t="str">
            <v>东莞市双和机车拉索有限公司</v>
          </cell>
        </row>
        <row r="164">
          <cell r="O164">
            <v>0</v>
          </cell>
        </row>
        <row r="165">
          <cell r="D165" t="str">
            <v>广州永晔化工科技有限公司</v>
          </cell>
        </row>
        <row r="165">
          <cell r="O165">
            <v>0</v>
          </cell>
        </row>
        <row r="166">
          <cell r="D166" t="str">
            <v>广州市耀林汽车装备有限公司</v>
          </cell>
        </row>
        <row r="166">
          <cell r="O166">
            <v>0</v>
          </cell>
        </row>
        <row r="167">
          <cell r="D167" t="str">
            <v>广州添亿高分子材料有限公司</v>
          </cell>
        </row>
        <row r="167">
          <cell r="O167">
            <v>0</v>
          </cell>
        </row>
        <row r="168">
          <cell r="D168" t="str">
            <v>东莞市君赢机械制造有限公司</v>
          </cell>
        </row>
        <row r="168">
          <cell r="O168">
            <v>0</v>
          </cell>
        </row>
        <row r="169">
          <cell r="D169" t="str">
            <v>重庆光大产业有限公司</v>
          </cell>
        </row>
        <row r="169">
          <cell r="O169">
            <v>410242.53</v>
          </cell>
        </row>
        <row r="170">
          <cell r="D170" t="str">
            <v>湘乡简美工贸有限公司</v>
          </cell>
        </row>
        <row r="170">
          <cell r="O170">
            <v>194633.37</v>
          </cell>
        </row>
        <row r="171">
          <cell r="D171" t="str">
            <v>赵五祥</v>
          </cell>
        </row>
        <row r="171">
          <cell r="O171">
            <v>0</v>
          </cell>
        </row>
        <row r="172">
          <cell r="D172" t="str">
            <v>江阴市诚信模具有限公司</v>
          </cell>
        </row>
        <row r="172">
          <cell r="O172">
            <v>241042</v>
          </cell>
        </row>
        <row r="173">
          <cell r="D173" t="str">
            <v>江阴长青工艺品有限公司</v>
          </cell>
        </row>
        <row r="173">
          <cell r="O173">
            <v>115723.23</v>
          </cell>
        </row>
        <row r="174">
          <cell r="D174" t="str">
            <v>黄骅市泽方模具有限公司</v>
          </cell>
        </row>
        <row r="174">
          <cell r="O174">
            <v>1400</v>
          </cell>
        </row>
        <row r="175">
          <cell r="D175" t="str">
            <v>黄骅市荣丰塑料模具有限公司</v>
          </cell>
        </row>
        <row r="175">
          <cell r="O175">
            <v>5600</v>
          </cell>
        </row>
        <row r="176">
          <cell r="D176" t="str">
            <v>黄骅市震雄塑料模具有限公司</v>
          </cell>
        </row>
        <row r="176">
          <cell r="O176">
            <v>6250</v>
          </cell>
        </row>
        <row r="177">
          <cell r="D177" t="str">
            <v>湖南星宇龙机械有限公司</v>
          </cell>
        </row>
        <row r="177">
          <cell r="O177">
            <v>0</v>
          </cell>
        </row>
        <row r="178">
          <cell r="D178" t="str">
            <v>湖南精正设备制造有限公司</v>
          </cell>
        </row>
        <row r="178">
          <cell r="O178">
            <v>12000</v>
          </cell>
        </row>
        <row r="179">
          <cell r="D179" t="str">
            <v>东莞市高泰检测仪器有限公司</v>
          </cell>
        </row>
        <row r="179">
          <cell r="O179">
            <v>0</v>
          </cell>
        </row>
        <row r="180">
          <cell r="D180" t="str">
            <v>易格斯(上海)拖链系统有限公司</v>
          </cell>
        </row>
        <row r="180">
          <cell r="O180">
            <v>0</v>
          </cell>
        </row>
        <row r="181">
          <cell r="D181" t="str">
            <v>黄骅市正大纺织机械配件厂</v>
          </cell>
        </row>
        <row r="181">
          <cell r="O181">
            <v>0</v>
          </cell>
        </row>
        <row r="182">
          <cell r="D182" t="str">
            <v>沧州强宇五金制造有限公司</v>
          </cell>
        </row>
        <row r="182">
          <cell r="O182">
            <v>0</v>
          </cell>
        </row>
        <row r="183">
          <cell r="D183" t="str">
            <v>厦门劲亨五金工业有限公司</v>
          </cell>
        </row>
        <row r="183">
          <cell r="O183">
            <v>0</v>
          </cell>
        </row>
        <row r="184">
          <cell r="D184" t="str">
            <v>天津国际铁工焊接装备有限公司</v>
          </cell>
        </row>
        <row r="184">
          <cell r="O184">
            <v>9600</v>
          </cell>
        </row>
        <row r="185">
          <cell r="D185" t="str">
            <v>江阴常青模具有限公司</v>
          </cell>
        </row>
        <row r="185">
          <cell r="O185">
            <v>0</v>
          </cell>
        </row>
        <row r="186">
          <cell r="D186" t="str">
            <v>北京江森汽车部件有限公司</v>
          </cell>
        </row>
        <row r="186">
          <cell r="O186">
            <v>-15365.76</v>
          </cell>
        </row>
        <row r="187">
          <cell r="D187" t="str">
            <v>张家港环球塑料机械厂</v>
          </cell>
        </row>
        <row r="187">
          <cell r="O187">
            <v>2200</v>
          </cell>
        </row>
        <row r="188">
          <cell r="D188" t="str">
            <v>厦门市三友和机械有限公司</v>
          </cell>
        </row>
        <row r="188">
          <cell r="O188">
            <v>6340</v>
          </cell>
        </row>
        <row r="189">
          <cell r="D189" t="str">
            <v>廊坊华文机电设备有限公司</v>
          </cell>
        </row>
        <row r="189">
          <cell r="O189">
            <v>30585</v>
          </cell>
        </row>
        <row r="190">
          <cell r="D190" t="str">
            <v>佛吉亚（无锡）座椅部件有限公</v>
          </cell>
        </row>
        <row r="190">
          <cell r="O190">
            <v>-162416.47</v>
          </cell>
        </row>
        <row r="191">
          <cell r="D191" t="str">
            <v>长春赛诺汽车材料有限公</v>
          </cell>
        </row>
        <row r="191">
          <cell r="O191">
            <v>0</v>
          </cell>
        </row>
        <row r="192">
          <cell r="D192" t="str">
            <v>西安光华荣昌汽车部件有限公司</v>
          </cell>
        </row>
        <row r="192">
          <cell r="O192">
            <v>0</v>
          </cell>
        </row>
        <row r="193">
          <cell r="D193" t="str">
            <v>武汉信测标准技术服务有限公司</v>
          </cell>
        </row>
        <row r="193">
          <cell r="O193">
            <v>0</v>
          </cell>
        </row>
        <row r="194">
          <cell r="D194" t="str">
            <v>安莘供应链管理（上海）有限公</v>
          </cell>
        </row>
        <row r="194">
          <cell r="O194">
            <v>0</v>
          </cell>
        </row>
        <row r="195">
          <cell r="D195" t="str">
            <v>重庆渝融兴汽车配件有限公司</v>
          </cell>
        </row>
        <row r="195">
          <cell r="O195">
            <v>10558.72</v>
          </cell>
        </row>
        <row r="196">
          <cell r="D196" t="str">
            <v>沧州临港明康汽车配件有限公司</v>
          </cell>
        </row>
        <row r="196">
          <cell r="O196">
            <v>307758.78</v>
          </cell>
        </row>
        <row r="197">
          <cell r="D197" t="str">
            <v>黄骅市建昌塑料制品有限公司</v>
          </cell>
        </row>
        <row r="197">
          <cell r="O197">
            <v>176561.81</v>
          </cell>
        </row>
        <row r="198">
          <cell r="D198" t="str">
            <v>黄骅市成卓汽车部件厂</v>
          </cell>
        </row>
        <row r="198">
          <cell r="O198">
            <v>23052</v>
          </cell>
        </row>
        <row r="199">
          <cell r="D199" t="str">
            <v>保定兆龙通用电器塑业有限公司</v>
          </cell>
        </row>
        <row r="199">
          <cell r="O199">
            <v>0</v>
          </cell>
        </row>
        <row r="200">
          <cell r="D200" t="str">
            <v>德州志鹏海绵制品有限公司</v>
          </cell>
        </row>
        <row r="200">
          <cell r="O200">
            <v>0</v>
          </cell>
        </row>
        <row r="201">
          <cell r="D201" t="str">
            <v>安路普（北京）汽车技术有限公</v>
          </cell>
        </row>
        <row r="201">
          <cell r="O201">
            <v>5200.09</v>
          </cell>
        </row>
        <row r="202">
          <cell r="D202" t="str">
            <v>沧州旭兴五金制品有限公司</v>
          </cell>
        </row>
        <row r="202">
          <cell r="O202">
            <v>0</v>
          </cell>
        </row>
        <row r="203">
          <cell r="D203" t="str">
            <v>黄骅市峰霞科技有限公司</v>
          </cell>
        </row>
        <row r="203">
          <cell r="O203">
            <v>0</v>
          </cell>
        </row>
        <row r="204">
          <cell r="D204" t="str">
            <v>文安县德实汽车配件有限公司</v>
          </cell>
        </row>
        <row r="204">
          <cell r="O204">
            <v>188987.3</v>
          </cell>
        </row>
        <row r="205">
          <cell r="D205" t="str">
            <v>黄骅市万昌五金制品有限公司</v>
          </cell>
        </row>
        <row r="205">
          <cell r="O205">
            <v>0</v>
          </cell>
        </row>
        <row r="206">
          <cell r="D206" t="str">
            <v>廊坊市烁鑫汽车配件有限公司</v>
          </cell>
        </row>
        <row r="206">
          <cell r="O206">
            <v>155700.44</v>
          </cell>
        </row>
        <row r="207">
          <cell r="D207" t="str">
            <v>沧州华联钢管有限公司</v>
          </cell>
        </row>
        <row r="207">
          <cell r="O207">
            <v>0</v>
          </cell>
        </row>
        <row r="208">
          <cell r="D208" t="str">
            <v>深州市安广顺机械配件有限公司</v>
          </cell>
        </row>
        <row r="208">
          <cell r="O208">
            <v>0</v>
          </cell>
        </row>
        <row r="209">
          <cell r="D209" t="str">
            <v>威县永盛汽车配件制造有限公司</v>
          </cell>
        </row>
        <row r="209">
          <cell r="O209">
            <v>0</v>
          </cell>
        </row>
        <row r="210">
          <cell r="D210" t="str">
            <v>南皮县泰航五金制造有限公司</v>
          </cell>
        </row>
        <row r="210">
          <cell r="O210">
            <v>0</v>
          </cell>
        </row>
        <row r="211">
          <cell r="D211" t="str">
            <v>黄骅市汇铭汽车部件有限公司</v>
          </cell>
        </row>
        <row r="211">
          <cell r="O211">
            <v>15068.27</v>
          </cell>
        </row>
        <row r="212">
          <cell r="D212" t="str">
            <v>新发展（长春）汽车自控系统有</v>
          </cell>
        </row>
        <row r="212">
          <cell r="O212">
            <v>0</v>
          </cell>
        </row>
        <row r="213">
          <cell r="D213" t="str">
            <v>上海怀德机电有限公司</v>
          </cell>
        </row>
        <row r="213">
          <cell r="O213">
            <v>0</v>
          </cell>
        </row>
        <row r="214">
          <cell r="D214" t="str">
            <v>上海明芳汽车零件有限公司</v>
          </cell>
        </row>
        <row r="214">
          <cell r="O214">
            <v>832215.18</v>
          </cell>
        </row>
        <row r="215">
          <cell r="D215" t="str">
            <v>上海庆利机械设备有限公司</v>
          </cell>
        </row>
        <row r="215">
          <cell r="O215">
            <v>0</v>
          </cell>
        </row>
        <row r="216">
          <cell r="D216" t="str">
            <v>上海秉直精密机械有限公司</v>
          </cell>
        </row>
        <row r="216">
          <cell r="O216">
            <v>13932.9</v>
          </cell>
        </row>
        <row r="217">
          <cell r="D217" t="str">
            <v>江阴市达尔安汽车内饰科技</v>
          </cell>
        </row>
        <row r="217">
          <cell r="O217">
            <v>0</v>
          </cell>
        </row>
        <row r="218">
          <cell r="D218" t="str">
            <v>江苏力乐汽车部件股份有限公司</v>
          </cell>
        </row>
        <row r="218">
          <cell r="O218">
            <v>1030823.01</v>
          </cell>
        </row>
        <row r="219">
          <cell r="D219" t="str">
            <v>太航常青汽车安全系统(苏州)股</v>
          </cell>
        </row>
        <row r="219">
          <cell r="O219">
            <v>69562.26</v>
          </cell>
        </row>
        <row r="220">
          <cell r="D220" t="str">
            <v>溧阳鑫岩汽车零部件有限公司</v>
          </cell>
        </row>
        <row r="220">
          <cell r="O220">
            <v>891014.81</v>
          </cell>
        </row>
        <row r="221">
          <cell r="D221" t="str">
            <v>江苏全盛座舱技术股份有限公司</v>
          </cell>
        </row>
        <row r="221">
          <cell r="O221">
            <v>266454.1</v>
          </cell>
        </row>
        <row r="222">
          <cell r="D222" t="str">
            <v>江阴市达尔安汽车内饰科技有限</v>
          </cell>
        </row>
        <row r="222">
          <cell r="O222">
            <v>0</v>
          </cell>
        </row>
        <row r="223">
          <cell r="D223" t="str">
            <v>浙江龙生汽车部件有限公司</v>
          </cell>
        </row>
        <row r="223">
          <cell r="O223">
            <v>0</v>
          </cell>
        </row>
        <row r="224">
          <cell r="D224" t="str">
            <v>浙江松原汽车安全系统股份有限</v>
          </cell>
        </row>
        <row r="224">
          <cell r="O224">
            <v>0</v>
          </cell>
        </row>
        <row r="225">
          <cell r="D225" t="str">
            <v>浙江华悦汽车零部件股份有限公</v>
          </cell>
        </row>
        <row r="225">
          <cell r="O225">
            <v>331766.72</v>
          </cell>
        </row>
        <row r="226">
          <cell r="D226" t="str">
            <v>德清三和塑胶有限公司</v>
          </cell>
        </row>
        <row r="226">
          <cell r="O226">
            <v>0</v>
          </cell>
        </row>
        <row r="227">
          <cell r="D227" t="str">
            <v>宁波威源软件有限公司</v>
          </cell>
        </row>
        <row r="227">
          <cell r="O227">
            <v>0</v>
          </cell>
        </row>
        <row r="228">
          <cell r="D228" t="str">
            <v>浙江富昌泰汽车零部件有限公司</v>
          </cell>
        </row>
        <row r="228">
          <cell r="O228">
            <v>0</v>
          </cell>
        </row>
        <row r="229">
          <cell r="D229" t="str">
            <v>芜湖金安世腾汽车安全系统有限</v>
          </cell>
        </row>
        <row r="229">
          <cell r="O229">
            <v>0</v>
          </cell>
        </row>
        <row r="230">
          <cell r="D230" t="str">
            <v>厦门凯平化工有限公司</v>
          </cell>
        </row>
        <row r="230">
          <cell r="O230">
            <v>981573.26</v>
          </cell>
        </row>
        <row r="231">
          <cell r="D231" t="str">
            <v>盐城默成汽车内饰科技有限公司</v>
          </cell>
        </row>
        <row r="231">
          <cell r="O231">
            <v>0</v>
          </cell>
        </row>
        <row r="232">
          <cell r="D232" t="str">
            <v>佳化化学（滨州）有限公司</v>
          </cell>
        </row>
        <row r="232">
          <cell r="O232">
            <v>0</v>
          </cell>
        </row>
        <row r="233">
          <cell r="D233" t="str">
            <v>万华化学（烟台）销售有限公司</v>
          </cell>
        </row>
        <row r="233">
          <cell r="O233">
            <v>0</v>
          </cell>
        </row>
        <row r="234">
          <cell r="D234" t="str">
            <v>湖北伟士通汽车零件有限公司</v>
          </cell>
        </row>
        <row r="234">
          <cell r="O234">
            <v>379189.22</v>
          </cell>
        </row>
        <row r="235">
          <cell r="D235" t="str">
            <v>衡阳县标准件厂株洲销售处</v>
          </cell>
        </row>
        <row r="235">
          <cell r="O235">
            <v>354099.45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搜索条件"/>
      <sheetName val="信息"/>
    </sheetNames>
    <sheetDataSet>
      <sheetData sheetId="0">
        <row r="1">
          <cell r="D1" t="str">
            <v>单位/个人</v>
          </cell>
        </row>
        <row r="2">
          <cell r="D2" t="str">
            <v/>
          </cell>
        </row>
        <row r="3">
          <cell r="D3" t="str">
            <v/>
          </cell>
        </row>
        <row r="4">
          <cell r="D4" t="str">
            <v>东莞市博仪自动化科技有限公司</v>
          </cell>
        </row>
        <row r="5">
          <cell r="D5" t="str">
            <v>北京光华荣昌汽车部件有限公司</v>
          </cell>
        </row>
        <row r="5">
          <cell r="O5">
            <v>12808995.84</v>
          </cell>
        </row>
        <row r="6">
          <cell r="D6" t="str">
            <v>北京浦东三浦标准件有限公司</v>
          </cell>
        </row>
        <row r="6">
          <cell r="O6">
            <v>0</v>
          </cell>
        </row>
        <row r="7">
          <cell r="D7" t="str">
            <v>北京市橡塑减震器材厂</v>
          </cell>
        </row>
        <row r="7">
          <cell r="O7">
            <v>80.3</v>
          </cell>
        </row>
        <row r="8">
          <cell r="D8" t="str">
            <v>北京瑞隆祥模具有限公司</v>
          </cell>
        </row>
        <row r="8">
          <cell r="O8">
            <v>0</v>
          </cell>
        </row>
        <row r="9">
          <cell r="D9" t="str">
            <v>北京盛奥金华包装有限公司</v>
          </cell>
        </row>
        <row r="9">
          <cell r="O9">
            <v>0</v>
          </cell>
        </row>
        <row r="10">
          <cell r="D10" t="str">
            <v>湖南松柏模具有限公司</v>
          </cell>
        </row>
        <row r="10">
          <cell r="O10">
            <v>23367.17</v>
          </cell>
        </row>
        <row r="11">
          <cell r="D11" t="str">
            <v>北京德实汽车饰件有限公司</v>
          </cell>
        </row>
        <row r="11">
          <cell r="O11">
            <v>9685.4</v>
          </cell>
        </row>
        <row r="12">
          <cell r="D12" t="str">
            <v>天津琪安科技有限公司</v>
          </cell>
        </row>
        <row r="12">
          <cell r="O12">
            <v>143976.22</v>
          </cell>
        </row>
        <row r="13">
          <cell r="D13" t="str">
            <v>黄骅市广亿汽车部件有限公司</v>
          </cell>
        </row>
        <row r="13">
          <cell r="O13">
            <v>121529.63</v>
          </cell>
        </row>
        <row r="14">
          <cell r="D14" t="str">
            <v>河北安闻汽车零部件有限公司</v>
          </cell>
        </row>
        <row r="14">
          <cell r="O14">
            <v>0</v>
          </cell>
        </row>
        <row r="15">
          <cell r="D15" t="str">
            <v>霸州市自强汽车零部件厂</v>
          </cell>
        </row>
        <row r="15">
          <cell r="O15">
            <v>50890.86</v>
          </cell>
        </row>
        <row r="16">
          <cell r="D16" t="str">
            <v>海兴中盛弹簧有限公司</v>
          </cell>
        </row>
        <row r="16">
          <cell r="O16">
            <v>-3667.98</v>
          </cell>
        </row>
        <row r="17">
          <cell r="D17" t="str">
            <v>河北新强力机械制造有限公司</v>
          </cell>
        </row>
        <row r="17">
          <cell r="O17">
            <v>0</v>
          </cell>
        </row>
        <row r="18">
          <cell r="D18" t="str">
            <v>黄骅市鑫昌五金制品厂</v>
          </cell>
        </row>
        <row r="18">
          <cell r="O18">
            <v>0</v>
          </cell>
        </row>
        <row r="19">
          <cell r="D19" t="str">
            <v>河北光华荣昌汽车部件有限公司</v>
          </cell>
        </row>
        <row r="19">
          <cell r="O19">
            <v>29061319.46</v>
          </cell>
        </row>
        <row r="20">
          <cell r="D20" t="str">
            <v>潍坊光华荣昌汽车技术有限公司</v>
          </cell>
        </row>
        <row r="20">
          <cell r="O20">
            <v>0</v>
          </cell>
        </row>
        <row r="21">
          <cell r="D21" t="str">
            <v>河北岳钢数控设备有限公司</v>
          </cell>
        </row>
        <row r="21">
          <cell r="O21">
            <v>0</v>
          </cell>
        </row>
        <row r="22">
          <cell r="D22" t="str">
            <v>沧州临港明康汽车配件有限公司</v>
          </cell>
        </row>
        <row r="22">
          <cell r="O22">
            <v>143842.56</v>
          </cell>
        </row>
        <row r="23">
          <cell r="D23" t="str">
            <v>黄骅市建昌塑料制品有限公司</v>
          </cell>
        </row>
        <row r="23">
          <cell r="O23">
            <v>137194.3</v>
          </cell>
        </row>
        <row r="24">
          <cell r="D24" t="str">
            <v>黄骅市成卓汽车部件厂</v>
          </cell>
        </row>
        <row r="24">
          <cell r="O24">
            <v>20170.5</v>
          </cell>
        </row>
        <row r="25">
          <cell r="D25" t="str">
            <v>保定兆龙通用电器塑业有限公司</v>
          </cell>
        </row>
        <row r="25">
          <cell r="O25">
            <v>0</v>
          </cell>
        </row>
        <row r="26">
          <cell r="D26" t="str">
            <v>德州志鹏海绵制品有限公司</v>
          </cell>
        </row>
        <row r="26">
          <cell r="O26">
            <v>0</v>
          </cell>
        </row>
        <row r="27">
          <cell r="D27" t="str">
            <v>安路普（北京）汽车技术有限公</v>
          </cell>
        </row>
        <row r="27">
          <cell r="O27">
            <v>5200.09</v>
          </cell>
        </row>
        <row r="28">
          <cell r="D28" t="str">
            <v>沧州旭兴五金制品有限公司</v>
          </cell>
        </row>
        <row r="28">
          <cell r="O28">
            <v>0</v>
          </cell>
        </row>
        <row r="29">
          <cell r="D29" t="str">
            <v>黄骅市峰霞科技有限公司</v>
          </cell>
        </row>
        <row r="29">
          <cell r="O29">
            <v>0</v>
          </cell>
        </row>
        <row r="30">
          <cell r="D30" t="str">
            <v>文安县德实汽车配件有限公司</v>
          </cell>
        </row>
        <row r="30">
          <cell r="O30">
            <v>56381.8</v>
          </cell>
        </row>
        <row r="31">
          <cell r="D31" t="str">
            <v>黄骅市万昌五金制品有限公司</v>
          </cell>
        </row>
        <row r="31">
          <cell r="O31">
            <v>0</v>
          </cell>
        </row>
        <row r="32">
          <cell r="D32" t="str">
            <v>廊坊市烁鑫汽车配件有限公司</v>
          </cell>
        </row>
        <row r="32">
          <cell r="O32">
            <v>127771.79</v>
          </cell>
        </row>
        <row r="33">
          <cell r="D33" t="str">
            <v>沧州华联钢管有限公司</v>
          </cell>
        </row>
        <row r="33">
          <cell r="O33">
            <v>0</v>
          </cell>
        </row>
        <row r="34">
          <cell r="D34" t="str">
            <v>深州市安广顺机械配件有限公司</v>
          </cell>
        </row>
        <row r="34">
          <cell r="O34">
            <v>0</v>
          </cell>
        </row>
        <row r="35">
          <cell r="D35" t="str">
            <v>威县永盛汽车配件制造有限公司</v>
          </cell>
        </row>
        <row r="35">
          <cell r="O35">
            <v>0</v>
          </cell>
        </row>
        <row r="36">
          <cell r="D36" t="str">
            <v>南皮县泰航五金制造有限公司</v>
          </cell>
        </row>
        <row r="36">
          <cell r="O36">
            <v>0</v>
          </cell>
        </row>
        <row r="37">
          <cell r="D37" t="str">
            <v>黄骅市汇铭汽车部件有限公司</v>
          </cell>
        </row>
        <row r="37">
          <cell r="O37">
            <v>29435.59</v>
          </cell>
        </row>
        <row r="38">
          <cell r="D38" t="str">
            <v>新发展（长春）汽车自控系统有</v>
          </cell>
        </row>
        <row r="38">
          <cell r="O38">
            <v>0</v>
          </cell>
        </row>
        <row r="39">
          <cell r="D39" t="str">
            <v>上海怀德机电有限公司</v>
          </cell>
        </row>
        <row r="39">
          <cell r="O39">
            <v>0</v>
          </cell>
        </row>
        <row r="40">
          <cell r="D40" t="str">
            <v>上海明芳汽车零件有限公司</v>
          </cell>
        </row>
        <row r="40">
          <cell r="O40">
            <v>754195</v>
          </cell>
        </row>
        <row r="41">
          <cell r="D41" t="str">
            <v>上海庆利机械设备有限公司</v>
          </cell>
        </row>
        <row r="41">
          <cell r="O41">
            <v>0</v>
          </cell>
        </row>
        <row r="42">
          <cell r="D42" t="str">
            <v>上海秉直精密机械有限公司</v>
          </cell>
        </row>
        <row r="42">
          <cell r="O42">
            <v>13932.9</v>
          </cell>
        </row>
        <row r="43">
          <cell r="D43" t="str">
            <v>江阴市达尔安汽车内饰科技</v>
          </cell>
        </row>
        <row r="43">
          <cell r="O43">
            <v>0</v>
          </cell>
        </row>
        <row r="44">
          <cell r="D44" t="str">
            <v>江苏力乐汽车部件股份有限公司</v>
          </cell>
        </row>
        <row r="44">
          <cell r="O44">
            <v>798238.4</v>
          </cell>
        </row>
        <row r="45">
          <cell r="D45" t="str">
            <v>太航常青汽车安全系统(苏州)股</v>
          </cell>
        </row>
        <row r="45">
          <cell r="O45">
            <v>68352.16</v>
          </cell>
        </row>
        <row r="46">
          <cell r="D46" t="str">
            <v>溧阳鑫岩汽车零部件有限公司</v>
          </cell>
        </row>
        <row r="46">
          <cell r="O46">
            <v>616653.59</v>
          </cell>
        </row>
        <row r="47">
          <cell r="D47" t="str">
            <v>江苏全盛座舱技术股份有限公司</v>
          </cell>
        </row>
        <row r="47">
          <cell r="O47">
            <v>266454.1</v>
          </cell>
        </row>
        <row r="48">
          <cell r="D48" t="str">
            <v>江阴市达尔安汽车内饰科技有限</v>
          </cell>
        </row>
        <row r="48">
          <cell r="O48">
            <v>0</v>
          </cell>
        </row>
        <row r="49">
          <cell r="D49" t="str">
            <v>浙江龙生汽车部件有限公司</v>
          </cell>
        </row>
        <row r="49">
          <cell r="O49">
            <v>0</v>
          </cell>
        </row>
        <row r="50">
          <cell r="D50" t="str">
            <v>浙江松原汽车安全系统股份有限</v>
          </cell>
        </row>
        <row r="50">
          <cell r="O50">
            <v>44034.75</v>
          </cell>
        </row>
        <row r="51">
          <cell r="D51" t="str">
            <v>浙江华悦汽车零部件股份有限公</v>
          </cell>
        </row>
        <row r="51">
          <cell r="O51">
            <v>247081.28</v>
          </cell>
        </row>
        <row r="52">
          <cell r="D52" t="str">
            <v>德清三和塑胶有限公司</v>
          </cell>
        </row>
        <row r="52">
          <cell r="O52">
            <v>0</v>
          </cell>
        </row>
        <row r="53">
          <cell r="D53" t="str">
            <v>宁波威源软件有限公司</v>
          </cell>
        </row>
        <row r="53">
          <cell r="O53">
            <v>0</v>
          </cell>
        </row>
        <row r="54">
          <cell r="D54" t="str">
            <v>浙江富昌泰汽车零部件有限公司</v>
          </cell>
        </row>
        <row r="54">
          <cell r="O54">
            <v>0</v>
          </cell>
        </row>
        <row r="55">
          <cell r="D55" t="str">
            <v>芜湖金安世腾汽车安全系统有限</v>
          </cell>
        </row>
        <row r="55">
          <cell r="O55">
            <v>0</v>
          </cell>
        </row>
        <row r="56">
          <cell r="D56" t="str">
            <v>厦门凯平化工有限公司</v>
          </cell>
        </row>
        <row r="56">
          <cell r="O56">
            <v>469589.13</v>
          </cell>
        </row>
        <row r="57">
          <cell r="D57" t="str">
            <v>盐城默成汽车内饰科技有限公司</v>
          </cell>
        </row>
        <row r="57">
          <cell r="O57">
            <v>0</v>
          </cell>
        </row>
        <row r="58">
          <cell r="D58" t="str">
            <v>佳化化学（滨州）有限公司</v>
          </cell>
        </row>
        <row r="58">
          <cell r="O58">
            <v>0</v>
          </cell>
        </row>
        <row r="59">
          <cell r="D59" t="str">
            <v>万华化学（烟台）销售有限公司</v>
          </cell>
        </row>
        <row r="59">
          <cell r="O59">
            <v>0</v>
          </cell>
        </row>
        <row r="60">
          <cell r="D60" t="str">
            <v>湖北伟士通汽车零件有限公司</v>
          </cell>
        </row>
        <row r="60">
          <cell r="O60">
            <v>136821.26</v>
          </cell>
        </row>
        <row r="61">
          <cell r="D61" t="str">
            <v>衡阳县标准件厂株洲销售处</v>
          </cell>
        </row>
        <row r="61">
          <cell r="O61">
            <v>325053.25</v>
          </cell>
        </row>
        <row r="62">
          <cell r="D62" t="str">
            <v>湖南凌天汽车零部件有限公司</v>
          </cell>
        </row>
        <row r="62">
          <cell r="O62">
            <v>782693.17</v>
          </cell>
        </row>
        <row r="63">
          <cell r="D63" t="str">
            <v>永州巴佛莱特汽车饰品有限公司</v>
          </cell>
        </row>
        <row r="63">
          <cell r="O63">
            <v>0</v>
          </cell>
        </row>
        <row r="64">
          <cell r="D64" t="str">
            <v>永州市巴佛莱特车辆饰件有限公</v>
          </cell>
        </row>
        <row r="64">
          <cell r="O64">
            <v>0</v>
          </cell>
        </row>
        <row r="65">
          <cell r="D65" t="str">
            <v>株洲锐昌再生资源有限公司</v>
          </cell>
        </row>
        <row r="65">
          <cell r="O65">
            <v>0.5</v>
          </cell>
        </row>
        <row r="66">
          <cell r="D66" t="str">
            <v>株洲诺亿模具制造有限公司</v>
          </cell>
        </row>
        <row r="66">
          <cell r="O66">
            <v>0</v>
          </cell>
        </row>
        <row r="67">
          <cell r="D67" t="str">
            <v>湖南益泰安环技术咨询有限公司</v>
          </cell>
        </row>
        <row r="67">
          <cell r="O67">
            <v>0</v>
          </cell>
        </row>
        <row r="68">
          <cell r="D68" t="str">
            <v>株洲恺撒机电有限公司</v>
          </cell>
        </row>
        <row r="68">
          <cell r="O68">
            <v>0</v>
          </cell>
        </row>
        <row r="69">
          <cell r="D69" t="str">
            <v>株洲市凡美斯汽车配件有限公司</v>
          </cell>
        </row>
        <row r="69">
          <cell r="O69">
            <v>0</v>
          </cell>
        </row>
        <row r="70">
          <cell r="D70" t="str">
            <v>广州市永达汽车用品有限公司</v>
          </cell>
        </row>
        <row r="70">
          <cell r="O70">
            <v>0</v>
          </cell>
        </row>
        <row r="71">
          <cell r="D71" t="str">
            <v>东莞市双和机车拉索有限公司</v>
          </cell>
        </row>
        <row r="71">
          <cell r="O71">
            <v>0</v>
          </cell>
        </row>
        <row r="72">
          <cell r="D72" t="str">
            <v>广州永晔化工科技有限公司</v>
          </cell>
        </row>
        <row r="72">
          <cell r="O72">
            <v>0</v>
          </cell>
        </row>
        <row r="73">
          <cell r="D73" t="str">
            <v>广州市耀林汽车装备有限公司</v>
          </cell>
        </row>
        <row r="73">
          <cell r="O73">
            <v>0</v>
          </cell>
        </row>
        <row r="74">
          <cell r="D74" t="str">
            <v>广州添亿高分子材料有限公司</v>
          </cell>
        </row>
        <row r="74">
          <cell r="O74">
            <v>0</v>
          </cell>
        </row>
        <row r="75">
          <cell r="D75" t="str">
            <v>东莞市君赢机械制造有限公司</v>
          </cell>
        </row>
        <row r="75">
          <cell r="O75">
            <v>0</v>
          </cell>
        </row>
        <row r="76">
          <cell r="D76" t="str">
            <v>重庆光大产业有限公司</v>
          </cell>
        </row>
        <row r="76">
          <cell r="O76">
            <v>67848.95</v>
          </cell>
        </row>
        <row r="77">
          <cell r="D77" t="str">
            <v>湘乡简美工贸有限公司</v>
          </cell>
        </row>
        <row r="77">
          <cell r="O77">
            <v>4617.79</v>
          </cell>
        </row>
        <row r="78">
          <cell r="D78" t="str">
            <v>赵五祥</v>
          </cell>
        </row>
        <row r="78">
          <cell r="O78">
            <v>0</v>
          </cell>
        </row>
        <row r="79">
          <cell r="D79" t="str">
            <v>江阴市诚信模具有限公司</v>
          </cell>
        </row>
        <row r="79">
          <cell r="O79">
            <v>0</v>
          </cell>
        </row>
        <row r="80">
          <cell r="D80" t="str">
            <v>江阴长青工艺品有限公司</v>
          </cell>
        </row>
        <row r="80">
          <cell r="O80">
            <v>115723.23</v>
          </cell>
        </row>
        <row r="81">
          <cell r="D81" t="str">
            <v>黄骅市泽方模具有限公司</v>
          </cell>
        </row>
        <row r="81">
          <cell r="O81">
            <v>1400</v>
          </cell>
        </row>
        <row r="82">
          <cell r="D82" t="str">
            <v>黄骅市荣丰塑料模具有限公司</v>
          </cell>
        </row>
        <row r="82">
          <cell r="O82">
            <v>5600</v>
          </cell>
        </row>
        <row r="83">
          <cell r="D83" t="str">
            <v>黄骅市震雄塑料模具有限公司</v>
          </cell>
        </row>
        <row r="83">
          <cell r="O83">
            <v>6250</v>
          </cell>
        </row>
        <row r="84">
          <cell r="D84" t="str">
            <v>湖南星宇龙机械有限公司</v>
          </cell>
        </row>
        <row r="84">
          <cell r="O84">
            <v>0</v>
          </cell>
        </row>
        <row r="85">
          <cell r="D85" t="str">
            <v>湖南精正设备制造有限公司</v>
          </cell>
        </row>
        <row r="85">
          <cell r="O85">
            <v>12000</v>
          </cell>
        </row>
        <row r="86">
          <cell r="D86" t="str">
            <v>东莞市高泰检测仪器有限公司</v>
          </cell>
        </row>
        <row r="86">
          <cell r="O86">
            <v>0</v>
          </cell>
        </row>
        <row r="87">
          <cell r="D87" t="str">
            <v>易格斯(上海)拖链系统有限公司</v>
          </cell>
        </row>
        <row r="87">
          <cell r="O87">
            <v>0</v>
          </cell>
        </row>
        <row r="88">
          <cell r="D88" t="str">
            <v>黄骅市正大纺织机械配件厂</v>
          </cell>
        </row>
        <row r="88">
          <cell r="O88">
            <v>0</v>
          </cell>
        </row>
        <row r="89">
          <cell r="D89" t="str">
            <v>沧州强宇五金制造有限公司</v>
          </cell>
        </row>
        <row r="89">
          <cell r="O89">
            <v>0</v>
          </cell>
        </row>
        <row r="90">
          <cell r="D90" t="str">
            <v>厦门劲亨五金工业有限公司</v>
          </cell>
        </row>
        <row r="90">
          <cell r="O90">
            <v>0</v>
          </cell>
        </row>
        <row r="91">
          <cell r="D91" t="str">
            <v>天津国际铁工焊接装备有限公司</v>
          </cell>
        </row>
        <row r="91">
          <cell r="O91">
            <v>9600</v>
          </cell>
        </row>
        <row r="92">
          <cell r="D92" t="str">
            <v>江阴常青模具有限公司</v>
          </cell>
        </row>
        <row r="92">
          <cell r="O92">
            <v>0</v>
          </cell>
        </row>
        <row r="93">
          <cell r="D93" t="str">
            <v>北京江森汽车部件有限公司</v>
          </cell>
        </row>
        <row r="93">
          <cell r="O93">
            <v>-15365.76</v>
          </cell>
        </row>
        <row r="94">
          <cell r="D94" t="str">
            <v>张家港环球塑料机械厂</v>
          </cell>
        </row>
        <row r="94">
          <cell r="O94">
            <v>2200</v>
          </cell>
        </row>
        <row r="95">
          <cell r="D95" t="str">
            <v>厦门市三友和机械有限公司</v>
          </cell>
        </row>
        <row r="95">
          <cell r="O95">
            <v>6340</v>
          </cell>
        </row>
        <row r="96">
          <cell r="D96" t="str">
            <v>廊坊华文机电设备有限公司</v>
          </cell>
        </row>
        <row r="96">
          <cell r="O96">
            <v>30585</v>
          </cell>
        </row>
        <row r="97">
          <cell r="D97" t="str">
            <v>佛吉亚（无锡）座椅部件有限公</v>
          </cell>
        </row>
        <row r="97">
          <cell r="O97">
            <v>-288171.91</v>
          </cell>
        </row>
        <row r="98">
          <cell r="D98" t="str">
            <v>长春赛诺汽车材料有限公</v>
          </cell>
        </row>
        <row r="98">
          <cell r="O98">
            <v>0</v>
          </cell>
        </row>
        <row r="99">
          <cell r="D99" t="str">
            <v>西安光华荣昌汽车部件有限公司</v>
          </cell>
        </row>
        <row r="99">
          <cell r="O99">
            <v>0</v>
          </cell>
        </row>
        <row r="100">
          <cell r="D100" t="str">
            <v>武汉信测标准技术服务有限公司</v>
          </cell>
        </row>
        <row r="100">
          <cell r="O100">
            <v>0</v>
          </cell>
        </row>
        <row r="101">
          <cell r="D101" t="str">
            <v>安莘供应链管理（上海）有限公</v>
          </cell>
        </row>
        <row r="101">
          <cell r="O101">
            <v>0</v>
          </cell>
        </row>
        <row r="102">
          <cell r="D102" t="str">
            <v>重庆渝融兴汽车配件有限公司</v>
          </cell>
        </row>
        <row r="102">
          <cell r="O102">
            <v>0</v>
          </cell>
        </row>
        <row r="103">
          <cell r="D103" t="str">
            <v>安徽汉升工业部件股份有限公司</v>
          </cell>
        </row>
        <row r="103">
          <cell r="O103">
            <v>0</v>
          </cell>
        </row>
        <row r="104">
          <cell r="D104" t="str">
            <v>吉林省德邦汽车电子有限公司</v>
          </cell>
        </row>
        <row r="104">
          <cell r="O104">
            <v>259876.49</v>
          </cell>
        </row>
        <row r="105">
          <cell r="D105" t="str">
            <v>吉林省方舟电子科技有限公司</v>
          </cell>
        </row>
        <row r="105">
          <cell r="O105">
            <v>518852.38</v>
          </cell>
        </row>
        <row r="106">
          <cell r="D106" t="str">
            <v>长春富维安道拓汽车金属零部件</v>
          </cell>
        </row>
        <row r="106">
          <cell r="O106">
            <v>742045.53</v>
          </cell>
        </row>
        <row r="107">
          <cell r="D107" t="str">
            <v>长沙浩睿精密机械有限公司</v>
          </cell>
        </row>
        <row r="107">
          <cell r="O107">
            <v>0</v>
          </cell>
        </row>
        <row r="108">
          <cell r="D108" t="str">
            <v>惠州市唐群座椅科技股份有限公</v>
          </cell>
        </row>
        <row r="108">
          <cell r="O108">
            <v>0</v>
          </cell>
        </row>
        <row r="109">
          <cell r="D109" t="str">
            <v>黄骅市雍丰塑料制品有限公司</v>
          </cell>
        </row>
        <row r="109">
          <cell r="O109">
            <v>283298.76</v>
          </cell>
        </row>
        <row r="110">
          <cell r="D110" t="str">
            <v>北京兴达恒源商贸有限公司</v>
          </cell>
        </row>
        <row r="110">
          <cell r="O110">
            <v>0</v>
          </cell>
        </row>
        <row r="111">
          <cell r="D111" t="str">
            <v>株洲美佳机械实业有限公司</v>
          </cell>
        </row>
        <row r="111">
          <cell r="O111">
            <v>1508.81</v>
          </cell>
        </row>
        <row r="112">
          <cell r="D112" t="str">
            <v>上海江川国际贸易有限公司</v>
          </cell>
        </row>
        <row r="112">
          <cell r="O112">
            <v>19684</v>
          </cell>
        </row>
        <row r="113">
          <cell r="D113" t="str">
            <v>江苏忠明祥和精工股份有限公司</v>
          </cell>
        </row>
        <row r="113">
          <cell r="O113">
            <v>84965.83</v>
          </cell>
        </row>
        <row r="114">
          <cell r="D114" t="str">
            <v>芜湖海川汽车部件有限公司</v>
          </cell>
        </row>
        <row r="114">
          <cell r="O114">
            <v>23.19</v>
          </cell>
        </row>
        <row r="115">
          <cell r="D115" t="str">
            <v>张家港保税区得英达利化工材料</v>
          </cell>
        </row>
        <row r="115">
          <cell r="O115">
            <v>5878.26</v>
          </cell>
        </row>
        <row r="116">
          <cell r="D116" t="str">
            <v>昆山佰益通仓储设备有限公司</v>
          </cell>
        </row>
        <row r="116">
          <cell r="O116">
            <v>0</v>
          </cell>
        </row>
        <row r="117">
          <cell r="D117" t="str">
            <v>浙江光安标准件有限公司</v>
          </cell>
        </row>
        <row r="117">
          <cell r="O117">
            <v>0</v>
          </cell>
        </row>
        <row r="118">
          <cell r="D118" t="str">
            <v>合肥都维自动给料设备有限公司</v>
          </cell>
        </row>
        <row r="118">
          <cell r="O118">
            <v>65450</v>
          </cell>
        </row>
        <row r="119">
          <cell r="D119" t="str">
            <v>安徽楚江特钢有限公司</v>
          </cell>
        </row>
        <row r="119">
          <cell r="O119">
            <v>0</v>
          </cell>
        </row>
        <row r="120">
          <cell r="D120" t="str">
            <v>江西昌兴汽车配件有限公司</v>
          </cell>
        </row>
        <row r="120">
          <cell r="O120">
            <v>61614.37</v>
          </cell>
        </row>
        <row r="121">
          <cell r="D121" t="str">
            <v>江西省仁义航空机械加工有限公</v>
          </cell>
        </row>
        <row r="121">
          <cell r="O121">
            <v>0</v>
          </cell>
        </row>
        <row r="122">
          <cell r="D122" t="str">
            <v>景德镇市乾立运输有限公司</v>
          </cell>
        </row>
        <row r="122">
          <cell r="O122">
            <v>577575.61</v>
          </cell>
        </row>
        <row r="123">
          <cell r="D123" t="str">
            <v>景德镇市骏达汽车零部件有限公</v>
          </cell>
        </row>
        <row r="123">
          <cell r="O123">
            <v>0</v>
          </cell>
        </row>
        <row r="124">
          <cell r="D124" t="str">
            <v>景德镇市劲元汽车配件有限公司</v>
          </cell>
        </row>
        <row r="124">
          <cell r="O124">
            <v>474</v>
          </cell>
        </row>
        <row r="125">
          <cell r="D125" t="str">
            <v>景德镇市凯达汽车配件有限公司</v>
          </cell>
        </row>
        <row r="125">
          <cell r="O125">
            <v>472439</v>
          </cell>
        </row>
        <row r="126">
          <cell r="D126" t="str">
            <v>江西国匠汽车部件有限公司</v>
          </cell>
        </row>
        <row r="126">
          <cell r="O126">
            <v>0</v>
          </cell>
        </row>
        <row r="127">
          <cell r="D127" t="str">
            <v>武汉德锐隆科技有限公司</v>
          </cell>
        </row>
        <row r="127">
          <cell r="O127">
            <v>405547.25</v>
          </cell>
        </row>
        <row r="128">
          <cell r="D128" t="str">
            <v>湖南金能安全科技有限责任公司</v>
          </cell>
        </row>
        <row r="128">
          <cell r="O128">
            <v>13000</v>
          </cell>
        </row>
        <row r="129">
          <cell r="D129" t="str">
            <v>湖南鑫起人力资源管理有限公司</v>
          </cell>
        </row>
        <row r="129">
          <cell r="O129">
            <v>0</v>
          </cell>
        </row>
        <row r="130">
          <cell r="D130" t="str">
            <v>湖南天平正大有限责任会计事务</v>
          </cell>
        </row>
        <row r="130">
          <cell r="O130">
            <v>0</v>
          </cell>
        </row>
        <row r="131">
          <cell r="D131" t="str">
            <v>株洲飞马橡胶实业有限公司</v>
          </cell>
        </row>
        <row r="131">
          <cell r="O131">
            <v>117.55</v>
          </cell>
        </row>
        <row r="132">
          <cell r="D132" t="str">
            <v>株洲博雅实业有限公司</v>
          </cell>
        </row>
        <row r="132">
          <cell r="O132">
            <v>0</v>
          </cell>
        </row>
        <row r="133">
          <cell r="D133" t="str">
            <v>长沙市自翔机械有限公司</v>
          </cell>
        </row>
        <row r="133">
          <cell r="O133">
            <v>32648.8</v>
          </cell>
        </row>
        <row r="134">
          <cell r="D134" t="str">
            <v>株洲县德鲲物流有限责任公司</v>
          </cell>
        </row>
        <row r="134">
          <cell r="O134">
            <v>0</v>
          </cell>
        </row>
        <row r="135">
          <cell r="D135" t="str">
            <v>株洲博锐服装辅料有限公司</v>
          </cell>
        </row>
        <row r="135">
          <cell r="O135">
            <v>10486.2</v>
          </cell>
        </row>
        <row r="136">
          <cell r="D136" t="str">
            <v>长沙晶丰轻钢结构工程有限公司</v>
          </cell>
        </row>
        <row r="136">
          <cell r="O136">
            <v>3730</v>
          </cell>
        </row>
        <row r="137">
          <cell r="D137" t="str">
            <v>株洲国铁实业有限公司</v>
          </cell>
        </row>
        <row r="137">
          <cell r="O137">
            <v>0</v>
          </cell>
        </row>
        <row r="138">
          <cell r="D138" t="str">
            <v>湘潭湘和汽车零部件制造有限公</v>
          </cell>
        </row>
        <row r="138">
          <cell r="O138">
            <v>2148341.96</v>
          </cell>
        </row>
        <row r="139">
          <cell r="D139" t="str">
            <v>湖南中道机械设备有限公司</v>
          </cell>
        </row>
        <row r="139">
          <cell r="O139">
            <v>3560702.04</v>
          </cell>
        </row>
        <row r="140">
          <cell r="D140" t="str">
            <v>株洲久润物资贸易有限公司</v>
          </cell>
        </row>
        <row r="140">
          <cell r="O140">
            <v>0</v>
          </cell>
        </row>
        <row r="141">
          <cell r="D141" t="str">
            <v>湘潭市得力焊材有限公司</v>
          </cell>
        </row>
        <row r="141">
          <cell r="O141">
            <v>0</v>
          </cell>
        </row>
        <row r="142">
          <cell r="D142" t="str">
            <v>湘潭市忠强气体有限公司</v>
          </cell>
        </row>
        <row r="142">
          <cell r="O142">
            <v>25441.28</v>
          </cell>
        </row>
        <row r="143">
          <cell r="D143" t="str">
            <v>湖南驷马机械有限公司</v>
          </cell>
        </row>
        <row r="143">
          <cell r="O143">
            <v>25062.5</v>
          </cell>
        </row>
        <row r="144">
          <cell r="D144" t="str">
            <v>株洲市华霖机电有限公司</v>
          </cell>
        </row>
        <row r="144">
          <cell r="O144">
            <v>3629.95</v>
          </cell>
        </row>
        <row r="145">
          <cell r="D145" t="str">
            <v>湖南瑞安汽车零部件有限公司</v>
          </cell>
        </row>
        <row r="145">
          <cell r="O145">
            <v>0</v>
          </cell>
        </row>
        <row r="146">
          <cell r="D146" t="str">
            <v>株洲江淮叉车有限公司</v>
          </cell>
        </row>
        <row r="146">
          <cell r="O146">
            <v>949</v>
          </cell>
        </row>
        <row r="147">
          <cell r="D147" t="str">
            <v>株洲恒博工贸有限公司</v>
          </cell>
        </row>
        <row r="147">
          <cell r="O147">
            <v>0</v>
          </cell>
        </row>
        <row r="148">
          <cell r="D148" t="str">
            <v>湖南易兹自动化有限公司</v>
          </cell>
        </row>
        <row r="148">
          <cell r="O148">
            <v>0</v>
          </cell>
        </row>
        <row r="149">
          <cell r="D149" t="str">
            <v>湘潭众冠五金有限公司</v>
          </cell>
        </row>
        <row r="149">
          <cell r="O149">
            <v>497.5</v>
          </cell>
        </row>
        <row r="150">
          <cell r="D150" t="str">
            <v>广州吉中汽车内饰系统有限公司</v>
          </cell>
        </row>
        <row r="150">
          <cell r="O150">
            <v>2621.52</v>
          </cell>
        </row>
        <row r="151">
          <cell r="D151" t="str">
            <v>广州松兴电气股份有限公司</v>
          </cell>
        </row>
        <row r="151">
          <cell r="O151">
            <v>54943.1</v>
          </cell>
        </row>
        <row r="152">
          <cell r="D152" t="str">
            <v>江门东科化工有限公司</v>
          </cell>
        </row>
        <row r="152">
          <cell r="O152">
            <v>0</v>
          </cell>
        </row>
        <row r="153">
          <cell r="D153" t="str">
            <v>深圳市和和机械有限公司</v>
          </cell>
        </row>
        <row r="153">
          <cell r="O153">
            <v>0</v>
          </cell>
        </row>
        <row r="154">
          <cell r="D154" t="str">
            <v>广州市耐迪涂料有限公司</v>
          </cell>
        </row>
        <row r="154">
          <cell r="O154">
            <v>760</v>
          </cell>
        </row>
        <row r="155">
          <cell r="D155" t="str">
            <v>佛山市顺德区勒流华通机电设备</v>
          </cell>
        </row>
        <row r="155">
          <cell r="O155">
            <v>0</v>
          </cell>
        </row>
        <row r="156">
          <cell r="D156" t="str">
            <v>广州市信征汽车零件有限公司</v>
          </cell>
        </row>
        <row r="156">
          <cell r="O156">
            <v>452546.91</v>
          </cell>
        </row>
        <row r="157">
          <cell r="D157" t="str">
            <v>重庆幻速汽车配件有限公司</v>
          </cell>
        </row>
        <row r="157">
          <cell r="O157">
            <v>15050.16</v>
          </cell>
        </row>
        <row r="158">
          <cell r="D158" t="str">
            <v>重庆聚贤汽车零部件制造有限公</v>
          </cell>
        </row>
        <row r="158">
          <cell r="O158">
            <v>0</v>
          </cell>
        </row>
        <row r="159">
          <cell r="D159" t="str">
            <v>浙江维日托自动化科技有限公司</v>
          </cell>
        </row>
        <row r="159">
          <cell r="O159">
            <v>0</v>
          </cell>
        </row>
        <row r="160">
          <cell r="D160" t="str">
            <v>广州熙锐自动化设备有限公司</v>
          </cell>
        </row>
        <row r="160">
          <cell r="O160">
            <v>0</v>
          </cell>
        </row>
        <row r="161">
          <cell r="D161" t="str">
            <v>常州宝虎汽车配件有限公司</v>
          </cell>
        </row>
        <row r="161">
          <cell r="O161">
            <v>0</v>
          </cell>
        </row>
        <row r="162">
          <cell r="D162" t="str">
            <v>山东蓝星东大有限公司</v>
          </cell>
        </row>
        <row r="162">
          <cell r="O162">
            <v>-566</v>
          </cell>
        </row>
        <row r="163">
          <cell r="D163" t="str">
            <v>停用-湘乡简美工贸有限公司</v>
          </cell>
        </row>
        <row r="163">
          <cell r="O163">
            <v>0</v>
          </cell>
        </row>
        <row r="164">
          <cell r="D164" t="str">
            <v>株洲铖亿轨道交通技术有限</v>
          </cell>
        </row>
        <row r="164">
          <cell r="O164">
            <v>75967.64</v>
          </cell>
        </row>
        <row r="165">
          <cell r="D165" t="str">
            <v>广州市盈尔安防火材料有限公司</v>
          </cell>
        </row>
        <row r="165">
          <cell r="O165">
            <v>7961.51</v>
          </cell>
        </row>
        <row r="166">
          <cell r="D166" t="str">
            <v>湖南蝴蝶智能科技有限公司</v>
          </cell>
        </row>
        <row r="166">
          <cell r="O166">
            <v>0</v>
          </cell>
        </row>
        <row r="167">
          <cell r="D167" t="str">
            <v>醴陵广仁环保科技有限公司</v>
          </cell>
        </row>
        <row r="167">
          <cell r="O167">
            <v>3368.22</v>
          </cell>
        </row>
        <row r="168">
          <cell r="D168" t="str">
            <v>长沙真旺钢铁贸易有限公司</v>
          </cell>
        </row>
        <row r="168">
          <cell r="O168">
            <v>-10623.91</v>
          </cell>
        </row>
        <row r="169">
          <cell r="D169" t="str">
            <v>湖北瑞彼德自动化有限公司</v>
          </cell>
        </row>
        <row r="169">
          <cell r="O169">
            <v>0</v>
          </cell>
        </row>
        <row r="170">
          <cell r="D170" t="str">
            <v>深州市晶立泰机械配件有限公司</v>
          </cell>
        </row>
        <row r="170">
          <cell r="O170">
            <v>24846.2</v>
          </cell>
        </row>
        <row r="171">
          <cell r="D171" t="str">
            <v>山东鼎信新材料科技有限公司</v>
          </cell>
        </row>
        <row r="171">
          <cell r="O171">
            <v>22774.59</v>
          </cell>
        </row>
        <row r="172">
          <cell r="D172" t="str">
            <v>湖南诺亿科技有限公司</v>
          </cell>
        </row>
        <row r="172">
          <cell r="O172">
            <v>317723.08</v>
          </cell>
        </row>
        <row r="173">
          <cell r="D173" t="str">
            <v>浙江泰极信汽车部件有限公司</v>
          </cell>
        </row>
        <row r="173">
          <cell r="O173">
            <v>0</v>
          </cell>
        </row>
        <row r="174">
          <cell r="D174" t="str">
            <v>陕西擎创艺汽车零配件制造有限</v>
          </cell>
        </row>
        <row r="174">
          <cell r="O174">
            <v>0</v>
          </cell>
        </row>
        <row r="175">
          <cell r="D175" t="str">
            <v>长春超力内饰件有限公司</v>
          </cell>
        </row>
        <row r="175">
          <cell r="O175">
            <v>21652.61</v>
          </cell>
        </row>
        <row r="176">
          <cell r="D176" t="str">
            <v>重庆乐康汽车配件有限公司</v>
          </cell>
        </row>
        <row r="176">
          <cell r="O176">
            <v>0</v>
          </cell>
        </row>
        <row r="177">
          <cell r="D177" t="str">
            <v>重庆市宏立摩托车制造有限公司</v>
          </cell>
        </row>
        <row r="177">
          <cell r="O177">
            <v>122571.67</v>
          </cell>
        </row>
        <row r="178">
          <cell r="D178" t="str">
            <v>麦格纳宏立汽车系统集团有限公</v>
          </cell>
        </row>
        <row r="178">
          <cell r="O178">
            <v>0</v>
          </cell>
        </row>
        <row r="179">
          <cell r="D179" t="str">
            <v>上海菱林自动化科技有限公司</v>
          </cell>
        </row>
        <row r="179">
          <cell r="O179">
            <v>0</v>
          </cell>
        </row>
        <row r="180">
          <cell r="D180" t="str">
            <v>长沙市跨越物流有限公司</v>
          </cell>
        </row>
        <row r="180">
          <cell r="O180">
            <v>0</v>
          </cell>
        </row>
        <row r="181">
          <cell r="D181" t="str">
            <v>湖北欣辰达商贸有限公司</v>
          </cell>
        </row>
        <row r="181">
          <cell r="O181">
            <v>0</v>
          </cell>
        </row>
        <row r="182">
          <cell r="D182" t="str">
            <v>湖南裕腾兴汽车配件有限公司</v>
          </cell>
        </row>
        <row r="182">
          <cell r="O182">
            <v>280465.08</v>
          </cell>
        </row>
        <row r="183">
          <cell r="D183" t="str">
            <v>广东佰匠模具科技有限公司</v>
          </cell>
        </row>
        <row r="183">
          <cell r="O183">
            <v>-27216</v>
          </cell>
        </row>
        <row r="184">
          <cell r="D184" t="str">
            <v>上海衡驰化工有限公司</v>
          </cell>
        </row>
        <row r="184">
          <cell r="O184">
            <v>0</v>
          </cell>
        </row>
        <row r="185">
          <cell r="D185" t="str">
            <v>胜华波汽车电器（滁州）有限公</v>
          </cell>
        </row>
        <row r="185">
          <cell r="O185">
            <v>0</v>
          </cell>
        </row>
        <row r="186">
          <cell r="D186" t="str">
            <v>株洲诚康实业有限责任公司</v>
          </cell>
        </row>
        <row r="186">
          <cell r="O186">
            <v>11033.01</v>
          </cell>
        </row>
        <row r="187">
          <cell r="D187" t="str">
            <v>湖南奥瑞格工贸有限公司</v>
          </cell>
        </row>
        <row r="187">
          <cell r="O187">
            <v>9576</v>
          </cell>
        </row>
        <row r="188">
          <cell r="D188" t="str">
            <v>湖南博恒机械设备有限公司</v>
          </cell>
        </row>
        <row r="188">
          <cell r="O188">
            <v>0</v>
          </cell>
        </row>
        <row r="189">
          <cell r="D189" t="str">
            <v>湖南鸿骏机电有限公司</v>
          </cell>
        </row>
        <row r="189">
          <cell r="O189">
            <v>0</v>
          </cell>
        </row>
        <row r="190">
          <cell r="D190" t="str">
            <v>十堰市盈旭工贸有限公司</v>
          </cell>
        </row>
        <row r="190">
          <cell r="O190">
            <v>0</v>
          </cell>
        </row>
        <row r="191">
          <cell r="D191" t="str">
            <v>湖南兴天宏实业有限公司</v>
          </cell>
        </row>
        <row r="191">
          <cell r="O191">
            <v>115659.87</v>
          </cell>
        </row>
        <row r="192">
          <cell r="D192" t="str">
            <v>武汉金悦力化工科技有限公司</v>
          </cell>
        </row>
        <row r="192">
          <cell r="O192">
            <v>0</v>
          </cell>
        </row>
        <row r="193">
          <cell r="D193" t="str">
            <v>湖南诚俊自动化科技有限公司</v>
          </cell>
        </row>
        <row r="193">
          <cell r="O193">
            <v>20</v>
          </cell>
        </row>
        <row r="194">
          <cell r="D194" t="str">
            <v>山东鼎昌智能科技有限公司</v>
          </cell>
        </row>
        <row r="194">
          <cell r="O194">
            <v>38188.24</v>
          </cell>
        </row>
        <row r="195">
          <cell r="D195" t="str">
            <v>潍坊鑫腾物流有限公司</v>
          </cell>
        </row>
        <row r="195">
          <cell r="O195">
            <v>0</v>
          </cell>
        </row>
        <row r="196">
          <cell r="D196" t="str">
            <v>湖南容正环保科技有限公司</v>
          </cell>
        </row>
        <row r="196">
          <cell r="O196">
            <v>0</v>
          </cell>
        </row>
        <row r="197">
          <cell r="D197" t="str">
            <v>湖南道同生态环境科技有限公司</v>
          </cell>
        </row>
        <row r="197">
          <cell r="O197">
            <v>0</v>
          </cell>
        </row>
        <row r="198">
          <cell r="D198" t="str">
            <v>广州可卓材料科技有限公司</v>
          </cell>
        </row>
        <row r="198">
          <cell r="O198">
            <v>0</v>
          </cell>
        </row>
        <row r="199">
          <cell r="D199" t="str">
            <v>株洲市华龙特种气体有限公司</v>
          </cell>
        </row>
        <row r="199">
          <cell r="O199">
            <v>0</v>
          </cell>
        </row>
        <row r="200">
          <cell r="D200" t="str">
            <v>湖南金远东汽车部件有限公司</v>
          </cell>
        </row>
        <row r="200">
          <cell r="O200">
            <v>0</v>
          </cell>
        </row>
        <row r="201">
          <cell r="D201" t="str">
            <v>汇阅（上海）新材料科技有限公</v>
          </cell>
        </row>
        <row r="201">
          <cell r="O201">
            <v>0</v>
          </cell>
        </row>
        <row r="202">
          <cell r="D202" t="str">
            <v>株洲和元智能科技有限公司</v>
          </cell>
        </row>
        <row r="202">
          <cell r="O202">
            <v>0</v>
          </cell>
        </row>
        <row r="203">
          <cell r="D203" t="str">
            <v>无锡市康尼化工有限公司</v>
          </cell>
        </row>
        <row r="203">
          <cell r="O203">
            <v>0</v>
          </cell>
        </row>
        <row r="204">
          <cell r="D204" t="str">
            <v>山东锐王工业科技有限公司</v>
          </cell>
        </row>
        <row r="204">
          <cell r="O204">
            <v>0</v>
          </cell>
        </row>
        <row r="205">
          <cell r="D205" t="str">
            <v>上海凯密克新材料有限公司</v>
          </cell>
        </row>
        <row r="205">
          <cell r="O205">
            <v>0</v>
          </cell>
        </row>
        <row r="206">
          <cell r="D206" t="str">
            <v>常州立天汽车零部件有限公司</v>
          </cell>
        </row>
        <row r="206">
          <cell r="O206">
            <v>0</v>
          </cell>
        </row>
        <row r="207">
          <cell r="D207" t="str">
            <v>台州市黄岩增益模塑有限公司</v>
          </cell>
        </row>
        <row r="207">
          <cell r="O207">
            <v>2927</v>
          </cell>
        </row>
        <row r="208">
          <cell r="D208" t="str">
            <v>河北莫特美橡塑科技有限公司</v>
          </cell>
        </row>
        <row r="208">
          <cell r="O208">
            <v>79817.67</v>
          </cell>
        </row>
        <row r="209">
          <cell r="D209" t="str">
            <v>长沙享鑫机械有限公司</v>
          </cell>
        </row>
        <row r="209">
          <cell r="O209">
            <v>0</v>
          </cell>
        </row>
        <row r="210">
          <cell r="D210" t="str">
            <v>北京美好生活家居用品有限公司</v>
          </cell>
        </row>
        <row r="210">
          <cell r="O210">
            <v>76135.85</v>
          </cell>
        </row>
        <row r="211">
          <cell r="D211" t="str">
            <v>天津力登维汽车部件有限公司</v>
          </cell>
        </row>
        <row r="211">
          <cell r="O211">
            <v>226113.92</v>
          </cell>
        </row>
        <row r="212">
          <cell r="D212" t="str">
            <v>天津鑫淼塑料制品有限公司</v>
          </cell>
        </row>
        <row r="212">
          <cell r="O212">
            <v>89496</v>
          </cell>
        </row>
        <row r="213">
          <cell r="D213" t="str">
            <v>沧州宇诺五金制造有限公司</v>
          </cell>
        </row>
        <row r="213">
          <cell r="O213">
            <v>13326.59</v>
          </cell>
        </row>
        <row r="214">
          <cell r="D214" t="str">
            <v>泊头市捷润五金制品有限公司</v>
          </cell>
        </row>
        <row r="214">
          <cell r="O214">
            <v>0</v>
          </cell>
        </row>
        <row r="215">
          <cell r="D215" t="str">
            <v>霸州市政锦五金制品有限公司</v>
          </cell>
        </row>
        <row r="215">
          <cell r="O215">
            <v>7983.45</v>
          </cell>
        </row>
        <row r="216">
          <cell r="D216" t="str">
            <v>河北方基恒达汽车部件有限公司</v>
          </cell>
        </row>
        <row r="216">
          <cell r="O216">
            <v>0</v>
          </cell>
        </row>
        <row r="217">
          <cell r="D217" t="str">
            <v>清河县沁园汽车零部件有限公司</v>
          </cell>
        </row>
        <row r="217">
          <cell r="O217">
            <v>10122.54</v>
          </cell>
        </row>
        <row r="218">
          <cell r="D218" t="str">
            <v>霸州市汇行汽车零部件有限公司</v>
          </cell>
        </row>
        <row r="218">
          <cell r="O218">
            <v>2623.12</v>
          </cell>
        </row>
        <row r="219">
          <cell r="D219" t="str">
            <v>新梦顶（上海）贸易有限公司</v>
          </cell>
        </row>
        <row r="219">
          <cell r="O219">
            <v>0</v>
          </cell>
        </row>
        <row r="220">
          <cell r="D220" t="str">
            <v>上海绽奇汽车部件有限公司</v>
          </cell>
        </row>
        <row r="220">
          <cell r="O220">
            <v>0</v>
          </cell>
        </row>
        <row r="221">
          <cell r="D221" t="str">
            <v>俱泰(上海)汽车零部件有限公司</v>
          </cell>
        </row>
        <row r="221">
          <cell r="O221">
            <v>105580.99</v>
          </cell>
        </row>
        <row r="222">
          <cell r="D222" t="str">
            <v>江苏万金汽车零部件制造有限公</v>
          </cell>
        </row>
        <row r="222">
          <cell r="O222">
            <v>47071.28</v>
          </cell>
        </row>
        <row r="223">
          <cell r="D223" t="str">
            <v>江苏凌派通信科技有限公司</v>
          </cell>
        </row>
        <row r="223">
          <cell r="O223">
            <v>0</v>
          </cell>
        </row>
        <row r="224">
          <cell r="D224" t="str">
            <v>徐州睿轴琦机械设备有限公司</v>
          </cell>
        </row>
        <row r="224">
          <cell r="O224">
            <v>0</v>
          </cell>
        </row>
        <row r="225">
          <cell r="D225" t="str">
            <v>无锡市奇胜五金制品有限公司</v>
          </cell>
        </row>
        <row r="225">
          <cell r="O225">
            <v>15000</v>
          </cell>
        </row>
        <row r="226">
          <cell r="D226" t="str">
            <v>江阴同威科技有限公司</v>
          </cell>
        </row>
        <row r="226">
          <cell r="O226">
            <v>11270.6</v>
          </cell>
        </row>
        <row r="227">
          <cell r="D227" t="str">
            <v>昆山吉山会津塑料工业股份有限</v>
          </cell>
        </row>
        <row r="227">
          <cell r="O227">
            <v>5720.63</v>
          </cell>
        </row>
        <row r="228">
          <cell r="D228" t="str">
            <v>无锡中天汽车部件有限公司</v>
          </cell>
        </row>
        <row r="228">
          <cell r="O228">
            <v>21022.78</v>
          </cell>
        </row>
        <row r="229">
          <cell r="D229" t="str">
            <v>维克罗（中国）搭扣系统有限公</v>
          </cell>
        </row>
        <row r="229">
          <cell r="O229">
            <v>7739.9</v>
          </cell>
        </row>
        <row r="230">
          <cell r="D230" t="str">
            <v>慈溪市维克多自控元件有限公司</v>
          </cell>
        </row>
        <row r="230">
          <cell r="O230">
            <v>0</v>
          </cell>
        </row>
        <row r="231">
          <cell r="D231" t="str">
            <v>芜湖市卓人汽车配件有限责任公</v>
          </cell>
        </row>
        <row r="231">
          <cell r="O231">
            <v>0</v>
          </cell>
        </row>
        <row r="232">
          <cell r="D232" t="str">
            <v>江西北汽海纳川星徽汽车部件有</v>
          </cell>
        </row>
        <row r="232">
          <cell r="O232">
            <v>0</v>
          </cell>
        </row>
        <row r="233">
          <cell r="D233" t="str">
            <v>山东金达汽车部件制造股份有限</v>
          </cell>
        </row>
        <row r="233">
          <cell r="O233">
            <v>0</v>
          </cell>
        </row>
        <row r="234">
          <cell r="D234" t="str">
            <v>武汉凯密科汽车零部件有限公司</v>
          </cell>
        </row>
        <row r="234">
          <cell r="O234">
            <v>76877.75</v>
          </cell>
        </row>
        <row r="235">
          <cell r="D235" t="str">
            <v>广州市三泰汽车内饰材料有限公</v>
          </cell>
        </row>
        <row r="235">
          <cell r="O235">
            <v>39631.36</v>
          </cell>
        </row>
        <row r="236">
          <cell r="D236" t="str">
            <v>广州自强汽车零部件有限公司</v>
          </cell>
        </row>
        <row r="236">
          <cell r="O236">
            <v>55019.85</v>
          </cell>
        </row>
        <row r="237">
          <cell r="D237" t="str">
            <v>重庆厚元汽车配件有限公司</v>
          </cell>
        </row>
        <row r="237">
          <cell r="O237">
            <v>149827.14</v>
          </cell>
        </row>
        <row r="238">
          <cell r="D238" t="str">
            <v>重庆品高弹簧有限公司</v>
          </cell>
        </row>
        <row r="238">
          <cell r="O238">
            <v>143124.1</v>
          </cell>
        </row>
        <row r="239">
          <cell r="D239" t="str">
            <v/>
          </cell>
        </row>
        <row r="239">
          <cell r="O239">
            <v>-35898858.48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搜索条件"/>
      <sheetName val="信息"/>
    </sheetNames>
    <sheetDataSet>
      <sheetData sheetId="0">
        <row r="1">
          <cell r="P1" t="str">
            <v>借方金额</v>
          </cell>
          <cell r="Q1" t="str">
            <v>贷方金额</v>
          </cell>
        </row>
        <row r="1">
          <cell r="S1" t="str">
            <v>名称</v>
          </cell>
        </row>
        <row r="2">
          <cell r="P2">
            <v>0</v>
          </cell>
          <cell r="Q2">
            <v>23061.04</v>
          </cell>
        </row>
        <row r="2">
          <cell r="S2" t="str">
            <v>重庆品高弹簧有限公司</v>
          </cell>
        </row>
        <row r="3">
          <cell r="P3">
            <v>0</v>
          </cell>
          <cell r="Q3">
            <v>874.37</v>
          </cell>
        </row>
        <row r="3">
          <cell r="S3" t="str">
            <v>霸州市汇行汽车零部件有限公司</v>
          </cell>
        </row>
        <row r="4">
          <cell r="P4">
            <v>0</v>
          </cell>
          <cell r="Q4">
            <v>48626.14</v>
          </cell>
        </row>
        <row r="4">
          <cell r="S4" t="str">
            <v>湖南裕腾兴汽车配件有限公司</v>
          </cell>
        </row>
        <row r="5">
          <cell r="P5">
            <v>325.65</v>
          </cell>
          <cell r="Q5">
            <v>0</v>
          </cell>
        </row>
        <row r="5">
          <cell r="S5" t="str">
            <v>湖南裕腾兴汽车配件有限公司</v>
          </cell>
        </row>
        <row r="6">
          <cell r="P6">
            <v>0</v>
          </cell>
          <cell r="Q6">
            <v>0.02</v>
          </cell>
        </row>
        <row r="6">
          <cell r="S6" t="str">
            <v>湖南裕腾兴汽车配件有限公司</v>
          </cell>
        </row>
        <row r="7">
          <cell r="P7">
            <v>0</v>
          </cell>
          <cell r="Q7">
            <v>295107.35</v>
          </cell>
        </row>
        <row r="7">
          <cell r="S7" t="str">
            <v>湖南凌天汽车零部件有限公司</v>
          </cell>
        </row>
        <row r="8">
          <cell r="P8">
            <v>29.68</v>
          </cell>
          <cell r="Q8">
            <v>0</v>
          </cell>
        </row>
        <row r="8">
          <cell r="S8" t="str">
            <v>湖南凌天汽车零部件有限公司</v>
          </cell>
        </row>
        <row r="9">
          <cell r="P9">
            <v>0</v>
          </cell>
          <cell r="Q9">
            <v>6000.3</v>
          </cell>
        </row>
        <row r="9">
          <cell r="S9" t="str">
            <v>湘潭市忠强气体有限公司</v>
          </cell>
        </row>
        <row r="10">
          <cell r="P10">
            <v>0</v>
          </cell>
          <cell r="Q10">
            <v>41401.11</v>
          </cell>
        </row>
        <row r="10">
          <cell r="S10" t="str">
            <v>武汉凯密科汽车零部件有限公司</v>
          </cell>
        </row>
        <row r="11">
          <cell r="P11">
            <v>26.7</v>
          </cell>
          <cell r="Q11">
            <v>0</v>
          </cell>
        </row>
        <row r="11">
          <cell r="S11" t="str">
            <v>武汉凯密科汽车零部件有限公司</v>
          </cell>
        </row>
        <row r="12">
          <cell r="P12">
            <v>0.03</v>
          </cell>
          <cell r="Q12">
            <v>0</v>
          </cell>
        </row>
        <row r="12">
          <cell r="S12" t="str">
            <v>武汉凯密科汽车零部件有限公司</v>
          </cell>
        </row>
        <row r="13">
          <cell r="P13">
            <v>0</v>
          </cell>
          <cell r="Q13">
            <v>20813.33</v>
          </cell>
        </row>
        <row r="13">
          <cell r="S13" t="str">
            <v>浙江松原汽车安全系统股份有限</v>
          </cell>
        </row>
        <row r="14">
          <cell r="P14">
            <v>489.6</v>
          </cell>
          <cell r="Q14">
            <v>0</v>
          </cell>
        </row>
        <row r="14">
          <cell r="S14" t="str">
            <v>浙江松原汽车安全系统股份有限</v>
          </cell>
        </row>
        <row r="15">
          <cell r="P15">
            <v>0</v>
          </cell>
          <cell r="Q15">
            <v>24282.22</v>
          </cell>
        </row>
        <row r="15">
          <cell r="S15" t="str">
            <v>浙江松原汽车安全系统股份有限</v>
          </cell>
        </row>
        <row r="16">
          <cell r="P16">
            <v>571.2</v>
          </cell>
          <cell r="Q16">
            <v>0</v>
          </cell>
        </row>
        <row r="16">
          <cell r="S16" t="str">
            <v>浙江松原汽车安全系统股份有限</v>
          </cell>
        </row>
        <row r="17">
          <cell r="P17">
            <v>0</v>
          </cell>
          <cell r="Q17">
            <v>101272.94</v>
          </cell>
        </row>
        <row r="17">
          <cell r="S17" t="str">
            <v>武汉德锐隆科技有限公司</v>
          </cell>
        </row>
        <row r="18">
          <cell r="P18">
            <v>72.8</v>
          </cell>
          <cell r="Q18">
            <v>0</v>
          </cell>
        </row>
        <row r="18">
          <cell r="S18" t="str">
            <v>武汉德锐隆科技有限公司</v>
          </cell>
        </row>
        <row r="19">
          <cell r="P19">
            <v>0</v>
          </cell>
          <cell r="Q19">
            <v>106878.23</v>
          </cell>
        </row>
        <row r="19">
          <cell r="S19" t="str">
            <v>天津力登维汽车部件有限公司</v>
          </cell>
        </row>
        <row r="20">
          <cell r="P20">
            <v>0</v>
          </cell>
          <cell r="Q20">
            <v>12458.85</v>
          </cell>
        </row>
        <row r="20">
          <cell r="S20" t="str">
            <v>天津琪安科技有限公司</v>
          </cell>
        </row>
        <row r="21">
          <cell r="P21">
            <v>0</v>
          </cell>
          <cell r="Q21">
            <v>775665.36</v>
          </cell>
        </row>
        <row r="21">
          <cell r="S21" t="str">
            <v>湖南中道机械设备有限公司</v>
          </cell>
        </row>
        <row r="22">
          <cell r="P22">
            <v>414.24</v>
          </cell>
          <cell r="Q22">
            <v>0</v>
          </cell>
        </row>
        <row r="22">
          <cell r="S22" t="str">
            <v>湖南中道机械设备有限公司</v>
          </cell>
        </row>
        <row r="23">
          <cell r="P23">
            <v>0</v>
          </cell>
          <cell r="Q23">
            <v>33470.58</v>
          </cell>
        </row>
        <row r="23">
          <cell r="S23" t="str">
            <v>重庆光大产业有限公司</v>
          </cell>
        </row>
        <row r="24">
          <cell r="P24">
            <v>1037.64</v>
          </cell>
          <cell r="Q24">
            <v>0</v>
          </cell>
        </row>
        <row r="24">
          <cell r="S24" t="str">
            <v>重庆光大产业有限公司</v>
          </cell>
        </row>
        <row r="25">
          <cell r="P25">
            <v>0</v>
          </cell>
          <cell r="Q25">
            <v>132130.2</v>
          </cell>
        </row>
        <row r="25">
          <cell r="S25" t="str">
            <v>溧阳鑫岩汽车零部件有限公司</v>
          </cell>
        </row>
        <row r="26">
          <cell r="P26">
            <v>2609.51</v>
          </cell>
          <cell r="Q26">
            <v>0</v>
          </cell>
        </row>
        <row r="26">
          <cell r="S26" t="str">
            <v>溧阳鑫岩汽车零部件有限公司</v>
          </cell>
        </row>
        <row r="27">
          <cell r="P27">
            <v>0</v>
          </cell>
          <cell r="Q27">
            <v>57560.7</v>
          </cell>
        </row>
        <row r="27">
          <cell r="S27" t="str">
            <v>黄骅市雍丰塑料制品有限公司</v>
          </cell>
        </row>
        <row r="28">
          <cell r="P28">
            <v>1928.12</v>
          </cell>
          <cell r="Q28">
            <v>0</v>
          </cell>
        </row>
        <row r="28">
          <cell r="S28" t="str">
            <v>黄骅市雍丰塑料制品有限公司</v>
          </cell>
        </row>
        <row r="29">
          <cell r="P29">
            <v>0</v>
          </cell>
          <cell r="Q29">
            <v>22332.39</v>
          </cell>
        </row>
        <row r="29">
          <cell r="S29" t="str">
            <v>霸州市自强汽车零部件厂</v>
          </cell>
        </row>
        <row r="30">
          <cell r="P30">
            <v>0</v>
          </cell>
          <cell r="Q30">
            <v>26006.5</v>
          </cell>
        </row>
        <row r="30">
          <cell r="S30" t="str">
            <v>廊坊市烁鑫汽车配件有限公司</v>
          </cell>
        </row>
        <row r="31">
          <cell r="P31">
            <v>0</v>
          </cell>
          <cell r="Q31">
            <v>3478.14</v>
          </cell>
        </row>
        <row r="31">
          <cell r="S31" t="str">
            <v>清河县沁园汽车零部件有限公司</v>
          </cell>
        </row>
        <row r="32">
          <cell r="P32">
            <v>0</v>
          </cell>
          <cell r="Q32">
            <v>19537.7</v>
          </cell>
        </row>
        <row r="32">
          <cell r="S32" t="str">
            <v>沧州临港明康汽车配件有限公司</v>
          </cell>
        </row>
        <row r="33">
          <cell r="P33">
            <v>0</v>
          </cell>
          <cell r="Q33">
            <v>4486.76</v>
          </cell>
        </row>
        <row r="33">
          <cell r="S33" t="str">
            <v>深州市晶立泰机械配件有限公司</v>
          </cell>
        </row>
        <row r="34">
          <cell r="P34">
            <v>461.96</v>
          </cell>
          <cell r="Q34">
            <v>0</v>
          </cell>
        </row>
        <row r="34">
          <cell r="S34" t="str">
            <v>深州市晶立泰机械配件有限公司</v>
          </cell>
        </row>
        <row r="35">
          <cell r="P35">
            <v>0</v>
          </cell>
          <cell r="Q35">
            <v>1039.6</v>
          </cell>
        </row>
        <row r="35">
          <cell r="S35" t="str">
            <v>芜湖市卓人汽车配件有限责任公</v>
          </cell>
        </row>
        <row r="36">
          <cell r="P36">
            <v>0</v>
          </cell>
          <cell r="Q36">
            <v>11517.66</v>
          </cell>
        </row>
        <row r="36">
          <cell r="S36" t="str">
            <v>湖南奥瑞格工贸有限公司</v>
          </cell>
        </row>
        <row r="37">
          <cell r="P37">
            <v>1941.66</v>
          </cell>
          <cell r="Q37">
            <v>0</v>
          </cell>
        </row>
        <row r="37">
          <cell r="S37" t="str">
            <v>湖南奥瑞格工贸有限公司</v>
          </cell>
        </row>
        <row r="38">
          <cell r="P38">
            <v>0</v>
          </cell>
          <cell r="Q38">
            <v>49171.55</v>
          </cell>
        </row>
        <row r="38">
          <cell r="S38" t="str">
            <v>长沙真旺钢铁贸易有限公司</v>
          </cell>
        </row>
        <row r="39">
          <cell r="P39">
            <v>3554.75</v>
          </cell>
          <cell r="Q39">
            <v>0</v>
          </cell>
        </row>
        <row r="39">
          <cell r="S39" t="str">
            <v>长沙真旺钢铁贸易有限公司</v>
          </cell>
        </row>
        <row r="40">
          <cell r="P40">
            <v>0</v>
          </cell>
          <cell r="Q40">
            <v>57517.95</v>
          </cell>
        </row>
        <row r="40">
          <cell r="S40" t="str">
            <v>北京光华荣昌汽车部件有限公司</v>
          </cell>
        </row>
        <row r="41">
          <cell r="P41">
            <v>0</v>
          </cell>
          <cell r="Q41">
            <v>13262.36</v>
          </cell>
        </row>
        <row r="41">
          <cell r="S41" t="str">
            <v>无锡中天汽车部件有限公司</v>
          </cell>
        </row>
        <row r="42">
          <cell r="P42">
            <v>0</v>
          </cell>
          <cell r="Q42">
            <v>11460.46</v>
          </cell>
        </row>
        <row r="42">
          <cell r="S42" t="str">
            <v>广州市三泰汽车内饰材料有限公</v>
          </cell>
        </row>
        <row r="43">
          <cell r="P43">
            <v>0</v>
          </cell>
          <cell r="Q43">
            <v>34578</v>
          </cell>
        </row>
        <row r="43">
          <cell r="S43" t="str">
            <v>天津鑫淼塑料制品有限公司</v>
          </cell>
        </row>
        <row r="44">
          <cell r="P44">
            <v>0</v>
          </cell>
          <cell r="Q44">
            <v>31448.35</v>
          </cell>
        </row>
        <row r="44">
          <cell r="S44" t="str">
            <v>吉林省方舟电子科技有限公司</v>
          </cell>
        </row>
        <row r="45">
          <cell r="P45">
            <v>0</v>
          </cell>
          <cell r="Q45">
            <v>3670.46</v>
          </cell>
        </row>
        <row r="45">
          <cell r="S45" t="str">
            <v>维克罗（中国）搭扣系统有限公</v>
          </cell>
        </row>
        <row r="46">
          <cell r="P46">
            <v>0</v>
          </cell>
          <cell r="Q46">
            <v>4169.7</v>
          </cell>
        </row>
        <row r="46">
          <cell r="S46" t="str">
            <v>湖北伟士通汽车零件有限公司</v>
          </cell>
        </row>
        <row r="47">
          <cell r="P47">
            <v>0</v>
          </cell>
          <cell r="Q47">
            <v>218896.65</v>
          </cell>
        </row>
        <row r="47">
          <cell r="S47" t="str">
            <v>长春富维安道拓汽车金属零部件</v>
          </cell>
        </row>
        <row r="48">
          <cell r="P48">
            <v>11244.8</v>
          </cell>
          <cell r="Q48">
            <v>0</v>
          </cell>
        </row>
        <row r="48">
          <cell r="S48" t="str">
            <v>长春富维安道拓汽车金属零部件</v>
          </cell>
        </row>
        <row r="49">
          <cell r="P49">
            <v>0</v>
          </cell>
          <cell r="Q49">
            <v>27403.71</v>
          </cell>
        </row>
        <row r="49">
          <cell r="S49" t="str">
            <v>湖南兴天宏实业有限公司</v>
          </cell>
        </row>
        <row r="50">
          <cell r="P50">
            <v>0</v>
          </cell>
          <cell r="Q50">
            <v>65445.65</v>
          </cell>
        </row>
        <row r="50">
          <cell r="S50" t="str">
            <v>俱泰(上海)汽车零部件有限公司</v>
          </cell>
        </row>
        <row r="51">
          <cell r="P51">
            <v>0</v>
          </cell>
          <cell r="Q51">
            <v>18852.92</v>
          </cell>
        </row>
        <row r="51">
          <cell r="S51" t="str">
            <v>广州市信征汽车零件有限公司</v>
          </cell>
        </row>
        <row r="52">
          <cell r="P52">
            <v>0</v>
          </cell>
          <cell r="Q52">
            <v>3847.65</v>
          </cell>
        </row>
        <row r="52">
          <cell r="S52" t="str">
            <v>霸州市政锦五金制品有限公司</v>
          </cell>
        </row>
        <row r="53">
          <cell r="P53">
            <v>0</v>
          </cell>
          <cell r="Q53">
            <v>123779.07</v>
          </cell>
        </row>
        <row r="53">
          <cell r="S53" t="str">
            <v>江苏力乐汽车部件股份有限公司</v>
          </cell>
        </row>
        <row r="54">
          <cell r="P54">
            <v>0</v>
          </cell>
          <cell r="Q54">
            <v>1748.75</v>
          </cell>
        </row>
        <row r="54">
          <cell r="S54" t="str">
            <v>霸州市汇行汽车零部件有限公司</v>
          </cell>
        </row>
        <row r="55">
          <cell r="P55">
            <v>0</v>
          </cell>
          <cell r="Q55">
            <v>35503.37</v>
          </cell>
        </row>
        <row r="55">
          <cell r="S55" t="str">
            <v>武汉凯密科汽车零部件有限公司</v>
          </cell>
        </row>
        <row r="56">
          <cell r="P56">
            <v>0</v>
          </cell>
          <cell r="Q56">
            <v>678</v>
          </cell>
        </row>
        <row r="56">
          <cell r="S56" t="str">
            <v>重庆市宏立摩托车制造有限公司</v>
          </cell>
        </row>
        <row r="57">
          <cell r="P57">
            <v>0</v>
          </cell>
          <cell r="Q57">
            <v>46646.4</v>
          </cell>
        </row>
        <row r="57">
          <cell r="S57" t="str">
            <v>惠州市唐群座椅科技股份有限公</v>
          </cell>
        </row>
        <row r="58">
          <cell r="P58">
            <v>0</v>
          </cell>
          <cell r="Q58">
            <v>59100.25</v>
          </cell>
        </row>
        <row r="58">
          <cell r="S58" t="str">
            <v>湖南诺亿科技有限公司</v>
          </cell>
        </row>
        <row r="59">
          <cell r="P59">
            <v>0</v>
          </cell>
          <cell r="Q59">
            <v>142974.79</v>
          </cell>
        </row>
        <row r="59">
          <cell r="S59" t="str">
            <v>吉林省德邦汽车电子有限公司</v>
          </cell>
        </row>
        <row r="60">
          <cell r="P60">
            <v>0</v>
          </cell>
          <cell r="Q60">
            <v>22780.8</v>
          </cell>
        </row>
        <row r="60">
          <cell r="S60" t="str">
            <v>胜华波汽车电器（滁州）有限公</v>
          </cell>
        </row>
        <row r="61">
          <cell r="P61">
            <v>0</v>
          </cell>
          <cell r="Q61">
            <v>374347.91</v>
          </cell>
        </row>
        <row r="61">
          <cell r="S61" t="str">
            <v>湘潭湘和汽车零部件制造有限公</v>
          </cell>
        </row>
        <row r="62">
          <cell r="P62">
            <v>1265.31</v>
          </cell>
          <cell r="Q62">
            <v>0</v>
          </cell>
        </row>
        <row r="62">
          <cell r="S62" t="str">
            <v>湘潭湘和汽车零部件制造有限公</v>
          </cell>
        </row>
        <row r="63">
          <cell r="P63">
            <v>0.01</v>
          </cell>
          <cell r="Q63">
            <v>0</v>
          </cell>
        </row>
        <row r="63">
          <cell r="S63" t="str">
            <v>湘潭湘和汽车零部件制造有限公</v>
          </cell>
        </row>
        <row r="64">
          <cell r="P64">
            <v>0</v>
          </cell>
          <cell r="Q64">
            <v>21652.61</v>
          </cell>
        </row>
        <row r="64">
          <cell r="S64" t="str">
            <v>长春超力内饰件有限公司</v>
          </cell>
        </row>
        <row r="65">
          <cell r="P65">
            <v>2532.79</v>
          </cell>
          <cell r="Q65">
            <v>0</v>
          </cell>
        </row>
        <row r="65">
          <cell r="S65" t="str">
            <v>湘乡简美工贸有限公司</v>
          </cell>
        </row>
        <row r="66">
          <cell r="P66">
            <v>0</v>
          </cell>
          <cell r="Q66">
            <v>2053957.49</v>
          </cell>
        </row>
        <row r="66">
          <cell r="S66" t="str">
            <v>湘乡简美工贸有限公司</v>
          </cell>
        </row>
        <row r="67">
          <cell r="P67">
            <v>0.13</v>
          </cell>
          <cell r="Q67">
            <v>0</v>
          </cell>
        </row>
        <row r="67">
          <cell r="S67" t="str">
            <v>湘乡简美工贸有限公司</v>
          </cell>
        </row>
        <row r="68">
          <cell r="P68">
            <v>34976.62</v>
          </cell>
          <cell r="Q68">
            <v>0</v>
          </cell>
        </row>
        <row r="68">
          <cell r="S68" t="str">
            <v>湘乡简美工贸有限公司</v>
          </cell>
        </row>
        <row r="69">
          <cell r="P69">
            <v>0</v>
          </cell>
          <cell r="Q69">
            <v>79798.72</v>
          </cell>
        </row>
        <row r="69">
          <cell r="S69" t="str">
            <v>衡阳县标准件厂株洲销售处</v>
          </cell>
        </row>
        <row r="70">
          <cell r="P70">
            <v>80.73</v>
          </cell>
          <cell r="Q70">
            <v>0</v>
          </cell>
        </row>
        <row r="70">
          <cell r="S70" t="str">
            <v>衡阳县标准件厂株洲销售处</v>
          </cell>
        </row>
        <row r="71">
          <cell r="P71">
            <v>0</v>
          </cell>
          <cell r="Q71">
            <v>0.01</v>
          </cell>
        </row>
        <row r="71">
          <cell r="S71" t="str">
            <v>衡阳县标准件厂株洲销售处</v>
          </cell>
        </row>
        <row r="72">
          <cell r="P72">
            <v>0</v>
          </cell>
          <cell r="Q72">
            <v>28651.35</v>
          </cell>
        </row>
        <row r="72">
          <cell r="S72" t="str">
            <v>黄骅市建昌塑料制品有限公司</v>
          </cell>
        </row>
        <row r="73">
          <cell r="P73">
            <v>1.21</v>
          </cell>
          <cell r="Q73">
            <v>0</v>
          </cell>
        </row>
        <row r="73">
          <cell r="S73" t="str">
            <v>黄骅市建昌塑料制品有限公司</v>
          </cell>
        </row>
        <row r="74">
          <cell r="P74">
            <v>0</v>
          </cell>
          <cell r="Q74">
            <v>19709.37</v>
          </cell>
        </row>
        <row r="74">
          <cell r="S74" t="str">
            <v>黄骅市广亿汽车部件有限公司</v>
          </cell>
        </row>
        <row r="75">
          <cell r="P75">
            <v>0</v>
          </cell>
          <cell r="Q75">
            <v>8877.02</v>
          </cell>
        </row>
        <row r="75">
          <cell r="S75" t="str">
            <v>黄骅市汇铭汽车部件有限公司</v>
          </cell>
        </row>
        <row r="76">
          <cell r="P76">
            <v>171.35</v>
          </cell>
          <cell r="Q76">
            <v>0</v>
          </cell>
        </row>
        <row r="76">
          <cell r="S76" t="str">
            <v>黄骅市汇铭汽车部件有限公司</v>
          </cell>
        </row>
        <row r="77">
          <cell r="P77">
            <v>0</v>
          </cell>
          <cell r="Q77">
            <v>13704.62</v>
          </cell>
        </row>
        <row r="77">
          <cell r="S77" t="str">
            <v>黄骅市汇铭汽车部件有限公司</v>
          </cell>
        </row>
        <row r="78">
          <cell r="P78">
            <v>656.08</v>
          </cell>
          <cell r="Q78">
            <v>0</v>
          </cell>
        </row>
        <row r="78">
          <cell r="S78" t="str">
            <v>黄骅市汇铭汽车部件有限公司</v>
          </cell>
        </row>
        <row r="79">
          <cell r="P79">
            <v>0.02</v>
          </cell>
          <cell r="Q79">
            <v>0</v>
          </cell>
        </row>
        <row r="79">
          <cell r="S79" t="str">
            <v>黄骅市汇铭汽车部件有限公司</v>
          </cell>
        </row>
        <row r="80">
          <cell r="P80">
            <v>0</v>
          </cell>
          <cell r="Q80">
            <v>8066.18</v>
          </cell>
        </row>
        <row r="80">
          <cell r="S80" t="str">
            <v>黄骅市汇铭汽车部件有限公司</v>
          </cell>
        </row>
        <row r="81">
          <cell r="P81">
            <v>384.79</v>
          </cell>
          <cell r="Q81">
            <v>0</v>
          </cell>
        </row>
        <row r="81">
          <cell r="S81" t="str">
            <v>黄骅市汇铭汽车部件有限公司</v>
          </cell>
        </row>
        <row r="82">
          <cell r="P82">
            <v>0</v>
          </cell>
          <cell r="Q82">
            <v>0.01</v>
          </cell>
        </row>
        <row r="82">
          <cell r="S82" t="str">
            <v>黄骅市汇铭汽车部件有限公司</v>
          </cell>
        </row>
        <row r="83">
          <cell r="P83">
            <v>0</v>
          </cell>
          <cell r="Q83">
            <v>11270.6</v>
          </cell>
        </row>
        <row r="83">
          <cell r="S83" t="str">
            <v>江阴同威科技有限公司</v>
          </cell>
        </row>
        <row r="84">
          <cell r="P84">
            <v>0</v>
          </cell>
          <cell r="Q84">
            <v>425970.86</v>
          </cell>
        </row>
        <row r="84">
          <cell r="S84" t="str">
            <v>厦门凯平化工有限公司</v>
          </cell>
        </row>
        <row r="85">
          <cell r="P85">
            <v>122532.86</v>
          </cell>
          <cell r="Q85">
            <v>0</v>
          </cell>
        </row>
        <row r="85">
          <cell r="S85" t="str">
            <v>厦门凯平化工有限公司</v>
          </cell>
        </row>
        <row r="86">
          <cell r="P86">
            <v>0</v>
          </cell>
          <cell r="Q86">
            <v>1571158.62</v>
          </cell>
        </row>
        <row r="86">
          <cell r="S86" t="str">
            <v>河北光华荣昌汽车部件有限公司</v>
          </cell>
        </row>
        <row r="87">
          <cell r="P87">
            <v>11463.16</v>
          </cell>
          <cell r="Q87">
            <v>0</v>
          </cell>
        </row>
        <row r="87">
          <cell r="S87" t="str">
            <v>河北光华荣昌汽车部件有限公司</v>
          </cell>
        </row>
        <row r="88">
          <cell r="P88">
            <v>0.01</v>
          </cell>
          <cell r="Q88">
            <v>0</v>
          </cell>
        </row>
        <row r="88">
          <cell r="S88" t="str">
            <v>河北光华荣昌汽车部件有限公司</v>
          </cell>
        </row>
        <row r="89">
          <cell r="P89">
            <v>0</v>
          </cell>
          <cell r="Q89">
            <v>1559695.45</v>
          </cell>
        </row>
        <row r="89">
          <cell r="S89" t="str">
            <v>北京光华荣昌汽车部件有限公司</v>
          </cell>
        </row>
        <row r="90">
          <cell r="P90">
            <v>1559695.45</v>
          </cell>
          <cell r="Q90">
            <v>0</v>
          </cell>
        </row>
        <row r="90">
          <cell r="S90" t="str">
            <v>河北光华荣昌汽车部件有限公司</v>
          </cell>
        </row>
        <row r="91">
          <cell r="P91">
            <v>0</v>
          </cell>
          <cell r="Q91">
            <v>7503.2</v>
          </cell>
        </row>
        <row r="91">
          <cell r="S91" t="str">
            <v>株洲铖亿轨道交通技术有限</v>
          </cell>
        </row>
        <row r="92">
          <cell r="P92">
            <v>0</v>
          </cell>
          <cell r="Q92">
            <v>3368.22</v>
          </cell>
        </row>
        <row r="92">
          <cell r="S92" t="str">
            <v>醴陵广仁环保科技有限公司</v>
          </cell>
        </row>
        <row r="93">
          <cell r="P93">
            <v>0</v>
          </cell>
          <cell r="Q93">
            <v>5763</v>
          </cell>
        </row>
        <row r="93">
          <cell r="S93" t="str">
            <v>黄骅市成卓汽车部件厂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3月份计划"/>
      <sheetName val="3月份计划-1"/>
      <sheetName val="2月份计划"/>
      <sheetName val="2月份科目余额"/>
      <sheetName val="1月份计划"/>
      <sheetName val="1月份科目余额（2.25导出）"/>
      <sheetName val="1月份挂账"/>
      <sheetName val="2月份挂账"/>
      <sheetName val="Sheet4"/>
    </sheetNames>
    <sheetDataSet>
      <sheetData sheetId="0"/>
      <sheetData sheetId="1">
        <row r="1">
          <cell r="A1" t="str">
            <v>2025年3月付款计划（4月初付款）</v>
          </cell>
        </row>
        <row r="2">
          <cell r="A2" t="str">
            <v>供应商名称</v>
          </cell>
        </row>
        <row r="2">
          <cell r="I2" t="str">
            <v>按2个月账期
计算的到期货款</v>
          </cell>
        </row>
        <row r="3">
          <cell r="A3" t="str">
            <v>重庆厚元汽车配件有限公司</v>
          </cell>
        </row>
        <row r="3">
          <cell r="I3">
            <v>1853.19999999998</v>
          </cell>
        </row>
        <row r="4">
          <cell r="A4" t="str">
            <v>天津琪安科技有限公司</v>
          </cell>
        </row>
        <row r="4">
          <cell r="I4">
            <v>100000</v>
          </cell>
        </row>
        <row r="5">
          <cell r="A5" t="str">
            <v>黄骅市广亿汽车部件有限公司</v>
          </cell>
        </row>
        <row r="5">
          <cell r="I5">
            <v>50000</v>
          </cell>
        </row>
        <row r="6">
          <cell r="A6" t="str">
            <v>霸州市自强汽车零部件厂</v>
          </cell>
        </row>
        <row r="6">
          <cell r="I6">
            <v>16908.28</v>
          </cell>
        </row>
        <row r="7">
          <cell r="A7" t="str">
            <v>海兴中盛弹簧有限公司</v>
          </cell>
        </row>
        <row r="7">
          <cell r="I7">
            <v>0</v>
          </cell>
        </row>
        <row r="8">
          <cell r="A8" t="str">
            <v>沧州临港明康汽车配件有限公司</v>
          </cell>
        </row>
        <row r="8">
          <cell r="I8">
            <v>78601.67</v>
          </cell>
        </row>
        <row r="9">
          <cell r="A9" t="str">
            <v>黄骅市建昌塑料制品有限公司</v>
          </cell>
        </row>
        <row r="9">
          <cell r="I9">
            <v>71377.35</v>
          </cell>
        </row>
        <row r="10">
          <cell r="A10" t="str">
            <v>廊坊市烁鑫汽车配件有限公司</v>
          </cell>
        </row>
        <row r="10">
          <cell r="I10">
            <v>75095.26</v>
          </cell>
        </row>
        <row r="11">
          <cell r="A11" t="str">
            <v>黄骅市汇铭汽车部件有限公司</v>
          </cell>
        </row>
        <row r="11">
          <cell r="I11">
            <v>0</v>
          </cell>
        </row>
        <row r="12">
          <cell r="A12" t="str">
            <v>上海明芳汽车零件有限公司</v>
          </cell>
        </row>
        <row r="12">
          <cell r="I12">
            <v>520134.48</v>
          </cell>
        </row>
        <row r="13">
          <cell r="A13" t="str">
            <v>江苏力乐汽车部件股份有限公司</v>
          </cell>
        </row>
        <row r="13">
          <cell r="I13">
            <v>400000</v>
          </cell>
        </row>
        <row r="14">
          <cell r="A14" t="str">
            <v>溧阳鑫岩汽车零部件有限公司</v>
          </cell>
        </row>
        <row r="14">
          <cell r="I14">
            <v>300000</v>
          </cell>
        </row>
        <row r="15">
          <cell r="A15" t="str">
            <v>浙江华悦汽车零部件股份有限公</v>
          </cell>
        </row>
        <row r="15">
          <cell r="I15">
            <v>181993.28</v>
          </cell>
        </row>
        <row r="16">
          <cell r="A16" t="str">
            <v>厦门凯平化工有限公司</v>
          </cell>
        </row>
        <row r="17">
          <cell r="A17" t="str">
            <v>湖北伟士通汽车零件有限公司</v>
          </cell>
        </row>
        <row r="17">
          <cell r="I17">
            <v>82996.78</v>
          </cell>
        </row>
        <row r="18">
          <cell r="A18" t="str">
            <v>衡阳县标准件厂株洲销售处</v>
          </cell>
        </row>
        <row r="18">
          <cell r="I18">
            <v>135456.27</v>
          </cell>
        </row>
        <row r="19">
          <cell r="A19" t="str">
            <v>湖南凌天汽车零部件有限公司</v>
          </cell>
        </row>
        <row r="19">
          <cell r="I19">
            <v>500000</v>
          </cell>
        </row>
        <row r="20">
          <cell r="A20" t="str">
            <v>重庆光大产业有限公司</v>
          </cell>
        </row>
        <row r="20">
          <cell r="I20">
            <v>3.63797880709171e-11</v>
          </cell>
        </row>
        <row r="21">
          <cell r="A21" t="str">
            <v>湘乡简美工贸有限公司</v>
          </cell>
        </row>
        <row r="22">
          <cell r="A22" t="str">
            <v>佛吉亚（无锡）座椅部件有限公</v>
          </cell>
        </row>
        <row r="22">
          <cell r="I22">
            <v>0</v>
          </cell>
        </row>
        <row r="23">
          <cell r="A23" t="str">
            <v>吉林省德邦汽车电子有限公司</v>
          </cell>
        </row>
        <row r="23">
          <cell r="I23">
            <v>61016.77</v>
          </cell>
        </row>
        <row r="24">
          <cell r="A24" t="str">
            <v>吉林省方舟电子科技有限公司</v>
          </cell>
        </row>
        <row r="24">
          <cell r="I24">
            <v>241642.59</v>
          </cell>
        </row>
        <row r="25">
          <cell r="A25" t="str">
            <v>长春富维安道拓汽车金属零部件</v>
          </cell>
        </row>
        <row r="25">
          <cell r="I25">
            <v>324795.29</v>
          </cell>
        </row>
        <row r="26">
          <cell r="A26" t="str">
            <v>黄骅市雍丰塑料制品有限公司</v>
          </cell>
        </row>
        <row r="26">
          <cell r="I26">
            <v>148360.26</v>
          </cell>
        </row>
        <row r="27">
          <cell r="A27" t="str">
            <v>景德镇市乾立运输有限公司</v>
          </cell>
        </row>
        <row r="27">
          <cell r="I27">
            <v>200000</v>
          </cell>
        </row>
        <row r="28">
          <cell r="A28" t="str">
            <v>景德镇市凯达汽车配件有限公司</v>
          </cell>
        </row>
        <row r="29">
          <cell r="A29" t="str">
            <v>武汉德锐隆科技有限公司</v>
          </cell>
        </row>
        <row r="29">
          <cell r="I29">
            <v>152879.45</v>
          </cell>
        </row>
        <row r="30">
          <cell r="A30" t="str">
            <v>湘潭湘和汽车零部件制造有限公</v>
          </cell>
        </row>
        <row r="30">
          <cell r="I30">
            <v>800000</v>
          </cell>
        </row>
        <row r="31">
          <cell r="A31" t="str">
            <v>湖南中道机械设备有限公司</v>
          </cell>
        </row>
        <row r="31">
          <cell r="I31">
            <v>1700000</v>
          </cell>
        </row>
        <row r="32">
          <cell r="A32" t="str">
            <v>湘潭市忠强气体有限公司</v>
          </cell>
        </row>
        <row r="32">
          <cell r="I32">
            <v>12540.63</v>
          </cell>
        </row>
        <row r="33">
          <cell r="A33" t="str">
            <v>湖南驷马机械有限公司</v>
          </cell>
        </row>
        <row r="33">
          <cell r="I33">
            <v>0</v>
          </cell>
        </row>
        <row r="34">
          <cell r="A34" t="str">
            <v>广州吉中汽车内饰系统有限公司</v>
          </cell>
        </row>
        <row r="34">
          <cell r="I34">
            <v>2621.52</v>
          </cell>
        </row>
        <row r="35">
          <cell r="A35" t="str">
            <v>广州松兴电气股份有限公司</v>
          </cell>
        </row>
        <row r="35">
          <cell r="I35">
            <v>54943.1</v>
          </cell>
        </row>
        <row r="36">
          <cell r="A36" t="str">
            <v>广州市信征汽车零件有限公司</v>
          </cell>
        </row>
        <row r="36">
          <cell r="I36">
            <v>147549.22</v>
          </cell>
        </row>
        <row r="37">
          <cell r="A37" t="str">
            <v>醴陵广仁环保科技有限公司</v>
          </cell>
        </row>
        <row r="37">
          <cell r="I37">
            <v>0</v>
          </cell>
        </row>
        <row r="38">
          <cell r="A38" t="str">
            <v>长沙真旺钢铁贸易有限公司</v>
          </cell>
        </row>
        <row r="38">
          <cell r="I38">
            <v>0</v>
          </cell>
        </row>
        <row r="39">
          <cell r="A39" t="str">
            <v>深州市晶立泰机械配件有限公司</v>
          </cell>
        </row>
        <row r="39">
          <cell r="I39">
            <v>7509.52</v>
          </cell>
        </row>
        <row r="40">
          <cell r="A40" t="str">
            <v>山东鼎信新材料科技有限公司</v>
          </cell>
        </row>
        <row r="41">
          <cell r="A41" t="str">
            <v>湖南诺亿科技有限公司</v>
          </cell>
        </row>
        <row r="41">
          <cell r="I41">
            <v>178471.91</v>
          </cell>
        </row>
        <row r="42">
          <cell r="A42" t="str">
            <v>长春超力内饰件有限公司</v>
          </cell>
        </row>
        <row r="42">
          <cell r="I42">
            <v>0</v>
          </cell>
        </row>
        <row r="43">
          <cell r="A43" t="str">
            <v>重庆市宏立摩托车制造有限公司</v>
          </cell>
        </row>
        <row r="44">
          <cell r="A44" t="str">
            <v>湖南裕腾兴汽车配件有限公司</v>
          </cell>
        </row>
        <row r="45">
          <cell r="A45" t="str">
            <v>株洲诚康实业有限责任公司</v>
          </cell>
        </row>
        <row r="45">
          <cell r="I45">
            <v>5706.73</v>
          </cell>
        </row>
        <row r="46">
          <cell r="A46" t="str">
            <v>十堰市盈旭工贸有限公司</v>
          </cell>
        </row>
        <row r="46">
          <cell r="I46">
            <v>0</v>
          </cell>
        </row>
        <row r="47">
          <cell r="A47" t="str">
            <v>山东鼎昌智能科技有限公司</v>
          </cell>
        </row>
        <row r="48">
          <cell r="A48" t="str">
            <v>湖北欣辰达商贸有限公司</v>
          </cell>
        </row>
        <row r="48">
          <cell r="I48">
            <v>0</v>
          </cell>
        </row>
        <row r="49">
          <cell r="A49" t="str">
            <v>汇阅（上海）新材料科技有限公</v>
          </cell>
        </row>
        <row r="50">
          <cell r="A50" t="str">
            <v>常州立天汽车零部件有限公司</v>
          </cell>
        </row>
        <row r="50">
          <cell r="I50">
            <v>0</v>
          </cell>
        </row>
        <row r="51">
          <cell r="A51" t="str">
            <v>霸州市政锦五金制品有限公司</v>
          </cell>
        </row>
        <row r="51">
          <cell r="I51">
            <v>4135.8</v>
          </cell>
        </row>
        <row r="52">
          <cell r="A52" t="str">
            <v>河北方基恒达汽车部件有限公司</v>
          </cell>
        </row>
        <row r="52">
          <cell r="I52">
            <v>0</v>
          </cell>
        </row>
        <row r="53">
          <cell r="A53" t="str">
            <v>慈溪市维克多自控元件有限公司</v>
          </cell>
        </row>
        <row r="53">
          <cell r="I53">
            <v>0</v>
          </cell>
        </row>
        <row r="54">
          <cell r="A54" t="str">
            <v>山东金达汽车部件制造股份有限</v>
          </cell>
        </row>
        <row r="54">
          <cell r="I54">
            <v>0</v>
          </cell>
        </row>
        <row r="55">
          <cell r="A55" t="str">
            <v>重庆渝融兴汽车配件有限公司</v>
          </cell>
        </row>
        <row r="55">
          <cell r="I55">
            <v>0</v>
          </cell>
        </row>
        <row r="56">
          <cell r="A56" t="str">
            <v>安徽汉升工业部件股份有限公司</v>
          </cell>
        </row>
        <row r="56">
          <cell r="I56">
            <v>0</v>
          </cell>
        </row>
        <row r="57">
          <cell r="A57" t="str">
            <v>江苏忠明祥和精工股份有限公司</v>
          </cell>
        </row>
        <row r="57">
          <cell r="I57">
            <v>62470.92</v>
          </cell>
        </row>
        <row r="58">
          <cell r="A58" t="str">
            <v>上海秉直精密机械有限公司</v>
          </cell>
        </row>
        <row r="59">
          <cell r="A59" t="str">
            <v>文安县德实汽车配件有限公司</v>
          </cell>
        </row>
        <row r="59">
          <cell r="I59">
            <v>36216.5</v>
          </cell>
        </row>
        <row r="60">
          <cell r="A60" t="str">
            <v>沧州宇诺五金制造有限公司</v>
          </cell>
        </row>
        <row r="60">
          <cell r="I60">
            <v>13326.59</v>
          </cell>
        </row>
        <row r="61">
          <cell r="A61" t="str">
            <v>清河县沁园汽车零部件有限公司</v>
          </cell>
        </row>
        <row r="62">
          <cell r="A62" t="str">
            <v>新梦顶（上海）贸易有限公司</v>
          </cell>
        </row>
        <row r="62">
          <cell r="I62">
            <v>0</v>
          </cell>
        </row>
        <row r="63">
          <cell r="A63" t="str">
            <v>湖南奥瑞格工贸有限公司</v>
          </cell>
        </row>
        <row r="63">
          <cell r="I63">
            <v>0</v>
          </cell>
        </row>
        <row r="64">
          <cell r="A64" t="str">
            <v>天津鑫淼塑料制品有限公司</v>
          </cell>
        </row>
        <row r="64">
          <cell r="I64">
            <v>0</v>
          </cell>
        </row>
        <row r="65">
          <cell r="A65" t="str">
            <v>浙江松原汽车安全系统股份有限</v>
          </cell>
        </row>
        <row r="65">
          <cell r="I65">
            <v>0</v>
          </cell>
        </row>
        <row r="66">
          <cell r="A66" t="str">
            <v>江苏全盛座舱技术股份有限公司</v>
          </cell>
        </row>
        <row r="66">
          <cell r="I66">
            <v>88818.1</v>
          </cell>
        </row>
        <row r="67">
          <cell r="A67" t="str">
            <v>黄骅市成卓汽车部件厂</v>
          </cell>
        </row>
        <row r="67">
          <cell r="I67">
            <v>8644.5</v>
          </cell>
        </row>
        <row r="68">
          <cell r="A68" t="str">
            <v>易格斯(上海)拖链系统有限公司</v>
          </cell>
        </row>
        <row r="68">
          <cell r="I68">
            <v>0</v>
          </cell>
        </row>
        <row r="69">
          <cell r="A69" t="str">
            <v>北京浦东三浦标准件有限公司</v>
          </cell>
        </row>
        <row r="69">
          <cell r="I69">
            <v>0</v>
          </cell>
        </row>
        <row r="70">
          <cell r="A70" t="str">
            <v>惠州市唐群座椅科技股份有限公</v>
          </cell>
        </row>
        <row r="70">
          <cell r="I70">
            <v>0</v>
          </cell>
        </row>
        <row r="71">
          <cell r="A71" t="str">
            <v>厦门劲亨五金工业有限公司</v>
          </cell>
        </row>
        <row r="71">
          <cell r="I71">
            <v>0</v>
          </cell>
        </row>
        <row r="72">
          <cell r="A72" t="str">
            <v>沧州旭兴五金制品有限公司</v>
          </cell>
        </row>
        <row r="72">
          <cell r="I72">
            <v>0</v>
          </cell>
        </row>
        <row r="73">
          <cell r="A73" t="str">
            <v>江苏万金汽车零部件制造有限公</v>
          </cell>
        </row>
        <row r="73">
          <cell r="I73">
            <v>40426.88</v>
          </cell>
        </row>
        <row r="74">
          <cell r="A74" t="str">
            <v>湖南兴天宏实业有限公司</v>
          </cell>
        </row>
        <row r="74">
          <cell r="I74">
            <v>0</v>
          </cell>
        </row>
        <row r="75">
          <cell r="A75" t="str">
            <v>株洲铖亿轨道交通技术有限</v>
          </cell>
        </row>
        <row r="75">
          <cell r="I75">
            <v>0</v>
          </cell>
        </row>
        <row r="76">
          <cell r="A76" t="str">
            <v>北京美好生活家居用品有限公司</v>
          </cell>
        </row>
        <row r="76">
          <cell r="I76">
            <v>53688.96</v>
          </cell>
        </row>
        <row r="77">
          <cell r="A77" t="str">
            <v>无锡市奇胜五金制品有限公司</v>
          </cell>
        </row>
        <row r="78">
          <cell r="A78" t="str">
            <v>太航常青汽车安全系统(苏州)股</v>
          </cell>
        </row>
        <row r="78">
          <cell r="I78">
            <v>68352.16</v>
          </cell>
        </row>
        <row r="79">
          <cell r="A79" t="str">
            <v>河北莫特美橡塑科技有限公司</v>
          </cell>
        </row>
        <row r="79">
          <cell r="I79">
            <v>79817.67</v>
          </cell>
        </row>
        <row r="80">
          <cell r="A80" t="str">
            <v>江苏凌派通信科技有限公司</v>
          </cell>
        </row>
        <row r="81">
          <cell r="A81" t="str">
            <v>无锡中天汽车部件有限公司</v>
          </cell>
        </row>
        <row r="81">
          <cell r="I81">
            <v>0</v>
          </cell>
        </row>
        <row r="82">
          <cell r="A82" t="str">
            <v>天津力登维汽车部件有限公司</v>
          </cell>
        </row>
        <row r="82">
          <cell r="I82">
            <v>6328</v>
          </cell>
        </row>
        <row r="83">
          <cell r="A83" t="str">
            <v>重庆品高弹簧有限公司</v>
          </cell>
        </row>
        <row r="83">
          <cell r="I83">
            <v>0</v>
          </cell>
        </row>
        <row r="84">
          <cell r="A84" t="str">
            <v>昆山吉山会津塑料工业股份有限</v>
          </cell>
        </row>
        <row r="84">
          <cell r="I84">
            <v>0</v>
          </cell>
        </row>
        <row r="85">
          <cell r="A85" t="str">
            <v>俱泰(上海)汽车零部件有限公司</v>
          </cell>
        </row>
        <row r="85">
          <cell r="I85">
            <v>0</v>
          </cell>
        </row>
        <row r="86">
          <cell r="A86" t="str">
            <v>广州自强汽车零部件有限公司</v>
          </cell>
        </row>
        <row r="86">
          <cell r="I86">
            <v>0</v>
          </cell>
        </row>
        <row r="87">
          <cell r="A87" t="str">
            <v>广州市三泰汽车内饰材料有限公</v>
          </cell>
        </row>
        <row r="87">
          <cell r="I87">
            <v>0</v>
          </cell>
        </row>
        <row r="88">
          <cell r="A88" t="str">
            <v>维克罗（中国）搭扣系统有限公</v>
          </cell>
        </row>
        <row r="88">
          <cell r="I88">
            <v>0</v>
          </cell>
        </row>
        <row r="89">
          <cell r="A89" t="str">
            <v>武汉凯密科汽车零部件有限公司</v>
          </cell>
        </row>
        <row r="89">
          <cell r="I89">
            <v>0</v>
          </cell>
        </row>
        <row r="90">
          <cell r="A90" t="str">
            <v>霸州市汇行汽车零部件有限公司</v>
          </cell>
        </row>
        <row r="90">
          <cell r="I90">
            <v>0</v>
          </cell>
        </row>
        <row r="92">
          <cell r="A92" t="str">
            <v>合计</v>
          </cell>
        </row>
        <row r="92">
          <cell r="I92">
            <v>7014679.64</v>
          </cell>
        </row>
        <row r="93">
          <cell r="A93" t="str">
            <v>不含负数合计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UNEA"/>
      <sheetName val="MRHK"/>
      <sheetName val="MRHB"/>
      <sheetName val="HA6H"/>
      <sheetName val="EWEA"/>
    </sheetNames>
    <sheetDataSet>
      <sheetData sheetId="0">
        <row r="1">
          <cell r="B1" t="str">
            <v>现供应商</v>
          </cell>
        </row>
        <row r="2">
          <cell r="B2" t="str">
            <v>湘乡简美工贸有限公司</v>
          </cell>
        </row>
        <row r="3">
          <cell r="B3" t="str">
            <v>湘乡简美工贸有限公司</v>
          </cell>
        </row>
        <row r="4">
          <cell r="B4" t="str">
            <v>湘乡简美工贸有限公司</v>
          </cell>
        </row>
        <row r="5">
          <cell r="B5" t="str">
            <v>湘乡简美工贸有限公司</v>
          </cell>
        </row>
        <row r="6">
          <cell r="B6" t="str">
            <v>湘乡简美工贸有限公司</v>
          </cell>
        </row>
        <row r="7">
          <cell r="B7" t="str">
            <v>湘乡简美工贸有限公司</v>
          </cell>
        </row>
        <row r="8">
          <cell r="B8" t="str">
            <v>湘乡简美工贸有限公司</v>
          </cell>
        </row>
        <row r="9">
          <cell r="B9" t="str">
            <v>湘乡简美工贸有限公司</v>
          </cell>
        </row>
        <row r="10">
          <cell r="B10" t="str">
            <v>湘乡简美工贸有限公司</v>
          </cell>
        </row>
        <row r="11">
          <cell r="B11" t="str">
            <v>湘乡简美工贸有限公司</v>
          </cell>
        </row>
        <row r="12">
          <cell r="B12" t="str">
            <v>湘乡简美工贸有限公司</v>
          </cell>
        </row>
        <row r="13">
          <cell r="B13" t="str">
            <v>湘乡简美工贸有限公司</v>
          </cell>
        </row>
        <row r="14">
          <cell r="B14" t="str">
            <v>重庆厚元汽车配件有限公司</v>
          </cell>
        </row>
        <row r="15">
          <cell r="B15" t="str">
            <v>重庆厚元汽车配件有限公司</v>
          </cell>
        </row>
        <row r="16">
          <cell r="B16" t="str">
            <v>重庆厚元汽车配件有限公司</v>
          </cell>
        </row>
        <row r="17">
          <cell r="B17" t="str">
            <v>重庆厚元汽车配件有限公司</v>
          </cell>
        </row>
        <row r="18">
          <cell r="B18" t="str">
            <v>广州市三泰汽车内饰材料有限公司</v>
          </cell>
        </row>
        <row r="19">
          <cell r="B19" t="str">
            <v>长春超力内饰件有限公司</v>
          </cell>
        </row>
        <row r="20">
          <cell r="B20" t="str">
            <v>长春超力内饰件有限公司</v>
          </cell>
        </row>
        <row r="21">
          <cell r="B21" t="str">
            <v>长春超力内饰件有限公司</v>
          </cell>
        </row>
        <row r="22">
          <cell r="B22" t="str">
            <v>长春超力内饰件有限公司</v>
          </cell>
        </row>
        <row r="23">
          <cell r="B23" t="str">
            <v>长春超力内饰件有限公司</v>
          </cell>
        </row>
        <row r="24">
          <cell r="B24" t="str">
            <v>长春超力内饰件有限公司</v>
          </cell>
        </row>
        <row r="25">
          <cell r="B25" t="str">
            <v>黄骅市汇铭汽车部件有限公司</v>
          </cell>
        </row>
        <row r="26">
          <cell r="B26" t="str">
            <v>江阴同威科技有限公司</v>
          </cell>
        </row>
        <row r="27">
          <cell r="B27" t="str">
            <v>江阴同威科技有限公司</v>
          </cell>
        </row>
        <row r="28">
          <cell r="B28" t="str">
            <v>品高/凌天/湘和</v>
          </cell>
        </row>
        <row r="29">
          <cell r="B29" t="str">
            <v>武汉德锐隆科技有限公司</v>
          </cell>
        </row>
        <row r="30">
          <cell r="B30" t="str">
            <v>武汉德锐隆科技有限公司</v>
          </cell>
        </row>
        <row r="31">
          <cell r="B31" t="str">
            <v>武汉德锐隆科技有限公司</v>
          </cell>
        </row>
        <row r="32">
          <cell r="B32" t="str">
            <v>武汉德锐隆科技有限公司</v>
          </cell>
        </row>
        <row r="33">
          <cell r="B33" t="str">
            <v>武汉德锐隆科技有限公司</v>
          </cell>
        </row>
        <row r="34">
          <cell r="B34" t="str">
            <v>武汉德锐隆科技有限公司</v>
          </cell>
        </row>
        <row r="35">
          <cell r="B35" t="str">
            <v>武汉德锐隆科技有限公司</v>
          </cell>
        </row>
        <row r="36">
          <cell r="B36" t="str">
            <v>武汉德锐隆科技有限公司</v>
          </cell>
        </row>
        <row r="37">
          <cell r="B37" t="str">
            <v>武汉德锐隆科技有限公司</v>
          </cell>
        </row>
        <row r="38">
          <cell r="B38" t="str">
            <v>武汉德锐隆科技有限公司</v>
          </cell>
        </row>
        <row r="39">
          <cell r="B39" t="str">
            <v>武汉德锐隆科技有限公司</v>
          </cell>
        </row>
        <row r="40">
          <cell r="B40" t="str">
            <v>武汉德锐隆科技有限公司</v>
          </cell>
        </row>
        <row r="41">
          <cell r="B41" t="str">
            <v>武汉德锐隆科技有限公司</v>
          </cell>
        </row>
        <row r="42">
          <cell r="B42" t="str">
            <v>武汉德锐隆科技有限公司</v>
          </cell>
        </row>
        <row r="43">
          <cell r="B43" t="str">
            <v>武汉德锐隆科技有限公司</v>
          </cell>
        </row>
      </sheetData>
      <sheetData sheetId="1">
        <row r="1">
          <cell r="B1" t="str">
            <v>供应商</v>
          </cell>
        </row>
        <row r="2">
          <cell r="B2" t="str">
            <v>重庆厚元汽车配件有限公司</v>
          </cell>
        </row>
        <row r="3">
          <cell r="B3" t="str">
            <v>深圳市新和荣无纺布有限公司</v>
          </cell>
        </row>
        <row r="4">
          <cell r="B4" t="str">
            <v>深圳市新和荣无纺布有限公司</v>
          </cell>
        </row>
        <row r="5">
          <cell r="B5" t="str">
            <v>深圳市新和荣无纺布有限公司</v>
          </cell>
        </row>
        <row r="6">
          <cell r="B6" t="str">
            <v>深圳市新和荣无纺布有限公司</v>
          </cell>
        </row>
        <row r="7">
          <cell r="B7" t="str">
            <v>湘乡简美工贸有限公司</v>
          </cell>
        </row>
        <row r="8">
          <cell r="B8" t="str">
            <v>湘乡简美工贸有限公司</v>
          </cell>
        </row>
        <row r="9">
          <cell r="B9" t="str">
            <v>湘乡简美工贸有限公司</v>
          </cell>
        </row>
        <row r="10">
          <cell r="B10" t="str">
            <v>武汉凯密科汽车零部件有限公司</v>
          </cell>
        </row>
        <row r="11">
          <cell r="B11" t="str">
            <v>武汉凯密科汽车零部件有限公司</v>
          </cell>
        </row>
        <row r="12">
          <cell r="B12" t="str">
            <v>长春超力内饰件有限公司</v>
          </cell>
        </row>
        <row r="13">
          <cell r="B13" t="str">
            <v>长春超力内饰件有限公司</v>
          </cell>
        </row>
        <row r="14">
          <cell r="B14" t="str">
            <v>长春超力内饰件有限公司</v>
          </cell>
        </row>
        <row r="15">
          <cell r="B15" t="str">
            <v>天津力登维汽车部件有限公司</v>
          </cell>
        </row>
        <row r="16">
          <cell r="B16" t="str">
            <v>天津力登维汽车部件有限公司</v>
          </cell>
        </row>
        <row r="17">
          <cell r="B17" t="str">
            <v>天津力登维汽车部件有限公司</v>
          </cell>
        </row>
        <row r="18">
          <cell r="B18" t="str">
            <v>天津力登维汽车部件有限公司</v>
          </cell>
        </row>
        <row r="19">
          <cell r="B19" t="str">
            <v>广州市三泰汽车内饰材料有限公司</v>
          </cell>
        </row>
        <row r="20">
          <cell r="B20" t="str">
            <v>广州自强汽车零部件有限公司</v>
          </cell>
        </row>
        <row r="21">
          <cell r="B21" t="str">
            <v>广州自强汽车零部件有限公司</v>
          </cell>
        </row>
        <row r="22">
          <cell r="B22" t="str">
            <v>武汉德锐隆科技有限公司</v>
          </cell>
        </row>
        <row r="23">
          <cell r="B23" t="str">
            <v>武汉德锐隆科技有限公司</v>
          </cell>
        </row>
        <row r="24">
          <cell r="B24" t="str">
            <v>武汉德锐隆科技有限公司</v>
          </cell>
        </row>
        <row r="25">
          <cell r="B25" t="str">
            <v>武汉德锐隆科技有限公司</v>
          </cell>
        </row>
        <row r="26">
          <cell r="B26" t="str">
            <v>武汉德锐隆科技有限公司</v>
          </cell>
        </row>
        <row r="27">
          <cell r="B27" t="str">
            <v>武汉德锐隆科技有限公司</v>
          </cell>
        </row>
        <row r="28">
          <cell r="B28" t="str">
            <v>武汉德锐隆科技有限公司</v>
          </cell>
        </row>
        <row r="29">
          <cell r="B29" t="str">
            <v>武汉德锐隆科技有限公司</v>
          </cell>
        </row>
        <row r="30">
          <cell r="B30" t="str">
            <v>武汉德锐隆科技有限公司</v>
          </cell>
        </row>
        <row r="31">
          <cell r="B31" t="str">
            <v>武汉德锐隆科技有限公司</v>
          </cell>
        </row>
      </sheetData>
      <sheetData sheetId="2">
        <row r="1">
          <cell r="B1" t="str">
            <v>供应商</v>
          </cell>
        </row>
        <row r="2">
          <cell r="B2" t="str">
            <v>湘乡简美工贸有限公司</v>
          </cell>
        </row>
        <row r="3">
          <cell r="B3" t="str">
            <v>湘乡简美工贸有限公司</v>
          </cell>
        </row>
        <row r="4">
          <cell r="B4" t="str">
            <v>湘乡简美工贸有限公司</v>
          </cell>
        </row>
        <row r="5">
          <cell r="B5" t="str">
            <v>湘乡简美工贸有限公司</v>
          </cell>
        </row>
        <row r="6">
          <cell r="B6" t="str">
            <v>湘乡简美工贸有限公司</v>
          </cell>
        </row>
        <row r="7">
          <cell r="B7" t="str">
            <v>湘乡简美工贸有限公司</v>
          </cell>
        </row>
        <row r="8">
          <cell r="B8" t="str">
            <v>湘乡简美工贸有限公司</v>
          </cell>
        </row>
        <row r="9">
          <cell r="B9" t="str">
            <v>黄骅市汇铭汽车部件有限公司</v>
          </cell>
        </row>
        <row r="10">
          <cell r="B10" t="str">
            <v>重庆厚元汽车配件有限公司</v>
          </cell>
        </row>
        <row r="11">
          <cell r="B11" t="str">
            <v>重庆厚元汽车配件有限公司</v>
          </cell>
        </row>
        <row r="12">
          <cell r="B12" t="str">
            <v>武汉德锐隆科技有限公司</v>
          </cell>
        </row>
        <row r="13">
          <cell r="B13" t="str">
            <v>武汉德锐隆科技有限公司</v>
          </cell>
        </row>
        <row r="14">
          <cell r="B14" t="str">
            <v>武汉德锐隆科技有限公司</v>
          </cell>
        </row>
        <row r="15">
          <cell r="B15" t="str">
            <v>武汉德锐隆科技有限公司</v>
          </cell>
        </row>
        <row r="16">
          <cell r="B16" t="str">
            <v>武汉德锐隆科技有限公司</v>
          </cell>
        </row>
        <row r="17">
          <cell r="B17" t="str">
            <v>武汉德锐隆科技有限公司</v>
          </cell>
        </row>
        <row r="18">
          <cell r="B18" t="str">
            <v>武汉德锐隆科技有限公司</v>
          </cell>
        </row>
      </sheetData>
      <sheetData sheetId="3">
        <row r="1">
          <cell r="B1" t="str">
            <v>供应商</v>
          </cell>
        </row>
        <row r="2">
          <cell r="B2" t="str">
            <v>重庆厚元汽车配件有限公司</v>
          </cell>
        </row>
        <row r="3">
          <cell r="B3" t="str">
            <v>重庆厚元汽车配件有限公司</v>
          </cell>
        </row>
        <row r="4">
          <cell r="B4" t="str">
            <v>重庆厚元汽车配件有限公司</v>
          </cell>
        </row>
        <row r="5">
          <cell r="B5" t="str">
            <v>重庆厚元汽车配件有限公司</v>
          </cell>
        </row>
        <row r="6">
          <cell r="B6" t="str">
            <v>俱泰（上海）汽车零部件有限公司</v>
          </cell>
        </row>
        <row r="7">
          <cell r="B7" t="str">
            <v>俱泰（上海）汽车零部件有限公司</v>
          </cell>
        </row>
        <row r="8">
          <cell r="B8" t="str">
            <v>俱泰（上海）汽车零部件有限公司</v>
          </cell>
        </row>
        <row r="9">
          <cell r="B9" t="str">
            <v>俱泰（上海）汽车零部件有限公司</v>
          </cell>
        </row>
        <row r="10">
          <cell r="B10" t="str">
            <v>俱泰（上海）汽车零部件有限公司</v>
          </cell>
        </row>
        <row r="11">
          <cell r="B11" t="str">
            <v>俱泰（上海）汽车零部件有限公司</v>
          </cell>
        </row>
        <row r="12">
          <cell r="B12" t="str">
            <v>俱泰（上海）汽车零部件有限公司</v>
          </cell>
        </row>
        <row r="13">
          <cell r="B13" t="str">
            <v>俱泰（上海）汽车零部件有限公司</v>
          </cell>
        </row>
        <row r="14">
          <cell r="B14" t="str">
            <v>俱泰（上海）汽车零部件有限公司</v>
          </cell>
        </row>
        <row r="15">
          <cell r="B15" t="str">
            <v>无锡中天汽车部件有限公司</v>
          </cell>
        </row>
        <row r="16">
          <cell r="B16" t="str">
            <v>武汉凯密科汽车零部件有限公司</v>
          </cell>
        </row>
        <row r="17">
          <cell r="B17" t="str">
            <v>武汉凯密科汽车零部件有限公司</v>
          </cell>
        </row>
        <row r="18">
          <cell r="B18" t="str">
            <v>武汉凯密科汽车零部件有限公司</v>
          </cell>
        </row>
        <row r="19">
          <cell r="B19" t="str">
            <v>武汉德锐隆科技有限公司</v>
          </cell>
        </row>
        <row r="20">
          <cell r="B20" t="str">
            <v>武汉德锐隆科技有限公司</v>
          </cell>
        </row>
        <row r="21">
          <cell r="B21" t="str">
            <v>武汉德锐隆科技有限公司</v>
          </cell>
        </row>
        <row r="22">
          <cell r="B22" t="str">
            <v>武汉德锐隆科技有限公司</v>
          </cell>
        </row>
        <row r="23">
          <cell r="B23" t="str">
            <v>武汉德锐隆科技有限公司</v>
          </cell>
        </row>
        <row r="24">
          <cell r="B24" t="str">
            <v>武汉德锐隆科技有限公司</v>
          </cell>
        </row>
        <row r="25">
          <cell r="B25" t="str">
            <v>武汉德锐隆科技有限公司</v>
          </cell>
        </row>
        <row r="26">
          <cell r="B26" t="str">
            <v>武汉德锐隆科技有限公司</v>
          </cell>
        </row>
        <row r="27">
          <cell r="B27" t="str">
            <v>武汉德锐隆科技有限公司</v>
          </cell>
        </row>
        <row r="28">
          <cell r="B28" t="str">
            <v>武汉德锐隆科技有限公司</v>
          </cell>
        </row>
        <row r="29">
          <cell r="B29" t="str">
            <v>武汉德锐隆科技有限公司</v>
          </cell>
        </row>
        <row r="30">
          <cell r="B30" t="str">
            <v>武汉德锐隆科技有限公司</v>
          </cell>
        </row>
        <row r="31">
          <cell r="B31" t="str">
            <v>武汉德锐隆科技有限公司</v>
          </cell>
        </row>
        <row r="32">
          <cell r="B32" t="str">
            <v>武汉德锐隆科技有限公司</v>
          </cell>
        </row>
        <row r="33">
          <cell r="B33" t="str">
            <v>武汉德锐隆科技有限公司</v>
          </cell>
        </row>
        <row r="34">
          <cell r="B34" t="str">
            <v>武汉德锐隆科技有限公司</v>
          </cell>
        </row>
        <row r="35">
          <cell r="B35" t="str">
            <v>武汉德锐隆科技有限公司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comments" Target="../comments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topLeftCell="A76" workbookViewId="0">
      <selection activeCell="K24" sqref="K24"/>
    </sheetView>
  </sheetViews>
  <sheetFormatPr defaultColWidth="9" defaultRowHeight="13.5"/>
  <sheetData/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O93"/>
  <sheetViews>
    <sheetView workbookViewId="0">
      <pane xSplit="1" ySplit="2" topLeftCell="B9" activePane="bottomRight" state="frozen"/>
      <selection/>
      <selection pane="topRight"/>
      <selection pane="bottomLeft"/>
      <selection pane="bottomRight" activeCell="F22" sqref="F22"/>
    </sheetView>
  </sheetViews>
  <sheetFormatPr defaultColWidth="9" defaultRowHeight="19" customHeight="1"/>
  <cols>
    <col min="1" max="1" width="26.25" style="38" customWidth="1"/>
    <col min="2" max="2" width="12.625" style="39" customWidth="1"/>
    <col min="3" max="5" width="11.75" style="40" customWidth="1"/>
    <col min="6" max="6" width="17.25" style="41" customWidth="1"/>
    <col min="7" max="7" width="13.5" style="41" customWidth="1"/>
    <col min="8" max="8" width="11.75" style="79" customWidth="1"/>
    <col min="9" max="9" width="16.125" style="43" customWidth="1"/>
    <col min="10" max="10" width="26.75" style="43" customWidth="1"/>
    <col min="11" max="11" width="22.5" style="43" customWidth="1"/>
    <col min="12" max="12" width="10.125" style="44"/>
    <col min="13" max="13" width="9" style="43"/>
    <col min="14" max="14" width="18" style="43" customWidth="1"/>
    <col min="15" max="15" width="11.5" style="43" customWidth="1"/>
    <col min="16" max="16384" width="9" style="43"/>
  </cols>
  <sheetData>
    <row r="1" ht="29" customHeight="1" spans="1:8">
      <c r="A1" s="80" t="s">
        <v>399</v>
      </c>
      <c r="B1" s="81"/>
      <c r="C1" s="82"/>
      <c r="D1" s="82"/>
      <c r="E1" s="82"/>
      <c r="F1" s="83"/>
      <c r="G1" s="83"/>
      <c r="H1" s="84"/>
    </row>
    <row r="2" ht="36" customHeight="1" spans="1:9">
      <c r="A2" s="59" t="s">
        <v>231</v>
      </c>
      <c r="B2" s="85" t="s">
        <v>400</v>
      </c>
      <c r="C2" s="86" t="s">
        <v>401</v>
      </c>
      <c r="D2" s="86" t="s">
        <v>385</v>
      </c>
      <c r="E2" s="86" t="s">
        <v>337</v>
      </c>
      <c r="F2" s="85" t="s">
        <v>236</v>
      </c>
      <c r="G2" s="85" t="s">
        <v>386</v>
      </c>
      <c r="H2" s="59" t="s">
        <v>237</v>
      </c>
      <c r="I2" s="43" t="s">
        <v>387</v>
      </c>
    </row>
    <row r="3" customHeight="1" spans="1:12">
      <c r="A3" s="38" t="s">
        <v>240</v>
      </c>
      <c r="B3" s="39">
        <f>SUMIFS('3月份科目余额表'!O:O,'3月份科目余额表'!D:D,A3)</f>
        <v>149827.14</v>
      </c>
      <c r="C3" s="40">
        <f>SUMIFS('1月份挂账'!$P:$P,'1月份挂账'!$R:$R,$A3)-SUMIFS('1月份挂账'!$O:$O,'1月份挂账'!$R:$R,$A3)</f>
        <v>1853.2</v>
      </c>
      <c r="D3" s="40">
        <f>SUMIFS('2月份挂账'!Q:Q,'2月份挂账'!S:S,A3)-SUMIFS('2月份挂账'!P:P,'2月份挂账'!S:S,A3)</f>
        <v>147973.94</v>
      </c>
      <c r="E3" s="40">
        <f>SUMIFS('3月份挂账'!Q:Q,'3月份挂账'!S:S,A3)-SUMIFS('3月份挂账'!P:P,'3月份挂账'!S:S,A3)</f>
        <v>0</v>
      </c>
      <c r="F3" s="41">
        <f t="shared" ref="F3:F66" si="0">IF(B3-E3-D3&gt;0,B3-E3-D3,0)</f>
        <v>1853.20000000001</v>
      </c>
      <c r="G3" s="41">
        <f t="shared" ref="G3:G66" si="1">IF(B3-E3-D3-C3&gt;0,B3-E3-D3-C3,0)</f>
        <v>1.15960574476048e-11</v>
      </c>
      <c r="H3" s="79">
        <f>_xlfn.XLOOKUP(A3,'[4]3月份计划-1'!$A:$A,'[4]3月份计划-1'!$I:$I,0)</f>
        <v>1853.19999999998</v>
      </c>
      <c r="I3" s="43">
        <f t="shared" ref="I3:I18" si="2">H3</f>
        <v>1853.19999999998</v>
      </c>
      <c r="K3" s="90" t="s">
        <v>389</v>
      </c>
      <c r="L3" s="91"/>
    </row>
    <row r="4" customHeight="1" spans="1:12">
      <c r="A4" s="38" t="s">
        <v>241</v>
      </c>
      <c r="B4" s="39">
        <f>SUMIFS('3月份科目余额表'!O:O,'3月份科目余额表'!D:D,A4)</f>
        <v>143976.22</v>
      </c>
      <c r="C4" s="40">
        <f>SUMIFS('1月份挂账'!$P:$P,'1月份挂账'!$R:$R,$A4)-SUMIFS('1月份挂账'!$O:$O,'1月份挂账'!$R:$R,$A4)</f>
        <v>119091.84</v>
      </c>
      <c r="D4" s="40">
        <f>SUMIFS('2月份挂账'!Q:Q,'2月份挂账'!S:S,A4)-SUMIFS('2月份挂账'!P:P,'2月份挂账'!S:S,A4)</f>
        <v>12425.53</v>
      </c>
      <c r="E4" s="40">
        <f>SUMIFS('3月份挂账'!Q:Q,'3月份挂账'!S:S,A4)-SUMIFS('3月份挂账'!P:P,'3月份挂账'!S:S,A4)</f>
        <v>12458.85</v>
      </c>
      <c r="F4" s="41">
        <f t="shared" si="0"/>
        <v>119091.84</v>
      </c>
      <c r="G4" s="41">
        <f t="shared" si="1"/>
        <v>0</v>
      </c>
      <c r="H4" s="79">
        <f>_xlfn.XLOOKUP(A4,'[4]3月份计划-1'!$A:$A,'[4]3月份计划-1'!$I:$I,0)</f>
        <v>100000</v>
      </c>
      <c r="I4" s="43">
        <f t="shared" si="2"/>
        <v>100000</v>
      </c>
      <c r="K4" s="90" t="s">
        <v>239</v>
      </c>
      <c r="L4" s="91">
        <v>353</v>
      </c>
    </row>
    <row r="5" customHeight="1" spans="1:12">
      <c r="A5" s="38" t="s">
        <v>242</v>
      </c>
      <c r="B5" s="39">
        <f>SUMIFS('3月份科目余额表'!O:O,'3月份科目余额表'!D:D,A5)</f>
        <v>121529.63</v>
      </c>
      <c r="C5" s="40">
        <f>SUMIFS('1月份挂账'!$P:$P,'1月份挂账'!$R:$R,$A5)-SUMIFS('1月份挂账'!$O:$O,'1月份挂账'!$R:$R,$A5)</f>
        <v>77995.01</v>
      </c>
      <c r="D5" s="40">
        <f>SUMIFS('2月份挂账'!Q:Q,'2月份挂账'!S:S,A5)-SUMIFS('2月份挂账'!P:P,'2月份挂账'!S:S,A5)</f>
        <v>23825.25</v>
      </c>
      <c r="E5" s="40">
        <f>SUMIFS('3月份挂账'!Q:Q,'3月份挂账'!S:S,A5)-SUMIFS('3月份挂账'!P:P,'3月份挂账'!S:S,A5)</f>
        <v>19709.37</v>
      </c>
      <c r="F5" s="41">
        <f t="shared" si="0"/>
        <v>77995.01</v>
      </c>
      <c r="G5" s="41">
        <f t="shared" si="1"/>
        <v>0</v>
      </c>
      <c r="H5" s="79">
        <f>_xlfn.XLOOKUP(A5,'[4]3月份计划-1'!$A:$A,'[4]3月份计划-1'!$I:$I,0)</f>
        <v>50000</v>
      </c>
      <c r="I5" s="43">
        <f t="shared" si="2"/>
        <v>50000</v>
      </c>
      <c r="K5" s="90" t="s">
        <v>390</v>
      </c>
      <c r="L5" s="91">
        <v>-253</v>
      </c>
    </row>
    <row r="6" customHeight="1" spans="1:12">
      <c r="A6" s="38" t="s">
        <v>243</v>
      </c>
      <c r="B6" s="39">
        <f>SUMIFS('3月份科目余额表'!O:O,'3月份科目余额表'!D:D,A6)</f>
        <v>50890.86</v>
      </c>
      <c r="C6" s="40">
        <f>SUMIFS('1月份挂账'!$P:$P,'1月份挂账'!$R:$R,$A6)-SUMIFS('1月份挂账'!$O:$O,'1月份挂账'!$R:$R,$A6)</f>
        <v>16908.28</v>
      </c>
      <c r="D6" s="40">
        <f>SUMIFS('2月份挂账'!Q:Q,'2月份挂账'!S:S,A6)-SUMIFS('2月份挂账'!P:P,'2月份挂账'!S:S,A6)</f>
        <v>11650.19</v>
      </c>
      <c r="E6" s="40">
        <f>SUMIFS('3月份挂账'!Q:Q,'3月份挂账'!S:S,A6)-SUMIFS('3月份挂账'!P:P,'3月份挂账'!S:S,A6)</f>
        <v>22332.39</v>
      </c>
      <c r="F6" s="41">
        <f t="shared" si="0"/>
        <v>16908.28</v>
      </c>
      <c r="G6" s="41">
        <f t="shared" si="1"/>
        <v>0</v>
      </c>
      <c r="H6" s="79">
        <f>_xlfn.XLOOKUP(A6,'[4]3月份计划-1'!$A:$A,'[4]3月份计划-1'!$I:$I,0)</f>
        <v>16908.28</v>
      </c>
      <c r="I6" s="43">
        <f t="shared" si="2"/>
        <v>16908.28</v>
      </c>
      <c r="K6" s="90" t="s">
        <v>346</v>
      </c>
      <c r="L6" s="91">
        <v>40</v>
      </c>
    </row>
    <row r="7" customHeight="1" spans="1:15">
      <c r="A7" s="38" t="s">
        <v>297</v>
      </c>
      <c r="B7" s="39">
        <f>SUMIFS('3月份科目余额表'!O:O,'3月份科目余额表'!D:D,A7)</f>
        <v>-3667.98</v>
      </c>
      <c r="C7" s="40">
        <f>SUMIFS('1月份挂账'!$P:$P,'1月份挂账'!$R:$R,$A7)-SUMIFS('1月份挂账'!$O:$O,'1月份挂账'!$R:$R,$A7)</f>
        <v>0</v>
      </c>
      <c r="D7" s="40">
        <f>SUMIFS('2月份挂账'!Q:Q,'2月份挂账'!S:S,A7)-SUMIFS('2月份挂账'!P:P,'2月份挂账'!S:S,A7)</f>
        <v>0</v>
      </c>
      <c r="E7" s="40">
        <f>SUMIFS('3月份挂账'!Q:Q,'3月份挂账'!S:S,A7)-SUMIFS('3月份挂账'!P:P,'3月份挂账'!S:S,A7)</f>
        <v>0</v>
      </c>
      <c r="F7" s="41">
        <f t="shared" si="0"/>
        <v>0</v>
      </c>
      <c r="G7" s="41">
        <f t="shared" si="1"/>
        <v>0</v>
      </c>
      <c r="H7" s="79">
        <f>_xlfn.XLOOKUP(A7,'[4]3月份计划-1'!$A:$A,'[4]3月份计划-1'!$I:$I,0)</f>
        <v>0</v>
      </c>
      <c r="I7" s="43">
        <f t="shared" si="2"/>
        <v>0</v>
      </c>
      <c r="K7" s="90" t="s">
        <v>347</v>
      </c>
      <c r="L7" s="91"/>
      <c r="M7" s="43" t="s">
        <v>391</v>
      </c>
      <c r="O7" s="43" t="s">
        <v>392</v>
      </c>
    </row>
    <row r="8" customHeight="1" spans="1:15">
      <c r="A8" s="38" t="s">
        <v>244</v>
      </c>
      <c r="B8" s="39">
        <f>SUMIFS('3月份科目余额表'!O:O,'3月份科目余额表'!D:D,A8)</f>
        <v>143842.56</v>
      </c>
      <c r="C8" s="40">
        <f>SUMIFS('1月份挂账'!$P:$P,'1月份挂账'!$R:$R,$A8)-SUMIFS('1月份挂账'!$O:$O,'1月份挂账'!$R:$R,$A8)</f>
        <v>78601.67</v>
      </c>
      <c r="D8" s="40">
        <f>SUMIFS('2月份挂账'!Q:Q,'2月份挂账'!S:S,A8)-SUMIFS('2月份挂账'!P:P,'2月份挂账'!S:S,A8)</f>
        <v>45703.19</v>
      </c>
      <c r="E8" s="40">
        <f>SUMIFS('3月份挂账'!Q:Q,'3月份挂账'!S:S,A8)-SUMIFS('3月份挂账'!P:P,'3月份挂账'!S:S,A8)</f>
        <v>19537.7</v>
      </c>
      <c r="F8" s="41">
        <f t="shared" si="0"/>
        <v>78601.67</v>
      </c>
      <c r="G8" s="41">
        <f t="shared" si="1"/>
        <v>0</v>
      </c>
      <c r="H8" s="79">
        <f>_xlfn.XLOOKUP(A8,'[4]3月份计划-1'!$A:$A,'[4]3月份计划-1'!$I:$I,0)</f>
        <v>78601.67</v>
      </c>
      <c r="I8" s="43">
        <f t="shared" si="2"/>
        <v>78601.67</v>
      </c>
      <c r="K8" s="90" t="s">
        <v>348</v>
      </c>
      <c r="L8" s="91">
        <v>960</v>
      </c>
      <c r="M8" s="43">
        <v>150</v>
      </c>
      <c r="O8" s="43">
        <v>134</v>
      </c>
    </row>
    <row r="9" customHeight="1" spans="1:15">
      <c r="A9" s="38" t="s">
        <v>245</v>
      </c>
      <c r="B9" s="39">
        <f>SUMIFS('3月份科目余额表'!O:O,'3月份科目余额表'!D:D,A9)</f>
        <v>137194.3</v>
      </c>
      <c r="C9" s="40">
        <f>SUMIFS('1月份挂账'!$P:$P,'1月份挂账'!$R:$R,$A9)-SUMIFS('1月份挂账'!$O:$O,'1月份挂账'!$R:$R,$A9)</f>
        <v>71377.35</v>
      </c>
      <c r="D9" s="40">
        <f>SUMIFS('2月份挂账'!Q:Q,'2月份挂账'!S:S,A9)-SUMIFS('2月份挂账'!P:P,'2月份挂账'!S:S,A9)</f>
        <v>37166.81</v>
      </c>
      <c r="E9" s="40">
        <f>SUMIFS('3月份挂账'!Q:Q,'3月份挂账'!S:S,A9)-SUMIFS('3月份挂账'!P:P,'3月份挂账'!S:S,A9)</f>
        <v>28650.14</v>
      </c>
      <c r="F9" s="41">
        <f t="shared" si="0"/>
        <v>71377.35</v>
      </c>
      <c r="G9" s="41">
        <f t="shared" si="1"/>
        <v>0</v>
      </c>
      <c r="H9" s="79">
        <f>_xlfn.XLOOKUP(A9,'[4]3月份计划-1'!$A:$A,'[4]3月份计划-1'!$I:$I,0)</f>
        <v>71377.35</v>
      </c>
      <c r="I9" s="43">
        <f t="shared" si="2"/>
        <v>71377.35</v>
      </c>
      <c r="K9" s="90" t="s">
        <v>349</v>
      </c>
      <c r="L9" s="91">
        <v>104</v>
      </c>
      <c r="O9" s="43">
        <v>278</v>
      </c>
    </row>
    <row r="10" customHeight="1" spans="1:13">
      <c r="A10" s="38" t="s">
        <v>246</v>
      </c>
      <c r="B10" s="39">
        <f>SUMIFS('3月份科目余额表'!O:O,'3月份科目余额表'!D:D,A10)</f>
        <v>127771.79</v>
      </c>
      <c r="C10" s="40">
        <f>SUMIFS('1月份挂账'!$P:$P,'1月份挂账'!$R:$R,$A10)-SUMIFS('1月份挂账'!$O:$O,'1月份挂账'!$R:$R,$A10)</f>
        <v>75095.26</v>
      </c>
      <c r="D10" s="40">
        <f>SUMIFS('2月份挂账'!Q:Q,'2月份挂账'!S:S,A10)-SUMIFS('2月份挂账'!P:P,'2月份挂账'!S:S,A10)</f>
        <v>26670.03</v>
      </c>
      <c r="E10" s="40">
        <f>SUMIFS('3月份挂账'!Q:Q,'3月份挂账'!S:S,A10)-SUMIFS('3月份挂账'!P:P,'3月份挂账'!S:S,A10)</f>
        <v>26006.5</v>
      </c>
      <c r="F10" s="41">
        <f t="shared" si="0"/>
        <v>75095.26</v>
      </c>
      <c r="G10" s="41">
        <f t="shared" si="1"/>
        <v>0</v>
      </c>
      <c r="H10" s="79">
        <f>_xlfn.XLOOKUP(A10,'[4]3月份计划-1'!$A:$A,'[4]3月份计划-1'!$I:$I,0)</f>
        <v>75095.26</v>
      </c>
      <c r="I10" s="43">
        <f t="shared" si="2"/>
        <v>75095.26</v>
      </c>
      <c r="K10" s="90" t="s">
        <v>351</v>
      </c>
      <c r="L10" s="91">
        <v>80</v>
      </c>
      <c r="M10" s="43">
        <v>50</v>
      </c>
    </row>
    <row r="11" customHeight="1" spans="1:15">
      <c r="A11" s="38" t="s">
        <v>247</v>
      </c>
      <c r="B11" s="39">
        <f>SUMIFS('3月份科目余额表'!O:O,'3月份科目余额表'!D:D,A11)</f>
        <v>29435.59</v>
      </c>
      <c r="C11" s="40">
        <f>SUMIFS('1月份挂账'!$P:$P,'1月份挂账'!$R:$R,$A11)-SUMIFS('1月份挂账'!$O:$O,'1月份挂账'!$R:$R,$A11)</f>
        <v>0</v>
      </c>
      <c r="D11" s="40">
        <f>SUMIFS('2月份挂账'!Q:Q,'2月份挂账'!S:S,A11)-SUMIFS('2月份挂账'!P:P,'2月份挂账'!S:S,A11)</f>
        <v>0</v>
      </c>
      <c r="E11" s="40">
        <f>SUMIFS('3月份挂账'!Q:Q,'3月份挂账'!S:S,A11)-SUMIFS('3月份挂账'!P:P,'3月份挂账'!S:S,A11)</f>
        <v>29435.59</v>
      </c>
      <c r="F11" s="41">
        <f t="shared" si="0"/>
        <v>0</v>
      </c>
      <c r="G11" s="41">
        <f t="shared" si="1"/>
        <v>0</v>
      </c>
      <c r="H11" s="79">
        <f>_xlfn.XLOOKUP(A11,'[4]3月份计划-1'!$A:$A,'[4]3月份计划-1'!$I:$I,0)</f>
        <v>0</v>
      </c>
      <c r="I11" s="43">
        <f t="shared" si="2"/>
        <v>0</v>
      </c>
      <c r="K11" s="90" t="s">
        <v>352</v>
      </c>
      <c r="L11" s="91">
        <v>35</v>
      </c>
      <c r="M11" s="43">
        <v>78</v>
      </c>
      <c r="O11" s="43">
        <v>30</v>
      </c>
    </row>
    <row r="12" customHeight="1" spans="1:15">
      <c r="A12" s="38" t="s">
        <v>248</v>
      </c>
      <c r="B12" s="39">
        <f>SUMIFS('3月份科目余额表'!O:O,'3月份科目余额表'!D:D,A12)</f>
        <v>754195</v>
      </c>
      <c r="C12" s="40">
        <f>SUMIFS('1月份挂账'!$P:$P,'1月份挂账'!$R:$R,$A12)-SUMIFS('1月份挂账'!$O:$O,'1月份挂账'!$R:$R,$A12)</f>
        <v>520134.48</v>
      </c>
      <c r="D12" s="40">
        <f>SUMIFS('2月份挂账'!Q:Q,'2月份挂账'!S:S,A12)-SUMIFS('2月份挂账'!P:P,'2月份挂账'!S:S,A12)</f>
        <v>78020.18</v>
      </c>
      <c r="E12" s="40">
        <v>156040.34</v>
      </c>
      <c r="F12" s="41">
        <f t="shared" si="0"/>
        <v>520134.48</v>
      </c>
      <c r="G12" s="41">
        <f t="shared" si="1"/>
        <v>0</v>
      </c>
      <c r="H12" s="79">
        <f>_xlfn.XLOOKUP(A12,'[4]3月份计划-1'!$A:$A,'[4]3月份计划-1'!$I:$I,0)</f>
        <v>520134.48</v>
      </c>
      <c r="I12" s="43">
        <f t="shared" si="2"/>
        <v>520134.48</v>
      </c>
      <c r="K12" s="90" t="s">
        <v>353</v>
      </c>
      <c r="L12" s="91"/>
      <c r="O12" s="43">
        <v>127</v>
      </c>
    </row>
    <row r="13" customHeight="1" spans="1:12">
      <c r="A13" s="38" t="s">
        <v>249</v>
      </c>
      <c r="B13" s="39">
        <f>SUMIFS('3月份科目余额表'!O:O,'3月份科目余额表'!D:D,A13)</f>
        <v>798238.4</v>
      </c>
      <c r="C13" s="40">
        <f>SUMIFS('1月份挂账'!$P:$P,'1月份挂账'!$R:$R,$A13)-SUMIFS('1月份挂账'!$O:$O,'1月份挂账'!$R:$R,$A13)</f>
        <v>442481.63</v>
      </c>
      <c r="D13" s="40">
        <f>SUMIFS('2月份挂账'!Q:Q,'2月份挂账'!S:S,A13)-SUMIFS('2月份挂账'!P:P,'2月份挂账'!S:S,A13)</f>
        <v>231977.7</v>
      </c>
      <c r="E13" s="40">
        <f>SUMIFS('3月份挂账'!Q:Q,'3月份挂账'!S:S,A13)-SUMIFS('3月份挂账'!P:P,'3月份挂账'!S:S,A13)</f>
        <v>123779.07</v>
      </c>
      <c r="F13" s="41">
        <f t="shared" si="0"/>
        <v>442481.63</v>
      </c>
      <c r="G13" s="41">
        <f t="shared" si="1"/>
        <v>0</v>
      </c>
      <c r="H13" s="79">
        <f>_xlfn.XLOOKUP(A13,'[4]3月份计划-1'!$A:$A,'[4]3月份计划-1'!$I:$I,0)</f>
        <v>400000</v>
      </c>
      <c r="I13" s="43">
        <f t="shared" si="2"/>
        <v>400000</v>
      </c>
      <c r="K13" s="90"/>
      <c r="L13" s="91"/>
    </row>
    <row r="14" customHeight="1" spans="1:12">
      <c r="A14" s="38" t="s">
        <v>250</v>
      </c>
      <c r="B14" s="39">
        <f>SUMIFS('3月份科目余额表'!O:O,'3月份科目余额表'!D:D,A14)</f>
        <v>616653.59</v>
      </c>
      <c r="C14" s="40">
        <f>SUMIFS('1月份挂账'!$P:$P,'1月份挂账'!$R:$R,$A14)-SUMIFS('1月份挂账'!$O:$O,'1月份挂账'!$R:$R,$A14)</f>
        <v>332887.93</v>
      </c>
      <c r="D14" s="40">
        <f>SUMIFS('2月份挂账'!Q:Q,'2月份挂账'!S:S,A14)-SUMIFS('2月份挂账'!P:P,'2月份挂账'!S:S,A14)</f>
        <v>154244.97</v>
      </c>
      <c r="E14" s="40">
        <f>SUMIFS('3月份挂账'!Q:Q,'3月份挂账'!S:S,A14)-SUMIFS('3月份挂账'!P:P,'3月份挂账'!S:S,A14)</f>
        <v>129520.69</v>
      </c>
      <c r="F14" s="41">
        <f t="shared" si="0"/>
        <v>332887.93</v>
      </c>
      <c r="G14" s="41">
        <f t="shared" si="1"/>
        <v>0</v>
      </c>
      <c r="H14" s="79">
        <f>_xlfn.XLOOKUP(A14,'[4]3月份计划-1'!$A:$A,'[4]3月份计划-1'!$I:$I,0)</f>
        <v>300000</v>
      </c>
      <c r="I14" s="43">
        <f t="shared" si="2"/>
        <v>300000</v>
      </c>
      <c r="K14" s="90" t="s">
        <v>355</v>
      </c>
      <c r="L14" s="91">
        <v>480</v>
      </c>
    </row>
    <row r="15" customHeight="1" spans="1:12">
      <c r="A15" s="38" t="s">
        <v>298</v>
      </c>
      <c r="B15" s="39">
        <f>SUMIFS('3月份科目余额表'!O:O,'3月份科目余额表'!D:D,A15)</f>
        <v>247081.28</v>
      </c>
      <c r="C15" s="40">
        <f>SUMIFS('1月份挂账'!$P:$P,'1月份挂账'!$R:$R,$A15)-SUMIFS('1月份挂账'!$O:$O,'1月份挂账'!$R:$R,$A15)</f>
        <v>181993.28</v>
      </c>
      <c r="D15" s="40">
        <f>SUMIFS('2月份挂账'!Q:Q,'2月份挂账'!S:S,A15)-SUMIFS('2月份挂账'!P:P,'2月份挂账'!S:S,A15)</f>
        <v>65088</v>
      </c>
      <c r="E15" s="40">
        <f>SUMIFS('3月份挂账'!Q:Q,'3月份挂账'!S:S,A15)-SUMIFS('3月份挂账'!P:P,'3月份挂账'!S:S,A15)</f>
        <v>0</v>
      </c>
      <c r="F15" s="41">
        <f t="shared" si="0"/>
        <v>181993.28</v>
      </c>
      <c r="G15" s="41">
        <f t="shared" si="1"/>
        <v>0</v>
      </c>
      <c r="H15" s="79">
        <f>_xlfn.XLOOKUP(A15,'[4]3月份计划-1'!$A:$A,'[4]3月份计划-1'!$I:$I,0)</f>
        <v>181993.28</v>
      </c>
      <c r="I15" s="43">
        <f t="shared" si="2"/>
        <v>181993.28</v>
      </c>
      <c r="K15" s="90"/>
      <c r="L15" s="91"/>
    </row>
    <row r="16" customHeight="1" spans="1:12">
      <c r="A16" s="38" t="s">
        <v>251</v>
      </c>
      <c r="B16" s="39">
        <f>SUMIFS('3月份科目余额表'!O:O,'3月份科目余额表'!D:D,A16)</f>
        <v>469589.13</v>
      </c>
      <c r="C16" s="40">
        <f>SUMIFS('1月份挂账'!$P:$P,'1月份挂账'!$R:$R,$A16)-SUMIFS('1月份挂账'!$O:$O,'1月份挂账'!$R:$R,$A16)</f>
        <v>401306</v>
      </c>
      <c r="D16" s="40">
        <f>SUMIFS('2月份挂账'!Q:Q,'2月份挂账'!S:S,A16)-SUMIFS('2月份挂账'!P:P,'2月份挂账'!S:S,A16)</f>
        <v>402477.13</v>
      </c>
      <c r="E16" s="40">
        <f>SUMIFS('3月份挂账'!Q:Q,'3月份挂账'!S:S,A16)-SUMIFS('3月份挂账'!P:P,'3月份挂账'!S:S,A16)</f>
        <v>303438</v>
      </c>
      <c r="F16" s="41">
        <f t="shared" si="0"/>
        <v>0</v>
      </c>
      <c r="G16" s="41">
        <f t="shared" si="1"/>
        <v>0</v>
      </c>
      <c r="H16" s="79">
        <f>_xlfn.XLOOKUP(A16,'[4]3月份计划-1'!$A:$A,'[4]3月份计划-1'!$I:$I,0)</f>
        <v>0</v>
      </c>
      <c r="I16" s="43">
        <f t="shared" si="2"/>
        <v>0</v>
      </c>
      <c r="K16" s="90" t="s">
        <v>29</v>
      </c>
      <c r="L16" s="91"/>
    </row>
    <row r="17" customHeight="1" spans="1:12">
      <c r="A17" s="38" t="s">
        <v>252</v>
      </c>
      <c r="B17" s="39">
        <f>SUMIFS('3月份科目余额表'!O:O,'3月份科目余额表'!D:D,A17)</f>
        <v>136821.26</v>
      </c>
      <c r="C17" s="40">
        <f>SUMIFS('1月份挂账'!$P:$P,'1月份挂账'!$R:$R,$A17)-SUMIFS('1月份挂账'!$O:$O,'1月份挂账'!$R:$R,$A17)</f>
        <v>82996.78</v>
      </c>
      <c r="D17" s="40">
        <f>SUMIFS('2月份挂账'!Q:Q,'2月份挂账'!S:S,A17)-SUMIFS('2月份挂账'!P:P,'2月份挂账'!S:S,A17)</f>
        <v>49654.78</v>
      </c>
      <c r="E17" s="40">
        <f>SUMIFS('3月份挂账'!Q:Q,'3月份挂账'!S:S,A17)-SUMIFS('3月份挂账'!P:P,'3月份挂账'!S:S,A17)</f>
        <v>4169.7</v>
      </c>
      <c r="F17" s="41">
        <f t="shared" si="0"/>
        <v>82996.78</v>
      </c>
      <c r="G17" s="41">
        <f t="shared" si="1"/>
        <v>0</v>
      </c>
      <c r="H17" s="79">
        <f>_xlfn.XLOOKUP(A17,'[4]3月份计划-1'!$A:$A,'[4]3月份计划-1'!$I:$I,0)</f>
        <v>82996.78</v>
      </c>
      <c r="I17" s="43">
        <f t="shared" si="2"/>
        <v>82996.78</v>
      </c>
      <c r="K17" s="93" t="s">
        <v>358</v>
      </c>
      <c r="L17" s="94"/>
    </row>
    <row r="18" customHeight="1" spans="1:13">
      <c r="A18" s="38" t="s">
        <v>253</v>
      </c>
      <c r="B18" s="39">
        <f>SUMIFS('3月份科目余额表'!O:O,'3月份科目余额表'!D:D,A18)</f>
        <v>325053.25</v>
      </c>
      <c r="C18" s="40">
        <f>SUMIFS('1月份挂账'!$P:$P,'1月份挂账'!$R:$R,$A18)-SUMIFS('1月份挂账'!$O:$O,'1月份挂账'!$R:$R,$A18)</f>
        <v>135456.27</v>
      </c>
      <c r="D18" s="40">
        <f>SUMIFS('2月份挂账'!Q:Q,'2月份挂账'!S:S,A18)-SUMIFS('2月份挂账'!P:P,'2月份挂账'!S:S,A18)</f>
        <v>109878.98</v>
      </c>
      <c r="E18" s="40">
        <f>SUMIFS('3月份挂账'!Q:Q,'3月份挂账'!S:S,A18)-SUMIFS('3月份挂账'!P:P,'3月份挂账'!S:S,A18)</f>
        <v>79718</v>
      </c>
      <c r="F18" s="41">
        <f t="shared" si="0"/>
        <v>135456.27</v>
      </c>
      <c r="G18" s="41">
        <f t="shared" si="1"/>
        <v>0</v>
      </c>
      <c r="H18" s="79">
        <f>_xlfn.XLOOKUP(A18,'[4]3月份计划-1'!$A:$A,'[4]3月份计划-1'!$I:$I,0)</f>
        <v>135456.27</v>
      </c>
      <c r="I18" s="43">
        <f t="shared" si="2"/>
        <v>135456.27</v>
      </c>
      <c r="K18" s="93" t="s">
        <v>393</v>
      </c>
      <c r="L18" s="94">
        <v>-150</v>
      </c>
      <c r="M18" s="43">
        <v>-150</v>
      </c>
    </row>
    <row r="19" customHeight="1" spans="1:13">
      <c r="A19" s="38" t="s">
        <v>254</v>
      </c>
      <c r="B19" s="39">
        <f>SUMIFS('3月份科目余额表'!O:O,'3月份科目余额表'!D:D,A19)</f>
        <v>782693.17</v>
      </c>
      <c r="C19" s="40">
        <f>SUMIFS('1月份挂账'!$P:$P,'1月份挂账'!$R:$R,$A19)-SUMIFS('1月份挂账'!$O:$O,'1月份挂账'!$R:$R,$A19)</f>
        <v>913202.96</v>
      </c>
      <c r="D19" s="40">
        <f>SUMIFS('2月份挂账'!Q:Q,'2月份挂账'!S:S,A19)-SUMIFS('2月份挂账'!P:P,'2月份挂账'!S:S,A19)</f>
        <v>377110.6</v>
      </c>
      <c r="E19" s="40">
        <f>SUMIFS('3月份挂账'!Q:Q,'3月份挂账'!S:S,A19)-SUMIFS('3月份挂账'!P:P,'3月份挂账'!S:S,A19)</f>
        <v>295077.67</v>
      </c>
      <c r="F19" s="41">
        <f t="shared" si="0"/>
        <v>110504.9</v>
      </c>
      <c r="G19" s="41">
        <f t="shared" si="1"/>
        <v>0</v>
      </c>
      <c r="H19" s="79">
        <f>_xlfn.XLOOKUP(A19,'[4]3月份计划-1'!$A:$A,'[4]3月份计划-1'!$I:$I,0)</f>
        <v>500000</v>
      </c>
      <c r="I19" s="43">
        <v>300000</v>
      </c>
      <c r="J19" s="96" t="s">
        <v>402</v>
      </c>
      <c r="K19" s="93" t="s">
        <v>394</v>
      </c>
      <c r="L19" s="94">
        <v>-30</v>
      </c>
      <c r="M19" s="43">
        <v>-30</v>
      </c>
    </row>
    <row r="20" customHeight="1" spans="1:14">
      <c r="A20" s="38" t="s">
        <v>255</v>
      </c>
      <c r="B20" s="39">
        <f>SUMIFS('3月份科目余额表'!O:O,'3月份科目余额表'!D:D,A20)</f>
        <v>67848.95</v>
      </c>
      <c r="C20" s="40">
        <f>SUMIFS('1月份挂账'!$P:$P,'1月份挂账'!$R:$R,$A20)-SUMIFS('1月份挂账'!$O:$O,'1月份挂账'!$R:$R,$A20)</f>
        <v>0</v>
      </c>
      <c r="D20" s="40">
        <f>SUMIFS('2月份挂账'!Q:Q,'2月份挂账'!S:S,A20)-SUMIFS('2月份挂账'!P:P,'2月份挂账'!S:S,A20)</f>
        <v>35416.01</v>
      </c>
      <c r="E20" s="40">
        <f>SUMIFS('3月份挂账'!Q:Q,'3月份挂账'!S:S,A20)-SUMIFS('3月份挂账'!P:P,'3月份挂账'!S:S,A20)</f>
        <v>32432.94</v>
      </c>
      <c r="F20" s="41">
        <f t="shared" si="0"/>
        <v>0</v>
      </c>
      <c r="G20" s="41">
        <f t="shared" si="1"/>
        <v>0</v>
      </c>
      <c r="H20" s="79">
        <v>0</v>
      </c>
      <c r="I20" s="43">
        <f t="shared" ref="I20:I26" si="3">H20</f>
        <v>0</v>
      </c>
      <c r="K20" s="93" t="s">
        <v>395</v>
      </c>
      <c r="L20" s="94">
        <f>-I92/10000</f>
        <v>-611.467964</v>
      </c>
      <c r="M20" s="43">
        <v>-200</v>
      </c>
      <c r="N20" s="43" t="s">
        <v>396</v>
      </c>
    </row>
    <row r="21" customHeight="1" spans="1:12">
      <c r="A21" s="38" t="s">
        <v>256</v>
      </c>
      <c r="B21" s="39">
        <f>SUMIFS('3月份科目余额表'!O:O,'3月份科目余额表'!D:D,A21)</f>
        <v>4617.79</v>
      </c>
      <c r="C21" s="40">
        <f>SUMIFS('1月份挂账'!$P:$P,'1月份挂账'!$R:$R,$A21)-SUMIFS('1月份挂账'!$O:$O,'1月份挂账'!$R:$R,$A21)</f>
        <v>0</v>
      </c>
      <c r="D21" s="40">
        <f>SUMIFS('2月份挂账'!Q:Q,'2月份挂账'!S:S,A21)-SUMIFS('2月份挂账'!P:P,'2月份挂账'!S:S,A21)</f>
        <v>0</v>
      </c>
      <c r="E21" s="40">
        <f>SUMIFS('3月份挂账'!Q:Q,'3月份挂账'!S:S,A21)-SUMIFS('3月份挂账'!P:P,'3月份挂账'!S:S,A21)</f>
        <v>2016447.95</v>
      </c>
      <c r="F21" s="41">
        <f t="shared" si="0"/>
        <v>0</v>
      </c>
      <c r="G21" s="41">
        <f t="shared" si="1"/>
        <v>0</v>
      </c>
      <c r="H21" s="79">
        <f>_xlfn.XLOOKUP(A21,'[4]3月份计划-1'!$A:$A,'[4]3月份计划-1'!$I:$I,0)</f>
        <v>0</v>
      </c>
      <c r="I21" s="43">
        <f t="shared" si="3"/>
        <v>0</v>
      </c>
      <c r="K21" s="93" t="s">
        <v>367</v>
      </c>
      <c r="L21" s="94">
        <v>-70</v>
      </c>
    </row>
    <row r="22" customHeight="1" spans="1:14">
      <c r="A22" s="38" t="s">
        <v>257</v>
      </c>
      <c r="B22" s="39">
        <f>SUMIFS('3月份科目余额表'!O:O,'3月份科目余额表'!D:D,A22)</f>
        <v>-288171.91</v>
      </c>
      <c r="C22" s="40">
        <f>SUMIFS('1月份挂账'!$P:$P,'1月份挂账'!$R:$R,$A22)-SUMIFS('1月份挂账'!$O:$O,'1月份挂账'!$R:$R,$A22)</f>
        <v>0</v>
      </c>
      <c r="D22" s="40">
        <f>SUMIFS('2月份挂账'!Q:Q,'2月份挂账'!S:S,A22)-SUMIFS('2月份挂账'!P:P,'2月份挂账'!S:S,A22)</f>
        <v>224472.24</v>
      </c>
      <c r="E22" s="40">
        <f>SUMIFS('3月份挂账'!Q:Q,'3月份挂账'!S:S,A22)-SUMIFS('3月份挂账'!P:P,'3月份挂账'!S:S,A22)</f>
        <v>0</v>
      </c>
      <c r="F22" s="41">
        <f t="shared" si="0"/>
        <v>0</v>
      </c>
      <c r="G22" s="41">
        <f t="shared" si="1"/>
        <v>0</v>
      </c>
      <c r="H22" s="79">
        <f>_xlfn.XLOOKUP(A22,'[4]3月份计划-1'!$A:$A,'[4]3月份计划-1'!$I:$I,0)</f>
        <v>0</v>
      </c>
      <c r="I22" s="43">
        <f t="shared" si="3"/>
        <v>0</v>
      </c>
      <c r="K22" s="93" t="s">
        <v>397</v>
      </c>
      <c r="L22" s="94">
        <f>-100-98-40</f>
        <v>-238</v>
      </c>
      <c r="M22" s="43">
        <v>-140</v>
      </c>
      <c r="N22" s="43" t="s">
        <v>398</v>
      </c>
    </row>
    <row r="23" customHeight="1" spans="1:12">
      <c r="A23" s="38" t="s">
        <v>258</v>
      </c>
      <c r="B23" s="39">
        <f>SUMIFS('3月份科目余额表'!O:O,'3月份科目余额表'!D:D,A23)</f>
        <v>259876.49</v>
      </c>
      <c r="C23" s="40">
        <f>SUMIFS('1月份挂账'!$P:$P,'1月份挂账'!$R:$R,$A23)-SUMIFS('1月份挂账'!$O:$O,'1月份挂账'!$R:$R,$A23)</f>
        <v>61016.77</v>
      </c>
      <c r="D23" s="40">
        <f>SUMIFS('2月份挂账'!Q:Q,'2月份挂账'!S:S,A23)-SUMIFS('2月份挂账'!P:P,'2月份挂账'!S:S,A23)</f>
        <v>55884.93</v>
      </c>
      <c r="E23" s="40">
        <f>SUMIFS('3月份挂账'!Q:Q,'3月份挂账'!S:S,A23)-SUMIFS('3月份挂账'!P:P,'3月份挂账'!S:S,A23)</f>
        <v>142974.79</v>
      </c>
      <c r="F23" s="41">
        <f t="shared" si="0"/>
        <v>61016.77</v>
      </c>
      <c r="G23" s="41">
        <f t="shared" si="1"/>
        <v>0</v>
      </c>
      <c r="H23" s="79">
        <f>_xlfn.XLOOKUP(A23,'[4]3月份计划-1'!$A:$A,'[4]3月份计划-1'!$I:$I,0)</f>
        <v>61016.77</v>
      </c>
      <c r="I23" s="43">
        <f t="shared" si="3"/>
        <v>61016.77</v>
      </c>
      <c r="K23" s="93" t="s">
        <v>372</v>
      </c>
      <c r="L23" s="94">
        <f>SUM(L4:L22)</f>
        <v>699.532036</v>
      </c>
    </row>
    <row r="24" customHeight="1" spans="1:12">
      <c r="A24" s="38" t="s">
        <v>259</v>
      </c>
      <c r="B24" s="39">
        <f>SUMIFS('3月份科目余额表'!O:O,'3月份科目余额表'!D:D,A24)</f>
        <v>518852.38</v>
      </c>
      <c r="C24" s="40">
        <f>SUMIFS('1月份挂账'!$P:$P,'1月份挂账'!$R:$R,$A24)-SUMIFS('1月份挂账'!$O:$O,'1月份挂账'!$R:$R,$A24)</f>
        <v>241642.59</v>
      </c>
      <c r="D24" s="40">
        <f>SUMIFS('2月份挂账'!Q:Q,'2月份挂账'!S:S,A24)-SUMIFS('2月份挂账'!P:P,'2月份挂账'!S:S,A24)</f>
        <v>245761.44</v>
      </c>
      <c r="E24" s="40">
        <f>SUMIFS('3月份挂账'!Q:Q,'3月份挂账'!S:S,A24)-SUMIFS('3月份挂账'!P:P,'3月份挂账'!S:S,A24)</f>
        <v>31448.35</v>
      </c>
      <c r="F24" s="41">
        <f t="shared" si="0"/>
        <v>241642.59</v>
      </c>
      <c r="G24" s="41">
        <f t="shared" si="1"/>
        <v>0</v>
      </c>
      <c r="H24" s="79">
        <f>_xlfn.XLOOKUP(A24,'[4]3月份计划-1'!$A:$A,'[4]3月份计划-1'!$I:$I,0)</f>
        <v>241642.59</v>
      </c>
      <c r="I24" s="43">
        <f t="shared" si="3"/>
        <v>241642.59</v>
      </c>
      <c r="K24" s="93"/>
      <c r="L24" s="94"/>
    </row>
    <row r="25" customHeight="1" spans="1:12">
      <c r="A25" s="38" t="s">
        <v>299</v>
      </c>
      <c r="B25" s="39">
        <f>SUMIFS('3月份科目余额表'!O:O,'3月份科目余额表'!D:D,A25)</f>
        <v>742045.53</v>
      </c>
      <c r="C25" s="40">
        <f>SUMIFS('1月份挂账'!$P:$P,'1月份挂账'!$R:$R,$A25)-SUMIFS('1月份挂账'!$O:$O,'1月份挂账'!$R:$R,$A25)</f>
        <v>324795.67</v>
      </c>
      <c r="D25" s="40">
        <f>SUMIFS('2月份挂账'!Q:Q,'2月份挂账'!S:S,A25)-SUMIFS('2月份挂账'!P:P,'2月份挂账'!S:S,A25)</f>
        <v>209598.39</v>
      </c>
      <c r="E25" s="40">
        <f>SUMIFS('3月份挂账'!Q:Q,'3月份挂账'!S:S,A25)-SUMIFS('3月份挂账'!P:P,'3月份挂账'!S:S,A25)</f>
        <v>207651.85</v>
      </c>
      <c r="F25" s="41">
        <f t="shared" si="0"/>
        <v>324795.29</v>
      </c>
      <c r="G25" s="41">
        <f t="shared" si="1"/>
        <v>0</v>
      </c>
      <c r="H25" s="79">
        <f>_xlfn.XLOOKUP(A25,'[4]3月份计划-1'!$A:$A,'[4]3月份计划-1'!$I:$I,0)</f>
        <v>324795.29</v>
      </c>
      <c r="I25" s="43">
        <f t="shared" si="3"/>
        <v>324795.29</v>
      </c>
      <c r="K25" s="93"/>
      <c r="L25" s="94"/>
    </row>
    <row r="26" customHeight="1" spans="1:9">
      <c r="A26" s="38" t="s">
        <v>260</v>
      </c>
      <c r="B26" s="39">
        <f>SUMIFS('3月份科目余额表'!O:O,'3月份科目余额表'!D:D,A26)</f>
        <v>283298.76</v>
      </c>
      <c r="C26" s="40">
        <f>SUMIFS('1月份挂账'!$P:$P,'1月份挂账'!$R:$R,$A26)-SUMIFS('1月份挂账'!$O:$O,'1月份挂账'!$R:$R,$A26)</f>
        <v>148360.26</v>
      </c>
      <c r="D26" s="40">
        <f>SUMIFS('2月份挂账'!Q:Q,'2月份挂账'!S:S,A26)-SUMIFS('2月份挂账'!P:P,'2月份挂账'!S:S,A26)</f>
        <v>79305.92</v>
      </c>
      <c r="E26" s="40">
        <f>SUMIFS('3月份挂账'!Q:Q,'3月份挂账'!S:S,A26)-SUMIFS('3月份挂账'!P:P,'3月份挂账'!S:S,A26)</f>
        <v>55632.58</v>
      </c>
      <c r="F26" s="41">
        <f t="shared" si="0"/>
        <v>148360.26</v>
      </c>
      <c r="G26" s="41">
        <f t="shared" si="1"/>
        <v>0</v>
      </c>
      <c r="H26" s="79">
        <f>_xlfn.XLOOKUP(A26,'[4]3月份计划-1'!$A:$A,'[4]3月份计划-1'!$I:$I,0)</f>
        <v>148360.26</v>
      </c>
      <c r="I26" s="43">
        <f t="shared" si="3"/>
        <v>148360.26</v>
      </c>
    </row>
    <row r="27" customHeight="1" spans="1:10">
      <c r="A27" s="38" t="s">
        <v>261</v>
      </c>
      <c r="B27" s="39">
        <f>SUMIFS('3月份科目余额表'!O:O,'3月份科目余额表'!D:D,A27)</f>
        <v>577575.61</v>
      </c>
      <c r="C27" s="40">
        <f>SUMIFS('1月份挂账'!$P:$P,'1月份挂账'!$R:$R,$A27)-SUMIFS('1月份挂账'!$O:$O,'1月份挂账'!$R:$R,$A27)</f>
        <v>0</v>
      </c>
      <c r="D27" s="40">
        <f>SUMIFS('2月份挂账'!Q:Q,'2月份挂账'!S:S,A27)-SUMIFS('2月份挂账'!P:P,'2月份挂账'!S:S,A27)</f>
        <v>0</v>
      </c>
      <c r="E27" s="40">
        <v>373979</v>
      </c>
      <c r="F27" s="41">
        <f t="shared" si="0"/>
        <v>203596.61</v>
      </c>
      <c r="G27" s="41">
        <f t="shared" si="1"/>
        <v>203596.61</v>
      </c>
      <c r="H27" s="79">
        <f>_xlfn.XLOOKUP(A27,'[4]3月份计划-1'!$A:$A,'[4]3月份计划-1'!$I:$I,0)</f>
        <v>200000</v>
      </c>
      <c r="I27" s="96">
        <v>100000</v>
      </c>
      <c r="J27" s="96" t="s">
        <v>403</v>
      </c>
    </row>
    <row r="28" customHeight="1" spans="1:9">
      <c r="A28" s="38" t="s">
        <v>262</v>
      </c>
      <c r="B28" s="39">
        <f>SUMIFS('3月份科目余额表'!O:O,'3月份科目余额表'!D:D,A28)</f>
        <v>472439</v>
      </c>
      <c r="C28" s="40">
        <f>SUMIFS('1月份挂账'!$P:$P,'1月份挂账'!$R:$R,$A28)-SUMIFS('1月份挂账'!$O:$O,'1月份挂账'!$R:$R,$A28)</f>
        <v>0</v>
      </c>
      <c r="D28" s="40">
        <f>SUMIFS('2月份挂账'!Q:Q,'2月份挂账'!S:S,A28)-SUMIFS('2月份挂账'!P:P,'2月份挂账'!S:S,A28)</f>
        <v>211574.1</v>
      </c>
      <c r="E28" s="40">
        <f>SUMIFS('3月份挂账'!Q:Q,'3月份挂账'!S:S,A28)-SUMIFS('3月份挂账'!P:P,'3月份挂账'!S:S,A28)</f>
        <v>0</v>
      </c>
      <c r="F28" s="41">
        <f t="shared" si="0"/>
        <v>260864.9</v>
      </c>
      <c r="G28" s="41">
        <f t="shared" si="1"/>
        <v>260864.9</v>
      </c>
      <c r="H28" s="79">
        <f>_xlfn.XLOOKUP(A28,'[4]3月份计划-1'!$A:$A,'[4]3月份计划-1'!$I:$I,0)</f>
        <v>0</v>
      </c>
      <c r="I28" s="43">
        <f>H28</f>
        <v>0</v>
      </c>
    </row>
    <row r="29" customHeight="1" spans="1:9">
      <c r="A29" s="38" t="s">
        <v>263</v>
      </c>
      <c r="B29" s="39">
        <f>SUMIFS('3月份科目余额表'!O:O,'3月份科目余额表'!D:D,A29)</f>
        <v>405547.25</v>
      </c>
      <c r="C29" s="40">
        <v>152879.45</v>
      </c>
      <c r="D29" s="40">
        <v>151467.66</v>
      </c>
      <c r="E29" s="40">
        <f>SUMIFS('3月份挂账'!Q:Q,'3月份挂账'!S:S,A29)-SUMIFS('3月份挂账'!P:P,'3月份挂账'!S:S,A29)</f>
        <v>101200.14</v>
      </c>
      <c r="F29" s="41">
        <f t="shared" si="0"/>
        <v>152879.45</v>
      </c>
      <c r="G29" s="41">
        <f t="shared" si="1"/>
        <v>0</v>
      </c>
      <c r="H29" s="79">
        <f>_xlfn.XLOOKUP(A29,'[4]3月份计划-1'!$A:$A,'[4]3月份计划-1'!$I:$I,0)</f>
        <v>152879.45</v>
      </c>
      <c r="I29" s="43">
        <f>H29</f>
        <v>152879.45</v>
      </c>
    </row>
    <row r="30" customHeight="1" spans="1:10">
      <c r="A30" s="38" t="s">
        <v>264</v>
      </c>
      <c r="B30" s="39">
        <f>SUMIFS('3月份科目余额表'!O:O,'3月份科目余额表'!D:D,A30)</f>
        <v>2148341.96</v>
      </c>
      <c r="C30" s="40">
        <f>SUMIFS('1月份挂账'!$P:$P,'1月份挂账'!$R:$R,$A30)-SUMIFS('1月份挂账'!$O:$O,'1月份挂账'!$R:$R,$A30)</f>
        <v>1066979.88</v>
      </c>
      <c r="D30" s="40">
        <f>SUMIFS('2月份挂账'!Q:Q,'2月份挂账'!S:S,A30)-SUMIFS('2月份挂账'!P:P,'2月份挂账'!S:S,A30)</f>
        <v>394216.99</v>
      </c>
      <c r="E30" s="40">
        <f>SUMIFS('3月份挂账'!Q:Q,'3月份挂账'!S:S,A30)-SUMIFS('3月份挂账'!P:P,'3月份挂账'!S:S,A30)</f>
        <v>373082.59</v>
      </c>
      <c r="F30" s="41">
        <f t="shared" si="0"/>
        <v>1381042.38</v>
      </c>
      <c r="G30" s="41">
        <f t="shared" si="1"/>
        <v>314062.5</v>
      </c>
      <c r="H30" s="79">
        <f>_xlfn.XLOOKUP(A30,'[4]3月份计划-1'!$A:$A,'[4]3月份计划-1'!$I:$I,0)</f>
        <v>800000</v>
      </c>
      <c r="I30" s="96">
        <v>500000</v>
      </c>
      <c r="J30" s="96" t="s">
        <v>404</v>
      </c>
    </row>
    <row r="31" customHeight="1" spans="1:10">
      <c r="A31" s="38" t="s">
        <v>265</v>
      </c>
      <c r="B31" s="39">
        <f>SUMIFS('3月份科目余额表'!O:O,'3月份科目余额表'!D:D,A31)</f>
        <v>3560702.04</v>
      </c>
      <c r="C31" s="40">
        <f>SUMIFS('1月份挂账'!$P:$P,'1月份挂账'!$R:$R,$A31)-SUMIFS('1月份挂账'!$O:$O,'1月份挂账'!$R:$R,$A31)</f>
        <v>1711278.93</v>
      </c>
      <c r="D31" s="40">
        <f>SUMIFS('2月份挂账'!Q:Q,'2月份挂账'!S:S,A31)-SUMIFS('2月份挂账'!P:P,'2月份挂账'!S:S,A31)</f>
        <v>1074171.99</v>
      </c>
      <c r="E31" s="40">
        <f>SUMIFS('3月份挂账'!Q:Q,'3月份挂账'!S:S,A31)-SUMIFS('3月份挂账'!P:P,'3月份挂账'!S:S,A31)</f>
        <v>775251.12</v>
      </c>
      <c r="F31" s="41">
        <f t="shared" si="0"/>
        <v>1711278.93</v>
      </c>
      <c r="G31" s="41">
        <f t="shared" si="1"/>
        <v>0</v>
      </c>
      <c r="H31" s="79">
        <f>_xlfn.XLOOKUP(A31,'[4]3月份计划-1'!$A:$A,'[4]3月份计划-1'!$I:$I,0)</f>
        <v>1700000</v>
      </c>
      <c r="I31" s="96">
        <v>1400000</v>
      </c>
      <c r="J31" s="96" t="s">
        <v>405</v>
      </c>
    </row>
    <row r="32" customHeight="1" spans="1:9">
      <c r="A32" s="38" t="s">
        <v>267</v>
      </c>
      <c r="B32" s="39">
        <f>SUMIFS('3月份科目余额表'!O:O,'3月份科目余额表'!D:D,A32)</f>
        <v>25441.28</v>
      </c>
      <c r="C32" s="40">
        <f>SUMIFS('1月份挂账'!$P:$P,'1月份挂账'!$R:$R,$A32)-SUMIFS('1月份挂账'!$O:$O,'1月份挂账'!$R:$R,$A32)</f>
        <v>12540.63</v>
      </c>
      <c r="D32" s="40">
        <f>SUMIFS('2月份挂账'!Q:Q,'2月份挂账'!S:S,A32)-SUMIFS('2月份挂账'!P:P,'2月份挂账'!S:S,A32)</f>
        <v>6900.35</v>
      </c>
      <c r="E32" s="40">
        <f>SUMIFS('3月份挂账'!Q:Q,'3月份挂账'!S:S,A32)-SUMIFS('3月份挂账'!P:P,'3月份挂账'!S:S,A32)</f>
        <v>6000.3</v>
      </c>
      <c r="F32" s="41">
        <f t="shared" si="0"/>
        <v>12540.63</v>
      </c>
      <c r="G32" s="41">
        <f t="shared" si="1"/>
        <v>0</v>
      </c>
      <c r="H32" s="79">
        <f>_xlfn.XLOOKUP(A32,'[4]3月份计划-1'!$A:$A,'[4]3月份计划-1'!$I:$I,0)</f>
        <v>12540.63</v>
      </c>
      <c r="I32" s="43">
        <f t="shared" ref="I32:I90" si="4">H32</f>
        <v>12540.63</v>
      </c>
    </row>
    <row r="33" customHeight="1" spans="1:9">
      <c r="A33" s="38" t="s">
        <v>268</v>
      </c>
      <c r="B33" s="39">
        <f>SUMIFS('3月份科目余额表'!O:O,'3月份科目余额表'!D:D,A33)</f>
        <v>25062.5</v>
      </c>
      <c r="C33" s="40">
        <f>SUMIFS('1月份挂账'!$P:$P,'1月份挂账'!$R:$R,$A33)-SUMIFS('1月份挂账'!$O:$O,'1月份挂账'!$R:$R,$A33)</f>
        <v>0</v>
      </c>
      <c r="D33" s="40">
        <f>SUMIFS('2月份挂账'!Q:Q,'2月份挂账'!S:S,A33)-SUMIFS('2月份挂账'!P:P,'2月份挂账'!S:S,A33)</f>
        <v>25062.5</v>
      </c>
      <c r="E33" s="40">
        <f>SUMIFS('3月份挂账'!Q:Q,'3月份挂账'!S:S,A33)-SUMIFS('3月份挂账'!P:P,'3月份挂账'!S:S,A33)</f>
        <v>0</v>
      </c>
      <c r="F33" s="41">
        <f t="shared" si="0"/>
        <v>0</v>
      </c>
      <c r="G33" s="41">
        <f t="shared" si="1"/>
        <v>0</v>
      </c>
      <c r="H33" s="79">
        <f>_xlfn.XLOOKUP(A33,'[4]3月份计划-1'!$A:$A,'[4]3月份计划-1'!$I:$I,0)</f>
        <v>0</v>
      </c>
      <c r="I33" s="43">
        <f t="shared" si="4"/>
        <v>0</v>
      </c>
    </row>
    <row r="34" customHeight="1" spans="1:9">
      <c r="A34" s="38" t="s">
        <v>406</v>
      </c>
      <c r="B34" s="39">
        <f>SUMIFS('3月份科目余额表'!O:O,'3月份科目余额表'!D:D,A34)</f>
        <v>2621.52</v>
      </c>
      <c r="C34" s="40">
        <f>SUMIFS('1月份挂账'!$P:$P,'1月份挂账'!$R:$R,$A34)-SUMIFS('1月份挂账'!$O:$O,'1月份挂账'!$R:$R,$A34)</f>
        <v>0</v>
      </c>
      <c r="D34" s="40">
        <f>SUMIFS('2月份挂账'!Q:Q,'2月份挂账'!S:S,A34)-SUMIFS('2月份挂账'!P:P,'2月份挂账'!S:S,A34)</f>
        <v>0</v>
      </c>
      <c r="E34" s="40">
        <f>SUMIFS('3月份挂账'!Q:Q,'3月份挂账'!S:S,A34)-SUMIFS('3月份挂账'!P:P,'3月份挂账'!S:S,A34)</f>
        <v>0</v>
      </c>
      <c r="F34" s="41">
        <f t="shared" si="0"/>
        <v>2621.52</v>
      </c>
      <c r="G34" s="41">
        <f t="shared" si="1"/>
        <v>2621.52</v>
      </c>
      <c r="H34" s="79">
        <f>_xlfn.XLOOKUP(A34,'[4]3月份计划-1'!$A:$A,'[4]3月份计划-1'!$I:$I,0)</f>
        <v>2621.52</v>
      </c>
      <c r="I34" s="43">
        <f t="shared" si="4"/>
        <v>2621.52</v>
      </c>
    </row>
    <row r="35" customHeight="1" spans="1:9">
      <c r="A35" s="38" t="s">
        <v>407</v>
      </c>
      <c r="B35" s="39">
        <f>SUMIFS('3月份科目余额表'!O:O,'3月份科目余额表'!D:D,A35)</f>
        <v>54943.1</v>
      </c>
      <c r="C35" s="40">
        <f>SUMIFS('1月份挂账'!$P:$P,'1月份挂账'!$R:$R,$A35)-SUMIFS('1月份挂账'!$O:$O,'1月份挂账'!$R:$R,$A35)</f>
        <v>0</v>
      </c>
      <c r="D35" s="40">
        <f>SUMIFS('2月份挂账'!Q:Q,'2月份挂账'!S:S,A35)-SUMIFS('2月份挂账'!P:P,'2月份挂账'!S:S,A35)</f>
        <v>0</v>
      </c>
      <c r="E35" s="40">
        <f>SUMIFS('3月份挂账'!Q:Q,'3月份挂账'!S:S,A35)-SUMIFS('3月份挂账'!P:P,'3月份挂账'!S:S,A35)</f>
        <v>0</v>
      </c>
      <c r="F35" s="41">
        <f t="shared" si="0"/>
        <v>54943.1</v>
      </c>
      <c r="G35" s="41">
        <f t="shared" si="1"/>
        <v>54943.1</v>
      </c>
      <c r="H35" s="79">
        <f>_xlfn.XLOOKUP(A35,'[4]3月份计划-1'!$A:$A,'[4]3月份计划-1'!$I:$I,0)</f>
        <v>54943.1</v>
      </c>
      <c r="I35" s="43">
        <f t="shared" si="4"/>
        <v>54943.1</v>
      </c>
    </row>
    <row r="36" customHeight="1" spans="1:9">
      <c r="A36" s="38" t="s">
        <v>300</v>
      </c>
      <c r="B36" s="39">
        <f>SUMIFS('3月份科目余额表'!O:O,'3月份科目余额表'!D:D,A36)</f>
        <v>452546.91</v>
      </c>
      <c r="C36" s="40">
        <f>SUMIFS('1月份挂账'!$P:$P,'1月份挂账'!$R:$R,$A36)-SUMIFS('1月份挂账'!$O:$O,'1月份挂账'!$R:$R,$A36)</f>
        <v>147549.22</v>
      </c>
      <c r="D36" s="40">
        <f>SUMIFS('2月份挂账'!Q:Q,'2月份挂账'!S:S,A36)-SUMIFS('2月份挂账'!P:P,'2月份挂账'!S:S,A36)</f>
        <v>286144.77</v>
      </c>
      <c r="E36" s="40">
        <f>SUMIFS('3月份挂账'!Q:Q,'3月份挂账'!S:S,A36)-SUMIFS('3月份挂账'!P:P,'3月份挂账'!S:S,A36)</f>
        <v>18852.92</v>
      </c>
      <c r="F36" s="41">
        <f t="shared" si="0"/>
        <v>147549.22</v>
      </c>
      <c r="G36" s="41">
        <f t="shared" si="1"/>
        <v>0</v>
      </c>
      <c r="H36" s="79">
        <f>_xlfn.XLOOKUP(A36,'[4]3月份计划-1'!$A:$A,'[4]3月份计划-1'!$I:$I,0)</f>
        <v>147549.22</v>
      </c>
      <c r="I36" s="43">
        <f t="shared" si="4"/>
        <v>147549.22</v>
      </c>
    </row>
    <row r="37" customHeight="1" spans="1:9">
      <c r="A37" s="38" t="s">
        <v>301</v>
      </c>
      <c r="B37" s="39">
        <f>SUMIFS('3月份科目余额表'!O:O,'3月份科目余额表'!D:D,A37)</f>
        <v>3368.22</v>
      </c>
      <c r="C37" s="40">
        <f>SUMIFS('1月份挂账'!$P:$P,'1月份挂账'!$R:$R,$A37)-SUMIFS('1月份挂账'!$O:$O,'1月份挂账'!$R:$R,$A37)</f>
        <v>49192.39</v>
      </c>
      <c r="D37" s="40">
        <f>SUMIFS('2月份挂账'!Q:Q,'2月份挂账'!S:S,A37)-SUMIFS('2月份挂账'!P:P,'2月份挂账'!S:S,A37)</f>
        <v>0</v>
      </c>
      <c r="E37" s="40">
        <f>SUMIFS('3月份挂账'!Q:Q,'3月份挂账'!S:S,A37)-SUMIFS('3月份挂账'!P:P,'3月份挂账'!S:S,A37)</f>
        <v>3368.22</v>
      </c>
      <c r="F37" s="41">
        <f t="shared" si="0"/>
        <v>0</v>
      </c>
      <c r="G37" s="41">
        <f t="shared" si="1"/>
        <v>0</v>
      </c>
      <c r="H37" s="79">
        <f>_xlfn.XLOOKUP(A37,'[4]3月份计划-1'!$A:$A,'[4]3月份计划-1'!$I:$I,0)</f>
        <v>0</v>
      </c>
      <c r="I37" s="43">
        <f t="shared" si="4"/>
        <v>0</v>
      </c>
    </row>
    <row r="38" customHeight="1" spans="1:9">
      <c r="A38" s="38" t="s">
        <v>269</v>
      </c>
      <c r="B38" s="39">
        <f>SUMIFS('3月份科目余额表'!O:O,'3月份科目余额表'!D:D,A38)</f>
        <v>-10623.91</v>
      </c>
      <c r="C38" s="40">
        <f>SUMIFS('1月份挂账'!$P:$P,'1月份挂账'!$R:$R,$A38)-SUMIFS('1月份挂账'!$O:$O,'1月份挂账'!$R:$R,$A38)</f>
        <v>95896.6</v>
      </c>
      <c r="D38" s="40">
        <f>SUMIFS('2月份挂账'!Q:Q,'2月份挂账'!S:S,A38)-SUMIFS('2月份挂账'!P:P,'2月份挂账'!S:S,A38)</f>
        <v>0</v>
      </c>
      <c r="E38" s="40">
        <f>SUMIFS('3月份挂账'!Q:Q,'3月份挂账'!S:S,A38)-SUMIFS('3月份挂账'!P:P,'3月份挂账'!S:S,A38)</f>
        <v>45616.8</v>
      </c>
      <c r="F38" s="41">
        <f t="shared" si="0"/>
        <v>0</v>
      </c>
      <c r="G38" s="41">
        <f t="shared" si="1"/>
        <v>0</v>
      </c>
      <c r="H38" s="79">
        <f>_xlfn.XLOOKUP(A38,'[4]3月份计划-1'!$A:$A,'[4]3月份计划-1'!$I:$I,0)</f>
        <v>0</v>
      </c>
      <c r="I38" s="43">
        <f t="shared" si="4"/>
        <v>0</v>
      </c>
    </row>
    <row r="39" customHeight="1" spans="1:9">
      <c r="A39" s="38" t="s">
        <v>270</v>
      </c>
      <c r="B39" s="39">
        <f>SUMIFS('3月份科目余额表'!O:O,'3月份科目余额表'!D:D,A39)</f>
        <v>24846.2</v>
      </c>
      <c r="C39" s="40">
        <f>SUMIFS('1月份挂账'!$P:$P,'1月份挂账'!$R:$R,$A39)-SUMIFS('1月份挂账'!$O:$O,'1月份挂账'!$R:$R,$A39)</f>
        <v>7509.52</v>
      </c>
      <c r="D39" s="40">
        <f>SUMIFS('2月份挂账'!Q:Q,'2月份挂账'!S:S,A39)-SUMIFS('2月份挂账'!P:P,'2月份挂账'!S:S,A39)</f>
        <v>13311.88</v>
      </c>
      <c r="E39" s="40">
        <f>SUMIFS('3月份挂账'!Q:Q,'3月份挂账'!S:S,A39)-SUMIFS('3月份挂账'!P:P,'3月份挂账'!S:S,A39)</f>
        <v>4024.8</v>
      </c>
      <c r="F39" s="41">
        <f t="shared" si="0"/>
        <v>7509.52</v>
      </c>
      <c r="G39" s="41">
        <f t="shared" si="1"/>
        <v>0</v>
      </c>
      <c r="H39" s="79">
        <f>_xlfn.XLOOKUP(A39,'[4]3月份计划-1'!$A:$A,'[4]3月份计划-1'!$I:$I,0)</f>
        <v>7509.52</v>
      </c>
      <c r="I39" s="43">
        <f t="shared" si="4"/>
        <v>7509.52</v>
      </c>
    </row>
    <row r="40" customHeight="1" spans="1:9">
      <c r="A40" s="38" t="s">
        <v>271</v>
      </c>
      <c r="B40" s="39">
        <f>SUMIFS('3月份科目余额表'!O:O,'3月份科目余额表'!D:D,A40)</f>
        <v>22774.59</v>
      </c>
      <c r="C40" s="40">
        <f>SUMIFS('1月份挂账'!$P:$P,'1月份挂账'!$R:$R,$A40)-SUMIFS('1月份挂账'!$O:$O,'1月份挂账'!$R:$R,$A40)</f>
        <v>0</v>
      </c>
      <c r="D40" s="40">
        <f>SUMIFS('2月份挂账'!Q:Q,'2月份挂账'!S:S,A40)-SUMIFS('2月份挂账'!P:P,'2月份挂账'!S:S,A40)</f>
        <v>0</v>
      </c>
      <c r="E40" s="40">
        <f>SUMIFS('3月份挂账'!Q:Q,'3月份挂账'!S:S,A40)-SUMIFS('3月份挂账'!P:P,'3月份挂账'!S:S,A40)</f>
        <v>0</v>
      </c>
      <c r="F40" s="41">
        <f t="shared" si="0"/>
        <v>22774.59</v>
      </c>
      <c r="G40" s="41">
        <f t="shared" si="1"/>
        <v>22774.59</v>
      </c>
      <c r="H40" s="79">
        <f>_xlfn.XLOOKUP(A40,'[4]3月份计划-1'!$A:$A,'[4]3月份计划-1'!$I:$I,0)</f>
        <v>0</v>
      </c>
      <c r="I40" s="43">
        <f t="shared" si="4"/>
        <v>0</v>
      </c>
    </row>
    <row r="41" customHeight="1" spans="1:9">
      <c r="A41" s="38" t="s">
        <v>272</v>
      </c>
      <c r="B41" s="39">
        <f>SUMIFS('3月份科目余额表'!O:O,'3月份科目余额表'!D:D,A41)</f>
        <v>317723.08</v>
      </c>
      <c r="C41" s="40">
        <f>SUMIFS('1月份挂账'!$P:$P,'1月份挂账'!$R:$R,$A41)-SUMIFS('1月份挂账'!$O:$O,'1月份挂账'!$R:$R,$A41)</f>
        <v>175708.95</v>
      </c>
      <c r="D41" s="40">
        <f>SUMIFS('2月份挂账'!Q:Q,'2月份挂账'!S:S,A41)-SUMIFS('2月份挂账'!P:P,'2月份挂账'!S:S,A41)</f>
        <v>80150.92</v>
      </c>
      <c r="E41" s="40">
        <f>SUMIFS('3月份挂账'!Q:Q,'3月份挂账'!S:S,A41)-SUMIFS('3月份挂账'!P:P,'3月份挂账'!S:S,A41)</f>
        <v>59100.25</v>
      </c>
      <c r="F41" s="41">
        <f t="shared" si="0"/>
        <v>178471.91</v>
      </c>
      <c r="G41" s="41">
        <f t="shared" si="1"/>
        <v>2762.96000000002</v>
      </c>
      <c r="H41" s="79">
        <f>_xlfn.XLOOKUP(A41,'[4]3月份计划-1'!$A:$A,'[4]3月份计划-1'!$I:$I,0)</f>
        <v>178471.91</v>
      </c>
      <c r="I41" s="43">
        <f t="shared" si="4"/>
        <v>178471.91</v>
      </c>
    </row>
    <row r="42" customHeight="1" spans="1:9">
      <c r="A42" s="38" t="s">
        <v>273</v>
      </c>
      <c r="B42" s="39">
        <f>SUMIFS('3月份科目余额表'!O:O,'3月份科目余额表'!D:D,A42)</f>
        <v>21652.61</v>
      </c>
      <c r="C42" s="40">
        <f>SUMIFS('1月份挂账'!$P:$P,'1月份挂账'!$R:$R,$A42)-SUMIFS('1月份挂账'!$O:$O,'1月份挂账'!$R:$R,$A42)</f>
        <v>0</v>
      </c>
      <c r="D42" s="40">
        <f>SUMIFS('2月份挂账'!Q:Q,'2月份挂账'!S:S,A42)-SUMIFS('2月份挂账'!P:P,'2月份挂账'!S:S,A42)</f>
        <v>0</v>
      </c>
      <c r="E42" s="40">
        <f>SUMIFS('3月份挂账'!Q:Q,'3月份挂账'!S:S,A42)-SUMIFS('3月份挂账'!P:P,'3月份挂账'!S:S,A42)</f>
        <v>21652.61</v>
      </c>
      <c r="F42" s="41">
        <f t="shared" si="0"/>
        <v>0</v>
      </c>
      <c r="G42" s="41">
        <f t="shared" si="1"/>
        <v>0</v>
      </c>
      <c r="H42" s="79">
        <f>_xlfn.XLOOKUP(A42,'[4]3月份计划-1'!$A:$A,'[4]3月份计划-1'!$I:$I,0)</f>
        <v>0</v>
      </c>
      <c r="I42" s="43">
        <f t="shared" si="4"/>
        <v>0</v>
      </c>
    </row>
    <row r="43" customHeight="1" spans="1:9">
      <c r="A43" s="38" t="s">
        <v>302</v>
      </c>
      <c r="B43" s="39">
        <f>SUMIFS('3月份科目余额表'!O:O,'3月份科目余额表'!D:D,A43)</f>
        <v>122571.67</v>
      </c>
      <c r="C43" s="40">
        <f>SUMIFS('1月份挂账'!$P:$P,'1月份挂账'!$R:$R,$A43)-SUMIFS('1月份挂账'!$O:$O,'1月份挂账'!$R:$R,$A43)</f>
        <v>34215.27</v>
      </c>
      <c r="D43" s="40">
        <f>SUMIFS('2月份挂账'!Q:Q,'2月份挂账'!S:S,A43)-SUMIFS('2月份挂账'!P:P,'2月份挂账'!S:S,A43)</f>
        <v>0</v>
      </c>
      <c r="E43" s="40">
        <f>SUMIFS('3月份挂账'!Q:Q,'3月份挂账'!S:S,A43)-SUMIFS('3月份挂账'!P:P,'3月份挂账'!S:S,A43)</f>
        <v>678</v>
      </c>
      <c r="F43" s="41">
        <f t="shared" si="0"/>
        <v>121893.67</v>
      </c>
      <c r="G43" s="41">
        <f t="shared" si="1"/>
        <v>87678.4</v>
      </c>
      <c r="H43" s="79">
        <f>_xlfn.XLOOKUP(A43,'[4]3月份计划-1'!$A:$A,'[4]3月份计划-1'!$I:$I,0)</f>
        <v>0</v>
      </c>
      <c r="I43" s="43">
        <f t="shared" si="4"/>
        <v>0</v>
      </c>
    </row>
    <row r="44" customHeight="1" spans="1:9">
      <c r="A44" s="38" t="s">
        <v>274</v>
      </c>
      <c r="B44" s="39">
        <f>SUMIFS('3月份科目余额表'!O:O,'3月份科目余额表'!D:D,A44)</f>
        <v>280465.08</v>
      </c>
      <c r="C44" s="40">
        <f>SUMIFS('1月份挂账'!$P:$P,'1月份挂账'!$R:$R,$A44)-SUMIFS('1月份挂账'!$O:$O,'1月份挂账'!$R:$R,$A44)</f>
        <v>58259.63</v>
      </c>
      <c r="D44" s="40">
        <f>SUMIFS('2月份挂账'!Q:Q,'2月份挂账'!S:S,A44)-SUMIFS('2月份挂账'!P:P,'2月份挂账'!S:S,A44)</f>
        <v>0</v>
      </c>
      <c r="E44" s="40">
        <f>SUMIFS('3月份挂账'!Q:Q,'3月份挂账'!S:S,A44)-SUMIFS('3月份挂账'!P:P,'3月份挂账'!S:S,A44)</f>
        <v>48300.51</v>
      </c>
      <c r="F44" s="41">
        <f t="shared" si="0"/>
        <v>232164.57</v>
      </c>
      <c r="G44" s="41">
        <f t="shared" si="1"/>
        <v>173904.94</v>
      </c>
      <c r="H44" s="79">
        <f>_xlfn.XLOOKUP(A44,'[4]3月份计划-1'!$A:$A,'[4]3月份计划-1'!$I:$I,0)</f>
        <v>0</v>
      </c>
      <c r="I44" s="43">
        <f t="shared" si="4"/>
        <v>0</v>
      </c>
    </row>
    <row r="45" customHeight="1" spans="1:9">
      <c r="A45" s="38" t="s">
        <v>275</v>
      </c>
      <c r="B45" s="39">
        <f>SUMIFS('3月份科目余额表'!O:O,'3月份科目余额表'!D:D,A45)</f>
        <v>11033.01</v>
      </c>
      <c r="C45" s="40">
        <f>SUMIFS('1月份挂账'!$P:$P,'1月份挂账'!$R:$R,$A45)-SUMIFS('1月份挂账'!$O:$O,'1月份挂账'!$R:$R,$A45)</f>
        <v>5706.73</v>
      </c>
      <c r="D45" s="40">
        <f>SUMIFS('2月份挂账'!Q:Q,'2月份挂账'!S:S,A45)-SUMIFS('2月份挂账'!P:P,'2月份挂账'!S:S,A45)</f>
        <v>5326.28</v>
      </c>
      <c r="E45" s="40">
        <f>SUMIFS('3月份挂账'!Q:Q,'3月份挂账'!S:S,A45)-SUMIFS('3月份挂账'!P:P,'3月份挂账'!S:S,A45)</f>
        <v>0</v>
      </c>
      <c r="F45" s="41">
        <f t="shared" si="0"/>
        <v>5706.73</v>
      </c>
      <c r="G45" s="41">
        <f t="shared" si="1"/>
        <v>0</v>
      </c>
      <c r="H45" s="79">
        <f>_xlfn.XLOOKUP(A45,'[4]3月份计划-1'!$A:$A,'[4]3月份计划-1'!$I:$I,0)</f>
        <v>5706.73</v>
      </c>
      <c r="I45" s="43">
        <f t="shared" si="4"/>
        <v>5706.73</v>
      </c>
    </row>
    <row r="46" customHeight="1" spans="1:9">
      <c r="A46" s="38" t="s">
        <v>408</v>
      </c>
      <c r="B46" s="39">
        <f>SUMIFS('3月份科目余额表'!O:O,'3月份科目余额表'!D:D,A46)</f>
        <v>0</v>
      </c>
      <c r="C46" s="40">
        <f>SUMIFS('1月份挂账'!$P:$P,'1月份挂账'!$R:$R,$A46)-SUMIFS('1月份挂账'!$O:$O,'1月份挂账'!$R:$R,$A46)</f>
        <v>0</v>
      </c>
      <c r="D46" s="40">
        <f>SUMIFS('2月份挂账'!Q:Q,'2月份挂账'!S:S,A46)-SUMIFS('2月份挂账'!P:P,'2月份挂账'!S:S,A46)</f>
        <v>0</v>
      </c>
      <c r="E46" s="40">
        <f>SUMIFS('3月份挂账'!Q:Q,'3月份挂账'!S:S,A46)-SUMIFS('3月份挂账'!P:P,'3月份挂账'!S:S,A46)</f>
        <v>0</v>
      </c>
      <c r="F46" s="41">
        <f t="shared" si="0"/>
        <v>0</v>
      </c>
      <c r="G46" s="41">
        <f t="shared" si="1"/>
        <v>0</v>
      </c>
      <c r="H46" s="79">
        <f>_xlfn.XLOOKUP(A46,'[4]3月份计划-1'!$A:$A,'[4]3月份计划-1'!$I:$I,0)</f>
        <v>0</v>
      </c>
      <c r="I46" s="43">
        <f t="shared" si="4"/>
        <v>0</v>
      </c>
    </row>
    <row r="47" customHeight="1" spans="1:9">
      <c r="A47" s="38" t="s">
        <v>276</v>
      </c>
      <c r="B47" s="39">
        <f>SUMIFS('3月份科目余额表'!O:O,'3月份科目余额表'!D:D,A47)</f>
        <v>38188.24</v>
      </c>
      <c r="C47" s="40">
        <f>SUMIFS('1月份挂账'!$P:$P,'1月份挂账'!$R:$R,$A47)-SUMIFS('1月份挂账'!$O:$O,'1月份挂账'!$R:$R,$A47)</f>
        <v>0</v>
      </c>
      <c r="D47" s="40">
        <f>SUMIFS('2月份挂账'!Q:Q,'2月份挂账'!S:S,A47)-SUMIFS('2月份挂账'!P:P,'2月份挂账'!S:S,A47)</f>
        <v>0</v>
      </c>
      <c r="E47" s="40">
        <f>SUMIFS('3月份挂账'!Q:Q,'3月份挂账'!S:S,A47)-SUMIFS('3月份挂账'!P:P,'3月份挂账'!S:S,A47)</f>
        <v>0</v>
      </c>
      <c r="F47" s="41">
        <f t="shared" si="0"/>
        <v>38188.24</v>
      </c>
      <c r="G47" s="41">
        <f t="shared" si="1"/>
        <v>38188.24</v>
      </c>
      <c r="H47" s="79">
        <f>_xlfn.XLOOKUP(A47,'[4]3月份计划-1'!$A:$A,'[4]3月份计划-1'!$I:$I,0)</f>
        <v>0</v>
      </c>
      <c r="I47" s="43">
        <f t="shared" si="4"/>
        <v>0</v>
      </c>
    </row>
    <row r="48" customHeight="1" spans="1:9">
      <c r="A48" s="38" t="s">
        <v>303</v>
      </c>
      <c r="B48" s="39">
        <f>SUMIFS('3月份科目余额表'!O:O,'3月份科目余额表'!D:D,A48)</f>
        <v>0</v>
      </c>
      <c r="C48" s="40">
        <f>SUMIFS('1月份挂账'!$P:$P,'1月份挂账'!$R:$R,$A48)-SUMIFS('1月份挂账'!$O:$O,'1月份挂账'!$R:$R,$A48)</f>
        <v>394240</v>
      </c>
      <c r="D48" s="40">
        <f>SUMIFS('2月份挂账'!Q:Q,'2月份挂账'!S:S,A48)-SUMIFS('2月份挂账'!P:P,'2月份挂账'!S:S,A48)</f>
        <v>0</v>
      </c>
      <c r="E48" s="40">
        <f>SUMIFS('3月份挂账'!Q:Q,'3月份挂账'!S:S,A48)-SUMIFS('3月份挂账'!P:P,'3月份挂账'!S:S,A48)</f>
        <v>0</v>
      </c>
      <c r="F48" s="41">
        <f t="shared" si="0"/>
        <v>0</v>
      </c>
      <c r="G48" s="41">
        <f t="shared" si="1"/>
        <v>0</v>
      </c>
      <c r="H48" s="79">
        <f>_xlfn.XLOOKUP(A48,'[4]3月份计划-1'!$A:$A,'[4]3月份计划-1'!$I:$I,0)</f>
        <v>0</v>
      </c>
      <c r="I48" s="43">
        <f t="shared" si="4"/>
        <v>0</v>
      </c>
    </row>
    <row r="49" customHeight="1" spans="1:9">
      <c r="A49" s="38" t="s">
        <v>277</v>
      </c>
      <c r="B49" s="39">
        <f>SUMIFS('3月份科目余额表'!O:O,'3月份科目余额表'!D:D,A49)</f>
        <v>0</v>
      </c>
      <c r="C49" s="40">
        <f>SUMIFS('1月份挂账'!$P:$P,'1月份挂账'!$R:$R,$A49)-SUMIFS('1月份挂账'!$O:$O,'1月份挂账'!$R:$R,$A49)</f>
        <v>513493.75</v>
      </c>
      <c r="D49" s="40">
        <f>SUMIFS('2月份挂账'!Q:Q,'2月份挂账'!S:S,A49)-SUMIFS('2月份挂账'!P:P,'2月份挂账'!S:S,A49)</f>
        <v>983536.47</v>
      </c>
      <c r="E49" s="40">
        <f>SUMIFS('3月份挂账'!Q:Q,'3月份挂账'!S:S,A49)-SUMIFS('3月份挂账'!P:P,'3月份挂账'!S:S,A49)</f>
        <v>0</v>
      </c>
      <c r="F49" s="41">
        <f t="shared" si="0"/>
        <v>0</v>
      </c>
      <c r="G49" s="41">
        <f t="shared" si="1"/>
        <v>0</v>
      </c>
      <c r="H49" s="79">
        <f>_xlfn.XLOOKUP(A49,'[4]3月份计划-1'!$A:$A,'[4]3月份计划-1'!$I:$I,0)</f>
        <v>0</v>
      </c>
      <c r="I49" s="43">
        <f t="shared" si="4"/>
        <v>0</v>
      </c>
    </row>
    <row r="50" customHeight="1" spans="1:9">
      <c r="A50" s="38" t="s">
        <v>304</v>
      </c>
      <c r="B50" s="39">
        <f>SUMIFS('3月份科目余额表'!O:O,'3月份科目余额表'!D:D,A50)</f>
        <v>0</v>
      </c>
      <c r="C50" s="40">
        <f>SUMIFS('1月份挂账'!$P:$P,'1月份挂账'!$R:$R,$A50)-SUMIFS('1月份挂账'!$O:$O,'1月份挂账'!$R:$R,$A50)</f>
        <v>0</v>
      </c>
      <c r="D50" s="40">
        <f>SUMIFS('2月份挂账'!Q:Q,'2月份挂账'!S:S,A50)-SUMIFS('2月份挂账'!P:P,'2月份挂账'!S:S,A50)</f>
        <v>0</v>
      </c>
      <c r="E50" s="40">
        <f>SUMIFS('3月份挂账'!Q:Q,'3月份挂账'!S:S,A50)-SUMIFS('3月份挂账'!P:P,'3月份挂账'!S:S,A50)</f>
        <v>0</v>
      </c>
      <c r="F50" s="41">
        <f t="shared" si="0"/>
        <v>0</v>
      </c>
      <c r="G50" s="41">
        <f t="shared" si="1"/>
        <v>0</v>
      </c>
      <c r="H50" s="79">
        <f>_xlfn.XLOOKUP(A50,'[4]3月份计划-1'!$A:$A,'[4]3月份计划-1'!$I:$I,0)</f>
        <v>0</v>
      </c>
      <c r="I50" s="43">
        <f t="shared" si="4"/>
        <v>0</v>
      </c>
    </row>
    <row r="51" customHeight="1" spans="1:9">
      <c r="A51" s="38" t="s">
        <v>305</v>
      </c>
      <c r="B51" s="39">
        <f>SUMIFS('3月份科目余额表'!O:O,'3月份科目余额表'!D:D,A51)</f>
        <v>7983.45</v>
      </c>
      <c r="C51" s="40">
        <f>SUMIFS('1月份挂账'!$P:$P,'1月份挂账'!$R:$R,$A51)-SUMIFS('1月份挂账'!$O:$O,'1月份挂账'!$R:$R,$A51)</f>
        <v>0</v>
      </c>
      <c r="D51" s="40">
        <f>SUMIFS('2月份挂账'!Q:Q,'2月份挂账'!S:S,A51)-SUMIFS('2月份挂账'!P:P,'2月份挂账'!S:S,A51)</f>
        <v>4135.8</v>
      </c>
      <c r="E51" s="40">
        <f>SUMIFS('3月份挂账'!Q:Q,'3月份挂账'!S:S,A51)-SUMIFS('3月份挂账'!P:P,'3月份挂账'!S:S,A51)</f>
        <v>3847.65</v>
      </c>
      <c r="F51" s="41">
        <f t="shared" si="0"/>
        <v>0</v>
      </c>
      <c r="G51" s="41">
        <f t="shared" si="1"/>
        <v>0</v>
      </c>
      <c r="H51" s="79">
        <f>_xlfn.XLOOKUP(A51,'[4]3月份计划-1'!$A:$A,'[4]3月份计划-1'!$I:$I,0)</f>
        <v>4135.8</v>
      </c>
      <c r="I51" s="43">
        <f t="shared" si="4"/>
        <v>4135.8</v>
      </c>
    </row>
    <row r="52" customHeight="1" spans="1:9">
      <c r="A52" s="38" t="s">
        <v>409</v>
      </c>
      <c r="B52" s="39">
        <f>SUMIFS('3月份科目余额表'!O:O,'3月份科目余额表'!D:D,A52)</f>
        <v>0</v>
      </c>
      <c r="C52" s="40">
        <f>SUMIFS('1月份挂账'!$P:$P,'1月份挂账'!$R:$R,$A52)-SUMIFS('1月份挂账'!$O:$O,'1月份挂账'!$R:$R,$A52)</f>
        <v>0</v>
      </c>
      <c r="D52" s="40">
        <f>SUMIFS('2月份挂账'!Q:Q,'2月份挂账'!S:S,A52)-SUMIFS('2月份挂账'!P:P,'2月份挂账'!S:S,A52)</f>
        <v>0</v>
      </c>
      <c r="E52" s="40">
        <f>SUMIFS('3月份挂账'!Q:Q,'3月份挂账'!S:S,A52)-SUMIFS('3月份挂账'!P:P,'3月份挂账'!S:S,A52)</f>
        <v>0</v>
      </c>
      <c r="F52" s="41">
        <f t="shared" si="0"/>
        <v>0</v>
      </c>
      <c r="G52" s="41">
        <f t="shared" si="1"/>
        <v>0</v>
      </c>
      <c r="H52" s="79">
        <f>_xlfn.XLOOKUP(A52,'[4]3月份计划-1'!$A:$A,'[4]3月份计划-1'!$I:$I,0)</f>
        <v>0</v>
      </c>
      <c r="I52" s="43">
        <f t="shared" si="4"/>
        <v>0</v>
      </c>
    </row>
    <row r="53" customHeight="1" spans="1:9">
      <c r="A53" s="38" t="s">
        <v>410</v>
      </c>
      <c r="B53" s="39">
        <f>SUMIFS('3月份科目余额表'!O:O,'3月份科目余额表'!D:D,A53)</f>
        <v>0</v>
      </c>
      <c r="C53" s="40">
        <f>SUMIFS('1月份挂账'!$P:$P,'1月份挂账'!$R:$R,$A53)-SUMIFS('1月份挂账'!$O:$O,'1月份挂账'!$R:$R,$A53)</f>
        <v>0</v>
      </c>
      <c r="D53" s="40">
        <f>SUMIFS('2月份挂账'!Q:Q,'2月份挂账'!S:S,A53)-SUMIFS('2月份挂账'!P:P,'2月份挂账'!S:S,A53)</f>
        <v>0</v>
      </c>
      <c r="E53" s="40">
        <f>SUMIFS('3月份挂账'!Q:Q,'3月份挂账'!S:S,A53)-SUMIFS('3月份挂账'!P:P,'3月份挂账'!S:S,A53)</f>
        <v>0</v>
      </c>
      <c r="F53" s="41">
        <f t="shared" si="0"/>
        <v>0</v>
      </c>
      <c r="G53" s="41">
        <f t="shared" si="1"/>
        <v>0</v>
      </c>
      <c r="H53" s="79">
        <f>_xlfn.XLOOKUP(A53,'[4]3月份计划-1'!$A:$A,'[4]3月份计划-1'!$I:$I,0)</f>
        <v>0</v>
      </c>
      <c r="I53" s="43">
        <f t="shared" si="4"/>
        <v>0</v>
      </c>
    </row>
    <row r="54" customHeight="1" spans="1:9">
      <c r="A54" s="38" t="s">
        <v>411</v>
      </c>
      <c r="B54" s="39">
        <f>SUMIFS('3月份科目余额表'!O:O,'3月份科目余额表'!D:D,A54)</f>
        <v>0</v>
      </c>
      <c r="C54" s="40">
        <f>SUMIFS('1月份挂账'!$P:$P,'1月份挂账'!$R:$R,$A54)-SUMIFS('1月份挂账'!$O:$O,'1月份挂账'!$R:$R,$A54)</f>
        <v>0</v>
      </c>
      <c r="D54" s="40">
        <f>SUMIFS('2月份挂账'!Q:Q,'2月份挂账'!S:S,A54)-SUMIFS('2月份挂账'!P:P,'2月份挂账'!S:S,A54)</f>
        <v>0</v>
      </c>
      <c r="E54" s="40">
        <f>SUMIFS('3月份挂账'!Q:Q,'3月份挂账'!S:S,A54)-SUMIFS('3月份挂账'!P:P,'3月份挂账'!S:S,A54)</f>
        <v>0</v>
      </c>
      <c r="F54" s="41">
        <f t="shared" si="0"/>
        <v>0</v>
      </c>
      <c r="G54" s="41">
        <f t="shared" si="1"/>
        <v>0</v>
      </c>
      <c r="H54" s="79">
        <f>_xlfn.XLOOKUP(A54,'[4]3月份计划-1'!$A:$A,'[4]3月份计划-1'!$I:$I,0)</f>
        <v>0</v>
      </c>
      <c r="I54" s="43">
        <f t="shared" si="4"/>
        <v>0</v>
      </c>
    </row>
    <row r="55" customHeight="1" spans="1:9">
      <c r="A55" s="38" t="s">
        <v>278</v>
      </c>
      <c r="B55" s="39">
        <f>SUMIFS('3月份科目余额表'!O:O,'3月份科目余额表'!D:D,A55)</f>
        <v>0</v>
      </c>
      <c r="C55" s="40">
        <f>SUMIFS('1月份挂账'!$P:$P,'1月份挂账'!$R:$R,$A55)-SUMIFS('1月份挂账'!$O:$O,'1月份挂账'!$R:$R,$A55)</f>
        <v>10558.72</v>
      </c>
      <c r="D55" s="40">
        <f>SUMIFS('2月份挂账'!Q:Q,'2月份挂账'!S:S,A55)-SUMIFS('2月份挂账'!P:P,'2月份挂账'!S:S,A55)</f>
        <v>0</v>
      </c>
      <c r="E55" s="40">
        <f>SUMIFS('3月份挂账'!Q:Q,'3月份挂账'!S:S,A55)-SUMIFS('3月份挂账'!P:P,'3月份挂账'!S:S,A55)</f>
        <v>0</v>
      </c>
      <c r="F55" s="41">
        <f t="shared" si="0"/>
        <v>0</v>
      </c>
      <c r="G55" s="41">
        <f t="shared" si="1"/>
        <v>0</v>
      </c>
      <c r="H55" s="79">
        <f>_xlfn.XLOOKUP(A55,'[4]3月份计划-1'!$A:$A,'[4]3月份计划-1'!$I:$I,0)</f>
        <v>0</v>
      </c>
      <c r="I55" s="43">
        <f t="shared" si="4"/>
        <v>0</v>
      </c>
    </row>
    <row r="56" customHeight="1" spans="1:9">
      <c r="A56" s="38" t="s">
        <v>412</v>
      </c>
      <c r="B56" s="39">
        <f>SUMIFS('3月份科目余额表'!O:O,'3月份科目余额表'!D:D,A56)</f>
        <v>0</v>
      </c>
      <c r="C56" s="40">
        <f>SUMIFS('1月份挂账'!$P:$P,'1月份挂账'!$R:$R,$A56)-SUMIFS('1月份挂账'!$O:$O,'1月份挂账'!$R:$R,$A56)</f>
        <v>7541.62</v>
      </c>
      <c r="D56" s="40">
        <f>SUMIFS('2月份挂账'!Q:Q,'2月份挂账'!S:S,A56)-SUMIFS('2月份挂账'!P:P,'2月份挂账'!S:S,A56)</f>
        <v>0</v>
      </c>
      <c r="E56" s="40">
        <f>SUMIFS('3月份挂账'!Q:Q,'3月份挂账'!S:S,A56)-SUMIFS('3月份挂账'!P:P,'3月份挂账'!S:S,A56)</f>
        <v>0</v>
      </c>
      <c r="F56" s="41">
        <f t="shared" si="0"/>
        <v>0</v>
      </c>
      <c r="G56" s="41">
        <f t="shared" si="1"/>
        <v>0</v>
      </c>
      <c r="H56" s="79">
        <f>_xlfn.XLOOKUP(A56,'[4]3月份计划-1'!$A:$A,'[4]3月份计划-1'!$I:$I,0)</f>
        <v>0</v>
      </c>
      <c r="I56" s="43">
        <f t="shared" si="4"/>
        <v>0</v>
      </c>
    </row>
    <row r="57" customHeight="1" spans="1:9">
      <c r="A57" s="38" t="s">
        <v>306</v>
      </c>
      <c r="B57" s="39">
        <f>SUMIFS('3月份科目余额表'!O:O,'3月份科目余额表'!D:D,A57)</f>
        <v>84965.83</v>
      </c>
      <c r="C57" s="40">
        <f>SUMIFS('1月份挂账'!$P:$P,'1月份挂账'!$R:$R,$A57)-SUMIFS('1月份挂账'!$O:$O,'1月份挂账'!$R:$R,$A57)</f>
        <v>62470.92</v>
      </c>
      <c r="D57" s="40">
        <f>SUMIFS('2月份挂账'!Q:Q,'2月份挂账'!S:S,A57)-SUMIFS('2月份挂账'!P:P,'2月份挂账'!S:S,A57)</f>
        <v>22494.91</v>
      </c>
      <c r="E57" s="40">
        <f>SUMIFS('3月份挂账'!Q:Q,'3月份挂账'!S:S,A57)-SUMIFS('3月份挂账'!P:P,'3月份挂账'!S:S,A57)</f>
        <v>0</v>
      </c>
      <c r="F57" s="41">
        <f t="shared" si="0"/>
        <v>62470.92</v>
      </c>
      <c r="G57" s="41">
        <f t="shared" si="1"/>
        <v>0</v>
      </c>
      <c r="H57" s="79">
        <f>_xlfn.XLOOKUP(A57,'[4]3月份计划-1'!$A:$A,'[4]3月份计划-1'!$I:$I,0)</f>
        <v>62470.92</v>
      </c>
      <c r="I57" s="43">
        <f t="shared" si="4"/>
        <v>62470.92</v>
      </c>
    </row>
    <row r="58" customHeight="1" spans="1:9">
      <c r="A58" s="38" t="s">
        <v>279</v>
      </c>
      <c r="B58" s="39">
        <f>SUMIFS('3月份科目余额表'!O:O,'3月份科目余额表'!D:D,A58)</f>
        <v>13932.9</v>
      </c>
      <c r="C58" s="40">
        <f>SUMIFS('1月份挂账'!$P:$P,'1月份挂账'!$R:$R,$A58)-SUMIFS('1月份挂账'!$O:$O,'1月份挂账'!$R:$R,$A58)</f>
        <v>0</v>
      </c>
      <c r="D58" s="40">
        <f>SUMIFS('2月份挂账'!Q:Q,'2月份挂账'!S:S,A58)-SUMIFS('2月份挂账'!P:P,'2月份挂账'!S:S,A58)</f>
        <v>0</v>
      </c>
      <c r="E58" s="40">
        <f>SUMIFS('3月份挂账'!Q:Q,'3月份挂账'!S:S,A58)-SUMIFS('3月份挂账'!P:P,'3月份挂账'!S:S,A58)</f>
        <v>0</v>
      </c>
      <c r="F58" s="41">
        <f t="shared" si="0"/>
        <v>13932.9</v>
      </c>
      <c r="G58" s="41">
        <f t="shared" si="1"/>
        <v>13932.9</v>
      </c>
      <c r="H58" s="79">
        <f>_xlfn.XLOOKUP(A58,'[4]3月份计划-1'!$A:$A,'[4]3月份计划-1'!$I:$I,0)</f>
        <v>0</v>
      </c>
      <c r="I58" s="43">
        <f t="shared" si="4"/>
        <v>0</v>
      </c>
    </row>
    <row r="59" customHeight="1" spans="1:9">
      <c r="A59" s="38" t="s">
        <v>280</v>
      </c>
      <c r="B59" s="39">
        <f>SUMIFS('3月份科目余额表'!O:O,'3月份科目余额表'!D:D,A59)</f>
        <v>56381.8</v>
      </c>
      <c r="C59" s="40">
        <f>SUMIFS('1月份挂账'!$P:$P,'1月份挂账'!$R:$R,$A59)-SUMIFS('1月份挂账'!$O:$O,'1月份挂账'!$R:$R,$A59)</f>
        <v>36216.5</v>
      </c>
      <c r="D59" s="40">
        <f>SUMIFS('2月份挂账'!Q:Q,'2月份挂账'!S:S,A59)-SUMIFS('2月份挂账'!P:P,'2月份挂账'!S:S,A59)</f>
        <v>20165.3</v>
      </c>
      <c r="E59" s="40">
        <f>SUMIFS('3月份挂账'!Q:Q,'3月份挂账'!S:S,A59)-SUMIFS('3月份挂账'!P:P,'3月份挂账'!S:S,A59)</f>
        <v>0</v>
      </c>
      <c r="F59" s="41">
        <f t="shared" si="0"/>
        <v>36216.5</v>
      </c>
      <c r="G59" s="41">
        <f t="shared" si="1"/>
        <v>0</v>
      </c>
      <c r="H59" s="79">
        <f>_xlfn.XLOOKUP(A59,'[4]3月份计划-1'!$A:$A,'[4]3月份计划-1'!$I:$I,0)</f>
        <v>36216.5</v>
      </c>
      <c r="I59" s="43">
        <f t="shared" si="4"/>
        <v>36216.5</v>
      </c>
    </row>
    <row r="60" customHeight="1" spans="1:9">
      <c r="A60" s="38" t="s">
        <v>307</v>
      </c>
      <c r="B60" s="39">
        <f>SUMIFS('3月份科目余额表'!O:O,'3月份科目余额表'!D:D,A60)</f>
        <v>13326.59</v>
      </c>
      <c r="C60" s="40">
        <f>SUMIFS('1月份挂账'!$P:$P,'1月份挂账'!$R:$R,$A60)-SUMIFS('1月份挂账'!$O:$O,'1月份挂账'!$R:$R,$A60)</f>
        <v>13326.59</v>
      </c>
      <c r="D60" s="40">
        <f>SUMIFS('2月份挂账'!Q:Q,'2月份挂账'!S:S,A60)-SUMIFS('2月份挂账'!P:P,'2月份挂账'!S:S,A60)</f>
        <v>0</v>
      </c>
      <c r="E60" s="40">
        <f>SUMIFS('3月份挂账'!Q:Q,'3月份挂账'!S:S,A60)-SUMIFS('3月份挂账'!P:P,'3月份挂账'!S:S,A60)</f>
        <v>0</v>
      </c>
      <c r="F60" s="41">
        <f t="shared" si="0"/>
        <v>13326.59</v>
      </c>
      <c r="G60" s="41">
        <f t="shared" si="1"/>
        <v>0</v>
      </c>
      <c r="H60" s="79">
        <f>_xlfn.XLOOKUP(A60,'[4]3月份计划-1'!$A:$A,'[4]3月份计划-1'!$I:$I,0)</f>
        <v>13326.59</v>
      </c>
      <c r="I60" s="43">
        <f t="shared" si="4"/>
        <v>13326.59</v>
      </c>
    </row>
    <row r="61" customHeight="1" spans="1:9">
      <c r="A61" s="38" t="s">
        <v>308</v>
      </c>
      <c r="B61" s="39">
        <f>SUMIFS('3月份科目余额表'!O:O,'3月份科目余额表'!D:D,A61)</f>
        <v>10122.54</v>
      </c>
      <c r="C61" s="40">
        <f>SUMIFS('1月份挂账'!$P:$P,'1月份挂账'!$R:$R,$A61)-SUMIFS('1月份挂账'!$O:$O,'1月份挂账'!$R:$R,$A61)</f>
        <v>0</v>
      </c>
      <c r="D61" s="40">
        <f>SUMIFS('2月份挂账'!Q:Q,'2月份挂账'!S:S,A61)-SUMIFS('2月份挂账'!P:P,'2月份挂账'!S:S,A61)</f>
        <v>6644.4</v>
      </c>
      <c r="E61" s="40">
        <f>SUMIFS('3月份挂账'!Q:Q,'3月份挂账'!S:S,A61)-SUMIFS('3月份挂账'!P:P,'3月份挂账'!S:S,A61)</f>
        <v>3478.14</v>
      </c>
      <c r="F61" s="41">
        <f t="shared" si="0"/>
        <v>0</v>
      </c>
      <c r="G61" s="41">
        <f t="shared" si="1"/>
        <v>0</v>
      </c>
      <c r="H61" s="79">
        <f>_xlfn.XLOOKUP(A61,'[4]3月份计划-1'!$A:$A,'[4]3月份计划-1'!$I:$I,0)</f>
        <v>0</v>
      </c>
      <c r="I61" s="43">
        <f t="shared" si="4"/>
        <v>0</v>
      </c>
    </row>
    <row r="62" customHeight="1" spans="1:9">
      <c r="A62" s="38" t="s">
        <v>309</v>
      </c>
      <c r="B62" s="39">
        <f>SUMIFS('3月份科目余额表'!O:O,'3月份科目余额表'!D:D,A62)</f>
        <v>0</v>
      </c>
      <c r="C62" s="40">
        <f>SUMIFS('1月份挂账'!$P:$P,'1月份挂账'!$R:$R,$A62)-SUMIFS('1月份挂账'!$O:$O,'1月份挂账'!$R:$R,$A62)</f>
        <v>0</v>
      </c>
      <c r="D62" s="40">
        <f>SUMIFS('2月份挂账'!Q:Q,'2月份挂账'!S:S,A62)-SUMIFS('2月份挂账'!P:P,'2月份挂账'!S:S,A62)</f>
        <v>0</v>
      </c>
      <c r="E62" s="40">
        <f>SUMIFS('3月份挂账'!Q:Q,'3月份挂账'!S:S,A62)-SUMIFS('3月份挂账'!P:P,'3月份挂账'!S:S,A62)</f>
        <v>0</v>
      </c>
      <c r="F62" s="41">
        <f t="shared" si="0"/>
        <v>0</v>
      </c>
      <c r="G62" s="41">
        <f t="shared" si="1"/>
        <v>0</v>
      </c>
      <c r="H62" s="79">
        <f>_xlfn.XLOOKUP(A62,'[4]3月份计划-1'!$A:$A,'[4]3月份计划-1'!$I:$I,0)</f>
        <v>0</v>
      </c>
      <c r="I62" s="43">
        <f t="shared" si="4"/>
        <v>0</v>
      </c>
    </row>
    <row r="63" customHeight="1" spans="1:9">
      <c r="A63" s="38" t="s">
        <v>281</v>
      </c>
      <c r="B63" s="39">
        <f>SUMIFS('3月份科目余额表'!O:O,'3月份科目余额表'!D:D,A63)</f>
        <v>9576</v>
      </c>
      <c r="C63" s="40">
        <f>SUMIFS('1月份挂账'!$P:$P,'1月份挂账'!$R:$R,$A63)-SUMIFS('1月份挂账'!$O:$O,'1月份挂账'!$R:$R,$A63)</f>
        <v>9576</v>
      </c>
      <c r="D63" s="40">
        <f>SUMIFS('2月份挂账'!Q:Q,'2月份挂账'!S:S,A63)-SUMIFS('2月份挂账'!P:P,'2月份挂账'!S:S,A63)</f>
        <v>0</v>
      </c>
      <c r="E63" s="40">
        <f>SUMIFS('3月份挂账'!Q:Q,'3月份挂账'!S:S,A63)-SUMIFS('3月份挂账'!P:P,'3月份挂账'!S:S,A63)</f>
        <v>9576</v>
      </c>
      <c r="F63" s="41">
        <f t="shared" si="0"/>
        <v>0</v>
      </c>
      <c r="G63" s="41">
        <f t="shared" si="1"/>
        <v>0</v>
      </c>
      <c r="H63" s="79">
        <f>_xlfn.XLOOKUP(A63,'[4]3月份计划-1'!$A:$A,'[4]3月份计划-1'!$I:$I,0)</f>
        <v>0</v>
      </c>
      <c r="I63" s="43">
        <f t="shared" si="4"/>
        <v>0</v>
      </c>
    </row>
    <row r="64" customHeight="1" spans="1:9">
      <c r="A64" s="38" t="s">
        <v>282</v>
      </c>
      <c r="B64" s="39">
        <f>SUMIFS('3月份科目余额表'!O:O,'3月份科目余额表'!D:D,A64)</f>
        <v>89496</v>
      </c>
      <c r="C64" s="40">
        <f>SUMIFS('1月份挂账'!$P:$P,'1月份挂账'!$R:$R,$A64)-SUMIFS('1月份挂账'!$O:$O,'1月份挂账'!$R:$R,$A64)</f>
        <v>0</v>
      </c>
      <c r="D64" s="40">
        <f>SUMIFS('2月份挂账'!Q:Q,'2月份挂账'!S:S,A64)-SUMIFS('2月份挂账'!P:P,'2月份挂账'!S:S,A64)</f>
        <v>54918</v>
      </c>
      <c r="E64" s="40">
        <f>SUMIFS('3月份挂账'!Q:Q,'3月份挂账'!S:S,A64)-SUMIFS('3月份挂账'!P:P,'3月份挂账'!S:S,A64)</f>
        <v>34578</v>
      </c>
      <c r="F64" s="41">
        <f t="shared" si="0"/>
        <v>0</v>
      </c>
      <c r="G64" s="41">
        <f t="shared" si="1"/>
        <v>0</v>
      </c>
      <c r="H64" s="79">
        <f>_xlfn.XLOOKUP(A64,'[4]3月份计划-1'!$A:$A,'[4]3月份计划-1'!$I:$I,0)</f>
        <v>0</v>
      </c>
      <c r="I64" s="43">
        <f t="shared" si="4"/>
        <v>0</v>
      </c>
    </row>
    <row r="65" customHeight="1" spans="1:9">
      <c r="A65" s="38" t="s">
        <v>310</v>
      </c>
      <c r="B65" s="39">
        <f>SUMIFS('3月份科目余额表'!O:O,'3月份科目余额表'!D:D,A65)</f>
        <v>44034.75</v>
      </c>
      <c r="C65" s="40">
        <f>SUMIFS('1月份挂账'!$P:$P,'1月份挂账'!$R:$R,$A65)-SUMIFS('1月份挂账'!$O:$O,'1月份挂账'!$R:$R,$A65)</f>
        <v>0</v>
      </c>
      <c r="D65" s="40">
        <f>SUMIFS('2月份挂账'!Q:Q,'2月份挂账'!S:S,A65)-SUMIFS('2月份挂账'!P:P,'2月份挂账'!S:S,A65)</f>
        <v>0</v>
      </c>
      <c r="E65" s="40">
        <f>SUMIFS('3月份挂账'!Q:Q,'3月份挂账'!S:S,A65)-SUMIFS('3月份挂账'!P:P,'3月份挂账'!S:S,A65)</f>
        <v>44034.75</v>
      </c>
      <c r="F65" s="41">
        <f t="shared" si="0"/>
        <v>0</v>
      </c>
      <c r="G65" s="41">
        <f t="shared" si="1"/>
        <v>0</v>
      </c>
      <c r="H65" s="79">
        <f>_xlfn.XLOOKUP(A65,'[4]3月份计划-1'!$A:$A,'[4]3月份计划-1'!$I:$I,0)</f>
        <v>0</v>
      </c>
      <c r="I65" s="43">
        <f t="shared" si="4"/>
        <v>0</v>
      </c>
    </row>
    <row r="66" customHeight="1" spans="1:9">
      <c r="A66" s="38" t="s">
        <v>311</v>
      </c>
      <c r="B66" s="39">
        <f>SUMIFS('3月份科目余额表'!O:O,'3月份科目余额表'!D:D,A66)</f>
        <v>266454.1</v>
      </c>
      <c r="C66" s="40">
        <f>SUMIFS('1月份挂账'!$P:$P,'1月份挂账'!$R:$R,$A66)-SUMIFS('1月份挂账'!$O:$O,'1月份挂账'!$R:$R,$A66)</f>
        <v>88818</v>
      </c>
      <c r="D66" s="40">
        <f>SUMIFS('2月份挂账'!Q:Q,'2月份挂账'!S:S,A66)-SUMIFS('2月份挂账'!P:P,'2月份挂账'!S:S,A66)</f>
        <v>177636</v>
      </c>
      <c r="E66" s="40">
        <f>SUMIFS('3月份挂账'!Q:Q,'3月份挂账'!S:S,A66)-SUMIFS('3月份挂账'!P:P,'3月份挂账'!S:S,A66)</f>
        <v>0</v>
      </c>
      <c r="F66" s="41">
        <f t="shared" si="0"/>
        <v>88818.1</v>
      </c>
      <c r="G66" s="41">
        <f t="shared" si="1"/>
        <v>0.0999999999767169</v>
      </c>
      <c r="H66" s="79">
        <f>_xlfn.XLOOKUP(A66,'[4]3月份计划-1'!$A:$A,'[4]3月份计划-1'!$I:$I,0)</f>
        <v>88818.1</v>
      </c>
      <c r="I66" s="43">
        <f t="shared" si="4"/>
        <v>88818.1</v>
      </c>
    </row>
    <row r="67" customHeight="1" spans="1:9">
      <c r="A67" s="38" t="s">
        <v>283</v>
      </c>
      <c r="B67" s="39">
        <f>SUMIFS('3月份科目余额表'!O:O,'3月份科目余额表'!D:D,A67)</f>
        <v>20170.5</v>
      </c>
      <c r="C67" s="40">
        <f>SUMIFS('1月份挂账'!$P:$P,'1月份挂账'!$R:$R,$A67)-SUMIFS('1月份挂账'!$O:$O,'1月份挂账'!$R:$R,$A67)</f>
        <v>8644.5</v>
      </c>
      <c r="D67" s="40">
        <f>SUMIFS('2月份挂账'!Q:Q,'2月份挂账'!S:S,A67)-SUMIFS('2月份挂账'!P:P,'2月份挂账'!S:S,A67)</f>
        <v>5763</v>
      </c>
      <c r="E67" s="40">
        <f>SUMIFS('3月份挂账'!Q:Q,'3月份挂账'!S:S,A67)-SUMIFS('3月份挂账'!P:P,'3月份挂账'!S:S,A67)</f>
        <v>5763</v>
      </c>
      <c r="F67" s="41">
        <f t="shared" ref="F67:F90" si="5">IF(B67-E67-D67&gt;0,B67-E67-D67,0)</f>
        <v>8644.5</v>
      </c>
      <c r="G67" s="41">
        <f t="shared" ref="G67:G90" si="6">IF(B67-E67-D67-C67&gt;0,B67-E67-D67-C67,0)</f>
        <v>0</v>
      </c>
      <c r="H67" s="79">
        <f>_xlfn.XLOOKUP(A67,'[4]3月份计划-1'!$A:$A,'[4]3月份计划-1'!$I:$I,0)</f>
        <v>8644.5</v>
      </c>
      <c r="I67" s="43">
        <f t="shared" si="4"/>
        <v>8644.5</v>
      </c>
    </row>
    <row r="68" customHeight="1" spans="1:9">
      <c r="A68" s="38" t="s">
        <v>413</v>
      </c>
      <c r="B68" s="39">
        <f>SUMIFS('3月份科目余额表'!O:O,'3月份科目余额表'!D:D,A68)</f>
        <v>0</v>
      </c>
      <c r="C68" s="40">
        <f>SUMIFS('1月份挂账'!$P:$P,'1月份挂账'!$R:$R,$A68)-SUMIFS('1月份挂账'!$O:$O,'1月份挂账'!$R:$R,$A68)</f>
        <v>0</v>
      </c>
      <c r="D68" s="40">
        <f>SUMIFS('2月份挂账'!Q:Q,'2月份挂账'!S:S,A68)-SUMIFS('2月份挂账'!P:P,'2月份挂账'!S:S,A68)</f>
        <v>0</v>
      </c>
      <c r="E68" s="40">
        <f>SUMIFS('3月份挂账'!Q:Q,'3月份挂账'!S:S,A68)-SUMIFS('3月份挂账'!P:P,'3月份挂账'!S:S,A68)</f>
        <v>0</v>
      </c>
      <c r="F68" s="41">
        <f t="shared" si="5"/>
        <v>0</v>
      </c>
      <c r="G68" s="41">
        <f t="shared" si="6"/>
        <v>0</v>
      </c>
      <c r="H68" s="79">
        <f>_xlfn.XLOOKUP(A68,'[4]3月份计划-1'!$A:$A,'[4]3月份计划-1'!$I:$I,0)</f>
        <v>0</v>
      </c>
      <c r="I68" s="43">
        <f t="shared" si="4"/>
        <v>0</v>
      </c>
    </row>
    <row r="69" customHeight="1" spans="1:9">
      <c r="A69" s="38" t="s">
        <v>414</v>
      </c>
      <c r="B69" s="39">
        <f>SUMIFS('3月份科目余额表'!O:O,'3月份科目余额表'!D:D,A69)</f>
        <v>0</v>
      </c>
      <c r="C69" s="40">
        <f>SUMIFS('1月份挂账'!$P:$P,'1月份挂账'!$R:$R,$A69)-SUMIFS('1月份挂账'!$O:$O,'1月份挂账'!$R:$R,$A69)</f>
        <v>0</v>
      </c>
      <c r="D69" s="40">
        <f>SUMIFS('2月份挂账'!Q:Q,'2月份挂账'!S:S,A69)-SUMIFS('2月份挂账'!P:P,'2月份挂账'!S:S,A69)</f>
        <v>0</v>
      </c>
      <c r="E69" s="40">
        <f>SUMIFS('3月份挂账'!Q:Q,'3月份挂账'!S:S,A69)-SUMIFS('3月份挂账'!P:P,'3月份挂账'!S:S,A69)</f>
        <v>0</v>
      </c>
      <c r="F69" s="41">
        <f t="shared" si="5"/>
        <v>0</v>
      </c>
      <c r="G69" s="41">
        <f t="shared" si="6"/>
        <v>0</v>
      </c>
      <c r="H69" s="79">
        <f>_xlfn.XLOOKUP(A69,'[4]3月份计划-1'!$A:$A,'[4]3月份计划-1'!$I:$I,0)</f>
        <v>0</v>
      </c>
      <c r="I69" s="43">
        <f t="shared" si="4"/>
        <v>0</v>
      </c>
    </row>
    <row r="70" customHeight="1" spans="1:9">
      <c r="A70" s="38" t="s">
        <v>415</v>
      </c>
      <c r="B70" s="39">
        <f>SUMIFS('3月份科目余额表'!O:O,'3月份科目余额表'!D:D,A70)</f>
        <v>0</v>
      </c>
      <c r="C70" s="40">
        <f>SUMIFS('1月份挂账'!$P:$P,'1月份挂账'!$R:$R,$A70)-SUMIFS('1月份挂账'!$O:$O,'1月份挂账'!$R:$R,$A70)</f>
        <v>0</v>
      </c>
      <c r="D70" s="40">
        <f>SUMIFS('2月份挂账'!Q:Q,'2月份挂账'!S:S,A70)-SUMIFS('2月份挂账'!P:P,'2月份挂账'!S:S,A70)</f>
        <v>0</v>
      </c>
      <c r="E70" s="40">
        <f>SUMIFS('3月份挂账'!Q:Q,'3月份挂账'!S:S,A70)-SUMIFS('3月份挂账'!P:P,'3月份挂账'!S:S,A70)</f>
        <v>46646.4</v>
      </c>
      <c r="F70" s="41">
        <f t="shared" si="5"/>
        <v>0</v>
      </c>
      <c r="G70" s="41">
        <f t="shared" si="6"/>
        <v>0</v>
      </c>
      <c r="H70" s="79">
        <f>_xlfn.XLOOKUP(A70,'[4]3月份计划-1'!$A:$A,'[4]3月份计划-1'!$I:$I,0)</f>
        <v>0</v>
      </c>
      <c r="I70" s="43">
        <f t="shared" si="4"/>
        <v>0</v>
      </c>
    </row>
    <row r="71" customHeight="1" spans="1:9">
      <c r="A71" s="38" t="s">
        <v>416</v>
      </c>
      <c r="B71" s="39">
        <f>SUMIFS('3月份科目余额表'!O:O,'3月份科目余额表'!D:D,A71)</f>
        <v>0</v>
      </c>
      <c r="C71" s="40">
        <f>SUMIFS('1月份挂账'!$P:$P,'1月份挂账'!$R:$R,$A71)-SUMIFS('1月份挂账'!$O:$O,'1月份挂账'!$R:$R,$A71)</f>
        <v>18532</v>
      </c>
      <c r="D71" s="40">
        <f>SUMIFS('2月份挂账'!Q:Q,'2月份挂账'!S:S,A71)-SUMIFS('2月份挂账'!P:P,'2月份挂账'!S:S,A71)</f>
        <v>0</v>
      </c>
      <c r="E71" s="40">
        <f>SUMIFS('3月份挂账'!Q:Q,'3月份挂账'!S:S,A71)-SUMIFS('3月份挂账'!P:P,'3月份挂账'!S:S,A71)</f>
        <v>0</v>
      </c>
      <c r="F71" s="41">
        <f t="shared" si="5"/>
        <v>0</v>
      </c>
      <c r="G71" s="41">
        <f t="shared" si="6"/>
        <v>0</v>
      </c>
      <c r="H71" s="79">
        <f>_xlfn.XLOOKUP(A71,'[4]3月份计划-1'!$A:$A,'[4]3月份计划-1'!$I:$I,0)</f>
        <v>0</v>
      </c>
      <c r="I71" s="43">
        <f t="shared" si="4"/>
        <v>0</v>
      </c>
    </row>
    <row r="72" customHeight="1" spans="1:9">
      <c r="A72" s="38" t="s">
        <v>312</v>
      </c>
      <c r="B72" s="39">
        <f>SUMIFS('3月份科目余额表'!O:O,'3月份科目余额表'!D:D,A72)</f>
        <v>0</v>
      </c>
      <c r="C72" s="40">
        <f>SUMIFS('1月份挂账'!$P:$P,'1月份挂账'!$R:$R,$A72)-SUMIFS('1月份挂账'!$O:$O,'1月份挂账'!$R:$R,$A72)</f>
        <v>0</v>
      </c>
      <c r="D72" s="40">
        <f>SUMIFS('2月份挂账'!Q:Q,'2月份挂账'!S:S,A72)-SUMIFS('2月份挂账'!P:P,'2月份挂账'!S:S,A72)</f>
        <v>6040.98</v>
      </c>
      <c r="E72" s="40">
        <f>SUMIFS('3月份挂账'!Q:Q,'3月份挂账'!S:S,A72)-SUMIFS('3月份挂账'!P:P,'3月份挂账'!S:S,A72)</f>
        <v>0</v>
      </c>
      <c r="F72" s="41">
        <f t="shared" si="5"/>
        <v>0</v>
      </c>
      <c r="G72" s="41">
        <f t="shared" si="6"/>
        <v>0</v>
      </c>
      <c r="H72" s="79">
        <f>_xlfn.XLOOKUP(A72,'[4]3月份计划-1'!$A:$A,'[4]3月份计划-1'!$I:$I,0)</f>
        <v>0</v>
      </c>
      <c r="I72" s="43">
        <f t="shared" si="4"/>
        <v>0</v>
      </c>
    </row>
    <row r="73" customHeight="1" spans="1:9">
      <c r="A73" s="38" t="s">
        <v>313</v>
      </c>
      <c r="B73" s="39">
        <f>SUMIFS('3月份科目余额表'!O:O,'3月份科目余额表'!D:D,A73)</f>
        <v>47071.28</v>
      </c>
      <c r="C73" s="40">
        <f>SUMIFS('1月份挂账'!$P:$P,'1月份挂账'!$R:$R,$A73)-SUMIFS('1月份挂账'!$O:$O,'1月份挂账'!$R:$R,$A73)</f>
        <v>40426.88</v>
      </c>
      <c r="D73" s="40">
        <f>SUMIFS('2月份挂账'!Q:Q,'2月份挂账'!S:S,A73)-SUMIFS('2月份挂账'!P:P,'2月份挂账'!S:S,A73)</f>
        <v>6644.4</v>
      </c>
      <c r="E73" s="40">
        <f>SUMIFS('3月份挂账'!Q:Q,'3月份挂账'!S:S,A73)-SUMIFS('3月份挂账'!P:P,'3月份挂账'!S:S,A73)</f>
        <v>0</v>
      </c>
      <c r="F73" s="41">
        <f t="shared" si="5"/>
        <v>40426.88</v>
      </c>
      <c r="G73" s="41">
        <f t="shared" si="6"/>
        <v>0</v>
      </c>
      <c r="H73" s="79">
        <f>_xlfn.XLOOKUP(A73,'[4]3月份计划-1'!$A:$A,'[4]3月份计划-1'!$I:$I,0)</f>
        <v>40426.88</v>
      </c>
      <c r="I73" s="43">
        <f t="shared" si="4"/>
        <v>40426.88</v>
      </c>
    </row>
    <row r="74" customHeight="1" spans="1:9">
      <c r="A74" s="38" t="s">
        <v>284</v>
      </c>
      <c r="B74" s="39">
        <f>SUMIFS('3月份科目余额表'!O:O,'3月份科目余额表'!D:D,A74)</f>
        <v>115659.87</v>
      </c>
      <c r="C74" s="40">
        <f>SUMIFS('1月份挂账'!$P:$P,'1月份挂账'!$R:$R,$A74)-SUMIFS('1月份挂账'!$O:$O,'1月份挂账'!$R:$R,$A74)</f>
        <v>0</v>
      </c>
      <c r="D74" s="40">
        <f>SUMIFS('2月份挂账'!Q:Q,'2月份挂账'!S:S,A74)-SUMIFS('2月份挂账'!P:P,'2月份挂账'!S:S,A74)</f>
        <v>88256.16</v>
      </c>
      <c r="E74" s="40">
        <f>SUMIFS('3月份挂账'!Q:Q,'3月份挂账'!S:S,A74)-SUMIFS('3月份挂账'!P:P,'3月份挂账'!S:S,A74)</f>
        <v>27403.71</v>
      </c>
      <c r="F74" s="41">
        <f t="shared" si="5"/>
        <v>0</v>
      </c>
      <c r="G74" s="41">
        <f t="shared" si="6"/>
        <v>0</v>
      </c>
      <c r="H74" s="79">
        <f>_xlfn.XLOOKUP(A74,'[4]3月份计划-1'!$A:$A,'[4]3月份计划-1'!$I:$I,0)</f>
        <v>0</v>
      </c>
      <c r="I74" s="43">
        <f t="shared" si="4"/>
        <v>0</v>
      </c>
    </row>
    <row r="75" customHeight="1" spans="1:9">
      <c r="A75" s="38" t="s">
        <v>285</v>
      </c>
      <c r="B75" s="39">
        <f>SUMIFS('3月份科目余额表'!O:O,'3月份科目余额表'!D:D,A75)</f>
        <v>75967.64</v>
      </c>
      <c r="C75" s="40">
        <f>SUMIFS('1月份挂账'!$P:$P,'1月份挂账'!$R:$R,$A75)-SUMIFS('1月份挂账'!$O:$O,'1月份挂账'!$R:$R,$A75)</f>
        <v>0</v>
      </c>
      <c r="D75" s="40">
        <f>SUMIFS('2月份挂账'!Q:Q,'2月份挂账'!S:S,A75)-SUMIFS('2月份挂账'!P:P,'2月份挂账'!S:S,A75)</f>
        <v>68464.44</v>
      </c>
      <c r="E75" s="40">
        <f>SUMIFS('3月份挂账'!Q:Q,'3月份挂账'!S:S,A75)-SUMIFS('3月份挂账'!P:P,'3月份挂账'!S:S,A75)</f>
        <v>7503.2</v>
      </c>
      <c r="F75" s="41">
        <f t="shared" si="5"/>
        <v>0</v>
      </c>
      <c r="G75" s="41">
        <f t="shared" si="6"/>
        <v>0</v>
      </c>
      <c r="H75" s="79">
        <f>_xlfn.XLOOKUP(A75,'[4]3月份计划-1'!$A:$A,'[4]3月份计划-1'!$I:$I,0)</f>
        <v>0</v>
      </c>
      <c r="I75" s="43">
        <f t="shared" si="4"/>
        <v>0</v>
      </c>
    </row>
    <row r="76" customHeight="1" spans="1:9">
      <c r="A76" s="38" t="s">
        <v>314</v>
      </c>
      <c r="B76" s="39">
        <f>SUMIFS('3月份科目余额表'!O:O,'3月份科目余额表'!D:D,A76)</f>
        <v>76135.85</v>
      </c>
      <c r="C76" s="40">
        <f>SUMIFS('1月份挂账'!$P:$P,'1月份挂账'!$R:$R,$A76)-SUMIFS('1月份挂账'!$O:$O,'1月份挂账'!$R:$R,$A76)</f>
        <v>53688.96</v>
      </c>
      <c r="D76" s="40">
        <f>SUMIFS('2月份挂账'!Q:Q,'2月份挂账'!S:S,A76)-SUMIFS('2月份挂账'!P:P,'2月份挂账'!S:S,A76)</f>
        <v>22446.89</v>
      </c>
      <c r="E76" s="40">
        <f>SUMIFS('3月份挂账'!Q:Q,'3月份挂账'!S:S,A76)-SUMIFS('3月份挂账'!P:P,'3月份挂账'!S:S,A76)</f>
        <v>0</v>
      </c>
      <c r="F76" s="41">
        <f t="shared" si="5"/>
        <v>53688.96</v>
      </c>
      <c r="G76" s="41">
        <f t="shared" si="6"/>
        <v>0</v>
      </c>
      <c r="H76" s="79">
        <f>_xlfn.XLOOKUP(A76,'[4]3月份计划-1'!$A:$A,'[4]3月份计划-1'!$I:$I,0)</f>
        <v>53688.96</v>
      </c>
      <c r="I76" s="43">
        <f t="shared" si="4"/>
        <v>53688.96</v>
      </c>
    </row>
    <row r="77" customHeight="1" spans="1:9">
      <c r="A77" s="38" t="s">
        <v>380</v>
      </c>
      <c r="B77" s="39">
        <f>SUMIFS('3月份科目余额表'!O:O,'3月份科目余额表'!D:D,A77)</f>
        <v>15000</v>
      </c>
      <c r="C77" s="40">
        <f>SUMIFS('1月份挂账'!$P:$P,'1月份挂账'!$R:$R,$A77)-SUMIFS('1月份挂账'!$O:$O,'1月份挂账'!$R:$R,$A77)</f>
        <v>0</v>
      </c>
      <c r="D77" s="40">
        <f>SUMIFS('2月份挂账'!Q:Q,'2月份挂账'!S:S,A77)-SUMIFS('2月份挂账'!P:P,'2月份挂账'!S:S,A77)</f>
        <v>0</v>
      </c>
      <c r="E77" s="40">
        <f>SUMIFS('3月份挂账'!Q:Q,'3月份挂账'!S:S,A77)-SUMIFS('3月份挂账'!P:P,'3月份挂账'!S:S,A77)</f>
        <v>0</v>
      </c>
      <c r="F77" s="41">
        <f t="shared" si="5"/>
        <v>15000</v>
      </c>
      <c r="G77" s="41">
        <f t="shared" si="6"/>
        <v>15000</v>
      </c>
      <c r="H77" s="79">
        <f>_xlfn.XLOOKUP(A77,'[4]3月份计划-1'!$A:$A,'[4]3月份计划-1'!$I:$I,0)</f>
        <v>0</v>
      </c>
      <c r="I77" s="43">
        <f t="shared" si="4"/>
        <v>0</v>
      </c>
    </row>
    <row r="78" customHeight="1" spans="1:9">
      <c r="A78" s="38" t="s">
        <v>417</v>
      </c>
      <c r="B78" s="39">
        <f>SUMIFS('3月份科目余额表'!O:O,'3月份科目余额表'!D:D,A78)</f>
        <v>68352.16</v>
      </c>
      <c r="C78" s="40">
        <f>SUMIFS('1月份挂账'!$P:$P,'1月份挂账'!$R:$R,$A78)-SUMIFS('1月份挂账'!$O:$O,'1月份挂账'!$R:$R,$A78)</f>
        <v>68352.16</v>
      </c>
      <c r="D78" s="40">
        <f>SUMIFS('2月份挂账'!Q:Q,'2月份挂账'!S:S,A78)-SUMIFS('2月份挂账'!P:P,'2月份挂账'!S:S,A78)</f>
        <v>0</v>
      </c>
      <c r="E78" s="40">
        <f>SUMIFS('3月份挂账'!Q:Q,'3月份挂账'!S:S,A78)-SUMIFS('3月份挂账'!P:P,'3月份挂账'!S:S,A78)</f>
        <v>0</v>
      </c>
      <c r="F78" s="41">
        <f t="shared" si="5"/>
        <v>68352.16</v>
      </c>
      <c r="G78" s="41">
        <f t="shared" si="6"/>
        <v>0</v>
      </c>
      <c r="H78" s="79">
        <f>_xlfn.XLOOKUP(A78,'[4]3月份计划-1'!$A:$A,'[4]3月份计划-1'!$I:$I,0)</f>
        <v>68352.16</v>
      </c>
      <c r="I78" s="43">
        <f t="shared" si="4"/>
        <v>68352.16</v>
      </c>
    </row>
    <row r="79" customHeight="1" spans="1:9">
      <c r="A79" s="38" t="s">
        <v>418</v>
      </c>
      <c r="B79" s="39">
        <f>SUMIFS('3月份科目余额表'!O:O,'3月份科目余额表'!D:D,A79)</f>
        <v>79817.67</v>
      </c>
      <c r="C79" s="40">
        <f>SUMIFS('1月份挂账'!$P:$P,'1月份挂账'!$R:$R,$A79)-SUMIFS('1月份挂账'!$O:$O,'1月份挂账'!$R:$R,$A79)</f>
        <v>79817.67</v>
      </c>
      <c r="D79" s="40">
        <f>SUMIFS('2月份挂账'!Q:Q,'2月份挂账'!S:S,A79)-SUMIFS('2月份挂账'!P:P,'2月份挂账'!S:S,A79)</f>
        <v>0</v>
      </c>
      <c r="E79" s="40">
        <f>SUMIFS('3月份挂账'!Q:Q,'3月份挂账'!S:S,A79)-SUMIFS('3月份挂账'!P:P,'3月份挂账'!S:S,A79)</f>
        <v>0</v>
      </c>
      <c r="F79" s="41">
        <f t="shared" si="5"/>
        <v>79817.67</v>
      </c>
      <c r="G79" s="41">
        <f t="shared" si="6"/>
        <v>0</v>
      </c>
      <c r="H79" s="79">
        <f>_xlfn.XLOOKUP(A79,'[4]3月份计划-1'!$A:$A,'[4]3月份计划-1'!$I:$I,0)</f>
        <v>79817.67</v>
      </c>
      <c r="I79" s="43">
        <f t="shared" si="4"/>
        <v>79817.67</v>
      </c>
    </row>
    <row r="80" customHeight="1" spans="1:9">
      <c r="A80" s="38" t="s">
        <v>315</v>
      </c>
      <c r="B80" s="39">
        <f>SUMIFS('3月份科目余额表'!O:O,'3月份科目余额表'!D:D,A80)</f>
        <v>0</v>
      </c>
      <c r="C80" s="40">
        <f>SUMIFS('1月份挂账'!$P:$P,'1月份挂账'!$R:$R,$A80)-SUMIFS('1月份挂账'!$O:$O,'1月份挂账'!$R:$R,$A80)</f>
        <v>3305.25</v>
      </c>
      <c r="D80" s="40">
        <f>SUMIFS('2月份挂账'!Q:Q,'2月份挂账'!S:S,A80)-SUMIFS('2月份挂账'!P:P,'2月份挂账'!S:S,A80)</f>
        <v>0</v>
      </c>
      <c r="E80" s="40">
        <f>SUMIFS('3月份挂账'!Q:Q,'3月份挂账'!S:S,A80)-SUMIFS('3月份挂账'!P:P,'3月份挂账'!S:S,A80)</f>
        <v>0</v>
      </c>
      <c r="F80" s="41">
        <f t="shared" si="5"/>
        <v>0</v>
      </c>
      <c r="G80" s="41">
        <f t="shared" si="6"/>
        <v>0</v>
      </c>
      <c r="H80" s="79">
        <f>_xlfn.XLOOKUP(A80,'[4]3月份计划-1'!$A:$A,'[4]3月份计划-1'!$I:$I,0)</f>
        <v>0</v>
      </c>
      <c r="I80" s="43">
        <f t="shared" si="4"/>
        <v>0</v>
      </c>
    </row>
    <row r="81" customHeight="1" spans="1:9">
      <c r="A81" s="38" t="s">
        <v>316</v>
      </c>
      <c r="B81" s="39">
        <f>SUMIFS('3月份科目余额表'!O:O,'3月份科目余额表'!D:D,A81)</f>
        <v>21022.78</v>
      </c>
      <c r="D81" s="40">
        <f>SUMIFS('2月份挂账'!Q:Q,'2月份挂账'!S:S,A81)-SUMIFS('2月份挂账'!P:P,'2月份挂账'!S:S,A81)</f>
        <v>7760.42</v>
      </c>
      <c r="E81" s="40">
        <f>SUMIFS('3月份挂账'!Q:Q,'3月份挂账'!S:S,A81)-SUMIFS('3月份挂账'!P:P,'3月份挂账'!S:S,A81)</f>
        <v>13262.36</v>
      </c>
      <c r="F81" s="41">
        <f t="shared" si="5"/>
        <v>0</v>
      </c>
      <c r="G81" s="41">
        <f t="shared" si="6"/>
        <v>0</v>
      </c>
      <c r="H81" s="79">
        <f>_xlfn.XLOOKUP(A81,'[4]3月份计划-1'!$A:$A,'[4]3月份计划-1'!$I:$I,0)</f>
        <v>0</v>
      </c>
      <c r="I81" s="43">
        <f t="shared" si="4"/>
        <v>0</v>
      </c>
    </row>
    <row r="82" customHeight="1" spans="1:9">
      <c r="A82" s="38" t="s">
        <v>317</v>
      </c>
      <c r="B82" s="39">
        <f>SUMIFS('3月份科目余额表'!O:O,'3月份科目余额表'!D:D,A82)</f>
        <v>226113.92</v>
      </c>
      <c r="D82" s="40">
        <f>SUMIFS('2月份挂账'!Q:Q,'2月份挂账'!S:S,A82)-SUMIFS('2月份挂账'!P:P,'2月份挂账'!S:S,A82)</f>
        <v>119235.69</v>
      </c>
      <c r="E82" s="40">
        <f>SUMIFS('3月份挂账'!Q:Q,'3月份挂账'!S:S,A82)-SUMIFS('3月份挂账'!P:P,'3月份挂账'!S:S,A82)</f>
        <v>106878.23</v>
      </c>
      <c r="F82" s="41">
        <f t="shared" si="5"/>
        <v>0</v>
      </c>
      <c r="G82" s="41">
        <f t="shared" si="6"/>
        <v>0</v>
      </c>
      <c r="H82" s="79">
        <f>_xlfn.XLOOKUP(A82,'[4]3月份计划-1'!$A:$A,'[4]3月份计划-1'!$I:$I,0)</f>
        <v>6328</v>
      </c>
      <c r="I82" s="43">
        <f t="shared" si="4"/>
        <v>6328</v>
      </c>
    </row>
    <row r="83" customHeight="1" spans="1:9">
      <c r="A83" s="38" t="s">
        <v>318</v>
      </c>
      <c r="B83" s="39">
        <f>SUMIFS('3月份科目余额表'!O:O,'3月份科目余额表'!D:D,A83)</f>
        <v>143124.1</v>
      </c>
      <c r="D83" s="40">
        <f>SUMIFS('2月份挂账'!Q:Q,'2月份挂账'!S:S,A83)-SUMIFS('2月份挂账'!P:P,'2月份挂账'!S:S,A83)</f>
        <v>120063.06</v>
      </c>
      <c r="E83" s="40">
        <f>SUMIFS('3月份挂账'!Q:Q,'3月份挂账'!S:S,A83)-SUMIFS('3月份挂账'!P:P,'3月份挂账'!S:S,A83)</f>
        <v>23061.04</v>
      </c>
      <c r="F83" s="41">
        <f t="shared" si="5"/>
        <v>0</v>
      </c>
      <c r="G83" s="41">
        <f t="shared" si="6"/>
        <v>0</v>
      </c>
      <c r="H83" s="79">
        <f>_xlfn.XLOOKUP(A83,'[4]3月份计划-1'!$A:$A,'[4]3月份计划-1'!$I:$I,0)</f>
        <v>0</v>
      </c>
      <c r="I83" s="43">
        <f t="shared" si="4"/>
        <v>0</v>
      </c>
    </row>
    <row r="84" customHeight="1" spans="1:9">
      <c r="A84" s="38" t="s">
        <v>319</v>
      </c>
      <c r="B84" s="39">
        <f>SUMIFS('3月份科目余额表'!O:O,'3月份科目余额表'!D:D,A84)</f>
        <v>5720.63</v>
      </c>
      <c r="D84" s="40">
        <f>SUMIFS('2月份挂账'!Q:Q,'2月份挂账'!S:S,A84)-SUMIFS('2月份挂账'!P:P,'2月份挂账'!S:S,A84)</f>
        <v>5720.63</v>
      </c>
      <c r="E84" s="40">
        <f>SUMIFS('3月份挂账'!Q:Q,'3月份挂账'!S:S,A84)-SUMIFS('3月份挂账'!P:P,'3月份挂账'!S:S,A84)</f>
        <v>0</v>
      </c>
      <c r="F84" s="41">
        <f t="shared" si="5"/>
        <v>0</v>
      </c>
      <c r="G84" s="41">
        <f t="shared" si="6"/>
        <v>0</v>
      </c>
      <c r="H84" s="79">
        <f>_xlfn.XLOOKUP(A84,'[4]3月份计划-1'!$A:$A,'[4]3月份计划-1'!$I:$I,0)</f>
        <v>0</v>
      </c>
      <c r="I84" s="43">
        <f t="shared" si="4"/>
        <v>0</v>
      </c>
    </row>
    <row r="85" customHeight="1" spans="1:9">
      <c r="A85" s="38" t="s">
        <v>286</v>
      </c>
      <c r="B85" s="39">
        <f>SUMIFS('3月份科目余额表'!O:O,'3月份科目余额表'!D:D,A85)</f>
        <v>105580.99</v>
      </c>
      <c r="D85" s="40">
        <f>SUMIFS('2月份挂账'!Q:Q,'2月份挂账'!S:S,A85)-SUMIFS('2月份挂账'!P:P,'2月份挂账'!S:S,A85)</f>
        <v>40135.34</v>
      </c>
      <c r="E85" s="40">
        <f>SUMIFS('3月份挂账'!Q:Q,'3月份挂账'!S:S,A85)-SUMIFS('3月份挂账'!P:P,'3月份挂账'!S:S,A85)</f>
        <v>65445.65</v>
      </c>
      <c r="F85" s="41">
        <f t="shared" si="5"/>
        <v>0</v>
      </c>
      <c r="G85" s="41">
        <f t="shared" si="6"/>
        <v>0</v>
      </c>
      <c r="H85" s="79">
        <f>_xlfn.XLOOKUP(A85,'[4]3月份计划-1'!$A:$A,'[4]3月份计划-1'!$I:$I,0)</f>
        <v>0</v>
      </c>
      <c r="I85" s="43">
        <f t="shared" si="4"/>
        <v>0</v>
      </c>
    </row>
    <row r="86" customHeight="1" spans="1:9">
      <c r="A86" s="38" t="s">
        <v>287</v>
      </c>
      <c r="B86" s="39">
        <f>SUMIFS('3月份科目余额表'!O:O,'3月份科目余额表'!D:D,A86)</f>
        <v>55019.85</v>
      </c>
      <c r="D86" s="40">
        <f>SUMIFS('2月份挂账'!Q:Q,'2月份挂账'!S:S,A86)-SUMIFS('2月份挂账'!P:P,'2月份挂账'!S:S,A86)</f>
        <v>55019.85</v>
      </c>
      <c r="E86" s="40">
        <f>SUMIFS('3月份挂账'!Q:Q,'3月份挂账'!S:S,A86)-SUMIFS('3月份挂账'!P:P,'3月份挂账'!S:S,A86)</f>
        <v>0</v>
      </c>
      <c r="F86" s="41">
        <f t="shared" si="5"/>
        <v>0</v>
      </c>
      <c r="G86" s="41">
        <f t="shared" si="6"/>
        <v>0</v>
      </c>
      <c r="H86" s="79">
        <f>_xlfn.XLOOKUP(A86,'[4]3月份计划-1'!$A:$A,'[4]3月份计划-1'!$I:$I,0)</f>
        <v>0</v>
      </c>
      <c r="I86" s="43">
        <f t="shared" si="4"/>
        <v>0</v>
      </c>
    </row>
    <row r="87" customHeight="1" spans="1:9">
      <c r="A87" s="38" t="s">
        <v>288</v>
      </c>
      <c r="B87" s="39">
        <f>SUMIFS('3月份科目余额表'!O:O,'3月份科目余额表'!D:D,A87)</f>
        <v>39631.36</v>
      </c>
      <c r="D87" s="40">
        <f>SUMIFS('2月份挂账'!Q:Q,'2月份挂账'!S:S,A87)-SUMIFS('2月份挂账'!P:P,'2月份挂账'!S:S,A87)</f>
        <v>28170.9</v>
      </c>
      <c r="E87" s="40">
        <f>SUMIFS('3月份挂账'!Q:Q,'3月份挂账'!S:S,A87)-SUMIFS('3月份挂账'!P:P,'3月份挂账'!S:S,A87)</f>
        <v>11460.46</v>
      </c>
      <c r="F87" s="41">
        <f t="shared" si="5"/>
        <v>0</v>
      </c>
      <c r="G87" s="41">
        <f t="shared" si="6"/>
        <v>0</v>
      </c>
      <c r="H87" s="79">
        <f>_xlfn.XLOOKUP(A87,'[4]3月份计划-1'!$A:$A,'[4]3月份计划-1'!$I:$I,0)</f>
        <v>0</v>
      </c>
      <c r="I87" s="43">
        <f t="shared" si="4"/>
        <v>0</v>
      </c>
    </row>
    <row r="88" customHeight="1" spans="1:9">
      <c r="A88" s="38" t="s">
        <v>289</v>
      </c>
      <c r="B88" s="39">
        <f>SUMIFS('3月份科目余额表'!O:O,'3月份科目余额表'!D:D,A88)</f>
        <v>7739.9</v>
      </c>
      <c r="D88" s="40">
        <f>SUMIFS('2月份挂账'!Q:Q,'2月份挂账'!S:S,A88)-SUMIFS('2月份挂账'!P:P,'2月份挂账'!S:S,A88)</f>
        <v>4069.44</v>
      </c>
      <c r="E88" s="40">
        <f>SUMIFS('3月份挂账'!Q:Q,'3月份挂账'!S:S,A88)-SUMIFS('3月份挂账'!P:P,'3月份挂账'!S:S,A88)</f>
        <v>3670.46</v>
      </c>
      <c r="F88" s="41">
        <f t="shared" si="5"/>
        <v>0</v>
      </c>
      <c r="G88" s="41">
        <f t="shared" si="6"/>
        <v>0</v>
      </c>
      <c r="H88" s="79">
        <f>_xlfn.XLOOKUP(A88,'[4]3月份计划-1'!$A:$A,'[4]3月份计划-1'!$I:$I,0)</f>
        <v>0</v>
      </c>
      <c r="I88" s="43">
        <f t="shared" si="4"/>
        <v>0</v>
      </c>
    </row>
    <row r="89" customHeight="1" spans="1:9">
      <c r="A89" s="38" t="s">
        <v>320</v>
      </c>
      <c r="B89" s="39">
        <f>SUMIFS('3月份科目余额表'!O:O,'3月份科目余额表'!D:D,A89)</f>
        <v>76877.75</v>
      </c>
      <c r="D89" s="40">
        <f>SUMIFS('2月份挂账'!Q:Q,'2月份挂账'!S:S,A89)-SUMIFS('2月份挂账'!P:P,'2月份挂账'!S:S,A89)</f>
        <v>0</v>
      </c>
      <c r="E89" s="40">
        <f>SUMIFS('3月份挂账'!Q:Q,'3月份挂账'!S:S,A89)-SUMIFS('3月份挂账'!P:P,'3月份挂账'!S:S,A89)</f>
        <v>76877.75</v>
      </c>
      <c r="F89" s="41">
        <f t="shared" si="5"/>
        <v>0</v>
      </c>
      <c r="G89" s="41">
        <f t="shared" si="6"/>
        <v>0</v>
      </c>
      <c r="H89" s="79">
        <f>_xlfn.XLOOKUP(A89,'[4]3月份计划-1'!$A:$A,'[4]3月份计划-1'!$I:$I,0)</f>
        <v>0</v>
      </c>
      <c r="I89" s="43">
        <f t="shared" si="4"/>
        <v>0</v>
      </c>
    </row>
    <row r="90" customHeight="1" spans="1:9">
      <c r="A90" s="38" t="s">
        <v>321</v>
      </c>
      <c r="B90" s="39">
        <f>SUMIFS('3月份科目余额表'!O:O,'3月份科目余额表'!D:D,A90)</f>
        <v>2623.12</v>
      </c>
      <c r="D90" s="40">
        <f>SUMIFS('2月份挂账'!Q:Q,'2月份挂账'!S:S,A90)-SUMIFS('2月份挂账'!P:P,'2月份挂账'!S:S,A90)</f>
        <v>0</v>
      </c>
      <c r="E90" s="40">
        <f>SUMIFS('3月份挂账'!Q:Q,'3月份挂账'!S:S,A90)-SUMIFS('3月份挂账'!P:P,'3月份挂账'!S:S,A90)</f>
        <v>2623.12</v>
      </c>
      <c r="F90" s="41">
        <f t="shared" si="5"/>
        <v>0</v>
      </c>
      <c r="G90" s="41">
        <f t="shared" si="6"/>
        <v>0</v>
      </c>
      <c r="H90" s="79">
        <f>_xlfn.XLOOKUP(A90,'[4]3月份计划-1'!$A:$A,'[4]3月份计划-1'!$I:$I,0)</f>
        <v>0</v>
      </c>
      <c r="I90" s="43">
        <f t="shared" si="4"/>
        <v>0</v>
      </c>
    </row>
    <row r="92" customHeight="1" spans="1:10">
      <c r="A92" s="38" t="s">
        <v>29</v>
      </c>
      <c r="B92" s="87">
        <f t="shared" ref="B92:I92" si="7">SUM(B3:B91)</f>
        <v>16954616.47</v>
      </c>
      <c r="C92" s="87">
        <f t="shared" si="7"/>
        <v>9153923.95</v>
      </c>
      <c r="D92" s="87">
        <f t="shared" si="7"/>
        <v>6719955.73</v>
      </c>
      <c r="E92" s="87">
        <f t="shared" si="7"/>
        <v>6053679.65</v>
      </c>
      <c r="F92" s="87">
        <f t="shared" si="7"/>
        <v>8037913.94</v>
      </c>
      <c r="G92" s="87">
        <f t="shared" si="7"/>
        <v>1190330.76</v>
      </c>
      <c r="H92" s="87">
        <f t="shared" si="7"/>
        <v>7014679.64</v>
      </c>
      <c r="I92" s="87">
        <f t="shared" si="7"/>
        <v>6114679.64</v>
      </c>
      <c r="J92" s="87"/>
    </row>
    <row r="93" customHeight="1" spans="1:6">
      <c r="A93" s="38" t="s">
        <v>293</v>
      </c>
      <c r="B93" s="87"/>
      <c r="C93" s="89"/>
      <c r="D93" s="89"/>
      <c r="E93" s="89"/>
      <c r="F93" s="88"/>
    </row>
  </sheetData>
  <autoFilter xmlns:etc="http://www.wps.cn/officeDocument/2017/etCustomData" ref="A1:H93" etc:filterBottomFollowUsedRange="0">
    <extLst/>
  </autoFilter>
  <mergeCells count="1">
    <mergeCell ref="A1:H1"/>
  </mergeCells>
  <conditionalFormatting sqref="A$1:A$1048576">
    <cfRule type="duplicateValues" dxfId="0" priority="2"/>
  </conditionalFormatting>
  <pageMargins left="0.75" right="0.75" top="1" bottom="1" header="0.5" footer="0.5"/>
  <pageSetup paperSize="9" orientation="portrait"/>
  <headerFooter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S93"/>
  <sheetViews>
    <sheetView workbookViewId="0">
      <pane xSplit="1" ySplit="2" topLeftCell="B3" activePane="bottomRight" state="frozen"/>
      <selection/>
      <selection pane="topRight"/>
      <selection pane="bottomLeft"/>
      <selection pane="bottomRight" activeCell="A16" sqref="$A16:$XFD16"/>
    </sheetView>
  </sheetViews>
  <sheetFormatPr defaultColWidth="9" defaultRowHeight="19" customHeight="1"/>
  <cols>
    <col min="1" max="1" width="26.25" style="38" customWidth="1"/>
    <col min="2" max="3" width="13.875" style="43" customWidth="1"/>
    <col min="4" max="5" width="12.625" style="39" customWidth="1"/>
    <col min="6" max="7" width="15.125" style="39" customWidth="1"/>
    <col min="8" max="10" width="11.75" style="40" customWidth="1"/>
    <col min="11" max="11" width="17.25" style="41" customWidth="1"/>
    <col min="12" max="12" width="13.5" style="41" customWidth="1"/>
    <col min="13" max="13" width="11.75" style="79" customWidth="1"/>
    <col min="14" max="14" width="9" style="43"/>
    <col min="15" max="15" width="22.5" style="43" customWidth="1"/>
    <col min="16" max="16" width="10.125" style="44"/>
    <col min="17" max="17" width="9" style="43"/>
    <col min="18" max="18" width="18" style="43" customWidth="1"/>
    <col min="19" max="19" width="11.5" style="43" customWidth="1"/>
    <col min="20" max="16384" width="9" style="43"/>
  </cols>
  <sheetData>
    <row r="1" ht="29" customHeight="1" spans="1:13">
      <c r="A1" s="80" t="s">
        <v>399</v>
      </c>
      <c r="B1" s="80"/>
      <c r="C1" s="80"/>
      <c r="D1" s="81"/>
      <c r="E1" s="81"/>
      <c r="F1" s="81"/>
      <c r="G1" s="81"/>
      <c r="H1" s="82"/>
      <c r="I1" s="82"/>
      <c r="J1" s="82"/>
      <c r="K1" s="83"/>
      <c r="L1" s="83"/>
      <c r="M1" s="84"/>
    </row>
    <row r="2" ht="36" customHeight="1" spans="1:13">
      <c r="A2" s="59" t="s">
        <v>231</v>
      </c>
      <c r="B2" s="59" t="s">
        <v>400</v>
      </c>
      <c r="C2" s="59"/>
      <c r="D2" s="85" t="s">
        <v>419</v>
      </c>
      <c r="E2" s="85" t="s">
        <v>420</v>
      </c>
      <c r="F2" s="85" t="s">
        <v>421</v>
      </c>
      <c r="G2" s="85" t="s">
        <v>422</v>
      </c>
      <c r="H2" s="86" t="s">
        <v>401</v>
      </c>
      <c r="I2" s="86" t="s">
        <v>385</v>
      </c>
      <c r="J2" s="86" t="s">
        <v>337</v>
      </c>
      <c r="K2" s="85" t="s">
        <v>236</v>
      </c>
      <c r="L2" s="85" t="s">
        <v>386</v>
      </c>
      <c r="M2" s="59" t="s">
        <v>423</v>
      </c>
    </row>
    <row r="3" customHeight="1" spans="1:16">
      <c r="A3" s="38" t="s">
        <v>240</v>
      </c>
      <c r="B3" s="43">
        <f>SUMIFS([2]数据!$O$1:$O$65536,[2]数据!$D$1:$D$65536,A3)</f>
        <v>149827.14</v>
      </c>
      <c r="C3" s="43">
        <f t="shared" ref="C3:C19" si="0">B3-G3-J3</f>
        <v>0</v>
      </c>
      <c r="D3" s="39">
        <f>SUMIFS([1]数据!$O$1:$O$65536,[1]数据!$D$1:$D$65536,A3)</f>
        <v>183523.86</v>
      </c>
      <c r="E3" s="39">
        <v>33696.72</v>
      </c>
      <c r="F3" s="39">
        <v>0</v>
      </c>
      <c r="G3" s="39">
        <f t="shared" ref="G3:G66" si="1">D3-E3-F3</f>
        <v>149827.14</v>
      </c>
      <c r="H3" s="40">
        <f>SUMIFS('1月份挂账'!$P:$P,'1月份挂账'!$R:$R,$A3)-SUMIFS('1月份挂账'!$O:$O,'1月份挂账'!$R:$R,$A3)</f>
        <v>1853.2</v>
      </c>
      <c r="I3" s="40">
        <f>SUMIFS('2月份挂账'!Q:Q,'2月份挂账'!S:S,A3)-SUMIFS('2月份挂账'!P:P,'2月份挂账'!S:S,A3)</f>
        <v>147973.94</v>
      </c>
      <c r="J3" s="40">
        <f>SUMIFS([3]数据!$Q$1:$Q$65536,[3]数据!$S$1:$S$65536,A3)-SUMIFS([3]数据!$P$1:$P$65536,[3]数据!$S$1:$S$65536,A3)</f>
        <v>0</v>
      </c>
      <c r="K3" s="41">
        <f t="shared" ref="K3:K15" si="2">IF(G3-J3-I3&gt;0,G3-J3-I3,0)</f>
        <v>1853.20000000001</v>
      </c>
      <c r="L3" s="41">
        <f t="shared" ref="L3:L57" si="3">IF(G3-J3-I3-H3&gt;0,G3-J3-I3-H3,0)</f>
        <v>1.15960574476048e-11</v>
      </c>
      <c r="O3" s="90" t="s">
        <v>389</v>
      </c>
      <c r="P3" s="91"/>
    </row>
    <row r="4" customHeight="1" spans="1:16">
      <c r="A4" s="38" t="s">
        <v>241</v>
      </c>
      <c r="B4" s="43">
        <f>SUMIFS([2]数据!$O$1:$O$65536,[2]数据!$D$1:$D$65536,A4)</f>
        <v>143976.22</v>
      </c>
      <c r="C4" s="43">
        <f t="shared" si="0"/>
        <v>0</v>
      </c>
      <c r="D4" s="39">
        <f>SUMIFS([1]数据!$O$1:$O$65536,[1]数据!$D$1:$D$65536,A4)</f>
        <v>403937.07</v>
      </c>
      <c r="E4" s="39">
        <v>150000</v>
      </c>
      <c r="F4" s="39">
        <v>122419.7</v>
      </c>
      <c r="G4" s="39">
        <f t="shared" si="1"/>
        <v>131517.37</v>
      </c>
      <c r="H4" s="40">
        <f>SUMIFS('1月份挂账'!$P:$P,'1月份挂账'!$R:$R,$A4)-SUMIFS('1月份挂账'!$O:$O,'1月份挂账'!$R:$R,$A4)</f>
        <v>119091.84</v>
      </c>
      <c r="I4" s="40">
        <f>SUMIFS('2月份挂账'!Q:Q,'2月份挂账'!S:S,A4)-SUMIFS('2月份挂账'!P:P,'2月份挂账'!S:S,A4)</f>
        <v>12425.53</v>
      </c>
      <c r="J4" s="40">
        <f>SUMIFS([3]数据!$Q$1:$Q$65536,[3]数据!$S$1:$S$65536,A4)-SUMIFS([3]数据!$P$1:$P$65536,[3]数据!$S$1:$S$65536,A4)</f>
        <v>12458.85</v>
      </c>
      <c r="K4" s="41">
        <f t="shared" si="2"/>
        <v>106632.99</v>
      </c>
      <c r="L4" s="41">
        <f t="shared" si="3"/>
        <v>0</v>
      </c>
      <c r="O4" s="90" t="s">
        <v>239</v>
      </c>
      <c r="P4" s="91">
        <v>353</v>
      </c>
    </row>
    <row r="5" customHeight="1" spans="1:16">
      <c r="A5" s="38" t="s">
        <v>242</v>
      </c>
      <c r="B5" s="43">
        <f>SUMIFS([2]数据!$O$1:$O$65536,[2]数据!$D$1:$D$65536,A5)</f>
        <v>121529.63</v>
      </c>
      <c r="C5" s="43">
        <f t="shared" si="0"/>
        <v>0</v>
      </c>
      <c r="D5" s="39">
        <f>SUMIFS([1]数据!$O$1:$O$65536,[1]数据!$D$1:$D$65536,A5)</f>
        <v>171409.01</v>
      </c>
      <c r="E5" s="39">
        <v>69588.75</v>
      </c>
      <c r="F5" s="39">
        <v>0</v>
      </c>
      <c r="G5" s="39">
        <f t="shared" si="1"/>
        <v>101820.26</v>
      </c>
      <c r="H5" s="40">
        <f>SUMIFS('1月份挂账'!$P:$P,'1月份挂账'!$R:$R,$A5)-SUMIFS('1月份挂账'!$O:$O,'1月份挂账'!$R:$R,$A5)</f>
        <v>77995.01</v>
      </c>
      <c r="I5" s="40">
        <f>SUMIFS('2月份挂账'!Q:Q,'2月份挂账'!S:S,A5)-SUMIFS('2月份挂账'!P:P,'2月份挂账'!S:S,A5)</f>
        <v>23825.25</v>
      </c>
      <c r="J5" s="40">
        <f>SUMIFS([3]数据!$Q$1:$Q$65536,[3]数据!$S$1:$S$65536,A5)-SUMIFS([3]数据!$P$1:$P$65536,[3]数据!$S$1:$S$65536,A5)</f>
        <v>19709.37</v>
      </c>
      <c r="K5" s="41">
        <f t="shared" si="2"/>
        <v>58285.64</v>
      </c>
      <c r="L5" s="41">
        <f t="shared" si="3"/>
        <v>0</v>
      </c>
      <c r="O5" s="90" t="s">
        <v>390</v>
      </c>
      <c r="P5" s="91">
        <v>-253</v>
      </c>
    </row>
    <row r="6" customHeight="1" spans="1:16">
      <c r="A6" s="38" t="s">
        <v>243</v>
      </c>
      <c r="B6" s="43">
        <f>SUMIFS([2]数据!$O$1:$O$65536,[2]数据!$D$1:$D$65536,A6)</f>
        <v>50890.86</v>
      </c>
      <c r="C6" s="43">
        <f t="shared" si="0"/>
        <v>0</v>
      </c>
      <c r="D6" s="39">
        <f>SUMIFS([1]数据!$O$1:$O$65536,[1]数据!$D$1:$D$65536,A6)</f>
        <v>69000.6</v>
      </c>
      <c r="E6" s="39">
        <v>40442.13</v>
      </c>
      <c r="F6" s="39">
        <v>0</v>
      </c>
      <c r="G6" s="39">
        <f t="shared" si="1"/>
        <v>28558.47</v>
      </c>
      <c r="H6" s="40">
        <f>SUMIFS('1月份挂账'!$P:$P,'1月份挂账'!$R:$R,$A6)-SUMIFS('1月份挂账'!$O:$O,'1月份挂账'!$R:$R,$A6)</f>
        <v>16908.28</v>
      </c>
      <c r="I6" s="40">
        <f>SUMIFS('2月份挂账'!Q:Q,'2月份挂账'!S:S,A6)-SUMIFS('2月份挂账'!P:P,'2月份挂账'!S:S,A6)</f>
        <v>11650.19</v>
      </c>
      <c r="J6" s="40">
        <f>SUMIFS([3]数据!$Q$1:$Q$65536,[3]数据!$S$1:$S$65536,A6)-SUMIFS([3]数据!$P$1:$P$65536,[3]数据!$S$1:$S$65536,A6)</f>
        <v>22332.39</v>
      </c>
      <c r="K6" s="41">
        <f t="shared" si="2"/>
        <v>0</v>
      </c>
      <c r="L6" s="41">
        <f t="shared" si="3"/>
        <v>0</v>
      </c>
      <c r="O6" s="90" t="s">
        <v>346</v>
      </c>
      <c r="P6" s="91">
        <v>40</v>
      </c>
    </row>
    <row r="7" customHeight="1" spans="1:19">
      <c r="A7" s="38" t="s">
        <v>297</v>
      </c>
      <c r="B7" s="43">
        <f>SUMIFS([2]数据!$O$1:$O$65536,[2]数据!$D$1:$D$65536,A7)</f>
        <v>-3667.98</v>
      </c>
      <c r="C7" s="43">
        <f t="shared" si="0"/>
        <v>-3667.98</v>
      </c>
      <c r="D7" s="39">
        <f>SUMIFS([1]数据!$O$1:$O$65536,[1]数据!$D$1:$D$65536,A7)</f>
        <v>16490.64</v>
      </c>
      <c r="E7" s="39">
        <v>16490.64</v>
      </c>
      <c r="F7" s="39">
        <v>0</v>
      </c>
      <c r="G7" s="39">
        <f t="shared" si="1"/>
        <v>0</v>
      </c>
      <c r="H7" s="40">
        <f>SUMIFS('1月份挂账'!$P:$P,'1月份挂账'!$R:$R,$A7)-SUMIFS('1月份挂账'!$O:$O,'1月份挂账'!$R:$R,$A7)</f>
        <v>0</v>
      </c>
      <c r="I7" s="40">
        <f>SUMIFS('2月份挂账'!Q:Q,'2月份挂账'!S:S,A7)-SUMIFS('2月份挂账'!P:P,'2月份挂账'!S:S,A7)</f>
        <v>0</v>
      </c>
      <c r="J7" s="40">
        <f>SUMIFS([3]数据!$Q$1:$Q$65536,[3]数据!$S$1:$S$65536,A7)-SUMIFS([3]数据!$P$1:$P$65536,[3]数据!$S$1:$S$65536,A7)</f>
        <v>0</v>
      </c>
      <c r="K7" s="41">
        <f t="shared" si="2"/>
        <v>0</v>
      </c>
      <c r="L7" s="41">
        <f t="shared" si="3"/>
        <v>0</v>
      </c>
      <c r="O7" s="90" t="s">
        <v>347</v>
      </c>
      <c r="P7" s="91"/>
      <c r="Q7" s="43" t="s">
        <v>391</v>
      </c>
      <c r="S7" s="43" t="s">
        <v>392</v>
      </c>
    </row>
    <row r="8" customHeight="1" spans="1:19">
      <c r="A8" s="38" t="s">
        <v>244</v>
      </c>
      <c r="B8" s="43">
        <f>SUMIFS([2]数据!$O$1:$O$65536,[2]数据!$D$1:$D$65536,A8)</f>
        <v>143842.56</v>
      </c>
      <c r="C8" s="43">
        <f t="shared" si="0"/>
        <v>-3.27418092638254e-11</v>
      </c>
      <c r="D8" s="39">
        <f>SUMIFS([1]数据!$O$1:$O$65536,[1]数据!$D$1:$D$65536,A8)</f>
        <v>307758.78</v>
      </c>
      <c r="E8" s="39">
        <v>100000</v>
      </c>
      <c r="F8" s="39">
        <v>83453.92</v>
      </c>
      <c r="G8" s="39">
        <f t="shared" si="1"/>
        <v>124304.86</v>
      </c>
      <c r="H8" s="40">
        <f>SUMIFS('1月份挂账'!$P:$P,'1月份挂账'!$R:$R,$A8)-SUMIFS('1月份挂账'!$O:$O,'1月份挂账'!$R:$R,$A8)</f>
        <v>78601.67</v>
      </c>
      <c r="I8" s="40">
        <f>SUMIFS('2月份挂账'!Q:Q,'2月份挂账'!S:S,A8)-SUMIFS('2月份挂账'!P:P,'2月份挂账'!S:S,A8)</f>
        <v>45703.19</v>
      </c>
      <c r="J8" s="40">
        <f>SUMIFS([3]数据!$Q$1:$Q$65536,[3]数据!$S$1:$S$65536,A8)-SUMIFS([3]数据!$P$1:$P$65536,[3]数据!$S$1:$S$65536,A8)</f>
        <v>19537.7</v>
      </c>
      <c r="K8" s="41">
        <f t="shared" si="2"/>
        <v>59063.97</v>
      </c>
      <c r="L8" s="41">
        <f t="shared" si="3"/>
        <v>0</v>
      </c>
      <c r="O8" s="90" t="s">
        <v>348</v>
      </c>
      <c r="P8" s="91">
        <v>960</v>
      </c>
      <c r="Q8" s="43">
        <v>150</v>
      </c>
      <c r="S8" s="43">
        <v>134</v>
      </c>
    </row>
    <row r="9" customHeight="1" spans="1:19">
      <c r="A9" s="38" t="s">
        <v>245</v>
      </c>
      <c r="B9" s="43">
        <f>SUMIFS([2]数据!$O$1:$O$65536,[2]数据!$D$1:$D$65536,A9)</f>
        <v>137194.3</v>
      </c>
      <c r="C9" s="43">
        <f t="shared" si="0"/>
        <v>0</v>
      </c>
      <c r="D9" s="39">
        <f>SUMIFS([1]数据!$O$1:$O$65536,[1]数据!$D$1:$D$65536,A9)</f>
        <v>176561.81</v>
      </c>
      <c r="E9" s="39">
        <v>68017.65</v>
      </c>
      <c r="F9" s="39">
        <v>0</v>
      </c>
      <c r="G9" s="39">
        <f t="shared" si="1"/>
        <v>108544.16</v>
      </c>
      <c r="H9" s="40">
        <f>SUMIFS('1月份挂账'!$P:$P,'1月份挂账'!$R:$R,$A9)-SUMIFS('1月份挂账'!$O:$O,'1月份挂账'!$R:$R,$A9)</f>
        <v>71377.35</v>
      </c>
      <c r="I9" s="40">
        <f>SUMIFS('2月份挂账'!Q:Q,'2月份挂账'!S:S,A9)-SUMIFS('2月份挂账'!P:P,'2月份挂账'!S:S,A9)</f>
        <v>37166.81</v>
      </c>
      <c r="J9" s="40">
        <f>SUMIFS([3]数据!$Q$1:$Q$65536,[3]数据!$S$1:$S$65536,A9)-SUMIFS([3]数据!$P$1:$P$65536,[3]数据!$S$1:$S$65536,A9)</f>
        <v>28650.14</v>
      </c>
      <c r="K9" s="41">
        <f t="shared" si="2"/>
        <v>42727.21</v>
      </c>
      <c r="L9" s="41">
        <f t="shared" si="3"/>
        <v>0</v>
      </c>
      <c r="O9" s="90" t="s">
        <v>349</v>
      </c>
      <c r="P9" s="91">
        <v>89</v>
      </c>
      <c r="Q9" s="43">
        <v>140</v>
      </c>
      <c r="S9" s="43">
        <v>278</v>
      </c>
    </row>
    <row r="10" customHeight="1" spans="1:17">
      <c r="A10" s="38" t="s">
        <v>246</v>
      </c>
      <c r="B10" s="43">
        <f>SUMIFS([2]数据!$O$1:$O$65536,[2]数据!$D$1:$D$65536,A10)</f>
        <v>127771.79</v>
      </c>
      <c r="C10" s="43">
        <f t="shared" si="0"/>
        <v>0</v>
      </c>
      <c r="D10" s="39">
        <f>SUMIFS([1]数据!$O$1:$O$65536,[1]数据!$D$1:$D$65536,A10)</f>
        <v>155700.44</v>
      </c>
      <c r="E10" s="39">
        <v>53935.15</v>
      </c>
      <c r="F10" s="39">
        <v>0</v>
      </c>
      <c r="G10" s="39">
        <f t="shared" si="1"/>
        <v>101765.29</v>
      </c>
      <c r="H10" s="40">
        <f>SUMIFS('1月份挂账'!$P:$P,'1月份挂账'!$R:$R,$A10)-SUMIFS('1月份挂账'!$O:$O,'1月份挂账'!$R:$R,$A10)</f>
        <v>75095.26</v>
      </c>
      <c r="I10" s="40">
        <f>SUMIFS('2月份挂账'!Q:Q,'2月份挂账'!S:S,A10)-SUMIFS('2月份挂账'!P:P,'2月份挂账'!S:S,A10)</f>
        <v>26670.03</v>
      </c>
      <c r="J10" s="40">
        <f>SUMIFS([3]数据!$Q$1:$Q$65536,[3]数据!$S$1:$S$65536,A10)-SUMIFS([3]数据!$P$1:$P$65536,[3]数据!$S$1:$S$65536,A10)</f>
        <v>26006.5</v>
      </c>
      <c r="K10" s="41">
        <f t="shared" si="2"/>
        <v>49088.76</v>
      </c>
      <c r="L10" s="41">
        <f t="shared" si="3"/>
        <v>0</v>
      </c>
      <c r="O10" s="90" t="s">
        <v>351</v>
      </c>
      <c r="P10" s="91">
        <v>80</v>
      </c>
      <c r="Q10" s="43">
        <v>50</v>
      </c>
    </row>
    <row r="11" customHeight="1" spans="1:19">
      <c r="A11" s="38" t="s">
        <v>247</v>
      </c>
      <c r="B11" s="43">
        <f>SUMIFS([2]数据!$O$1:$O$65536,[2]数据!$D$1:$D$65536,A11)</f>
        <v>29435.59</v>
      </c>
      <c r="C11" s="43">
        <f t="shared" si="0"/>
        <v>0</v>
      </c>
      <c r="D11" s="39">
        <f>SUMIFS([1]数据!$O$1:$O$65536,[1]数据!$D$1:$D$65536,A11)</f>
        <v>15068.27</v>
      </c>
      <c r="E11" s="39">
        <v>15068.27</v>
      </c>
      <c r="F11" s="39">
        <v>0</v>
      </c>
      <c r="G11" s="39">
        <f t="shared" si="1"/>
        <v>0</v>
      </c>
      <c r="H11" s="40">
        <f>SUMIFS('1月份挂账'!$P:$P,'1月份挂账'!$R:$R,$A11)-SUMIFS('1月份挂账'!$O:$O,'1月份挂账'!$R:$R,$A11)</f>
        <v>0</v>
      </c>
      <c r="I11" s="40">
        <f>SUMIFS('2月份挂账'!Q:Q,'2月份挂账'!S:S,A11)-SUMIFS('2月份挂账'!P:P,'2月份挂账'!S:S,A11)</f>
        <v>0</v>
      </c>
      <c r="J11" s="40">
        <f>SUMIFS([3]数据!$Q$1:$Q$65536,[3]数据!$S$1:$S$65536,A11)-SUMIFS([3]数据!$P$1:$P$65536,[3]数据!$S$1:$S$65536,A11)</f>
        <v>29435.59</v>
      </c>
      <c r="K11" s="41">
        <f t="shared" si="2"/>
        <v>0</v>
      </c>
      <c r="L11" s="41">
        <f t="shared" si="3"/>
        <v>0</v>
      </c>
      <c r="O11" s="90" t="s">
        <v>352</v>
      </c>
      <c r="P11" s="91">
        <v>35</v>
      </c>
      <c r="Q11" s="43">
        <v>78</v>
      </c>
      <c r="S11" s="43">
        <v>30</v>
      </c>
    </row>
    <row r="12" customHeight="1" spans="1:19">
      <c r="A12" s="38" t="s">
        <v>248</v>
      </c>
      <c r="B12" s="43">
        <f>SUMIFS([2]数据!$O$1:$O$65536,[2]数据!$D$1:$D$65536,A12)</f>
        <v>754195</v>
      </c>
      <c r="C12" s="43">
        <f t="shared" si="0"/>
        <v>0</v>
      </c>
      <c r="D12" s="39">
        <f>SUMIFS([1]数据!$O$1:$O$65536,[1]数据!$D$1:$D$65536,A12)</f>
        <v>832215.18</v>
      </c>
      <c r="E12" s="39">
        <v>234060.52</v>
      </c>
      <c r="F12" s="39">
        <v>0</v>
      </c>
      <c r="G12" s="39">
        <f t="shared" si="1"/>
        <v>598154.66</v>
      </c>
      <c r="H12" s="40">
        <f>SUMIFS('1月份挂账'!$P:$P,'1月份挂账'!$R:$R,$A12)-SUMIFS('1月份挂账'!$O:$O,'1月份挂账'!$R:$R,$A12)</f>
        <v>520134.48</v>
      </c>
      <c r="I12" s="40">
        <f>SUMIFS('2月份挂账'!Q:Q,'2月份挂账'!S:S,A12)-SUMIFS('2月份挂账'!P:P,'2月份挂账'!S:S,A12)</f>
        <v>78020.18</v>
      </c>
      <c r="J12" s="40">
        <v>156040.34</v>
      </c>
      <c r="K12" s="41">
        <f t="shared" si="2"/>
        <v>364094.14</v>
      </c>
      <c r="L12" s="41">
        <f t="shared" si="3"/>
        <v>0</v>
      </c>
      <c r="O12" s="90" t="s">
        <v>353</v>
      </c>
      <c r="P12" s="91">
        <v>180</v>
      </c>
      <c r="Q12" s="43">
        <v>110</v>
      </c>
      <c r="S12" s="43">
        <v>127</v>
      </c>
    </row>
    <row r="13" customHeight="1" spans="1:16">
      <c r="A13" s="38" t="s">
        <v>249</v>
      </c>
      <c r="B13" s="43">
        <f>SUMIFS([2]数据!$O$1:$O$65536,[2]数据!$D$1:$D$65536,A13)</f>
        <v>798238.4</v>
      </c>
      <c r="C13" s="43">
        <f t="shared" si="0"/>
        <v>0</v>
      </c>
      <c r="D13" s="39">
        <f>SUMIFS([1]数据!$O$1:$O$65536,[1]数据!$D$1:$D$65536,A13)</f>
        <v>1030823.01</v>
      </c>
      <c r="E13" s="39">
        <v>200000</v>
      </c>
      <c r="F13" s="39">
        <v>156363.68</v>
      </c>
      <c r="G13" s="39">
        <f t="shared" si="1"/>
        <v>674459.33</v>
      </c>
      <c r="H13" s="40">
        <f>SUMIFS('1月份挂账'!$P:$P,'1月份挂账'!$R:$R,$A13)-SUMIFS('1月份挂账'!$O:$O,'1月份挂账'!$R:$R,$A13)</f>
        <v>442481.63</v>
      </c>
      <c r="I13" s="40">
        <f>SUMIFS('2月份挂账'!Q:Q,'2月份挂账'!S:S,A13)-SUMIFS('2月份挂账'!P:P,'2月份挂账'!S:S,A13)</f>
        <v>231977.7</v>
      </c>
      <c r="J13" s="40">
        <f>SUMIFS([3]数据!$Q$1:$Q$65536,[3]数据!$S$1:$S$65536,A13)-SUMIFS([3]数据!$P$1:$P$65536,[3]数据!$S$1:$S$65536,A13)</f>
        <v>123779.07</v>
      </c>
      <c r="K13" s="41">
        <f t="shared" si="2"/>
        <v>318702.56</v>
      </c>
      <c r="L13" s="41">
        <f t="shared" si="3"/>
        <v>0</v>
      </c>
      <c r="O13" s="90"/>
      <c r="P13" s="91"/>
    </row>
    <row r="14" customHeight="1" spans="1:16">
      <c r="A14" s="38" t="s">
        <v>250</v>
      </c>
      <c r="B14" s="43">
        <f>SUMIFS([2]数据!$O$1:$O$65536,[2]数据!$D$1:$D$65536,A14)</f>
        <v>616653.59</v>
      </c>
      <c r="C14" s="43">
        <f t="shared" si="0"/>
        <v>0</v>
      </c>
      <c r="D14" s="39">
        <f>SUMIFS([1]数据!$O$1:$O$65536,[1]数据!$D$1:$D$65536,A14)</f>
        <v>891014.81</v>
      </c>
      <c r="E14" s="39">
        <v>200000</v>
      </c>
      <c r="F14" s="39">
        <v>203881.91</v>
      </c>
      <c r="G14" s="39">
        <f t="shared" si="1"/>
        <v>487132.9</v>
      </c>
      <c r="H14" s="40">
        <f>SUMIFS('1月份挂账'!$P:$P,'1月份挂账'!$R:$R,$A14)-SUMIFS('1月份挂账'!$O:$O,'1月份挂账'!$R:$R,$A14)</f>
        <v>332887.93</v>
      </c>
      <c r="I14" s="40">
        <f>SUMIFS('2月份挂账'!Q:Q,'2月份挂账'!S:S,A14)-SUMIFS('2月份挂账'!P:P,'2月份挂账'!S:S,A14)</f>
        <v>154244.97</v>
      </c>
      <c r="J14" s="40">
        <f>SUMIFS([3]数据!$Q$1:$Q$65536,[3]数据!$S$1:$S$65536,A14)-SUMIFS([3]数据!$P$1:$P$65536,[3]数据!$S$1:$S$65536,A14)</f>
        <v>129520.69</v>
      </c>
      <c r="K14" s="41">
        <f t="shared" si="2"/>
        <v>203367.24</v>
      </c>
      <c r="L14" s="41">
        <f t="shared" si="3"/>
        <v>0</v>
      </c>
      <c r="O14" s="90" t="s">
        <v>355</v>
      </c>
      <c r="P14" s="91">
        <v>480</v>
      </c>
    </row>
    <row r="15" customHeight="1" spans="1:16">
      <c r="A15" s="38" t="s">
        <v>298</v>
      </c>
      <c r="B15" s="43">
        <f>SUMIFS([2]数据!$O$1:$O$65536,[2]数据!$D$1:$D$65536,A15)</f>
        <v>247081.28</v>
      </c>
      <c r="C15" s="43">
        <f t="shared" si="0"/>
        <v>0</v>
      </c>
      <c r="D15" s="39">
        <f>SUMIFS([1]数据!$O$1:$O$65536,[1]数据!$D$1:$D$65536,A15)</f>
        <v>331766.72</v>
      </c>
      <c r="E15" s="39">
        <v>84685.44</v>
      </c>
      <c r="F15" s="39">
        <v>0</v>
      </c>
      <c r="G15" s="39">
        <f t="shared" si="1"/>
        <v>247081.28</v>
      </c>
      <c r="H15" s="40">
        <f>SUMIFS('1月份挂账'!$P:$P,'1月份挂账'!$R:$R,$A15)-SUMIFS('1月份挂账'!$O:$O,'1月份挂账'!$R:$R,$A15)</f>
        <v>181993.28</v>
      </c>
      <c r="I15" s="40">
        <f>SUMIFS('2月份挂账'!Q:Q,'2月份挂账'!S:S,A15)-SUMIFS('2月份挂账'!P:P,'2月份挂账'!S:S,A15)</f>
        <v>65088</v>
      </c>
      <c r="J15" s="40">
        <f>SUMIFS([3]数据!$Q$1:$Q$65536,[3]数据!$S$1:$S$65536,A15)-SUMIFS([3]数据!$P$1:$P$65536,[3]数据!$S$1:$S$65536,A15)</f>
        <v>0</v>
      </c>
      <c r="K15" s="41">
        <f t="shared" si="2"/>
        <v>181993.28</v>
      </c>
      <c r="L15" s="41">
        <f t="shared" si="3"/>
        <v>0</v>
      </c>
      <c r="O15" s="90"/>
      <c r="P15" s="91"/>
    </row>
    <row r="16" customHeight="1" spans="1:16">
      <c r="A16" s="38" t="s">
        <v>251</v>
      </c>
      <c r="B16" s="43">
        <f>SUMIFS([2]数据!$O$1:$O$65536,[2]数据!$D$1:$D$65536,A16)</f>
        <v>469589.13</v>
      </c>
      <c r="C16" s="43">
        <f t="shared" si="0"/>
        <v>-318816</v>
      </c>
      <c r="D16" s="39">
        <f>SUMIFS([1]数据!$O$1:$O$65536,[1]数据!$D$1:$D$65536,A16)</f>
        <v>981573.26</v>
      </c>
      <c r="E16" s="39">
        <v>496606.13</v>
      </c>
      <c r="F16" s="39">
        <v>0</v>
      </c>
      <c r="G16" s="39">
        <f t="shared" si="1"/>
        <v>484967.13</v>
      </c>
      <c r="H16" s="40">
        <f>SUMIFS('1月份挂账'!$P:$P,'1月份挂账'!$R:$R,$A16)-SUMIFS('1月份挂账'!$O:$O,'1月份挂账'!$R:$R,$A16)</f>
        <v>401306</v>
      </c>
      <c r="I16" s="40">
        <f>SUMIFS('2月份挂账'!Q:Q,'2月份挂账'!S:S,A16)-SUMIFS('2月份挂账'!P:P,'2月份挂账'!S:S,A16)</f>
        <v>402477.13</v>
      </c>
      <c r="J16" s="40">
        <f>SUMIFS([3]数据!$Q$1:$Q$65536,[3]数据!$S$1:$S$65536,A16)-SUMIFS([3]数据!$P$1:$P$65536,[3]数据!$S$1:$S$65536,A16)</f>
        <v>303438</v>
      </c>
      <c r="K16" s="92"/>
      <c r="L16" s="41">
        <f t="shared" si="3"/>
        <v>0</v>
      </c>
      <c r="O16" s="90" t="s">
        <v>29</v>
      </c>
      <c r="P16" s="91"/>
    </row>
    <row r="17" customHeight="1" spans="1:16">
      <c r="A17" s="38" t="s">
        <v>252</v>
      </c>
      <c r="B17" s="43">
        <f>SUMIFS([2]数据!$O$1:$O$65536,[2]数据!$D$1:$D$65536,A17)</f>
        <v>136821.26</v>
      </c>
      <c r="C17" s="43">
        <f t="shared" si="0"/>
        <v>4.09272615797818e-11</v>
      </c>
      <c r="D17" s="39">
        <f>SUMIFS([1]数据!$O$1:$O$65536,[1]数据!$D$1:$D$65536,A17)</f>
        <v>379189.22</v>
      </c>
      <c r="E17" s="39">
        <v>100000</v>
      </c>
      <c r="F17" s="39">
        <v>146537.66</v>
      </c>
      <c r="G17" s="39">
        <f t="shared" si="1"/>
        <v>132651.56</v>
      </c>
      <c r="H17" s="40">
        <f>SUMIFS('1月份挂账'!$P:$P,'1月份挂账'!$R:$R,$A17)-SUMIFS('1月份挂账'!$O:$O,'1月份挂账'!$R:$R,$A17)</f>
        <v>82996.78</v>
      </c>
      <c r="I17" s="40">
        <f>SUMIFS('2月份挂账'!Q:Q,'2月份挂账'!S:S,A17)-SUMIFS('2月份挂账'!P:P,'2月份挂账'!S:S,A17)</f>
        <v>49654.78</v>
      </c>
      <c r="J17" s="40">
        <f>SUMIFS([3]数据!$Q$1:$Q$65536,[3]数据!$S$1:$S$65536,A17)-SUMIFS([3]数据!$P$1:$P$65536,[3]数据!$S$1:$S$65536,A17)</f>
        <v>4169.7</v>
      </c>
      <c r="K17" s="41">
        <f>IF(G17-J17-I17&gt;0,G17-J17-I17,0)</f>
        <v>78827.08</v>
      </c>
      <c r="L17" s="41">
        <f t="shared" si="3"/>
        <v>0</v>
      </c>
      <c r="O17" s="93" t="s">
        <v>358</v>
      </c>
      <c r="P17" s="94"/>
    </row>
    <row r="18" customHeight="1" spans="1:17">
      <c r="A18" s="38" t="s">
        <v>253</v>
      </c>
      <c r="B18" s="43">
        <f>SUMIFS([2]数据!$O$1:$O$65536,[2]数据!$D$1:$D$65536,A18)</f>
        <v>325053.25</v>
      </c>
      <c r="C18" s="43">
        <f t="shared" si="0"/>
        <v>0</v>
      </c>
      <c r="D18" s="39">
        <f>SUMIFS([1]数据!$O$1:$O$65536,[1]数据!$D$1:$D$65536,A18)</f>
        <v>354099.45</v>
      </c>
      <c r="E18" s="39">
        <v>108764.2</v>
      </c>
      <c r="F18" s="39">
        <v>0</v>
      </c>
      <c r="G18" s="39">
        <f t="shared" si="1"/>
        <v>245335.25</v>
      </c>
      <c r="H18" s="40">
        <f>SUMIFS('1月份挂账'!$P:$P,'1月份挂账'!$R:$R,$A18)-SUMIFS('1月份挂账'!$O:$O,'1月份挂账'!$R:$R,$A18)</f>
        <v>135456.27</v>
      </c>
      <c r="I18" s="40">
        <f>SUMIFS('2月份挂账'!Q:Q,'2月份挂账'!S:S,A18)-SUMIFS('2月份挂账'!P:P,'2月份挂账'!S:S,A18)</f>
        <v>109878.98</v>
      </c>
      <c r="J18" s="40">
        <f>SUMIFS([3]数据!$Q$1:$Q$65536,[3]数据!$S$1:$S$65536,A18)-SUMIFS([3]数据!$P$1:$P$65536,[3]数据!$S$1:$S$65536,A18)</f>
        <v>79718</v>
      </c>
      <c r="K18" s="41">
        <f>IF(G18-J18-I18&gt;0,G18-J18-I18,0)</f>
        <v>55738.27</v>
      </c>
      <c r="L18" s="41">
        <f t="shared" si="3"/>
        <v>0</v>
      </c>
      <c r="O18" s="93" t="s">
        <v>393</v>
      </c>
      <c r="P18" s="94">
        <v>-150</v>
      </c>
      <c r="Q18" s="43">
        <v>-150</v>
      </c>
    </row>
    <row r="19" customHeight="1" spans="1:17">
      <c r="A19" s="38" t="s">
        <v>254</v>
      </c>
      <c r="B19" s="43">
        <f>SUMIFS([2]数据!$O$1:$O$65536,[2]数据!$D$1:$D$65536,A19)</f>
        <v>782693.17</v>
      </c>
      <c r="C19" s="43">
        <f t="shared" si="0"/>
        <v>-300000</v>
      </c>
      <c r="D19" s="39">
        <f>SUMIFS([1]数据!$O$1:$O$65536,[1]数据!$D$1:$D$65536,A19)</f>
        <v>1287615.5</v>
      </c>
      <c r="E19" s="39">
        <v>500000</v>
      </c>
      <c r="F19" s="39">
        <v>0</v>
      </c>
      <c r="G19" s="39">
        <f t="shared" si="1"/>
        <v>787615.5</v>
      </c>
      <c r="H19" s="40">
        <f>SUMIFS('1月份挂账'!$P:$P,'1月份挂账'!$R:$R,$A19)-SUMIFS('1月份挂账'!$O:$O,'1月份挂账'!$R:$R,$A19)</f>
        <v>913202.96</v>
      </c>
      <c r="I19" s="40">
        <f>SUMIFS('2月份挂账'!Q:Q,'2月份挂账'!S:S,A19)-SUMIFS('2月份挂账'!P:P,'2月份挂账'!S:S,A19)</f>
        <v>377110.6</v>
      </c>
      <c r="J19" s="40">
        <f>SUMIFS([3]数据!$Q$1:$Q$65536,[3]数据!$S$1:$S$65536,A19)-SUMIFS([3]数据!$P$1:$P$65536,[3]数据!$S$1:$S$65536,A19)</f>
        <v>295077.67</v>
      </c>
      <c r="K19" s="92">
        <v>500000</v>
      </c>
      <c r="L19" s="41">
        <f t="shared" si="3"/>
        <v>0</v>
      </c>
      <c r="O19" s="93" t="s">
        <v>394</v>
      </c>
      <c r="P19" s="94">
        <v>-30</v>
      </c>
      <c r="Q19" s="43">
        <v>-30</v>
      </c>
    </row>
    <row r="20" customHeight="1" spans="1:18">
      <c r="A20" s="38" t="s">
        <v>255</v>
      </c>
      <c r="B20" s="43">
        <f>SUMIFS([2]数据!$O$1:$O$65536,[2]数据!$D$1:$D$65536,A20)</f>
        <v>67848.95</v>
      </c>
      <c r="D20" s="39">
        <f>SUMIFS([1]数据!$O$1:$O$65536,[1]数据!$D$1:$D$65536,A20)</f>
        <v>410242.53</v>
      </c>
      <c r="E20" s="39">
        <v>200000</v>
      </c>
      <c r="F20" s="39">
        <v>174826.52</v>
      </c>
      <c r="G20" s="39">
        <f t="shared" si="1"/>
        <v>35416.01</v>
      </c>
      <c r="H20" s="40">
        <f>SUMIFS('1月份挂账'!$P:$P,'1月份挂账'!$R:$R,$A20)-SUMIFS('1月份挂账'!$O:$O,'1月份挂账'!$R:$R,$A20)</f>
        <v>0</v>
      </c>
      <c r="I20" s="40">
        <f>SUMIFS('2月份挂账'!Q:Q,'2月份挂账'!S:S,A20)-SUMIFS('2月份挂账'!P:P,'2月份挂账'!S:S,A20)</f>
        <v>35416.01</v>
      </c>
      <c r="J20" s="40">
        <f>SUMIFS([3]数据!$Q$1:$Q$65536,[3]数据!$S$1:$S$65536,A20)-SUMIFS([3]数据!$P$1:$P$65536,[3]数据!$S$1:$S$65536,A20)</f>
        <v>32432.94</v>
      </c>
      <c r="K20" s="41">
        <f>IF(G20-J20-I20&gt;0,G20-J20-I20,0)</f>
        <v>0</v>
      </c>
      <c r="L20" s="41">
        <f t="shared" si="3"/>
        <v>0</v>
      </c>
      <c r="O20" s="93" t="s">
        <v>395</v>
      </c>
      <c r="P20" s="94">
        <f>-K92/10000</f>
        <v>-559.256249</v>
      </c>
      <c r="Q20" s="43">
        <v>-200</v>
      </c>
      <c r="R20" s="43" t="s">
        <v>396</v>
      </c>
    </row>
    <row r="21" customHeight="1" spans="1:16">
      <c r="A21" s="38" t="s">
        <v>256</v>
      </c>
      <c r="B21" s="43">
        <f>SUMIFS([2]数据!$O$1:$O$65536,[2]数据!$D$1:$D$65536,A21)</f>
        <v>4617.79</v>
      </c>
      <c r="C21" s="43">
        <f>B21-G21-J21</f>
        <v>-1016463.53</v>
      </c>
      <c r="D21" s="39">
        <f>SUMIFS([1]数据!$O$1:$O$65536,[1]数据!$D$1:$D$65536,A21)</f>
        <v>194633.37</v>
      </c>
      <c r="E21" s="39">
        <v>1190000</v>
      </c>
      <c r="F21" s="39">
        <v>0</v>
      </c>
      <c r="G21" s="39">
        <f t="shared" si="1"/>
        <v>-995366.63</v>
      </c>
      <c r="H21" s="40">
        <f>SUMIFS('1月份挂账'!$P:$P,'1月份挂账'!$R:$R,$A21)-SUMIFS('1月份挂账'!$O:$O,'1月份挂账'!$R:$R,$A21)</f>
        <v>0</v>
      </c>
      <c r="I21" s="40">
        <f>SUMIFS('2月份挂账'!Q:Q,'2月份挂账'!S:S,A21)-SUMIFS('2月份挂账'!P:P,'2月份挂账'!S:S,A21)</f>
        <v>0</v>
      </c>
      <c r="J21" s="40">
        <f>SUMIFS([3]数据!$Q$1:$Q$65536,[3]数据!$S$1:$S$65536,A21)-SUMIFS([3]数据!$P$1:$P$65536,[3]数据!$S$1:$S$65536,A21)</f>
        <v>2016447.95</v>
      </c>
      <c r="K21" s="92"/>
      <c r="L21" s="41">
        <f t="shared" si="3"/>
        <v>0</v>
      </c>
      <c r="O21" s="93" t="s">
        <v>367</v>
      </c>
      <c r="P21" s="94">
        <v>-70</v>
      </c>
    </row>
    <row r="22" customHeight="1" spans="1:18">
      <c r="A22" s="38" t="s">
        <v>257</v>
      </c>
      <c r="B22" s="43">
        <f>SUMIFS([2]数据!$O$1:$O$65536,[2]数据!$D$1:$D$65536,A22)</f>
        <v>-288171.91</v>
      </c>
      <c r="C22" s="43">
        <f>B22-G22-J22</f>
        <v>0</v>
      </c>
      <c r="D22" s="39">
        <f>SUMIFS([1]数据!$O$1:$O$65536,[1]数据!$D$1:$D$65536,A22)</f>
        <v>-162416.47</v>
      </c>
      <c r="E22" s="39">
        <v>125755.44</v>
      </c>
      <c r="F22" s="39">
        <v>0</v>
      </c>
      <c r="G22" s="39">
        <f t="shared" si="1"/>
        <v>-288171.91</v>
      </c>
      <c r="H22" s="40">
        <f>SUMIFS('1月份挂账'!$P:$P,'1月份挂账'!$R:$R,$A22)-SUMIFS('1月份挂账'!$O:$O,'1月份挂账'!$R:$R,$A22)</f>
        <v>0</v>
      </c>
      <c r="I22" s="40">
        <f>SUMIFS('2月份挂账'!Q:Q,'2月份挂账'!S:S,A22)-SUMIFS('2月份挂账'!P:P,'2月份挂账'!S:S,A22)</f>
        <v>224472.24</v>
      </c>
      <c r="J22" s="40">
        <f>SUMIFS([3]数据!$Q$1:$Q$65536,[3]数据!$S$1:$S$65536,A22)-SUMIFS([3]数据!$P$1:$P$65536,[3]数据!$S$1:$S$65536,A22)</f>
        <v>0</v>
      </c>
      <c r="K22" s="41">
        <f>IF(G22-J22-I22&gt;0,G22-J22-I22,0)</f>
        <v>0</v>
      </c>
      <c r="L22" s="41">
        <f t="shared" si="3"/>
        <v>0</v>
      </c>
      <c r="O22" s="93" t="s">
        <v>397</v>
      </c>
      <c r="P22" s="94">
        <f>-100-98-40</f>
        <v>-238</v>
      </c>
      <c r="Q22" s="43">
        <v>-140</v>
      </c>
      <c r="R22" s="43" t="s">
        <v>398</v>
      </c>
    </row>
    <row r="23" customHeight="1" spans="1:16">
      <c r="A23" s="38" t="s">
        <v>258</v>
      </c>
      <c r="B23" s="43">
        <f>SUMIFS([2]数据!$O$1:$O$65536,[2]数据!$D$1:$D$65536,A23)</f>
        <v>259876.49</v>
      </c>
      <c r="C23" s="43">
        <f>B23-G23-J23</f>
        <v>0</v>
      </c>
      <c r="D23" s="39">
        <f>SUMIFS([1]数据!$O$1:$O$65536,[1]数据!$D$1:$D$65536,A23)</f>
        <v>301598.94</v>
      </c>
      <c r="E23" s="39">
        <v>0</v>
      </c>
      <c r="F23" s="39">
        <v>184697.24</v>
      </c>
      <c r="G23" s="39">
        <f t="shared" si="1"/>
        <v>116901.7</v>
      </c>
      <c r="H23" s="40">
        <f>SUMIFS('1月份挂账'!$P:$P,'1月份挂账'!$R:$R,$A23)-SUMIFS('1月份挂账'!$O:$O,'1月份挂账'!$R:$R,$A23)</f>
        <v>61016.77</v>
      </c>
      <c r="I23" s="40">
        <f>SUMIFS('2月份挂账'!Q:Q,'2月份挂账'!S:S,A23)-SUMIFS('2月份挂账'!P:P,'2月份挂账'!S:S,A23)</f>
        <v>55884.93</v>
      </c>
      <c r="J23" s="40">
        <f>SUMIFS([3]数据!$Q$1:$Q$65536,[3]数据!$S$1:$S$65536,A23)-SUMIFS([3]数据!$P$1:$P$65536,[3]数据!$S$1:$S$65536,A23)</f>
        <v>142974.79</v>
      </c>
      <c r="K23" s="41">
        <f>IF(G23-J23-I23&gt;0,G23-J23-I23,0)</f>
        <v>0</v>
      </c>
      <c r="L23" s="41">
        <f t="shared" si="3"/>
        <v>0</v>
      </c>
      <c r="O23" s="93" t="s">
        <v>372</v>
      </c>
      <c r="P23" s="94">
        <f>SUM(P4:P22)</f>
        <v>916.743751</v>
      </c>
    </row>
    <row r="24" customHeight="1" spans="1:16">
      <c r="A24" s="38" t="s">
        <v>259</v>
      </c>
      <c r="B24" s="43">
        <f>SUMIFS([2]数据!$O$1:$O$65536,[2]数据!$D$1:$D$65536,A24)</f>
        <v>518852.38</v>
      </c>
      <c r="D24" s="39">
        <f>SUMIFS([1]数据!$O$1:$O$65536,[1]数据!$D$1:$D$65536,A24)</f>
        <v>795117.72</v>
      </c>
      <c r="E24" s="39">
        <v>100000</v>
      </c>
      <c r="F24" s="39">
        <v>207713.69</v>
      </c>
      <c r="G24" s="39">
        <f t="shared" si="1"/>
        <v>487404.03</v>
      </c>
      <c r="H24" s="40">
        <f>SUMIFS('1月份挂账'!$P:$P,'1月份挂账'!$R:$R,$A24)-SUMIFS('1月份挂账'!$O:$O,'1月份挂账'!$R:$R,$A24)</f>
        <v>241642.59</v>
      </c>
      <c r="I24" s="40">
        <f>SUMIFS('2月份挂账'!Q:Q,'2月份挂账'!S:S,A24)-SUMIFS('2月份挂账'!P:P,'2月份挂账'!S:S,A24)</f>
        <v>245761.44</v>
      </c>
      <c r="J24" s="40">
        <f>SUMIFS([3]数据!$Q$1:$Q$65536,[3]数据!$S$1:$S$65536,A24)-SUMIFS([3]数据!$P$1:$P$65536,[3]数据!$S$1:$S$65536,A24)</f>
        <v>31448.35</v>
      </c>
      <c r="K24" s="41">
        <f>IF(G24-J24-I24&gt;0,G24-J24-I24,0)</f>
        <v>210194.24</v>
      </c>
      <c r="L24" s="41">
        <f t="shared" si="3"/>
        <v>0</v>
      </c>
      <c r="O24" s="93"/>
      <c r="P24" s="94"/>
    </row>
    <row r="25" customHeight="1" spans="1:16">
      <c r="A25" s="38" t="s">
        <v>299</v>
      </c>
      <c r="B25" s="43">
        <f>SUMIFS([2]数据!$O$1:$O$65536,[2]数据!$D$1:$D$65536,A25)</f>
        <v>742045.53</v>
      </c>
      <c r="C25" s="43">
        <f t="shared" ref="C25:C88" si="4">B25-G25-J25</f>
        <v>0</v>
      </c>
      <c r="D25" s="39">
        <f>SUMIFS([1]数据!$O$1:$O$65536,[1]数据!$D$1:$D$65536,A25)</f>
        <v>534393.68</v>
      </c>
      <c r="E25" s="39">
        <v>0</v>
      </c>
      <c r="F25" s="39">
        <v>0</v>
      </c>
      <c r="G25" s="39">
        <f t="shared" si="1"/>
        <v>534393.68</v>
      </c>
      <c r="H25" s="40">
        <f>SUMIFS('1月份挂账'!$P:$P,'1月份挂账'!$R:$R,$A25)-SUMIFS('1月份挂账'!$O:$O,'1月份挂账'!$R:$R,$A25)</f>
        <v>324795.67</v>
      </c>
      <c r="I25" s="40">
        <f>SUMIFS('2月份挂账'!Q:Q,'2月份挂账'!S:S,A25)-SUMIFS('2月份挂账'!P:P,'2月份挂账'!S:S,A25)</f>
        <v>209598.39</v>
      </c>
      <c r="J25" s="40">
        <f>SUMIFS([3]数据!$Q$1:$Q$65536,[3]数据!$S$1:$S$65536,A25)-SUMIFS([3]数据!$P$1:$P$65536,[3]数据!$S$1:$S$65536,A25)</f>
        <v>207651.85</v>
      </c>
      <c r="K25" s="41">
        <f>IF(G25-J25-I25&gt;0,G25-J25-I25,0)</f>
        <v>117143.44</v>
      </c>
      <c r="L25" s="41">
        <f t="shared" si="3"/>
        <v>0</v>
      </c>
      <c r="O25" s="93"/>
      <c r="P25" s="94"/>
    </row>
    <row r="26" customHeight="1" spans="1:12">
      <c r="A26" s="38" t="s">
        <v>260</v>
      </c>
      <c r="B26" s="43">
        <f>SUMIFS([2]数据!$O$1:$O$65536,[2]数据!$D$1:$D$65536,A26)</f>
        <v>283298.76</v>
      </c>
      <c r="C26" s="43">
        <f t="shared" si="4"/>
        <v>0</v>
      </c>
      <c r="D26" s="39">
        <f>SUMIFS([1]数据!$O$1:$O$65536,[1]数据!$D$1:$D$65536,A26)</f>
        <v>460906.1</v>
      </c>
      <c r="E26" s="39">
        <v>100000</v>
      </c>
      <c r="F26" s="39">
        <v>133239.92</v>
      </c>
      <c r="G26" s="39">
        <f t="shared" si="1"/>
        <v>227666.18</v>
      </c>
      <c r="H26" s="40">
        <f>SUMIFS('1月份挂账'!$P:$P,'1月份挂账'!$R:$R,$A26)-SUMIFS('1月份挂账'!$O:$O,'1月份挂账'!$R:$R,$A26)</f>
        <v>148360.26</v>
      </c>
      <c r="I26" s="40">
        <f>SUMIFS('2月份挂账'!Q:Q,'2月份挂账'!S:S,A26)-SUMIFS('2月份挂账'!P:P,'2月份挂账'!S:S,A26)</f>
        <v>79305.92</v>
      </c>
      <c r="J26" s="40">
        <f>SUMIFS([3]数据!$Q$1:$Q$65536,[3]数据!$S$1:$S$65536,A26)-SUMIFS([3]数据!$P$1:$P$65536,[3]数据!$S$1:$S$65536,A26)</f>
        <v>55632.58</v>
      </c>
      <c r="K26" s="41">
        <f>IF(G26-J26-I26&gt;0,G26-J26-I26,0)</f>
        <v>92727.68</v>
      </c>
      <c r="L26" s="41">
        <f t="shared" si="3"/>
        <v>0</v>
      </c>
    </row>
    <row r="27" customHeight="1" spans="1:12">
      <c r="A27" s="38" t="s">
        <v>261</v>
      </c>
      <c r="B27" s="43">
        <f>SUMIFS([2]数据!$O$1:$O$65536,[2]数据!$D$1:$D$65536,A27)</f>
        <v>577575.61</v>
      </c>
      <c r="C27" s="43">
        <f t="shared" si="4"/>
        <v>0</v>
      </c>
      <c r="D27" s="39">
        <f>SUMIFS([1]数据!$O$1:$O$65536,[1]数据!$D$1:$D$65536,A27)</f>
        <v>403596.61</v>
      </c>
      <c r="E27" s="39">
        <v>0</v>
      </c>
      <c r="F27" s="39">
        <v>200000</v>
      </c>
      <c r="G27" s="39">
        <f t="shared" si="1"/>
        <v>203596.61</v>
      </c>
      <c r="H27" s="40">
        <f>SUMIFS('1月份挂账'!$P:$P,'1月份挂账'!$R:$R,$A27)-SUMIFS('1月份挂账'!$O:$O,'1月份挂账'!$R:$R,$A27)</f>
        <v>0</v>
      </c>
      <c r="I27" s="40">
        <f>SUMIFS('2月份挂账'!Q:Q,'2月份挂账'!S:S,A27)-SUMIFS('2月份挂账'!P:P,'2月份挂账'!S:S,A27)</f>
        <v>0</v>
      </c>
      <c r="J27" s="40">
        <v>373979</v>
      </c>
      <c r="K27" s="95">
        <v>100000</v>
      </c>
      <c r="L27" s="41">
        <f t="shared" si="3"/>
        <v>0</v>
      </c>
    </row>
    <row r="28" customHeight="1" spans="1:12">
      <c r="A28" s="38" t="s">
        <v>262</v>
      </c>
      <c r="B28" s="43">
        <f>SUMIFS([2]数据!$O$1:$O$65536,[2]数据!$D$1:$D$65536,A28)</f>
        <v>472439</v>
      </c>
      <c r="C28" s="43">
        <f t="shared" si="4"/>
        <v>0</v>
      </c>
      <c r="D28" s="39">
        <f>SUMIFS([1]数据!$O$1:$O$65536,[1]数据!$D$1:$D$65536,A28)</f>
        <v>572439</v>
      </c>
      <c r="E28" s="39">
        <v>0</v>
      </c>
      <c r="F28" s="39">
        <v>100000</v>
      </c>
      <c r="G28" s="39">
        <f t="shared" si="1"/>
        <v>472439</v>
      </c>
      <c r="H28" s="40">
        <f>SUMIFS('1月份挂账'!$P:$P,'1月份挂账'!$R:$R,$A28)-SUMIFS('1月份挂账'!$O:$O,'1月份挂账'!$R:$R,$A28)</f>
        <v>0</v>
      </c>
      <c r="I28" s="40">
        <f>SUMIFS('2月份挂账'!Q:Q,'2月份挂账'!S:S,A28)-SUMIFS('2月份挂账'!P:P,'2月份挂账'!S:S,A28)</f>
        <v>211574.1</v>
      </c>
      <c r="J28" s="40">
        <f>SUMIFS([3]数据!$Q$1:$Q$65536,[3]数据!$S$1:$S$65536,A28)-SUMIFS([3]数据!$P$1:$P$65536,[3]数据!$S$1:$S$65536,A28)</f>
        <v>0</v>
      </c>
      <c r="K28" s="95"/>
      <c r="L28" s="41">
        <f t="shared" si="3"/>
        <v>260864.9</v>
      </c>
    </row>
    <row r="29" customHeight="1" spans="1:12">
      <c r="A29" s="38" t="s">
        <v>263</v>
      </c>
      <c r="B29" s="43">
        <f>SUMIFS([2]数据!$O$1:$O$65536,[2]数据!$D$1:$D$65536,A29)</f>
        <v>405547.25</v>
      </c>
      <c r="C29" s="43">
        <f t="shared" si="4"/>
        <v>0</v>
      </c>
      <c r="D29" s="39">
        <f>SUMIFS([1]数据!$O$1:$O$65536,[1]数据!$D$1:$D$65536,A29)</f>
        <v>384533.47</v>
      </c>
      <c r="E29" s="39">
        <v>80186.36</v>
      </c>
      <c r="F29" s="39">
        <v>0</v>
      </c>
      <c r="G29" s="39">
        <f t="shared" si="1"/>
        <v>304347.11</v>
      </c>
      <c r="H29" s="40">
        <v>152879.45</v>
      </c>
      <c r="I29" s="40">
        <v>151467.66</v>
      </c>
      <c r="J29" s="40">
        <f>SUMIFS([3]数据!$Q$1:$Q$65536,[3]数据!$S$1:$S$65536,A29)-SUMIFS([3]数据!$P$1:$P$65536,[3]数据!$S$1:$S$65536,A29)</f>
        <v>101200.14</v>
      </c>
      <c r="K29" s="95">
        <f>IF(G29-J29-I29&gt;0,G29-J29-I29,0)</f>
        <v>51679.31</v>
      </c>
      <c r="L29" s="41">
        <f t="shared" si="3"/>
        <v>0</v>
      </c>
    </row>
    <row r="30" customHeight="1" spans="1:12">
      <c r="A30" s="38" t="s">
        <v>264</v>
      </c>
      <c r="B30" s="43">
        <f>SUMIFS([2]数据!$O$1:$O$65536,[2]数据!$D$1:$D$65536,A30)</f>
        <v>2148341.96</v>
      </c>
      <c r="C30" s="43">
        <f t="shared" si="4"/>
        <v>0</v>
      </c>
      <c r="D30" s="39">
        <f>SUMIFS([1]数据!$O$1:$O$65536,[1]数据!$D$1:$D$65536,A30)</f>
        <v>2775259.37</v>
      </c>
      <c r="E30" s="39">
        <v>500000</v>
      </c>
      <c r="F30" s="39">
        <v>500000</v>
      </c>
      <c r="G30" s="39">
        <f t="shared" si="1"/>
        <v>1775259.37</v>
      </c>
      <c r="H30" s="40">
        <f>SUMIFS('1月份挂账'!$P:$P,'1月份挂账'!$R:$R,$A30)-SUMIFS('1月份挂账'!$O:$O,'1月份挂账'!$R:$R,$A30)</f>
        <v>1066979.88</v>
      </c>
      <c r="I30" s="40">
        <f>SUMIFS('2月份挂账'!Q:Q,'2月份挂账'!S:S,A30)-SUMIFS('2月份挂账'!P:P,'2月份挂账'!S:S,A30)</f>
        <v>394216.99</v>
      </c>
      <c r="J30" s="40">
        <f>SUMIFS([3]数据!$Q$1:$Q$65536,[3]数据!$S$1:$S$65536,A30)-SUMIFS([3]数据!$P$1:$P$65536,[3]数据!$S$1:$S$65536,A30)</f>
        <v>373082.59</v>
      </c>
      <c r="K30" s="95">
        <v>500000</v>
      </c>
      <c r="L30" s="41">
        <f t="shared" si="3"/>
        <v>0</v>
      </c>
    </row>
    <row r="31" customHeight="1" spans="1:12">
      <c r="A31" s="38" t="s">
        <v>265</v>
      </c>
      <c r="B31" s="43">
        <f>SUMIFS([2]数据!$O$1:$O$65536,[2]数据!$D$1:$D$65536,A31)</f>
        <v>3560702.04</v>
      </c>
      <c r="C31" s="43">
        <f t="shared" si="4"/>
        <v>0</v>
      </c>
      <c r="D31" s="39">
        <f>SUMIFS([1]数据!$O$1:$O$65536,[1]数据!$D$1:$D$65536,A31)</f>
        <v>3794380.21</v>
      </c>
      <c r="E31" s="39">
        <v>1000000</v>
      </c>
      <c r="F31" s="39">
        <v>8929.29000000004</v>
      </c>
      <c r="G31" s="39">
        <f t="shared" si="1"/>
        <v>2785450.92</v>
      </c>
      <c r="H31" s="40">
        <f>SUMIFS('1月份挂账'!$P:$P,'1月份挂账'!$R:$R,$A31)-SUMIFS('1月份挂账'!$O:$O,'1月份挂账'!$R:$R,$A31)</f>
        <v>1711278.93</v>
      </c>
      <c r="I31" s="40">
        <f>SUMIFS('2月份挂账'!Q:Q,'2月份挂账'!S:S,A31)-SUMIFS('2月份挂账'!P:P,'2月份挂账'!S:S,A31)</f>
        <v>1074171.99</v>
      </c>
      <c r="J31" s="40">
        <f>SUMIFS([3]数据!$Q$1:$Q$65536,[3]数据!$S$1:$S$65536,A31)-SUMIFS([3]数据!$P$1:$P$65536,[3]数据!$S$1:$S$65536,A31)</f>
        <v>775251.12</v>
      </c>
      <c r="K31" s="95">
        <v>1700000</v>
      </c>
      <c r="L31" s="41">
        <f t="shared" si="3"/>
        <v>0</v>
      </c>
    </row>
    <row r="32" customHeight="1" spans="1:12">
      <c r="A32" s="38" t="s">
        <v>267</v>
      </c>
      <c r="B32" s="43">
        <f>SUMIFS([2]数据!$O$1:$O$65536,[2]数据!$D$1:$D$65536,A32)</f>
        <v>25441.28</v>
      </c>
      <c r="C32" s="43">
        <f t="shared" si="4"/>
        <v>0</v>
      </c>
      <c r="D32" s="39">
        <f>SUMIFS([1]数据!$O$1:$O$65536,[1]数据!$D$1:$D$65536,A32)</f>
        <v>32371.63</v>
      </c>
      <c r="E32" s="39">
        <v>12930.65</v>
      </c>
      <c r="F32" s="39">
        <v>0</v>
      </c>
      <c r="G32" s="39">
        <f t="shared" si="1"/>
        <v>19440.98</v>
      </c>
      <c r="H32" s="40">
        <f>SUMIFS('1月份挂账'!$P:$P,'1月份挂账'!$R:$R,$A32)-SUMIFS('1月份挂账'!$O:$O,'1月份挂账'!$R:$R,$A32)</f>
        <v>12540.63</v>
      </c>
      <c r="I32" s="40">
        <f>SUMIFS('2月份挂账'!Q:Q,'2月份挂账'!S:S,A32)-SUMIFS('2月份挂账'!P:P,'2月份挂账'!S:S,A32)</f>
        <v>6900.35</v>
      </c>
      <c r="J32" s="40">
        <f>SUMIFS([3]数据!$Q$1:$Q$65536,[3]数据!$S$1:$S$65536,A32)-SUMIFS([3]数据!$P$1:$P$65536,[3]数据!$S$1:$S$65536,A32)</f>
        <v>6000.3</v>
      </c>
      <c r="K32" s="41">
        <f t="shared" ref="K32:K42" si="5">IF(G32-J32-I32&gt;0,G32-J32-I32,0)</f>
        <v>6540.33</v>
      </c>
      <c r="L32" s="41">
        <f t="shared" si="3"/>
        <v>0</v>
      </c>
    </row>
    <row r="33" customHeight="1" spans="1:12">
      <c r="A33" s="38" t="s">
        <v>268</v>
      </c>
      <c r="B33" s="43">
        <f>SUMIFS([2]数据!$O$1:$O$65536,[2]数据!$D$1:$D$65536,A33)</f>
        <v>25062.5</v>
      </c>
      <c r="C33" s="43">
        <f t="shared" si="4"/>
        <v>0</v>
      </c>
      <c r="D33" s="39">
        <f>SUMIFS([1]数据!$O$1:$O$65536,[1]数据!$D$1:$D$65536,A33)</f>
        <v>50125</v>
      </c>
      <c r="E33" s="39">
        <v>25062.5</v>
      </c>
      <c r="F33" s="39">
        <v>0</v>
      </c>
      <c r="G33" s="39">
        <f t="shared" si="1"/>
        <v>25062.5</v>
      </c>
      <c r="H33" s="40">
        <f>SUMIFS('1月份挂账'!$P:$P,'1月份挂账'!$R:$R,$A33)-SUMIFS('1月份挂账'!$O:$O,'1月份挂账'!$R:$R,$A33)</f>
        <v>0</v>
      </c>
      <c r="I33" s="40">
        <f>SUMIFS('2月份挂账'!Q:Q,'2月份挂账'!S:S,A33)-SUMIFS('2月份挂账'!P:P,'2月份挂账'!S:S,A33)</f>
        <v>25062.5</v>
      </c>
      <c r="J33" s="40">
        <f>SUMIFS([3]数据!$Q$1:$Q$65536,[3]数据!$S$1:$S$65536,A33)-SUMIFS([3]数据!$P$1:$P$65536,[3]数据!$S$1:$S$65536,A33)</f>
        <v>0</v>
      </c>
      <c r="K33" s="41">
        <f t="shared" si="5"/>
        <v>0</v>
      </c>
      <c r="L33" s="41">
        <f t="shared" si="3"/>
        <v>0</v>
      </c>
    </row>
    <row r="34" customHeight="1" spans="1:12">
      <c r="A34" s="38" t="s">
        <v>406</v>
      </c>
      <c r="B34" s="43">
        <f>SUMIFS([2]数据!$O$1:$O$65536,[2]数据!$D$1:$D$65536,A34)</f>
        <v>2621.52</v>
      </c>
      <c r="C34" s="43">
        <f t="shared" si="4"/>
        <v>0</v>
      </c>
      <c r="D34" s="39">
        <f>SUMIFS([1]数据!$O$1:$O$65536,[1]数据!$D$1:$D$65536,A34)</f>
        <v>2621.52</v>
      </c>
      <c r="E34" s="39">
        <v>0</v>
      </c>
      <c r="F34" s="39">
        <v>0</v>
      </c>
      <c r="G34" s="39">
        <f t="shared" si="1"/>
        <v>2621.52</v>
      </c>
      <c r="H34" s="40">
        <f>SUMIFS('1月份挂账'!$P:$P,'1月份挂账'!$R:$R,$A34)-SUMIFS('1月份挂账'!$O:$O,'1月份挂账'!$R:$R,$A34)</f>
        <v>0</v>
      </c>
      <c r="I34" s="40">
        <f>SUMIFS('2月份挂账'!Q:Q,'2月份挂账'!S:S,A34)-SUMIFS('2月份挂账'!P:P,'2月份挂账'!S:S,A34)</f>
        <v>0</v>
      </c>
      <c r="J34" s="40">
        <f>SUMIFS([3]数据!$Q$1:$Q$65536,[3]数据!$S$1:$S$65536,A34)-SUMIFS([3]数据!$P$1:$P$65536,[3]数据!$S$1:$S$65536,A34)</f>
        <v>0</v>
      </c>
      <c r="K34" s="41">
        <f t="shared" si="5"/>
        <v>2621.52</v>
      </c>
      <c r="L34" s="41">
        <f t="shared" si="3"/>
        <v>2621.52</v>
      </c>
    </row>
    <row r="35" customHeight="1" spans="1:12">
      <c r="A35" s="38" t="s">
        <v>407</v>
      </c>
      <c r="B35" s="43">
        <f>SUMIFS([2]数据!$O$1:$O$65536,[2]数据!$D$1:$D$65536,A35)</f>
        <v>54943.1</v>
      </c>
      <c r="C35" s="43">
        <f t="shared" si="4"/>
        <v>0</v>
      </c>
      <c r="D35" s="39">
        <f>SUMIFS([1]数据!$O$1:$O$65536,[1]数据!$D$1:$D$65536,A35)</f>
        <v>54943.1</v>
      </c>
      <c r="E35" s="39">
        <v>0</v>
      </c>
      <c r="F35" s="39">
        <v>0</v>
      </c>
      <c r="G35" s="39">
        <f t="shared" si="1"/>
        <v>54943.1</v>
      </c>
      <c r="H35" s="40">
        <f>SUMIFS('1月份挂账'!$P:$P,'1月份挂账'!$R:$R,$A35)-SUMIFS('1月份挂账'!$O:$O,'1月份挂账'!$R:$R,$A35)</f>
        <v>0</v>
      </c>
      <c r="I35" s="40">
        <f>SUMIFS('2月份挂账'!Q:Q,'2月份挂账'!S:S,A35)-SUMIFS('2月份挂账'!P:P,'2月份挂账'!S:S,A35)</f>
        <v>0</v>
      </c>
      <c r="J35" s="40">
        <f>SUMIFS([3]数据!$Q$1:$Q$65536,[3]数据!$S$1:$S$65536,A35)-SUMIFS([3]数据!$P$1:$P$65536,[3]数据!$S$1:$S$65536,A35)</f>
        <v>0</v>
      </c>
      <c r="K35" s="41">
        <f t="shared" si="5"/>
        <v>54943.1</v>
      </c>
      <c r="L35" s="41">
        <f t="shared" si="3"/>
        <v>54943.1</v>
      </c>
    </row>
    <row r="36" customHeight="1" spans="1:12">
      <c r="A36" s="38" t="s">
        <v>300</v>
      </c>
      <c r="B36" s="43">
        <f>SUMIFS([2]数据!$O$1:$O$65536,[2]数据!$D$1:$D$65536,A36)</f>
        <v>452546.91</v>
      </c>
      <c r="C36" s="43">
        <f t="shared" si="4"/>
        <v>0</v>
      </c>
      <c r="D36" s="39">
        <f>SUMIFS([1]数据!$O$1:$O$65536,[1]数据!$D$1:$D$65536,A36)</f>
        <v>435702.11</v>
      </c>
      <c r="E36" s="39">
        <v>0</v>
      </c>
      <c r="F36" s="39">
        <v>2008.12</v>
      </c>
      <c r="G36" s="39">
        <f t="shared" si="1"/>
        <v>433693.99</v>
      </c>
      <c r="H36" s="40">
        <f>SUMIFS('1月份挂账'!$P:$P,'1月份挂账'!$R:$R,$A36)-SUMIFS('1月份挂账'!$O:$O,'1月份挂账'!$R:$R,$A36)</f>
        <v>147549.22</v>
      </c>
      <c r="I36" s="40">
        <f>SUMIFS('2月份挂账'!Q:Q,'2月份挂账'!S:S,A36)-SUMIFS('2月份挂账'!P:P,'2月份挂账'!S:S,A36)</f>
        <v>286144.77</v>
      </c>
      <c r="J36" s="40">
        <f>SUMIFS([3]数据!$Q$1:$Q$65536,[3]数据!$S$1:$S$65536,A36)-SUMIFS([3]数据!$P$1:$P$65536,[3]数据!$S$1:$S$65536,A36)</f>
        <v>18852.92</v>
      </c>
      <c r="K36" s="41">
        <f t="shared" si="5"/>
        <v>128696.3</v>
      </c>
      <c r="L36" s="41">
        <f t="shared" si="3"/>
        <v>0</v>
      </c>
    </row>
    <row r="37" customHeight="1" spans="1:12">
      <c r="A37" s="38" t="s">
        <v>301</v>
      </c>
      <c r="B37" s="43">
        <f>SUMIFS([2]数据!$O$1:$O$65536,[2]数据!$D$1:$D$65536,A37)</f>
        <v>3368.22</v>
      </c>
      <c r="C37" s="43">
        <f t="shared" si="4"/>
        <v>0</v>
      </c>
      <c r="D37" s="39">
        <f>SUMIFS([1]数据!$O$1:$O$65536,[1]数据!$D$1:$D$65536,A37)</f>
        <v>141610.15</v>
      </c>
      <c r="E37" s="39">
        <v>141610.15</v>
      </c>
      <c r="F37" s="39">
        <v>0</v>
      </c>
      <c r="G37" s="39">
        <f t="shared" si="1"/>
        <v>0</v>
      </c>
      <c r="H37" s="40">
        <f>SUMIFS('1月份挂账'!$P:$P,'1月份挂账'!$R:$R,$A37)-SUMIFS('1月份挂账'!$O:$O,'1月份挂账'!$R:$R,$A37)</f>
        <v>49192.39</v>
      </c>
      <c r="I37" s="40">
        <f>SUMIFS('2月份挂账'!Q:Q,'2月份挂账'!S:S,A37)-SUMIFS('2月份挂账'!P:P,'2月份挂账'!S:S,A37)</f>
        <v>0</v>
      </c>
      <c r="J37" s="40">
        <f>SUMIFS([3]数据!$Q$1:$Q$65536,[3]数据!$S$1:$S$65536,A37)-SUMIFS([3]数据!$P$1:$P$65536,[3]数据!$S$1:$S$65536,A37)</f>
        <v>3368.22</v>
      </c>
      <c r="K37" s="41">
        <f t="shared" si="5"/>
        <v>0</v>
      </c>
      <c r="L37" s="41">
        <f t="shared" si="3"/>
        <v>0</v>
      </c>
    </row>
    <row r="38" customHeight="1" spans="1:12">
      <c r="A38" s="38" t="s">
        <v>269</v>
      </c>
      <c r="B38" s="43">
        <f>SUMIFS([2]数据!$O$1:$O$65536,[2]数据!$D$1:$D$65536,A38)</f>
        <v>-10623.91</v>
      </c>
      <c r="C38" s="43">
        <f t="shared" si="4"/>
        <v>0</v>
      </c>
      <c r="D38" s="39">
        <f>SUMIFS([1]数据!$O$1:$O$65536,[1]数据!$D$1:$D$65536,A38)</f>
        <v>-10623.91</v>
      </c>
      <c r="E38" s="39">
        <v>45616.8</v>
      </c>
      <c r="F38" s="39">
        <v>0</v>
      </c>
      <c r="G38" s="39">
        <f t="shared" si="1"/>
        <v>-56240.71</v>
      </c>
      <c r="H38" s="40">
        <f>SUMIFS('1月份挂账'!$P:$P,'1月份挂账'!$R:$R,$A38)-SUMIFS('1月份挂账'!$O:$O,'1月份挂账'!$R:$R,$A38)</f>
        <v>95896.6</v>
      </c>
      <c r="I38" s="40">
        <f>SUMIFS('2月份挂账'!Q:Q,'2月份挂账'!S:S,A38)-SUMIFS('2月份挂账'!P:P,'2月份挂账'!S:S,A38)</f>
        <v>0</v>
      </c>
      <c r="J38" s="40">
        <f>SUMIFS([3]数据!$Q$1:$Q$65536,[3]数据!$S$1:$S$65536,A38)-SUMIFS([3]数据!$P$1:$P$65536,[3]数据!$S$1:$S$65536,A38)</f>
        <v>45616.8</v>
      </c>
      <c r="K38" s="41">
        <f t="shared" si="5"/>
        <v>0</v>
      </c>
      <c r="L38" s="41">
        <f t="shared" si="3"/>
        <v>0</v>
      </c>
    </row>
    <row r="39" customHeight="1" spans="1:12">
      <c r="A39" s="38" t="s">
        <v>270</v>
      </c>
      <c r="B39" s="43">
        <f>SUMIFS([2]数据!$O$1:$O$65536,[2]数据!$D$1:$D$65536,A39)</f>
        <v>24846.2</v>
      </c>
      <c r="C39" s="43">
        <f t="shared" si="4"/>
        <v>0</v>
      </c>
      <c r="D39" s="39">
        <f>SUMIFS([1]数据!$O$1:$O$65536,[1]数据!$D$1:$D$65536,A39)</f>
        <v>36813.73</v>
      </c>
      <c r="E39" s="39">
        <v>15992.33</v>
      </c>
      <c r="F39" s="39">
        <v>0</v>
      </c>
      <c r="G39" s="39">
        <f t="shared" si="1"/>
        <v>20821.4</v>
      </c>
      <c r="H39" s="40">
        <f>SUMIFS('1月份挂账'!$P:$P,'1月份挂账'!$R:$R,$A39)-SUMIFS('1月份挂账'!$O:$O,'1月份挂账'!$R:$R,$A39)</f>
        <v>7509.52</v>
      </c>
      <c r="I39" s="40">
        <f>SUMIFS('2月份挂账'!Q:Q,'2月份挂账'!S:S,A39)-SUMIFS('2月份挂账'!P:P,'2月份挂账'!S:S,A39)</f>
        <v>13311.88</v>
      </c>
      <c r="J39" s="40">
        <f>SUMIFS([3]数据!$Q$1:$Q$65536,[3]数据!$S$1:$S$65536,A39)-SUMIFS([3]数据!$P$1:$P$65536,[3]数据!$S$1:$S$65536,A39)</f>
        <v>4024.8</v>
      </c>
      <c r="K39" s="41">
        <f t="shared" si="5"/>
        <v>3484.72</v>
      </c>
      <c r="L39" s="41">
        <f t="shared" si="3"/>
        <v>0</v>
      </c>
    </row>
    <row r="40" customHeight="1" spans="1:12">
      <c r="A40" s="38" t="s">
        <v>271</v>
      </c>
      <c r="B40" s="43">
        <f>SUMIFS([2]数据!$O$1:$O$65536,[2]数据!$D$1:$D$65536,A40)</f>
        <v>22774.59</v>
      </c>
      <c r="C40" s="43">
        <f t="shared" si="4"/>
        <v>0</v>
      </c>
      <c r="D40" s="39">
        <f>SUMIFS([1]数据!$O$1:$O$65536,[1]数据!$D$1:$D$65536,A40)</f>
        <v>22774.59</v>
      </c>
      <c r="E40" s="39">
        <v>0</v>
      </c>
      <c r="F40" s="39">
        <v>0</v>
      </c>
      <c r="G40" s="39">
        <f t="shared" si="1"/>
        <v>22774.59</v>
      </c>
      <c r="H40" s="40">
        <f>SUMIFS('1月份挂账'!$P:$P,'1月份挂账'!$R:$R,$A40)-SUMIFS('1月份挂账'!$O:$O,'1月份挂账'!$R:$R,$A40)</f>
        <v>0</v>
      </c>
      <c r="I40" s="40">
        <f>SUMIFS('2月份挂账'!Q:Q,'2月份挂账'!S:S,A40)-SUMIFS('2月份挂账'!P:P,'2月份挂账'!S:S,A40)</f>
        <v>0</v>
      </c>
      <c r="J40" s="40">
        <f>SUMIFS([3]数据!$Q$1:$Q$65536,[3]数据!$S$1:$S$65536,A40)-SUMIFS([3]数据!$P$1:$P$65536,[3]数据!$S$1:$S$65536,A40)</f>
        <v>0</v>
      </c>
      <c r="K40" s="41">
        <f t="shared" si="5"/>
        <v>22774.59</v>
      </c>
      <c r="L40" s="41">
        <f t="shared" si="3"/>
        <v>22774.59</v>
      </c>
    </row>
    <row r="41" customHeight="1" spans="1:12">
      <c r="A41" s="38" t="s">
        <v>272</v>
      </c>
      <c r="B41" s="43">
        <f>SUMIFS([2]数据!$O$1:$O$65536,[2]数据!$D$1:$D$65536,A41)</f>
        <v>317723.08</v>
      </c>
      <c r="C41" s="43">
        <f t="shared" si="4"/>
        <v>0</v>
      </c>
      <c r="D41" s="39">
        <f>SUMIFS([1]数据!$O$1:$O$65536,[1]数据!$D$1:$D$65536,A41)</f>
        <v>408622.83</v>
      </c>
      <c r="E41" s="39">
        <v>100000</v>
      </c>
      <c r="F41" s="39">
        <v>50000</v>
      </c>
      <c r="G41" s="39">
        <f t="shared" si="1"/>
        <v>258622.83</v>
      </c>
      <c r="H41" s="40">
        <f>SUMIFS('1月份挂账'!$P:$P,'1月份挂账'!$R:$R,$A41)-SUMIFS('1月份挂账'!$O:$O,'1月份挂账'!$R:$R,$A41)</f>
        <v>175708.95</v>
      </c>
      <c r="I41" s="40">
        <f>SUMIFS('2月份挂账'!Q:Q,'2月份挂账'!S:S,A41)-SUMIFS('2月份挂账'!P:P,'2月份挂账'!S:S,A41)</f>
        <v>80150.92</v>
      </c>
      <c r="J41" s="40">
        <f>SUMIFS([3]数据!$Q$1:$Q$65536,[3]数据!$S$1:$S$65536,A41)-SUMIFS([3]数据!$P$1:$P$65536,[3]数据!$S$1:$S$65536,A41)</f>
        <v>59100.25</v>
      </c>
      <c r="K41" s="41">
        <f t="shared" si="5"/>
        <v>119371.66</v>
      </c>
      <c r="L41" s="41">
        <f t="shared" si="3"/>
        <v>0</v>
      </c>
    </row>
    <row r="42" customHeight="1" spans="1:12">
      <c r="A42" s="38" t="s">
        <v>273</v>
      </c>
      <c r="B42" s="43">
        <f>SUMIFS([2]数据!$O$1:$O$65536,[2]数据!$D$1:$D$65536,A42)</f>
        <v>21652.61</v>
      </c>
      <c r="C42" s="43">
        <f t="shared" si="4"/>
        <v>0</v>
      </c>
      <c r="D42" s="39">
        <f>SUMIFS([1]数据!$O$1:$O$65536,[1]数据!$D$1:$D$65536,A42)</f>
        <v>13613.57</v>
      </c>
      <c r="E42" s="39">
        <v>13613.57</v>
      </c>
      <c r="F42" s="39">
        <v>0</v>
      </c>
      <c r="G42" s="39">
        <f t="shared" si="1"/>
        <v>0</v>
      </c>
      <c r="H42" s="40">
        <f>SUMIFS('1月份挂账'!$P:$P,'1月份挂账'!$R:$R,$A42)-SUMIFS('1月份挂账'!$O:$O,'1月份挂账'!$R:$R,$A42)</f>
        <v>0</v>
      </c>
      <c r="I42" s="40">
        <f>SUMIFS('2月份挂账'!Q:Q,'2月份挂账'!S:S,A42)-SUMIFS('2月份挂账'!P:P,'2月份挂账'!S:S,A42)</f>
        <v>0</v>
      </c>
      <c r="J42" s="40">
        <f>SUMIFS([3]数据!$Q$1:$Q$65536,[3]数据!$S$1:$S$65536,A42)-SUMIFS([3]数据!$P$1:$P$65536,[3]数据!$S$1:$S$65536,A42)</f>
        <v>21652.61</v>
      </c>
      <c r="K42" s="41">
        <f t="shared" si="5"/>
        <v>0</v>
      </c>
      <c r="L42" s="41">
        <f t="shared" si="3"/>
        <v>0</v>
      </c>
    </row>
    <row r="43" customHeight="1" spans="1:12">
      <c r="A43" s="38" t="s">
        <v>302</v>
      </c>
      <c r="B43" s="43">
        <f>SUMIFS([2]数据!$O$1:$O$65536,[2]数据!$D$1:$D$65536,A43)</f>
        <v>122571.67</v>
      </c>
      <c r="C43" s="43">
        <f t="shared" si="4"/>
        <v>0</v>
      </c>
      <c r="D43" s="39">
        <f>SUMIFS([1]数据!$O$1:$O$65536,[1]数据!$D$1:$D$65536,A43)</f>
        <v>221893.67</v>
      </c>
      <c r="E43" s="39">
        <v>0</v>
      </c>
      <c r="F43" s="39">
        <v>100000</v>
      </c>
      <c r="G43" s="39">
        <f t="shared" si="1"/>
        <v>121893.67</v>
      </c>
      <c r="H43" s="40">
        <f>SUMIFS('1月份挂账'!$P:$P,'1月份挂账'!$R:$R,$A43)-SUMIFS('1月份挂账'!$O:$O,'1月份挂账'!$R:$R,$A43)</f>
        <v>34215.27</v>
      </c>
      <c r="I43" s="40">
        <f>SUMIFS('2月份挂账'!Q:Q,'2月份挂账'!S:S,A43)-SUMIFS('2月份挂账'!P:P,'2月份挂账'!S:S,A43)</f>
        <v>0</v>
      </c>
      <c r="J43" s="40">
        <f>SUMIFS([3]数据!$Q$1:$Q$65536,[3]数据!$S$1:$S$65536,A43)-SUMIFS([3]数据!$P$1:$P$65536,[3]数据!$S$1:$S$65536,A43)</f>
        <v>678</v>
      </c>
      <c r="L43" s="41">
        <f t="shared" si="3"/>
        <v>87000.4</v>
      </c>
    </row>
    <row r="44" customHeight="1" spans="1:12">
      <c r="A44" s="38" t="s">
        <v>274</v>
      </c>
      <c r="B44" s="43">
        <f>SUMIFS([2]数据!$O$1:$O$65536,[2]数据!$D$1:$D$65536,A44)</f>
        <v>280465.08</v>
      </c>
      <c r="C44" s="43">
        <f t="shared" si="4"/>
        <v>0</v>
      </c>
      <c r="D44" s="39">
        <f>SUMIFS([1]数据!$O$1:$O$65536,[1]数据!$D$1:$D$65536,A44)</f>
        <v>232164.57</v>
      </c>
      <c r="E44" s="39">
        <v>0</v>
      </c>
      <c r="F44" s="39">
        <v>0</v>
      </c>
      <c r="G44" s="39">
        <f t="shared" si="1"/>
        <v>232164.57</v>
      </c>
      <c r="H44" s="40">
        <f>SUMIFS('1月份挂账'!$P:$P,'1月份挂账'!$R:$R,$A44)-SUMIFS('1月份挂账'!$O:$O,'1月份挂账'!$R:$R,$A44)</f>
        <v>58259.63</v>
      </c>
      <c r="I44" s="40">
        <f>SUMIFS('2月份挂账'!Q:Q,'2月份挂账'!S:S,A44)-SUMIFS('2月份挂账'!P:P,'2月份挂账'!S:S,A44)</f>
        <v>0</v>
      </c>
      <c r="J44" s="40">
        <f>SUMIFS([3]数据!$Q$1:$Q$65536,[3]数据!$S$1:$S$65536,A44)-SUMIFS([3]数据!$P$1:$P$65536,[3]数据!$S$1:$S$65536,A44)</f>
        <v>48300.51</v>
      </c>
      <c r="K44" s="92"/>
      <c r="L44" s="41">
        <f t="shared" si="3"/>
        <v>125604.43</v>
      </c>
    </row>
    <row r="45" customHeight="1" spans="1:12">
      <c r="A45" s="38" t="s">
        <v>275</v>
      </c>
      <c r="B45" s="43">
        <f>SUMIFS([2]数据!$O$1:$O$65536,[2]数据!$D$1:$D$65536,A45)</f>
        <v>11033.01</v>
      </c>
      <c r="C45" s="43">
        <f t="shared" si="4"/>
        <v>0</v>
      </c>
      <c r="D45" s="39">
        <f>SUMIFS([1]数据!$O$1:$O$65536,[1]数据!$D$1:$D$65536,A45)</f>
        <v>19212.65</v>
      </c>
      <c r="E45" s="39">
        <v>8179.64</v>
      </c>
      <c r="F45" s="39">
        <v>0</v>
      </c>
      <c r="G45" s="39">
        <f t="shared" si="1"/>
        <v>11033.01</v>
      </c>
      <c r="H45" s="40">
        <f>SUMIFS('1月份挂账'!$P:$P,'1月份挂账'!$R:$R,$A45)-SUMIFS('1月份挂账'!$O:$O,'1月份挂账'!$R:$R,$A45)</f>
        <v>5706.73</v>
      </c>
      <c r="I45" s="40">
        <f>SUMIFS('2月份挂账'!Q:Q,'2月份挂账'!S:S,A45)-SUMIFS('2月份挂账'!P:P,'2月份挂账'!S:S,A45)</f>
        <v>5326.28</v>
      </c>
      <c r="J45" s="40">
        <f>SUMIFS([3]数据!$Q$1:$Q$65536,[3]数据!$S$1:$S$65536,A45)-SUMIFS([3]数据!$P$1:$P$65536,[3]数据!$S$1:$S$65536,A45)</f>
        <v>0</v>
      </c>
      <c r="K45" s="41">
        <f>IF(G45-J45-I45&gt;0,G45-J45-I45,0)</f>
        <v>5706.73</v>
      </c>
      <c r="L45" s="41">
        <f t="shared" si="3"/>
        <v>0</v>
      </c>
    </row>
    <row r="46" customHeight="1" spans="1:12">
      <c r="A46" s="38" t="s">
        <v>408</v>
      </c>
      <c r="B46" s="43">
        <f>SUMIFS([2]数据!$O$1:$O$65536,[2]数据!$D$1:$D$65536,A46)</f>
        <v>0</v>
      </c>
      <c r="C46" s="43">
        <f t="shared" si="4"/>
        <v>0</v>
      </c>
      <c r="D46" s="39">
        <f>SUMIFS([1]数据!$O$1:$O$65536,[1]数据!$D$1:$D$65536,A46)</f>
        <v>14278.43</v>
      </c>
      <c r="E46" s="39">
        <v>14278.43</v>
      </c>
      <c r="F46" s="39">
        <v>0</v>
      </c>
      <c r="G46" s="39">
        <f t="shared" si="1"/>
        <v>0</v>
      </c>
      <c r="H46" s="40">
        <f>SUMIFS('1月份挂账'!$P:$P,'1月份挂账'!$R:$R,$A46)-SUMIFS('1月份挂账'!$O:$O,'1月份挂账'!$R:$R,$A46)</f>
        <v>0</v>
      </c>
      <c r="I46" s="40">
        <f>SUMIFS('2月份挂账'!Q:Q,'2月份挂账'!S:S,A46)-SUMIFS('2月份挂账'!P:P,'2月份挂账'!S:S,A46)</f>
        <v>0</v>
      </c>
      <c r="J46" s="40">
        <f>SUMIFS([3]数据!$Q$1:$Q$65536,[3]数据!$S$1:$S$65536,A46)-SUMIFS([3]数据!$P$1:$P$65536,[3]数据!$S$1:$S$65536,A46)</f>
        <v>0</v>
      </c>
      <c r="K46" s="41">
        <f>IF(G46-J46-I46&gt;0,G46-J46-I46,0)</f>
        <v>0</v>
      </c>
      <c r="L46" s="41">
        <f t="shared" si="3"/>
        <v>0</v>
      </c>
    </row>
    <row r="47" customHeight="1" spans="1:12">
      <c r="A47" s="38" t="s">
        <v>276</v>
      </c>
      <c r="B47" s="43">
        <f>SUMIFS([2]数据!$O$1:$O$65536,[2]数据!$D$1:$D$65536,A47)</f>
        <v>38188.24</v>
      </c>
      <c r="C47" s="43">
        <f t="shared" si="4"/>
        <v>0</v>
      </c>
      <c r="D47" s="39">
        <f>SUMIFS([1]数据!$O$1:$O$65536,[1]数据!$D$1:$D$65536,A47)</f>
        <v>38188.24</v>
      </c>
      <c r="E47" s="39">
        <v>0</v>
      </c>
      <c r="F47" s="39">
        <v>0</v>
      </c>
      <c r="G47" s="39">
        <f t="shared" si="1"/>
        <v>38188.24</v>
      </c>
      <c r="H47" s="40">
        <f>SUMIFS('1月份挂账'!$P:$P,'1月份挂账'!$R:$R,$A47)-SUMIFS('1月份挂账'!$O:$O,'1月份挂账'!$R:$R,$A47)</f>
        <v>0</v>
      </c>
      <c r="I47" s="40">
        <f>SUMIFS('2月份挂账'!Q:Q,'2月份挂账'!S:S,A47)-SUMIFS('2月份挂账'!P:P,'2月份挂账'!S:S,A47)</f>
        <v>0</v>
      </c>
      <c r="J47" s="40">
        <f>SUMIFS([3]数据!$Q$1:$Q$65536,[3]数据!$S$1:$S$65536,A47)-SUMIFS([3]数据!$P$1:$P$65536,[3]数据!$S$1:$S$65536,A47)</f>
        <v>0</v>
      </c>
      <c r="L47" s="41">
        <f t="shared" si="3"/>
        <v>38188.24</v>
      </c>
    </row>
    <row r="48" customHeight="1" spans="1:12">
      <c r="A48" s="38" t="s">
        <v>303</v>
      </c>
      <c r="B48" s="43">
        <f>SUMIFS([2]数据!$O$1:$O$65536,[2]数据!$D$1:$D$65536,A48)</f>
        <v>0</v>
      </c>
      <c r="C48" s="43">
        <f t="shared" si="4"/>
        <v>0</v>
      </c>
      <c r="D48" s="39">
        <f>SUMIFS([1]数据!$O$1:$O$65536,[1]数据!$D$1:$D$65536,A48)</f>
        <v>394240</v>
      </c>
      <c r="E48" s="39">
        <v>394240</v>
      </c>
      <c r="F48" s="39">
        <v>0</v>
      </c>
      <c r="G48" s="39">
        <f t="shared" si="1"/>
        <v>0</v>
      </c>
      <c r="H48" s="40">
        <f>SUMIFS('1月份挂账'!$P:$P,'1月份挂账'!$R:$R,$A48)-SUMIFS('1月份挂账'!$O:$O,'1月份挂账'!$R:$R,$A48)</f>
        <v>394240</v>
      </c>
      <c r="I48" s="40">
        <f>SUMIFS('2月份挂账'!Q:Q,'2月份挂账'!S:S,A48)-SUMIFS('2月份挂账'!P:P,'2月份挂账'!S:S,A48)</f>
        <v>0</v>
      </c>
      <c r="J48" s="40">
        <f>SUMIFS([3]数据!$Q$1:$Q$65536,[3]数据!$S$1:$S$65536,A48)-SUMIFS([3]数据!$P$1:$P$65536,[3]数据!$S$1:$S$65536,A48)</f>
        <v>0</v>
      </c>
      <c r="K48" s="41">
        <f>IF(G48-J48-I48&gt;0,G48-J48-I48,0)</f>
        <v>0</v>
      </c>
      <c r="L48" s="41">
        <f t="shared" si="3"/>
        <v>0</v>
      </c>
    </row>
    <row r="49" customHeight="1" spans="1:12">
      <c r="A49" s="38" t="s">
        <v>277</v>
      </c>
      <c r="B49" s="43">
        <f>SUMIFS([2]数据!$O$1:$O$65536,[2]数据!$D$1:$D$65536,A49)</f>
        <v>0</v>
      </c>
      <c r="C49" s="43">
        <f t="shared" si="4"/>
        <v>-983536.47</v>
      </c>
      <c r="D49" s="39">
        <f>SUMIFS([1]数据!$O$1:$O$65536,[1]数据!$D$1:$D$65536,A49)</f>
        <v>983536.47</v>
      </c>
      <c r="E49" s="39">
        <v>0</v>
      </c>
      <c r="F49" s="39">
        <v>0</v>
      </c>
      <c r="G49" s="39">
        <f t="shared" si="1"/>
        <v>983536.47</v>
      </c>
      <c r="H49" s="40">
        <f>SUMIFS('1月份挂账'!$P:$P,'1月份挂账'!$R:$R,$A49)-SUMIFS('1月份挂账'!$O:$O,'1月份挂账'!$R:$R,$A49)</f>
        <v>513493.75</v>
      </c>
      <c r="I49" s="40">
        <f>SUMIFS('2月份挂账'!Q:Q,'2月份挂账'!S:S,A49)-SUMIFS('2月份挂账'!P:P,'2月份挂账'!S:S,A49)</f>
        <v>983536.47</v>
      </c>
      <c r="J49" s="40">
        <f>SUMIFS([3]数据!$Q$1:$Q$65536,[3]数据!$S$1:$S$65536,A49)-SUMIFS([3]数据!$P$1:$P$65536,[3]数据!$S$1:$S$65536,A49)</f>
        <v>0</v>
      </c>
      <c r="K49" s="92"/>
      <c r="L49" s="41">
        <f t="shared" si="3"/>
        <v>0</v>
      </c>
    </row>
    <row r="50" customHeight="1" spans="1:12">
      <c r="A50" s="38" t="s">
        <v>304</v>
      </c>
      <c r="B50" s="43">
        <f>SUMIFS([2]数据!$O$1:$O$65536,[2]数据!$D$1:$D$65536,A50)</f>
        <v>0</v>
      </c>
      <c r="C50" s="43">
        <f t="shared" si="4"/>
        <v>0</v>
      </c>
      <c r="D50" s="39">
        <f>SUMIFS([1]数据!$O$1:$O$65536,[1]数据!$D$1:$D$65536,A50)</f>
        <v>31814.02</v>
      </c>
      <c r="E50" s="39">
        <v>31814.02</v>
      </c>
      <c r="F50" s="39">
        <v>0</v>
      </c>
      <c r="G50" s="39">
        <f t="shared" si="1"/>
        <v>0</v>
      </c>
      <c r="H50" s="40">
        <f>SUMIFS('1月份挂账'!$P:$P,'1月份挂账'!$R:$R,$A50)-SUMIFS('1月份挂账'!$O:$O,'1月份挂账'!$R:$R,$A50)</f>
        <v>0</v>
      </c>
      <c r="I50" s="40">
        <f>SUMIFS('2月份挂账'!Q:Q,'2月份挂账'!S:S,A50)-SUMIFS('2月份挂账'!P:P,'2月份挂账'!S:S,A50)</f>
        <v>0</v>
      </c>
      <c r="J50" s="40">
        <f>SUMIFS([3]数据!$Q$1:$Q$65536,[3]数据!$S$1:$S$65536,A50)-SUMIFS([3]数据!$P$1:$P$65536,[3]数据!$S$1:$S$65536,A50)</f>
        <v>0</v>
      </c>
      <c r="K50" s="41">
        <f t="shared" ref="K50:K57" si="6">IF(G50-J50-I50&gt;0,G50-J50-I50,0)</f>
        <v>0</v>
      </c>
      <c r="L50" s="41">
        <f t="shared" si="3"/>
        <v>0</v>
      </c>
    </row>
    <row r="51" customHeight="1" spans="1:12">
      <c r="A51" s="38" t="s">
        <v>305</v>
      </c>
      <c r="B51" s="43">
        <f>SUMIFS([2]数据!$O$1:$O$65536,[2]数据!$D$1:$D$65536,A51)</f>
        <v>7983.45</v>
      </c>
      <c r="C51" s="43">
        <f t="shared" si="4"/>
        <v>0</v>
      </c>
      <c r="D51" s="39">
        <f>SUMIFS([1]数据!$O$1:$O$65536,[1]数据!$D$1:$D$65536,A51)</f>
        <v>4135.8</v>
      </c>
      <c r="E51" s="39">
        <v>0</v>
      </c>
      <c r="F51" s="39">
        <v>0</v>
      </c>
      <c r="G51" s="39">
        <f t="shared" si="1"/>
        <v>4135.8</v>
      </c>
      <c r="H51" s="40">
        <f>SUMIFS('1月份挂账'!$P:$P,'1月份挂账'!$R:$R,$A51)-SUMIFS('1月份挂账'!$O:$O,'1月份挂账'!$R:$R,$A51)</f>
        <v>0</v>
      </c>
      <c r="I51" s="40">
        <f>SUMIFS('2月份挂账'!Q:Q,'2月份挂账'!S:S,A51)-SUMIFS('2月份挂账'!P:P,'2月份挂账'!S:S,A51)</f>
        <v>4135.8</v>
      </c>
      <c r="J51" s="40">
        <f>SUMIFS([3]数据!$Q$1:$Q$65536,[3]数据!$S$1:$S$65536,A51)-SUMIFS([3]数据!$P$1:$P$65536,[3]数据!$S$1:$S$65536,A51)</f>
        <v>3847.65</v>
      </c>
      <c r="K51" s="41">
        <f t="shared" si="6"/>
        <v>0</v>
      </c>
      <c r="L51" s="41">
        <f t="shared" si="3"/>
        <v>0</v>
      </c>
    </row>
    <row r="52" customHeight="1" spans="1:12">
      <c r="A52" s="38" t="s">
        <v>409</v>
      </c>
      <c r="B52" s="43">
        <f>SUMIFS([2]数据!$O$1:$O$65536,[2]数据!$D$1:$D$65536,A52)</f>
        <v>0</v>
      </c>
      <c r="C52" s="43">
        <f t="shared" si="4"/>
        <v>0</v>
      </c>
      <c r="D52" s="39">
        <f>SUMIFS([1]数据!$O$1:$O$65536,[1]数据!$D$1:$D$65536,A52)</f>
        <v>24590.72</v>
      </c>
      <c r="E52" s="39">
        <v>24590.72</v>
      </c>
      <c r="F52" s="39">
        <v>0</v>
      </c>
      <c r="G52" s="39">
        <f t="shared" si="1"/>
        <v>0</v>
      </c>
      <c r="H52" s="40">
        <f>SUMIFS('1月份挂账'!$P:$P,'1月份挂账'!$R:$R,$A52)-SUMIFS('1月份挂账'!$O:$O,'1月份挂账'!$R:$R,$A52)</f>
        <v>0</v>
      </c>
      <c r="I52" s="40">
        <f>SUMIFS('2月份挂账'!Q:Q,'2月份挂账'!S:S,A52)-SUMIFS('2月份挂账'!P:P,'2月份挂账'!S:S,A52)</f>
        <v>0</v>
      </c>
      <c r="J52" s="40">
        <f>SUMIFS([3]数据!$Q$1:$Q$65536,[3]数据!$S$1:$S$65536,A52)-SUMIFS([3]数据!$P$1:$P$65536,[3]数据!$S$1:$S$65536,A52)</f>
        <v>0</v>
      </c>
      <c r="K52" s="41">
        <f t="shared" si="6"/>
        <v>0</v>
      </c>
      <c r="L52" s="41">
        <f t="shared" si="3"/>
        <v>0</v>
      </c>
    </row>
    <row r="53" customHeight="1" spans="1:12">
      <c r="A53" s="38" t="s">
        <v>410</v>
      </c>
      <c r="B53" s="43">
        <f>SUMIFS([2]数据!$O$1:$O$65536,[2]数据!$D$1:$D$65536,A53)</f>
        <v>0</v>
      </c>
      <c r="C53" s="43">
        <f t="shared" si="4"/>
        <v>0</v>
      </c>
      <c r="D53" s="39">
        <f>SUMIFS([1]数据!$O$1:$O$65536,[1]数据!$D$1:$D$65536,A53)</f>
        <v>34880</v>
      </c>
      <c r="E53" s="39">
        <v>34880</v>
      </c>
      <c r="F53" s="39">
        <v>0</v>
      </c>
      <c r="G53" s="39">
        <f t="shared" si="1"/>
        <v>0</v>
      </c>
      <c r="H53" s="40">
        <f>SUMIFS('1月份挂账'!$P:$P,'1月份挂账'!$R:$R,$A53)-SUMIFS('1月份挂账'!$O:$O,'1月份挂账'!$R:$R,$A53)</f>
        <v>0</v>
      </c>
      <c r="I53" s="40">
        <f>SUMIFS('2月份挂账'!Q:Q,'2月份挂账'!S:S,A53)-SUMIFS('2月份挂账'!P:P,'2月份挂账'!S:S,A53)</f>
        <v>0</v>
      </c>
      <c r="J53" s="40">
        <f>SUMIFS([3]数据!$Q$1:$Q$65536,[3]数据!$S$1:$S$65536,A53)-SUMIFS([3]数据!$P$1:$P$65536,[3]数据!$S$1:$S$65536,A53)</f>
        <v>0</v>
      </c>
      <c r="K53" s="41">
        <f t="shared" si="6"/>
        <v>0</v>
      </c>
      <c r="L53" s="41">
        <f t="shared" si="3"/>
        <v>0</v>
      </c>
    </row>
    <row r="54" customHeight="1" spans="1:12">
      <c r="A54" s="38" t="s">
        <v>411</v>
      </c>
      <c r="B54" s="43">
        <f>SUMIFS([2]数据!$O$1:$O$65536,[2]数据!$D$1:$D$65536,A54)</f>
        <v>0</v>
      </c>
      <c r="C54" s="43">
        <f t="shared" si="4"/>
        <v>0</v>
      </c>
      <c r="D54" s="39">
        <f>SUMIFS([1]数据!$O$1:$O$65536,[1]数据!$D$1:$D$65536,A54)</f>
        <v>0</v>
      </c>
      <c r="E54" s="39">
        <v>0</v>
      </c>
      <c r="F54" s="39">
        <v>0</v>
      </c>
      <c r="G54" s="39">
        <f t="shared" si="1"/>
        <v>0</v>
      </c>
      <c r="H54" s="40">
        <f>SUMIFS('1月份挂账'!$P:$P,'1月份挂账'!$R:$R,$A54)-SUMIFS('1月份挂账'!$O:$O,'1月份挂账'!$R:$R,$A54)</f>
        <v>0</v>
      </c>
      <c r="I54" s="40">
        <f>SUMIFS('2月份挂账'!Q:Q,'2月份挂账'!S:S,A54)-SUMIFS('2月份挂账'!P:P,'2月份挂账'!S:S,A54)</f>
        <v>0</v>
      </c>
      <c r="J54" s="40">
        <f>SUMIFS([3]数据!$Q$1:$Q$65536,[3]数据!$S$1:$S$65536,A54)-SUMIFS([3]数据!$P$1:$P$65536,[3]数据!$S$1:$S$65536,A54)</f>
        <v>0</v>
      </c>
      <c r="K54" s="41">
        <f t="shared" si="6"/>
        <v>0</v>
      </c>
      <c r="L54" s="41">
        <f t="shared" si="3"/>
        <v>0</v>
      </c>
    </row>
    <row r="55" customHeight="1" spans="1:12">
      <c r="A55" s="38" t="s">
        <v>278</v>
      </c>
      <c r="B55" s="43">
        <f>SUMIFS([2]数据!$O$1:$O$65536,[2]数据!$D$1:$D$65536,A55)</f>
        <v>0</v>
      </c>
      <c r="C55" s="43">
        <f t="shared" si="4"/>
        <v>0</v>
      </c>
      <c r="D55" s="39">
        <f>SUMIFS([1]数据!$O$1:$O$65536,[1]数据!$D$1:$D$65536,A55)</f>
        <v>10558.72</v>
      </c>
      <c r="E55" s="39">
        <v>10558.72</v>
      </c>
      <c r="F55" s="39">
        <v>0</v>
      </c>
      <c r="G55" s="39">
        <f t="shared" si="1"/>
        <v>0</v>
      </c>
      <c r="H55" s="40">
        <f>SUMIFS('1月份挂账'!$P:$P,'1月份挂账'!$R:$R,$A55)-SUMIFS('1月份挂账'!$O:$O,'1月份挂账'!$R:$R,$A55)</f>
        <v>10558.72</v>
      </c>
      <c r="I55" s="40">
        <f>SUMIFS('2月份挂账'!Q:Q,'2月份挂账'!S:S,A55)-SUMIFS('2月份挂账'!P:P,'2月份挂账'!S:S,A55)</f>
        <v>0</v>
      </c>
      <c r="J55" s="40">
        <f>SUMIFS([3]数据!$Q$1:$Q$65536,[3]数据!$S$1:$S$65536,A55)-SUMIFS([3]数据!$P$1:$P$65536,[3]数据!$S$1:$S$65536,A55)</f>
        <v>0</v>
      </c>
      <c r="K55" s="41">
        <f t="shared" si="6"/>
        <v>0</v>
      </c>
      <c r="L55" s="41">
        <f t="shared" si="3"/>
        <v>0</v>
      </c>
    </row>
    <row r="56" customHeight="1" spans="1:12">
      <c r="A56" s="38" t="s">
        <v>412</v>
      </c>
      <c r="B56" s="43">
        <f>SUMIFS([2]数据!$O$1:$O$65536,[2]数据!$D$1:$D$65536,A56)</f>
        <v>0</v>
      </c>
      <c r="C56" s="43">
        <f t="shared" si="4"/>
        <v>0</v>
      </c>
      <c r="D56" s="39">
        <f>SUMIFS([1]数据!$O$1:$O$65536,[1]数据!$D$1:$D$65536,A56)</f>
        <v>10750.82</v>
      </c>
      <c r="E56" s="39">
        <v>10750.82</v>
      </c>
      <c r="F56" s="39">
        <v>0</v>
      </c>
      <c r="G56" s="39">
        <f t="shared" si="1"/>
        <v>0</v>
      </c>
      <c r="H56" s="40">
        <f>SUMIFS('1月份挂账'!$P:$P,'1月份挂账'!$R:$R,$A56)-SUMIFS('1月份挂账'!$O:$O,'1月份挂账'!$R:$R,$A56)</f>
        <v>7541.62</v>
      </c>
      <c r="I56" s="40">
        <f>SUMIFS('2月份挂账'!Q:Q,'2月份挂账'!S:S,A56)-SUMIFS('2月份挂账'!P:P,'2月份挂账'!S:S,A56)</f>
        <v>0</v>
      </c>
      <c r="J56" s="40">
        <f>SUMIFS([3]数据!$Q$1:$Q$65536,[3]数据!$S$1:$S$65536,A56)-SUMIFS([3]数据!$P$1:$P$65536,[3]数据!$S$1:$S$65536,A56)</f>
        <v>0</v>
      </c>
      <c r="K56" s="41">
        <f t="shared" si="6"/>
        <v>0</v>
      </c>
      <c r="L56" s="41">
        <f t="shared" si="3"/>
        <v>0</v>
      </c>
    </row>
    <row r="57" customHeight="1" spans="1:12">
      <c r="A57" s="38" t="s">
        <v>306</v>
      </c>
      <c r="B57" s="43">
        <f>SUMIFS([2]数据!$O$1:$O$65536,[2]数据!$D$1:$D$65536,A57)</f>
        <v>84965.83</v>
      </c>
      <c r="C57" s="43">
        <f t="shared" si="4"/>
        <v>0</v>
      </c>
      <c r="D57" s="39">
        <f>SUMIFS([1]数据!$O$1:$O$65536,[1]数据!$D$1:$D$65536,A57)</f>
        <v>92265.63</v>
      </c>
      <c r="E57" s="39">
        <v>0</v>
      </c>
      <c r="F57" s="39">
        <v>7299.8</v>
      </c>
      <c r="G57" s="39">
        <f t="shared" si="1"/>
        <v>84965.83</v>
      </c>
      <c r="H57" s="40">
        <f>SUMIFS('1月份挂账'!$P:$P,'1月份挂账'!$R:$R,$A57)-SUMIFS('1月份挂账'!$O:$O,'1月份挂账'!$R:$R,$A57)</f>
        <v>62470.92</v>
      </c>
      <c r="I57" s="40">
        <f>SUMIFS('2月份挂账'!Q:Q,'2月份挂账'!S:S,A57)-SUMIFS('2月份挂账'!P:P,'2月份挂账'!S:S,A57)</f>
        <v>22494.91</v>
      </c>
      <c r="J57" s="40">
        <f>SUMIFS([3]数据!$Q$1:$Q$65536,[3]数据!$S$1:$S$65536,A57)-SUMIFS([3]数据!$P$1:$P$65536,[3]数据!$S$1:$S$65536,A57)</f>
        <v>0</v>
      </c>
      <c r="K57" s="41">
        <f t="shared" si="6"/>
        <v>62470.92</v>
      </c>
      <c r="L57" s="41">
        <f t="shared" si="3"/>
        <v>0</v>
      </c>
    </row>
    <row r="58" customHeight="1" spans="1:10">
      <c r="A58" s="38" t="s">
        <v>279</v>
      </c>
      <c r="B58" s="43">
        <f>SUMIFS([2]数据!$O$1:$O$65536,[2]数据!$D$1:$D$65536,A58)</f>
        <v>13932.9</v>
      </c>
      <c r="C58" s="43">
        <f t="shared" si="4"/>
        <v>0</v>
      </c>
      <c r="D58" s="39">
        <f>SUMIFS([1]数据!$O$1:$O$65536,[1]数据!$D$1:$D$65536,A58)</f>
        <v>13932.9</v>
      </c>
      <c r="E58" s="39">
        <v>0</v>
      </c>
      <c r="F58" s="39">
        <v>0</v>
      </c>
      <c r="G58" s="39">
        <f t="shared" si="1"/>
        <v>13932.9</v>
      </c>
      <c r="H58" s="40">
        <f>SUMIFS('1月份挂账'!$P:$P,'1月份挂账'!$R:$R,$A58)-SUMIFS('1月份挂账'!$O:$O,'1月份挂账'!$R:$R,$A58)</f>
        <v>0</v>
      </c>
      <c r="I58" s="40">
        <f>SUMIFS('2月份挂账'!Q:Q,'2月份挂账'!S:S,A58)-SUMIFS('2月份挂账'!P:P,'2月份挂账'!S:S,A58)</f>
        <v>0</v>
      </c>
      <c r="J58" s="40">
        <f>SUMIFS([3]数据!$Q$1:$Q$65536,[3]数据!$S$1:$S$65536,A58)-SUMIFS([3]数据!$P$1:$P$65536,[3]数据!$S$1:$S$65536,A58)</f>
        <v>0</v>
      </c>
    </row>
    <row r="59" customHeight="1" spans="1:12">
      <c r="A59" s="38" t="s">
        <v>280</v>
      </c>
      <c r="B59" s="43">
        <f>SUMIFS([2]数据!$O$1:$O$65536,[2]数据!$D$1:$D$65536,A59)</f>
        <v>56381.8</v>
      </c>
      <c r="C59" s="43">
        <f t="shared" si="4"/>
        <v>0</v>
      </c>
      <c r="D59" s="39">
        <f>SUMIFS([1]数据!$O$1:$O$65536,[1]数据!$D$1:$D$65536,A59)</f>
        <v>188987.3</v>
      </c>
      <c r="E59" s="39">
        <v>0</v>
      </c>
      <c r="F59" s="39">
        <v>132605.5</v>
      </c>
      <c r="G59" s="39">
        <f t="shared" si="1"/>
        <v>56381.8</v>
      </c>
      <c r="H59" s="40">
        <f>SUMIFS('1月份挂账'!$P:$P,'1月份挂账'!$R:$R,$A59)-SUMIFS('1月份挂账'!$O:$O,'1月份挂账'!$R:$R,$A59)</f>
        <v>36216.5</v>
      </c>
      <c r="I59" s="40">
        <f>SUMIFS('2月份挂账'!Q:Q,'2月份挂账'!S:S,A59)-SUMIFS('2月份挂账'!P:P,'2月份挂账'!S:S,A59)</f>
        <v>20165.3</v>
      </c>
      <c r="J59" s="40">
        <f>SUMIFS([3]数据!$Q$1:$Q$65536,[3]数据!$S$1:$S$65536,A59)-SUMIFS([3]数据!$P$1:$P$65536,[3]数据!$S$1:$S$65536,A59)</f>
        <v>0</v>
      </c>
      <c r="K59" s="41">
        <f t="shared" ref="K59:K90" si="7">IF(G59-J59-I59&gt;0,G59-J59-I59,0)</f>
        <v>36216.5</v>
      </c>
      <c r="L59" s="41">
        <f t="shared" ref="L59:L90" si="8">IF(G59-J59-I59-H59&gt;0,G59-J59-I59-H59,0)</f>
        <v>0</v>
      </c>
    </row>
    <row r="60" customHeight="1" spans="1:12">
      <c r="A60" s="38" t="s">
        <v>307</v>
      </c>
      <c r="B60" s="43">
        <f>SUMIFS([2]数据!$O$1:$O$65536,[2]数据!$D$1:$D$65536,A60)</f>
        <v>13326.59</v>
      </c>
      <c r="C60" s="43">
        <f t="shared" si="4"/>
        <v>0</v>
      </c>
      <c r="D60" s="39">
        <f>SUMIFS([1]数据!$O$1:$O$65536,[1]数据!$D$1:$D$65536,A60)</f>
        <v>29590.85</v>
      </c>
      <c r="E60" s="39">
        <v>16264.26</v>
      </c>
      <c r="F60" s="39">
        <v>0</v>
      </c>
      <c r="G60" s="39">
        <f t="shared" si="1"/>
        <v>13326.59</v>
      </c>
      <c r="H60" s="40">
        <f>SUMIFS('1月份挂账'!$P:$P,'1月份挂账'!$R:$R,$A60)-SUMIFS('1月份挂账'!$O:$O,'1月份挂账'!$R:$R,$A60)</f>
        <v>13326.59</v>
      </c>
      <c r="I60" s="40">
        <f>SUMIFS('2月份挂账'!Q:Q,'2月份挂账'!S:S,A60)-SUMIFS('2月份挂账'!P:P,'2月份挂账'!S:S,A60)</f>
        <v>0</v>
      </c>
      <c r="J60" s="40">
        <f>SUMIFS([3]数据!$Q$1:$Q$65536,[3]数据!$S$1:$S$65536,A60)-SUMIFS([3]数据!$P$1:$P$65536,[3]数据!$S$1:$S$65536,A60)</f>
        <v>0</v>
      </c>
      <c r="K60" s="41">
        <f t="shared" si="7"/>
        <v>13326.59</v>
      </c>
      <c r="L60" s="41">
        <f t="shared" si="8"/>
        <v>0</v>
      </c>
    </row>
    <row r="61" customHeight="1" spans="1:12">
      <c r="A61" s="38" t="s">
        <v>308</v>
      </c>
      <c r="B61" s="43">
        <f>SUMIFS([2]数据!$O$1:$O$65536,[2]数据!$D$1:$D$65536,A61)</f>
        <v>10122.54</v>
      </c>
      <c r="C61" s="43">
        <f t="shared" si="4"/>
        <v>0</v>
      </c>
      <c r="D61" s="39">
        <f>SUMIFS([1]数据!$O$1:$O$65536,[1]数据!$D$1:$D$65536,A61)</f>
        <v>29587.92</v>
      </c>
      <c r="E61" s="39">
        <v>22943.52</v>
      </c>
      <c r="F61" s="39">
        <v>0</v>
      </c>
      <c r="G61" s="39">
        <f t="shared" si="1"/>
        <v>6644.4</v>
      </c>
      <c r="H61" s="40">
        <f>SUMIFS('1月份挂账'!$P:$P,'1月份挂账'!$R:$R,$A61)-SUMIFS('1月份挂账'!$O:$O,'1月份挂账'!$R:$R,$A61)</f>
        <v>0</v>
      </c>
      <c r="I61" s="40">
        <f>SUMIFS('2月份挂账'!Q:Q,'2月份挂账'!S:S,A61)-SUMIFS('2月份挂账'!P:P,'2月份挂账'!S:S,A61)</f>
        <v>6644.4</v>
      </c>
      <c r="J61" s="40">
        <f>SUMIFS([3]数据!$Q$1:$Q$65536,[3]数据!$S$1:$S$65536,A61)-SUMIFS([3]数据!$P$1:$P$65536,[3]数据!$S$1:$S$65536,A61)</f>
        <v>3478.14</v>
      </c>
      <c r="K61" s="41">
        <f t="shared" si="7"/>
        <v>0</v>
      </c>
      <c r="L61" s="41">
        <f t="shared" si="8"/>
        <v>0</v>
      </c>
    </row>
    <row r="62" customHeight="1" spans="1:12">
      <c r="A62" s="38" t="s">
        <v>309</v>
      </c>
      <c r="B62" s="43">
        <f>SUMIFS([2]数据!$O$1:$O$65536,[2]数据!$D$1:$D$65536,A62)</f>
        <v>0</v>
      </c>
      <c r="C62" s="43">
        <f t="shared" si="4"/>
        <v>0</v>
      </c>
      <c r="D62" s="39">
        <f>SUMIFS([1]数据!$O$1:$O$65536,[1]数据!$D$1:$D$65536,A62)</f>
        <v>3245.36</v>
      </c>
      <c r="E62" s="39">
        <v>3245.36</v>
      </c>
      <c r="F62" s="39">
        <v>0</v>
      </c>
      <c r="G62" s="39">
        <f t="shared" si="1"/>
        <v>0</v>
      </c>
      <c r="H62" s="40">
        <f>SUMIFS('1月份挂账'!$P:$P,'1月份挂账'!$R:$R,$A62)-SUMIFS('1月份挂账'!$O:$O,'1月份挂账'!$R:$R,$A62)</f>
        <v>0</v>
      </c>
      <c r="I62" s="40">
        <f>SUMIFS('2月份挂账'!Q:Q,'2月份挂账'!S:S,A62)-SUMIFS('2月份挂账'!P:P,'2月份挂账'!S:S,A62)</f>
        <v>0</v>
      </c>
      <c r="J62" s="40">
        <f>SUMIFS([3]数据!$Q$1:$Q$65536,[3]数据!$S$1:$S$65536,A62)-SUMIFS([3]数据!$P$1:$P$65536,[3]数据!$S$1:$S$65536,A62)</f>
        <v>0</v>
      </c>
      <c r="K62" s="41">
        <f t="shared" si="7"/>
        <v>0</v>
      </c>
      <c r="L62" s="41">
        <f t="shared" si="8"/>
        <v>0</v>
      </c>
    </row>
    <row r="63" customHeight="1" spans="1:12">
      <c r="A63" s="38" t="s">
        <v>281</v>
      </c>
      <c r="B63" s="43">
        <f>SUMIFS([2]数据!$O$1:$O$65536,[2]数据!$D$1:$D$65536,A63)</f>
        <v>9576</v>
      </c>
      <c r="C63" s="43">
        <f t="shared" si="4"/>
        <v>0</v>
      </c>
      <c r="D63" s="39">
        <f>SUMIFS([1]数据!$O$1:$O$65536,[1]数据!$D$1:$D$65536,A63)</f>
        <v>28728</v>
      </c>
      <c r="E63" s="39">
        <v>28728</v>
      </c>
      <c r="F63" s="39">
        <v>0</v>
      </c>
      <c r="G63" s="39">
        <f t="shared" si="1"/>
        <v>0</v>
      </c>
      <c r="H63" s="40">
        <f>SUMIFS('1月份挂账'!$P:$P,'1月份挂账'!$R:$R,$A63)-SUMIFS('1月份挂账'!$O:$O,'1月份挂账'!$R:$R,$A63)</f>
        <v>9576</v>
      </c>
      <c r="I63" s="40">
        <f>SUMIFS('2月份挂账'!Q:Q,'2月份挂账'!S:S,A63)-SUMIFS('2月份挂账'!P:P,'2月份挂账'!S:S,A63)</f>
        <v>0</v>
      </c>
      <c r="J63" s="40">
        <f>SUMIFS([3]数据!$Q$1:$Q$65536,[3]数据!$S$1:$S$65536,A63)-SUMIFS([3]数据!$P$1:$P$65536,[3]数据!$S$1:$S$65536,A63)</f>
        <v>9576</v>
      </c>
      <c r="K63" s="41">
        <f t="shared" si="7"/>
        <v>0</v>
      </c>
      <c r="L63" s="41">
        <f t="shared" si="8"/>
        <v>0</v>
      </c>
    </row>
    <row r="64" customHeight="1" spans="1:12">
      <c r="A64" s="38" t="s">
        <v>282</v>
      </c>
      <c r="B64" s="43">
        <f>SUMIFS([2]数据!$O$1:$O$65536,[2]数据!$D$1:$D$65536,A64)</f>
        <v>89496</v>
      </c>
      <c r="C64" s="43">
        <f t="shared" si="4"/>
        <v>0</v>
      </c>
      <c r="D64" s="39">
        <f>SUMIFS([1]数据!$O$1:$O$65536,[1]数据!$D$1:$D$65536,A64)</f>
        <v>140518</v>
      </c>
      <c r="E64" s="39">
        <v>85600</v>
      </c>
      <c r="F64" s="39">
        <v>0</v>
      </c>
      <c r="G64" s="39">
        <f t="shared" si="1"/>
        <v>54918</v>
      </c>
      <c r="H64" s="40">
        <f>SUMIFS('1月份挂账'!$P:$P,'1月份挂账'!$R:$R,$A64)-SUMIFS('1月份挂账'!$O:$O,'1月份挂账'!$R:$R,$A64)</f>
        <v>0</v>
      </c>
      <c r="I64" s="40">
        <f>SUMIFS('2月份挂账'!Q:Q,'2月份挂账'!S:S,A64)-SUMIFS('2月份挂账'!P:P,'2月份挂账'!S:S,A64)</f>
        <v>54918</v>
      </c>
      <c r="J64" s="40">
        <f>SUMIFS([3]数据!$Q$1:$Q$65536,[3]数据!$S$1:$S$65536,A64)-SUMIFS([3]数据!$P$1:$P$65536,[3]数据!$S$1:$S$65536,A64)</f>
        <v>34578</v>
      </c>
      <c r="K64" s="41">
        <f t="shared" si="7"/>
        <v>0</v>
      </c>
      <c r="L64" s="41">
        <f t="shared" si="8"/>
        <v>0</v>
      </c>
    </row>
    <row r="65" customHeight="1" spans="1:12">
      <c r="A65" s="38" t="s">
        <v>310</v>
      </c>
      <c r="B65" s="43">
        <f>SUMIFS([2]数据!$O$1:$O$65536,[2]数据!$D$1:$D$65536,A65)</f>
        <v>44034.75</v>
      </c>
      <c r="C65" s="43">
        <f t="shared" si="4"/>
        <v>0</v>
      </c>
      <c r="D65" s="39">
        <f>SUMIFS([1]数据!$O$1:$O$65536,[1]数据!$D$1:$D$65536,A65)</f>
        <v>0</v>
      </c>
      <c r="E65" s="39">
        <v>0</v>
      </c>
      <c r="F65" s="39">
        <v>0</v>
      </c>
      <c r="G65" s="39">
        <f t="shared" si="1"/>
        <v>0</v>
      </c>
      <c r="H65" s="40">
        <f>SUMIFS('1月份挂账'!$P:$P,'1月份挂账'!$R:$R,$A65)-SUMIFS('1月份挂账'!$O:$O,'1月份挂账'!$R:$R,$A65)</f>
        <v>0</v>
      </c>
      <c r="I65" s="40">
        <f>SUMIFS('2月份挂账'!Q:Q,'2月份挂账'!S:S,A65)-SUMIFS('2月份挂账'!P:P,'2月份挂账'!S:S,A65)</f>
        <v>0</v>
      </c>
      <c r="J65" s="40">
        <f>SUMIFS([3]数据!$Q$1:$Q$65536,[3]数据!$S$1:$S$65536,A65)-SUMIFS([3]数据!$P$1:$P$65536,[3]数据!$S$1:$S$65536,A65)</f>
        <v>44034.75</v>
      </c>
      <c r="K65" s="41">
        <f t="shared" si="7"/>
        <v>0</v>
      </c>
      <c r="L65" s="41">
        <f t="shared" si="8"/>
        <v>0</v>
      </c>
    </row>
    <row r="66" customHeight="1" spans="1:12">
      <c r="A66" s="38" t="s">
        <v>311</v>
      </c>
      <c r="B66" s="43">
        <f>SUMIFS([2]数据!$O$1:$O$65536,[2]数据!$D$1:$D$65536,A66)</f>
        <v>266454.1</v>
      </c>
      <c r="C66" s="43">
        <f t="shared" si="4"/>
        <v>0</v>
      </c>
      <c r="D66" s="39">
        <f>SUMIFS([1]数据!$O$1:$O$65536,[1]数据!$D$1:$D$65536,A66)</f>
        <v>266454.1</v>
      </c>
      <c r="E66" s="39">
        <v>0</v>
      </c>
      <c r="F66" s="39">
        <v>0</v>
      </c>
      <c r="G66" s="39">
        <f t="shared" si="1"/>
        <v>266454.1</v>
      </c>
      <c r="H66" s="40">
        <f>SUMIFS('1月份挂账'!$P:$P,'1月份挂账'!$R:$R,$A66)-SUMIFS('1月份挂账'!$O:$O,'1月份挂账'!$R:$R,$A66)</f>
        <v>88818</v>
      </c>
      <c r="I66" s="40">
        <f>SUMIFS('2月份挂账'!Q:Q,'2月份挂账'!S:S,A66)-SUMIFS('2月份挂账'!P:P,'2月份挂账'!S:S,A66)</f>
        <v>177636</v>
      </c>
      <c r="J66" s="40">
        <f>SUMIFS([3]数据!$Q$1:$Q$65536,[3]数据!$S$1:$S$65536,A66)-SUMIFS([3]数据!$P$1:$P$65536,[3]数据!$S$1:$S$65536,A66)</f>
        <v>0</v>
      </c>
      <c r="K66" s="41">
        <f t="shared" si="7"/>
        <v>88818.1</v>
      </c>
      <c r="L66" s="41">
        <f t="shared" si="8"/>
        <v>0.0999999999767169</v>
      </c>
    </row>
    <row r="67" customHeight="1" spans="1:12">
      <c r="A67" s="38" t="s">
        <v>283</v>
      </c>
      <c r="B67" s="43">
        <f>SUMIFS([2]数据!$O$1:$O$65536,[2]数据!$D$1:$D$65536,A67)</f>
        <v>20170.5</v>
      </c>
      <c r="C67" s="43">
        <f t="shared" si="4"/>
        <v>0</v>
      </c>
      <c r="D67" s="39">
        <f>SUMIFS([1]数据!$O$1:$O$65536,[1]数据!$D$1:$D$65536,A67)</f>
        <v>23052</v>
      </c>
      <c r="E67" s="39">
        <v>8644.5</v>
      </c>
      <c r="F67" s="39">
        <v>0</v>
      </c>
      <c r="G67" s="39">
        <f t="shared" ref="G67:G90" si="9">D67-E67-F67</f>
        <v>14407.5</v>
      </c>
      <c r="H67" s="40">
        <f>SUMIFS('1月份挂账'!$P:$P,'1月份挂账'!$R:$R,$A67)-SUMIFS('1月份挂账'!$O:$O,'1月份挂账'!$R:$R,$A67)</f>
        <v>8644.5</v>
      </c>
      <c r="I67" s="40">
        <f>SUMIFS('2月份挂账'!Q:Q,'2月份挂账'!S:S,A67)-SUMIFS('2月份挂账'!P:P,'2月份挂账'!S:S,A67)</f>
        <v>5763</v>
      </c>
      <c r="J67" s="40">
        <f>SUMIFS([3]数据!$Q$1:$Q$65536,[3]数据!$S$1:$S$65536,A67)-SUMIFS([3]数据!$P$1:$P$65536,[3]数据!$S$1:$S$65536,A67)</f>
        <v>5763</v>
      </c>
      <c r="K67" s="41">
        <f t="shared" si="7"/>
        <v>2881.5</v>
      </c>
      <c r="L67" s="41">
        <f t="shared" si="8"/>
        <v>0</v>
      </c>
    </row>
    <row r="68" customHeight="1" spans="1:12">
      <c r="A68" s="38" t="s">
        <v>413</v>
      </c>
      <c r="B68" s="43">
        <f>SUMIFS([2]数据!$O$1:$O$65536,[2]数据!$D$1:$D$65536,A68)</f>
        <v>0</v>
      </c>
      <c r="C68" s="43">
        <f t="shared" si="4"/>
        <v>0</v>
      </c>
      <c r="D68" s="39">
        <f>SUMIFS([1]数据!$O$1:$O$65536,[1]数据!$D$1:$D$65536,A68)</f>
        <v>0</v>
      </c>
      <c r="E68" s="39">
        <v>0</v>
      </c>
      <c r="F68" s="39">
        <v>0</v>
      </c>
      <c r="G68" s="39">
        <f t="shared" si="9"/>
        <v>0</v>
      </c>
      <c r="H68" s="40">
        <f>SUMIFS('1月份挂账'!$P:$P,'1月份挂账'!$R:$R,$A68)-SUMIFS('1月份挂账'!$O:$O,'1月份挂账'!$R:$R,$A68)</f>
        <v>0</v>
      </c>
      <c r="I68" s="40">
        <f>SUMIFS('2月份挂账'!Q:Q,'2月份挂账'!S:S,A68)-SUMIFS('2月份挂账'!P:P,'2月份挂账'!S:S,A68)</f>
        <v>0</v>
      </c>
      <c r="J68" s="40">
        <f>SUMIFS([3]数据!$Q$1:$Q$65536,[3]数据!$S$1:$S$65536,A68)-SUMIFS([3]数据!$P$1:$P$65536,[3]数据!$S$1:$S$65536,A68)</f>
        <v>0</v>
      </c>
      <c r="K68" s="41">
        <f t="shared" si="7"/>
        <v>0</v>
      </c>
      <c r="L68" s="41">
        <f t="shared" si="8"/>
        <v>0</v>
      </c>
    </row>
    <row r="69" customHeight="1" spans="1:12">
      <c r="A69" s="38" t="s">
        <v>414</v>
      </c>
      <c r="B69" s="43">
        <f>SUMIFS([2]数据!$O$1:$O$65536,[2]数据!$D$1:$D$65536,A69)</f>
        <v>0</v>
      </c>
      <c r="C69" s="43">
        <f t="shared" si="4"/>
        <v>0</v>
      </c>
      <c r="D69" s="39">
        <f>SUMIFS([1]数据!$O$1:$O$65536,[1]数据!$D$1:$D$65536,A69)</f>
        <v>0</v>
      </c>
      <c r="E69" s="39">
        <v>0</v>
      </c>
      <c r="F69" s="39">
        <v>0</v>
      </c>
      <c r="G69" s="39">
        <f t="shared" si="9"/>
        <v>0</v>
      </c>
      <c r="H69" s="40">
        <f>SUMIFS('1月份挂账'!$P:$P,'1月份挂账'!$R:$R,$A69)-SUMIFS('1月份挂账'!$O:$O,'1月份挂账'!$R:$R,$A69)</f>
        <v>0</v>
      </c>
      <c r="I69" s="40">
        <f>SUMIFS('2月份挂账'!Q:Q,'2月份挂账'!S:S,A69)-SUMIFS('2月份挂账'!P:P,'2月份挂账'!S:S,A69)</f>
        <v>0</v>
      </c>
      <c r="J69" s="40">
        <f>SUMIFS([3]数据!$Q$1:$Q$65536,[3]数据!$S$1:$S$65536,A69)-SUMIFS([3]数据!$P$1:$P$65536,[3]数据!$S$1:$S$65536,A69)</f>
        <v>0</v>
      </c>
      <c r="K69" s="41">
        <f t="shared" si="7"/>
        <v>0</v>
      </c>
      <c r="L69" s="41">
        <f t="shared" si="8"/>
        <v>0</v>
      </c>
    </row>
    <row r="70" customHeight="1" spans="1:12">
      <c r="A70" s="38" t="s">
        <v>415</v>
      </c>
      <c r="B70" s="43">
        <f>SUMIFS([2]数据!$O$1:$O$65536,[2]数据!$D$1:$D$65536,A70)</f>
        <v>0</v>
      </c>
      <c r="C70" s="43">
        <f t="shared" si="4"/>
        <v>0</v>
      </c>
      <c r="D70" s="39">
        <f>SUMIFS([1]数据!$O$1:$O$65536,[1]数据!$D$1:$D$65536,A70)</f>
        <v>-46646.4</v>
      </c>
      <c r="E70" s="39">
        <v>0</v>
      </c>
      <c r="F70" s="39">
        <v>0</v>
      </c>
      <c r="G70" s="39">
        <f t="shared" si="9"/>
        <v>-46646.4</v>
      </c>
      <c r="H70" s="40">
        <f>SUMIFS('1月份挂账'!$P:$P,'1月份挂账'!$R:$R,$A70)-SUMIFS('1月份挂账'!$O:$O,'1月份挂账'!$R:$R,$A70)</f>
        <v>0</v>
      </c>
      <c r="I70" s="40">
        <f>SUMIFS('2月份挂账'!Q:Q,'2月份挂账'!S:S,A70)-SUMIFS('2月份挂账'!P:P,'2月份挂账'!S:S,A70)</f>
        <v>0</v>
      </c>
      <c r="J70" s="40">
        <f>SUMIFS([3]数据!$Q$1:$Q$65536,[3]数据!$S$1:$S$65536,A70)-SUMIFS([3]数据!$P$1:$P$65536,[3]数据!$S$1:$S$65536,A70)</f>
        <v>46646.4</v>
      </c>
      <c r="K70" s="41">
        <f t="shared" si="7"/>
        <v>0</v>
      </c>
      <c r="L70" s="41">
        <f t="shared" si="8"/>
        <v>0</v>
      </c>
    </row>
    <row r="71" customHeight="1" spans="1:12">
      <c r="A71" s="38" t="s">
        <v>416</v>
      </c>
      <c r="B71" s="43">
        <f>SUMIFS([2]数据!$O$1:$O$65536,[2]数据!$D$1:$D$65536,A71)</f>
        <v>0</v>
      </c>
      <c r="C71" s="43">
        <f t="shared" si="4"/>
        <v>0</v>
      </c>
      <c r="D71" s="39">
        <f>SUMIFS([1]数据!$O$1:$O$65536,[1]数据!$D$1:$D$65536,A71)</f>
        <v>0</v>
      </c>
      <c r="E71" s="39">
        <v>0</v>
      </c>
      <c r="F71" s="39">
        <v>0</v>
      </c>
      <c r="G71" s="39">
        <f t="shared" si="9"/>
        <v>0</v>
      </c>
      <c r="H71" s="40">
        <f>SUMIFS('1月份挂账'!$P:$P,'1月份挂账'!$R:$R,$A71)-SUMIFS('1月份挂账'!$O:$O,'1月份挂账'!$R:$R,$A71)</f>
        <v>18532</v>
      </c>
      <c r="I71" s="40">
        <f>SUMIFS('2月份挂账'!Q:Q,'2月份挂账'!S:S,A71)-SUMIFS('2月份挂账'!P:P,'2月份挂账'!S:S,A71)</f>
        <v>0</v>
      </c>
      <c r="J71" s="40">
        <f>SUMIFS([3]数据!$Q$1:$Q$65536,[3]数据!$S$1:$S$65536,A71)-SUMIFS([3]数据!$P$1:$P$65536,[3]数据!$S$1:$S$65536,A71)</f>
        <v>0</v>
      </c>
      <c r="K71" s="41">
        <f t="shared" si="7"/>
        <v>0</v>
      </c>
      <c r="L71" s="41">
        <f t="shared" si="8"/>
        <v>0</v>
      </c>
    </row>
    <row r="72" customHeight="1" spans="1:12">
      <c r="A72" s="38" t="s">
        <v>312</v>
      </c>
      <c r="B72" s="43">
        <f>SUMIFS([2]数据!$O$1:$O$65536,[2]数据!$D$1:$D$65536,A72)</f>
        <v>0</v>
      </c>
      <c r="C72" s="43">
        <f t="shared" si="4"/>
        <v>0</v>
      </c>
      <c r="D72" s="39">
        <f>SUMIFS([1]数据!$O$1:$O$65536,[1]数据!$D$1:$D$65536,A72)</f>
        <v>0</v>
      </c>
      <c r="E72" s="39">
        <v>0</v>
      </c>
      <c r="F72" s="39">
        <v>0</v>
      </c>
      <c r="G72" s="39">
        <f t="shared" si="9"/>
        <v>0</v>
      </c>
      <c r="H72" s="40">
        <f>SUMIFS('1月份挂账'!$P:$P,'1月份挂账'!$R:$R,$A72)-SUMIFS('1月份挂账'!$O:$O,'1月份挂账'!$R:$R,$A72)</f>
        <v>0</v>
      </c>
      <c r="I72" s="40">
        <f>SUMIFS('2月份挂账'!Q:Q,'2月份挂账'!S:S,A72)-SUMIFS('2月份挂账'!P:P,'2月份挂账'!S:S,A72)</f>
        <v>6040.98</v>
      </c>
      <c r="J72" s="40">
        <f>SUMIFS([3]数据!$Q$1:$Q$65536,[3]数据!$S$1:$S$65536,A72)-SUMIFS([3]数据!$P$1:$P$65536,[3]数据!$S$1:$S$65536,A72)</f>
        <v>0</v>
      </c>
      <c r="K72" s="41">
        <f t="shared" si="7"/>
        <v>0</v>
      </c>
      <c r="L72" s="41">
        <f t="shared" si="8"/>
        <v>0</v>
      </c>
    </row>
    <row r="73" customHeight="1" spans="1:12">
      <c r="A73" s="38" t="s">
        <v>313</v>
      </c>
      <c r="B73" s="43">
        <f>SUMIFS([2]数据!$O$1:$O$65536,[2]数据!$D$1:$D$65536,A73)</f>
        <v>47071.28</v>
      </c>
      <c r="C73" s="43">
        <f t="shared" si="4"/>
        <v>0</v>
      </c>
      <c r="D73" s="39">
        <f>SUMIFS([1]数据!$O$1:$O$65536,[1]数据!$D$1:$D$65536,A73)</f>
        <v>51058.12</v>
      </c>
      <c r="E73" s="39">
        <v>3986.84</v>
      </c>
      <c r="F73" s="39">
        <v>0</v>
      </c>
      <c r="G73" s="39">
        <f t="shared" si="9"/>
        <v>47071.28</v>
      </c>
      <c r="H73" s="40">
        <f>SUMIFS('1月份挂账'!$P:$P,'1月份挂账'!$R:$R,$A73)-SUMIFS('1月份挂账'!$O:$O,'1月份挂账'!$R:$R,$A73)</f>
        <v>40426.88</v>
      </c>
      <c r="I73" s="40">
        <f>SUMIFS('2月份挂账'!Q:Q,'2月份挂账'!S:S,A73)-SUMIFS('2月份挂账'!P:P,'2月份挂账'!S:S,A73)</f>
        <v>6644.4</v>
      </c>
      <c r="J73" s="40">
        <f>SUMIFS([3]数据!$Q$1:$Q$65536,[3]数据!$S$1:$S$65536,A73)-SUMIFS([3]数据!$P$1:$P$65536,[3]数据!$S$1:$S$65536,A73)</f>
        <v>0</v>
      </c>
      <c r="K73" s="41">
        <f t="shared" si="7"/>
        <v>40426.88</v>
      </c>
      <c r="L73" s="41">
        <f t="shared" si="8"/>
        <v>0</v>
      </c>
    </row>
    <row r="74" customHeight="1" spans="1:12">
      <c r="A74" s="38" t="s">
        <v>284</v>
      </c>
      <c r="B74" s="43">
        <f>SUMIFS([2]数据!$O$1:$O$65536,[2]数据!$D$1:$D$65536,A74)</f>
        <v>115659.87</v>
      </c>
      <c r="C74" s="43">
        <f t="shared" si="4"/>
        <v>0</v>
      </c>
      <c r="D74" s="39">
        <f>SUMIFS([1]数据!$O$1:$O$65536,[1]数据!$D$1:$D$65536,A74)</f>
        <v>90106.85</v>
      </c>
      <c r="E74" s="39">
        <v>1850.69</v>
      </c>
      <c r="F74" s="39">
        <v>0</v>
      </c>
      <c r="G74" s="39">
        <f t="shared" si="9"/>
        <v>88256.16</v>
      </c>
      <c r="H74" s="40">
        <f>SUMIFS('1月份挂账'!$P:$P,'1月份挂账'!$R:$R,$A74)-SUMIFS('1月份挂账'!$O:$O,'1月份挂账'!$R:$R,$A74)</f>
        <v>0</v>
      </c>
      <c r="I74" s="40">
        <f>SUMIFS('2月份挂账'!Q:Q,'2月份挂账'!S:S,A74)-SUMIFS('2月份挂账'!P:P,'2月份挂账'!S:S,A74)</f>
        <v>88256.16</v>
      </c>
      <c r="J74" s="40">
        <f>SUMIFS([3]数据!$Q$1:$Q$65536,[3]数据!$S$1:$S$65536,A74)-SUMIFS([3]数据!$P$1:$P$65536,[3]数据!$S$1:$S$65536,A74)</f>
        <v>27403.71</v>
      </c>
      <c r="K74" s="41">
        <f t="shared" si="7"/>
        <v>0</v>
      </c>
      <c r="L74" s="41">
        <f t="shared" si="8"/>
        <v>0</v>
      </c>
    </row>
    <row r="75" customHeight="1" spans="1:12">
      <c r="A75" s="38" t="s">
        <v>285</v>
      </c>
      <c r="B75" s="43">
        <f>SUMIFS([2]数据!$O$1:$O$65536,[2]数据!$D$1:$D$65536,A75)</f>
        <v>75967.64</v>
      </c>
      <c r="C75" s="43">
        <f t="shared" si="4"/>
        <v>0</v>
      </c>
      <c r="D75" s="39">
        <f>SUMIFS([1]数据!$O$1:$O$65536,[1]数据!$D$1:$D$65536,A75)</f>
        <v>124125.98</v>
      </c>
      <c r="E75" s="39">
        <v>55661.54</v>
      </c>
      <c r="F75" s="39">
        <v>0</v>
      </c>
      <c r="G75" s="39">
        <f t="shared" si="9"/>
        <v>68464.44</v>
      </c>
      <c r="H75" s="40">
        <f>SUMIFS('1月份挂账'!$P:$P,'1月份挂账'!$R:$R,$A75)-SUMIFS('1月份挂账'!$O:$O,'1月份挂账'!$R:$R,$A75)</f>
        <v>0</v>
      </c>
      <c r="I75" s="40">
        <f>SUMIFS('2月份挂账'!Q:Q,'2月份挂账'!S:S,A75)-SUMIFS('2月份挂账'!P:P,'2月份挂账'!S:S,A75)</f>
        <v>68464.44</v>
      </c>
      <c r="J75" s="40">
        <f>SUMIFS([3]数据!$Q$1:$Q$65536,[3]数据!$S$1:$S$65536,A75)-SUMIFS([3]数据!$P$1:$P$65536,[3]数据!$S$1:$S$65536,A75)</f>
        <v>7503.2</v>
      </c>
      <c r="K75" s="41">
        <f t="shared" si="7"/>
        <v>0</v>
      </c>
      <c r="L75" s="41">
        <f t="shared" si="8"/>
        <v>0</v>
      </c>
    </row>
    <row r="76" customHeight="1" spans="1:12">
      <c r="A76" s="38" t="s">
        <v>314</v>
      </c>
      <c r="B76" s="43">
        <f>SUMIFS([2]数据!$O$1:$O$65536,[2]数据!$D$1:$D$65536,A76)</f>
        <v>76135.85</v>
      </c>
      <c r="C76" s="43">
        <f t="shared" si="4"/>
        <v>0</v>
      </c>
      <c r="D76" s="39">
        <f>SUMIFS([1]数据!$O$1:$O$65536,[1]数据!$D$1:$D$65536,A76)</f>
        <v>143468.88</v>
      </c>
      <c r="E76" s="39">
        <v>67333.03</v>
      </c>
      <c r="F76" s="39">
        <v>0</v>
      </c>
      <c r="G76" s="39">
        <f t="shared" si="9"/>
        <v>76135.85</v>
      </c>
      <c r="H76" s="40">
        <f>SUMIFS('1月份挂账'!$P:$P,'1月份挂账'!$R:$R,$A76)-SUMIFS('1月份挂账'!$O:$O,'1月份挂账'!$R:$R,$A76)</f>
        <v>53688.96</v>
      </c>
      <c r="I76" s="40">
        <f>SUMIFS('2月份挂账'!Q:Q,'2月份挂账'!S:S,A76)-SUMIFS('2月份挂账'!P:P,'2月份挂账'!S:S,A76)</f>
        <v>22446.89</v>
      </c>
      <c r="J76" s="40">
        <f>SUMIFS([3]数据!$Q$1:$Q$65536,[3]数据!$S$1:$S$65536,A76)-SUMIFS([3]数据!$P$1:$P$65536,[3]数据!$S$1:$S$65536,A76)</f>
        <v>0</v>
      </c>
      <c r="K76" s="41">
        <f t="shared" si="7"/>
        <v>53688.96</v>
      </c>
      <c r="L76" s="41">
        <f t="shared" si="8"/>
        <v>0</v>
      </c>
    </row>
    <row r="77" customHeight="1" spans="1:12">
      <c r="A77" s="38" t="s">
        <v>380</v>
      </c>
      <c r="B77" s="43">
        <f>SUMIFS([2]数据!$O$1:$O$65536,[2]数据!$D$1:$D$65536,A77)</f>
        <v>15000</v>
      </c>
      <c r="C77" s="43">
        <f t="shared" si="4"/>
        <v>8000</v>
      </c>
      <c r="D77" s="39">
        <f>SUMIFS([1]数据!$O$1:$O$65536,[1]数据!$D$1:$D$65536,A77)</f>
        <v>7000</v>
      </c>
      <c r="E77" s="39">
        <v>0</v>
      </c>
      <c r="F77" s="39">
        <v>0</v>
      </c>
      <c r="G77" s="39">
        <f t="shared" si="9"/>
        <v>7000</v>
      </c>
      <c r="H77" s="40">
        <f>SUMIFS('1月份挂账'!$P:$P,'1月份挂账'!$R:$R,$A77)-SUMIFS('1月份挂账'!$O:$O,'1月份挂账'!$R:$R,$A77)</f>
        <v>0</v>
      </c>
      <c r="I77" s="40">
        <f>SUMIFS('2月份挂账'!Q:Q,'2月份挂账'!S:S,A77)-SUMIFS('2月份挂账'!P:P,'2月份挂账'!S:S,A77)</f>
        <v>0</v>
      </c>
      <c r="J77" s="40">
        <f>SUMIFS([3]数据!$Q$1:$Q$65536,[3]数据!$S$1:$S$65536,A77)-SUMIFS([3]数据!$P$1:$P$65536,[3]数据!$S$1:$S$65536,A77)</f>
        <v>0</v>
      </c>
      <c r="K77" s="41">
        <f t="shared" si="7"/>
        <v>7000</v>
      </c>
      <c r="L77" s="41">
        <f t="shared" si="8"/>
        <v>7000</v>
      </c>
    </row>
    <row r="78" customHeight="1" spans="1:12">
      <c r="A78" s="38" t="s">
        <v>417</v>
      </c>
      <c r="B78" s="43">
        <f>SUMIFS([2]数据!$O$1:$O$65536,[2]数据!$D$1:$D$65536,A78)</f>
        <v>68352.16</v>
      </c>
      <c r="C78" s="43">
        <f t="shared" si="4"/>
        <v>0</v>
      </c>
      <c r="D78" s="39">
        <f>SUMIFS([1]数据!$O$1:$O$65536,[1]数据!$D$1:$D$65536,A78)</f>
        <v>69562.26</v>
      </c>
      <c r="E78" s="39">
        <v>1210.1</v>
      </c>
      <c r="F78" s="39">
        <v>0</v>
      </c>
      <c r="G78" s="39">
        <f t="shared" si="9"/>
        <v>68352.16</v>
      </c>
      <c r="H78" s="40">
        <f>SUMIFS('1月份挂账'!$P:$P,'1月份挂账'!$R:$R,$A78)-SUMIFS('1月份挂账'!$O:$O,'1月份挂账'!$R:$R,$A78)</f>
        <v>68352.16</v>
      </c>
      <c r="I78" s="40">
        <f>SUMIFS('2月份挂账'!Q:Q,'2月份挂账'!S:S,A78)-SUMIFS('2月份挂账'!P:P,'2月份挂账'!S:S,A78)</f>
        <v>0</v>
      </c>
      <c r="J78" s="40">
        <f>SUMIFS([3]数据!$Q$1:$Q$65536,[3]数据!$S$1:$S$65536,A78)-SUMIFS([3]数据!$P$1:$P$65536,[3]数据!$S$1:$S$65536,A78)</f>
        <v>0</v>
      </c>
      <c r="K78" s="41">
        <f t="shared" si="7"/>
        <v>68352.16</v>
      </c>
      <c r="L78" s="41">
        <f t="shared" si="8"/>
        <v>0</v>
      </c>
    </row>
    <row r="79" customHeight="1" spans="1:12">
      <c r="A79" s="38" t="s">
        <v>418</v>
      </c>
      <c r="B79" s="43">
        <f>SUMIFS([2]数据!$O$1:$O$65536,[2]数据!$D$1:$D$65536,A79)</f>
        <v>79817.67</v>
      </c>
      <c r="C79" s="43">
        <f t="shared" si="4"/>
        <v>0</v>
      </c>
      <c r="D79" s="39">
        <f>SUMIFS([1]数据!$O$1:$O$65536,[1]数据!$D$1:$D$65536,A79)</f>
        <v>79817.67</v>
      </c>
      <c r="E79" s="39">
        <v>0</v>
      </c>
      <c r="F79" s="39">
        <v>0</v>
      </c>
      <c r="G79" s="39">
        <f t="shared" si="9"/>
        <v>79817.67</v>
      </c>
      <c r="H79" s="40">
        <f>SUMIFS('1月份挂账'!$P:$P,'1月份挂账'!$R:$R,$A79)-SUMIFS('1月份挂账'!$O:$O,'1月份挂账'!$R:$R,$A79)</f>
        <v>79817.67</v>
      </c>
      <c r="I79" s="40">
        <f>SUMIFS('2月份挂账'!Q:Q,'2月份挂账'!S:S,A79)-SUMIFS('2月份挂账'!P:P,'2月份挂账'!S:S,A79)</f>
        <v>0</v>
      </c>
      <c r="J79" s="40">
        <f>SUMIFS([3]数据!$Q$1:$Q$65536,[3]数据!$S$1:$S$65536,A79)-SUMIFS([3]数据!$P$1:$P$65536,[3]数据!$S$1:$S$65536,A79)</f>
        <v>0</v>
      </c>
      <c r="K79" s="41">
        <f t="shared" si="7"/>
        <v>79817.67</v>
      </c>
      <c r="L79" s="41">
        <f t="shared" si="8"/>
        <v>0</v>
      </c>
    </row>
    <row r="80" customHeight="1" spans="1:12">
      <c r="A80" s="38" t="s">
        <v>315</v>
      </c>
      <c r="B80" s="43">
        <f>SUMIFS([2]数据!$O$1:$O$65536,[2]数据!$D$1:$D$65536,A80)</f>
        <v>0</v>
      </c>
      <c r="C80" s="43">
        <f t="shared" si="4"/>
        <v>-3305.25</v>
      </c>
      <c r="D80" s="39">
        <f>SUMIFS([1]数据!$O$1:$O$65536,[1]数据!$D$1:$D$65536,A80)</f>
        <v>3305.25</v>
      </c>
      <c r="E80" s="39">
        <v>0</v>
      </c>
      <c r="F80" s="39">
        <v>0</v>
      </c>
      <c r="G80" s="39">
        <f t="shared" si="9"/>
        <v>3305.25</v>
      </c>
      <c r="H80" s="40">
        <f>SUMIFS('1月份挂账'!$P:$P,'1月份挂账'!$R:$R,$A80)-SUMIFS('1月份挂账'!$O:$O,'1月份挂账'!$R:$R,$A80)</f>
        <v>3305.25</v>
      </c>
      <c r="I80" s="40">
        <f>SUMIFS('2月份挂账'!Q:Q,'2月份挂账'!S:S,A80)-SUMIFS('2月份挂账'!P:P,'2月份挂账'!S:S,A80)</f>
        <v>0</v>
      </c>
      <c r="J80" s="40">
        <f>SUMIFS([3]数据!$Q$1:$Q$65536,[3]数据!$S$1:$S$65536,A80)-SUMIFS([3]数据!$P$1:$P$65536,[3]数据!$S$1:$S$65536,A80)</f>
        <v>0</v>
      </c>
      <c r="K80" s="41">
        <f t="shared" si="7"/>
        <v>3305.25</v>
      </c>
      <c r="L80" s="41">
        <f t="shared" si="8"/>
        <v>0</v>
      </c>
    </row>
    <row r="81" customHeight="1" spans="1:12">
      <c r="A81" s="38" t="s">
        <v>316</v>
      </c>
      <c r="B81" s="43">
        <f>SUMIFS([2]数据!$O$1:$O$65536,[2]数据!$D$1:$D$65536,A81)</f>
        <v>21022.78</v>
      </c>
      <c r="C81" s="43">
        <f t="shared" si="4"/>
        <v>0</v>
      </c>
      <c r="D81" s="39">
        <f>SUMIFS([1]数据!$O$1:$O$65536,[1]数据!$D$1:$D$65536,A81)</f>
        <v>7760.42</v>
      </c>
      <c r="E81" s="39">
        <v>0</v>
      </c>
      <c r="F81" s="39">
        <v>0</v>
      </c>
      <c r="G81" s="39">
        <f t="shared" si="9"/>
        <v>7760.42</v>
      </c>
      <c r="I81" s="40">
        <f>SUMIFS('2月份挂账'!Q:Q,'2月份挂账'!S:S,A81)-SUMIFS('2月份挂账'!P:P,'2月份挂账'!S:S,A81)</f>
        <v>7760.42</v>
      </c>
      <c r="J81" s="40">
        <f>SUMIFS([3]数据!$Q$1:$Q$65536,[3]数据!$S$1:$S$65536,A81)-SUMIFS([3]数据!$P$1:$P$65536,[3]数据!$S$1:$S$65536,A81)</f>
        <v>13262.36</v>
      </c>
      <c r="K81" s="41">
        <f t="shared" si="7"/>
        <v>0</v>
      </c>
      <c r="L81" s="41">
        <f t="shared" si="8"/>
        <v>0</v>
      </c>
    </row>
    <row r="82" customHeight="1" spans="1:12">
      <c r="A82" s="38" t="s">
        <v>317</v>
      </c>
      <c r="B82" s="43">
        <f>SUMIFS([2]数据!$O$1:$O$65536,[2]数据!$D$1:$D$65536,A82)</f>
        <v>226113.92</v>
      </c>
      <c r="C82" s="43">
        <f t="shared" si="4"/>
        <v>0</v>
      </c>
      <c r="D82" s="39">
        <f>SUMIFS([1]数据!$O$1:$O$65536,[1]数据!$D$1:$D$65536,A82)</f>
        <v>119235.69</v>
      </c>
      <c r="E82" s="39">
        <v>0</v>
      </c>
      <c r="F82" s="39">
        <v>0</v>
      </c>
      <c r="G82" s="39">
        <f t="shared" si="9"/>
        <v>119235.69</v>
      </c>
      <c r="I82" s="40">
        <f>SUMIFS('2月份挂账'!Q:Q,'2月份挂账'!S:S,A82)-SUMIFS('2月份挂账'!P:P,'2月份挂账'!S:S,A82)</f>
        <v>119235.69</v>
      </c>
      <c r="J82" s="40">
        <f>SUMIFS([3]数据!$Q$1:$Q$65536,[3]数据!$S$1:$S$65536,A82)-SUMIFS([3]数据!$P$1:$P$65536,[3]数据!$S$1:$S$65536,A82)</f>
        <v>106878.23</v>
      </c>
      <c r="K82" s="41">
        <f t="shared" si="7"/>
        <v>0</v>
      </c>
      <c r="L82" s="41">
        <f t="shared" si="8"/>
        <v>0</v>
      </c>
    </row>
    <row r="83" customHeight="1" spans="1:12">
      <c r="A83" s="38" t="s">
        <v>318</v>
      </c>
      <c r="B83" s="43">
        <f>SUMIFS([2]数据!$O$1:$O$65536,[2]数据!$D$1:$D$65536,A83)</f>
        <v>143124.1</v>
      </c>
      <c r="C83" s="43">
        <f t="shared" si="4"/>
        <v>0</v>
      </c>
      <c r="D83" s="39">
        <f>SUMIFS([1]数据!$O$1:$O$65536,[1]数据!$D$1:$D$65536,A83)</f>
        <v>120063.06</v>
      </c>
      <c r="E83" s="39">
        <v>0</v>
      </c>
      <c r="F83" s="39">
        <v>0</v>
      </c>
      <c r="G83" s="39">
        <f t="shared" si="9"/>
        <v>120063.06</v>
      </c>
      <c r="I83" s="40">
        <f>SUMIFS('2月份挂账'!Q:Q,'2月份挂账'!S:S,A83)-SUMIFS('2月份挂账'!P:P,'2月份挂账'!S:S,A83)</f>
        <v>120063.06</v>
      </c>
      <c r="J83" s="40">
        <f>SUMIFS([3]数据!$Q$1:$Q$65536,[3]数据!$S$1:$S$65536,A83)-SUMIFS([3]数据!$P$1:$P$65536,[3]数据!$S$1:$S$65536,A83)</f>
        <v>23061.04</v>
      </c>
      <c r="K83" s="41">
        <f t="shared" si="7"/>
        <v>0</v>
      </c>
      <c r="L83" s="41">
        <f t="shared" si="8"/>
        <v>0</v>
      </c>
    </row>
    <row r="84" customHeight="1" spans="1:12">
      <c r="A84" s="38" t="s">
        <v>319</v>
      </c>
      <c r="B84" s="43">
        <f>SUMIFS([2]数据!$O$1:$O$65536,[2]数据!$D$1:$D$65536,A84)</f>
        <v>5720.63</v>
      </c>
      <c r="C84" s="43">
        <f t="shared" si="4"/>
        <v>0</v>
      </c>
      <c r="D84" s="39">
        <f>SUMIFS([1]数据!$O$1:$O$65536,[1]数据!$D$1:$D$65536,A84)</f>
        <v>5720.63</v>
      </c>
      <c r="E84" s="39">
        <v>0</v>
      </c>
      <c r="F84" s="39">
        <v>0</v>
      </c>
      <c r="G84" s="39">
        <f t="shared" si="9"/>
        <v>5720.63</v>
      </c>
      <c r="I84" s="40">
        <f>SUMIFS('2月份挂账'!Q:Q,'2月份挂账'!S:S,A84)-SUMIFS('2月份挂账'!P:P,'2月份挂账'!S:S,A84)</f>
        <v>5720.63</v>
      </c>
      <c r="J84" s="40">
        <f>SUMIFS([3]数据!$Q$1:$Q$65536,[3]数据!$S$1:$S$65536,A84)-SUMIFS([3]数据!$P$1:$P$65536,[3]数据!$S$1:$S$65536,A84)</f>
        <v>0</v>
      </c>
      <c r="K84" s="41">
        <f t="shared" si="7"/>
        <v>0</v>
      </c>
      <c r="L84" s="41">
        <f t="shared" si="8"/>
        <v>0</v>
      </c>
    </row>
    <row r="85" customHeight="1" spans="1:12">
      <c r="A85" s="38" t="s">
        <v>286</v>
      </c>
      <c r="B85" s="43">
        <f>SUMIFS([2]数据!$O$1:$O$65536,[2]数据!$D$1:$D$65536,A85)</f>
        <v>105580.99</v>
      </c>
      <c r="C85" s="43">
        <f t="shared" si="4"/>
        <v>0</v>
      </c>
      <c r="D85" s="39">
        <f>SUMIFS([1]数据!$O$1:$O$65536,[1]数据!$D$1:$D$65536,A85)</f>
        <v>40135.34</v>
      </c>
      <c r="E85" s="39">
        <v>0</v>
      </c>
      <c r="F85" s="39">
        <v>0</v>
      </c>
      <c r="G85" s="39">
        <f t="shared" si="9"/>
        <v>40135.34</v>
      </c>
      <c r="I85" s="40">
        <f>SUMIFS('2月份挂账'!Q:Q,'2月份挂账'!S:S,A85)-SUMIFS('2月份挂账'!P:P,'2月份挂账'!S:S,A85)</f>
        <v>40135.34</v>
      </c>
      <c r="J85" s="40">
        <f>SUMIFS([3]数据!$Q$1:$Q$65536,[3]数据!$S$1:$S$65536,A85)-SUMIFS([3]数据!$P$1:$P$65536,[3]数据!$S$1:$S$65536,A85)</f>
        <v>65445.65</v>
      </c>
      <c r="K85" s="41">
        <f t="shared" si="7"/>
        <v>0</v>
      </c>
      <c r="L85" s="41">
        <f t="shared" si="8"/>
        <v>0</v>
      </c>
    </row>
    <row r="86" customHeight="1" spans="1:12">
      <c r="A86" s="38" t="s">
        <v>287</v>
      </c>
      <c r="B86" s="43">
        <f>SUMIFS([2]数据!$O$1:$O$65536,[2]数据!$D$1:$D$65536,A86)</f>
        <v>55019.85</v>
      </c>
      <c r="C86" s="43">
        <f t="shared" si="4"/>
        <v>0</v>
      </c>
      <c r="D86" s="39">
        <f>SUMIFS([1]数据!$O$1:$O$65536,[1]数据!$D$1:$D$65536,A86)</f>
        <v>55019.85</v>
      </c>
      <c r="E86" s="39">
        <v>0</v>
      </c>
      <c r="F86" s="39">
        <v>0</v>
      </c>
      <c r="G86" s="39">
        <f t="shared" si="9"/>
        <v>55019.85</v>
      </c>
      <c r="I86" s="40">
        <f>SUMIFS('2月份挂账'!Q:Q,'2月份挂账'!S:S,A86)-SUMIFS('2月份挂账'!P:P,'2月份挂账'!S:S,A86)</f>
        <v>55019.85</v>
      </c>
      <c r="J86" s="40">
        <f>SUMIFS([3]数据!$Q$1:$Q$65536,[3]数据!$S$1:$S$65536,A86)-SUMIFS([3]数据!$P$1:$P$65536,[3]数据!$S$1:$S$65536,A86)</f>
        <v>0</v>
      </c>
      <c r="K86" s="41">
        <f t="shared" si="7"/>
        <v>0</v>
      </c>
      <c r="L86" s="41">
        <f t="shared" si="8"/>
        <v>0</v>
      </c>
    </row>
    <row r="87" customHeight="1" spans="1:12">
      <c r="A87" s="38" t="s">
        <v>288</v>
      </c>
      <c r="B87" s="43">
        <f>SUMIFS([2]数据!$O$1:$O$65536,[2]数据!$D$1:$D$65536,A87)</f>
        <v>39631.36</v>
      </c>
      <c r="C87" s="43">
        <f t="shared" si="4"/>
        <v>0</v>
      </c>
      <c r="D87" s="39">
        <f>SUMIFS([1]数据!$O$1:$O$65536,[1]数据!$D$1:$D$65536,A87)</f>
        <v>28170.9</v>
      </c>
      <c r="E87" s="39">
        <v>0</v>
      </c>
      <c r="F87" s="39">
        <v>0</v>
      </c>
      <c r="G87" s="39">
        <f t="shared" si="9"/>
        <v>28170.9</v>
      </c>
      <c r="I87" s="40">
        <f>SUMIFS('2月份挂账'!Q:Q,'2月份挂账'!S:S,A87)-SUMIFS('2月份挂账'!P:P,'2月份挂账'!S:S,A87)</f>
        <v>28170.9</v>
      </c>
      <c r="J87" s="40">
        <f>SUMIFS([3]数据!$Q$1:$Q$65536,[3]数据!$S$1:$S$65536,A87)-SUMIFS([3]数据!$P$1:$P$65536,[3]数据!$S$1:$S$65536,A87)</f>
        <v>11460.46</v>
      </c>
      <c r="K87" s="41">
        <f t="shared" si="7"/>
        <v>0</v>
      </c>
      <c r="L87" s="41">
        <f t="shared" si="8"/>
        <v>0</v>
      </c>
    </row>
    <row r="88" customHeight="1" spans="1:12">
      <c r="A88" s="38" t="s">
        <v>289</v>
      </c>
      <c r="B88" s="43">
        <f>SUMIFS([2]数据!$O$1:$O$65536,[2]数据!$D$1:$D$65536,A88)</f>
        <v>7739.9</v>
      </c>
      <c r="C88" s="43">
        <f t="shared" si="4"/>
        <v>0</v>
      </c>
      <c r="D88" s="39">
        <f>SUMIFS([1]数据!$O$1:$O$65536,[1]数据!$D$1:$D$65536,A88)</f>
        <v>4069.44</v>
      </c>
      <c r="E88" s="39">
        <v>0</v>
      </c>
      <c r="F88" s="39">
        <v>0</v>
      </c>
      <c r="G88" s="39">
        <f t="shared" si="9"/>
        <v>4069.44</v>
      </c>
      <c r="I88" s="40">
        <f>SUMIFS('2月份挂账'!Q:Q,'2月份挂账'!S:S,A88)-SUMIFS('2月份挂账'!P:P,'2月份挂账'!S:S,A88)</f>
        <v>4069.44</v>
      </c>
      <c r="J88" s="40">
        <f>SUMIFS([3]数据!$Q$1:$Q$65536,[3]数据!$S$1:$S$65536,A88)-SUMIFS([3]数据!$P$1:$P$65536,[3]数据!$S$1:$S$65536,A88)</f>
        <v>3670.46</v>
      </c>
      <c r="K88" s="41">
        <f t="shared" si="7"/>
        <v>0</v>
      </c>
      <c r="L88" s="41">
        <f t="shared" si="8"/>
        <v>0</v>
      </c>
    </row>
    <row r="89" customHeight="1" spans="1:12">
      <c r="A89" s="38" t="s">
        <v>320</v>
      </c>
      <c r="B89" s="43">
        <f>SUMIFS([2]数据!$O$1:$O$65536,[2]数据!$D$1:$D$65536,A89)</f>
        <v>76877.75</v>
      </c>
      <c r="C89" s="43">
        <f>B89-G89-J89</f>
        <v>0</v>
      </c>
      <c r="D89" s="39">
        <f>SUMIFS([1]数据!$O$1:$O$65536,[1]数据!$D$1:$D$65536,A89)</f>
        <v>0</v>
      </c>
      <c r="E89" s="39">
        <v>0</v>
      </c>
      <c r="F89" s="39">
        <v>0</v>
      </c>
      <c r="G89" s="39">
        <f t="shared" si="9"/>
        <v>0</v>
      </c>
      <c r="I89" s="40">
        <f>SUMIFS('2月份挂账'!Q:Q,'2月份挂账'!S:S,A89)-SUMIFS('2月份挂账'!P:P,'2月份挂账'!S:S,A89)</f>
        <v>0</v>
      </c>
      <c r="J89" s="40">
        <f>SUMIFS([3]数据!$Q$1:$Q$65536,[3]数据!$S$1:$S$65536,A89)-SUMIFS([3]数据!$P$1:$P$65536,[3]数据!$S$1:$S$65536,A89)</f>
        <v>76877.75</v>
      </c>
      <c r="K89" s="41">
        <f t="shared" si="7"/>
        <v>0</v>
      </c>
      <c r="L89" s="41">
        <f t="shared" si="8"/>
        <v>0</v>
      </c>
    </row>
    <row r="90" customHeight="1" spans="1:12">
      <c r="A90" s="38" t="s">
        <v>321</v>
      </c>
      <c r="B90" s="43">
        <f>SUMIFS([2]数据!$O$1:$O$65536,[2]数据!$D$1:$D$65536,A90)</f>
        <v>2623.12</v>
      </c>
      <c r="C90" s="43">
        <f>B90-G90-J90</f>
        <v>0</v>
      </c>
      <c r="D90" s="39">
        <f>SUMIFS([1]数据!$O$1:$O$65536,[1]数据!$D$1:$D$65536,A90)</f>
        <v>0</v>
      </c>
      <c r="E90" s="39">
        <v>0</v>
      </c>
      <c r="F90" s="39">
        <v>0</v>
      </c>
      <c r="G90" s="39">
        <f t="shared" si="9"/>
        <v>0</v>
      </c>
      <c r="I90" s="40">
        <f>SUMIFS('2月份挂账'!Q:Q,'2月份挂账'!S:S,A90)-SUMIFS('2月份挂账'!P:P,'2月份挂账'!S:S,A90)</f>
        <v>0</v>
      </c>
      <c r="J90" s="40">
        <f>SUMIFS([3]数据!$Q$1:$Q$65536,[3]数据!$S$1:$S$65536,A90)-SUMIFS([3]数据!$P$1:$P$65536,[3]数据!$S$1:$S$65536,A90)</f>
        <v>2623.12</v>
      </c>
      <c r="K90" s="41">
        <f t="shared" si="7"/>
        <v>0</v>
      </c>
      <c r="L90" s="41">
        <f t="shared" si="8"/>
        <v>0</v>
      </c>
    </row>
    <row r="92" customHeight="1" spans="1:13">
      <c r="A92" s="38" t="s">
        <v>29</v>
      </c>
      <c r="D92" s="87">
        <f t="shared" ref="D92:M92" si="10">SUM(D3:D91)</f>
        <v>22979586.59</v>
      </c>
      <c r="E92" s="87">
        <f t="shared" si="10"/>
        <v>6946883.59</v>
      </c>
      <c r="F92" s="87">
        <f t="shared" si="10"/>
        <v>2513976.95</v>
      </c>
      <c r="G92" s="87">
        <f t="shared" si="10"/>
        <v>13518726.05</v>
      </c>
      <c r="H92" s="87">
        <f t="shared" si="10"/>
        <v>9153923.95</v>
      </c>
      <c r="I92" s="87">
        <f t="shared" si="10"/>
        <v>6719955.73</v>
      </c>
      <c r="J92" s="87">
        <f t="shared" si="10"/>
        <v>6053679.65</v>
      </c>
      <c r="K92" s="87">
        <f t="shared" si="10"/>
        <v>5592562.49</v>
      </c>
      <c r="L92" s="87">
        <f t="shared" si="10"/>
        <v>598997.28</v>
      </c>
      <c r="M92" s="87">
        <f t="shared" si="10"/>
        <v>0</v>
      </c>
    </row>
    <row r="93" customHeight="1" spans="1:11">
      <c r="A93" s="38" t="s">
        <v>293</v>
      </c>
      <c r="D93" s="87">
        <f>SUMIFS(D3:D91,D3:D91,"&gt;0")</f>
        <v>23199273.37</v>
      </c>
      <c r="E93" s="87"/>
      <c r="F93" s="87"/>
      <c r="G93" s="87"/>
      <c r="H93" s="89"/>
      <c r="I93" s="89"/>
      <c r="J93" s="89"/>
      <c r="K93" s="88" t="s">
        <v>424</v>
      </c>
    </row>
  </sheetData>
  <autoFilter xmlns:etc="http://www.wps.cn/officeDocument/2017/etCustomData" ref="A1:M93" etc:filterBottomFollowUsedRange="0">
    <extLst/>
  </autoFilter>
  <mergeCells count="1">
    <mergeCell ref="A1:M1"/>
  </mergeCells>
  <conditionalFormatting sqref="A$1:C$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H85"/>
  <sheetViews>
    <sheetView workbookViewId="0">
      <pane xSplit="1" ySplit="2" topLeftCell="B3" activePane="bottomRight" state="frozen"/>
      <selection/>
      <selection pane="topRight"/>
      <selection pane="bottomLeft"/>
      <selection pane="bottomRight" activeCell="E21" sqref="E21"/>
    </sheetView>
  </sheetViews>
  <sheetFormatPr defaultColWidth="9" defaultRowHeight="19" customHeight="1" outlineLevelCol="7"/>
  <cols>
    <col min="1" max="1" width="26.25" style="38" customWidth="1"/>
    <col min="2" max="2" width="12.625" style="39" customWidth="1"/>
    <col min="3" max="3" width="11.125" style="40" customWidth="1"/>
    <col min="4" max="4" width="10.125" style="40" customWidth="1"/>
    <col min="5" max="5" width="11.75" style="40" customWidth="1"/>
    <col min="6" max="6" width="12.75" style="41" customWidth="1"/>
    <col min="7" max="7" width="13.5" style="41" customWidth="1"/>
    <col min="8" max="8" width="11.75" style="79" customWidth="1"/>
    <col min="9" max="16384" width="9" style="43"/>
  </cols>
  <sheetData>
    <row r="1" ht="29" customHeight="1" spans="1:8">
      <c r="A1" s="80" t="s">
        <v>425</v>
      </c>
      <c r="B1" s="81"/>
      <c r="C1" s="82"/>
      <c r="D1" s="82"/>
      <c r="E1" s="82"/>
      <c r="F1" s="83"/>
      <c r="G1" s="83"/>
      <c r="H1" s="84"/>
    </row>
    <row r="2" ht="36" customHeight="1" spans="1:8">
      <c r="A2" s="59" t="s">
        <v>231</v>
      </c>
      <c r="B2" s="85" t="s">
        <v>426</v>
      </c>
      <c r="C2" s="86" t="s">
        <v>427</v>
      </c>
      <c r="D2" s="86" t="s">
        <v>428</v>
      </c>
      <c r="E2" s="86" t="s">
        <v>401</v>
      </c>
      <c r="F2" s="85" t="s">
        <v>236</v>
      </c>
      <c r="G2" s="85" t="s">
        <v>386</v>
      </c>
      <c r="H2" s="59" t="s">
        <v>423</v>
      </c>
    </row>
    <row r="3" customHeight="1" spans="1:7">
      <c r="A3" s="38" t="s">
        <v>240</v>
      </c>
      <c r="B3" s="39">
        <f>_xlfn.XLOOKUP(A3,'1月份科目余额（2.25导出）'!D:D,'1月份科目余额（2.25导出）'!O:O,0)</f>
        <v>35549.92</v>
      </c>
      <c r="C3" s="40">
        <v>10156.44</v>
      </c>
      <c r="D3" s="40">
        <v>33278.5</v>
      </c>
      <c r="E3" s="40">
        <f>SUMIFS('1月份挂账'!$P:$P,'1月份挂账'!$R:$R,$A3)-SUMIFS('1月份挂账'!$O:$O,'1月份挂账'!$R:$R,$A3)</f>
        <v>1853.2</v>
      </c>
      <c r="F3" s="41">
        <f t="shared" ref="F3:F66" si="0">IF((B3-D3-E3)&gt;0,B3-D3-E3,0)</f>
        <v>418.219999999998</v>
      </c>
      <c r="G3" s="41">
        <f t="shared" ref="G3:G66" si="1">IF((B3-C3-D3-E3)&gt;0,B3-C3-D3-E3,0)</f>
        <v>0</v>
      </c>
    </row>
    <row r="4" customHeight="1" spans="1:7">
      <c r="A4" s="38" t="s">
        <v>241</v>
      </c>
      <c r="B4" s="39">
        <f>_xlfn.XLOOKUP(A4,'1月份科目余额（2.25导出）'!D:D,'1月份科目余额（2.25导出）'!O:O,0)</f>
        <v>391511.54</v>
      </c>
      <c r="C4" s="40">
        <v>100070.45</v>
      </c>
      <c r="D4" s="40">
        <v>169093.73</v>
      </c>
      <c r="E4" s="40">
        <f>SUMIFS('1月份挂账'!$P:$P,'1月份挂账'!$R:$R,$A4)-SUMIFS('1月份挂账'!$O:$O,'1月份挂账'!$R:$R,$A4)</f>
        <v>119091.84</v>
      </c>
      <c r="F4" s="41">
        <f t="shared" si="0"/>
        <v>103325.97</v>
      </c>
      <c r="G4" s="41">
        <f t="shared" si="1"/>
        <v>3255.51999999996</v>
      </c>
    </row>
    <row r="5" customHeight="1" spans="1:7">
      <c r="A5" s="38" t="s">
        <v>242</v>
      </c>
      <c r="B5" s="39">
        <f>_xlfn.XLOOKUP(A5,'1月份科目余额（2.25导出）'!D:D,'1月份科目余额（2.25导出）'!O:O,0)</f>
        <v>147583.76</v>
      </c>
      <c r="C5" s="40">
        <v>57630.52</v>
      </c>
      <c r="D5" s="40">
        <v>66914.09</v>
      </c>
      <c r="E5" s="40">
        <f>SUMIFS('1月份挂账'!$P:$P,'1月份挂账'!$R:$R,$A5)-SUMIFS('1月份挂账'!$O:$O,'1月份挂账'!$R:$R,$A5)</f>
        <v>77995.01</v>
      </c>
      <c r="F5" s="41">
        <f t="shared" si="0"/>
        <v>2674.66000000002</v>
      </c>
      <c r="G5" s="41">
        <f t="shared" si="1"/>
        <v>0</v>
      </c>
    </row>
    <row r="6" customHeight="1" spans="1:7">
      <c r="A6" s="38" t="s">
        <v>243</v>
      </c>
      <c r="B6" s="39">
        <f>_xlfn.XLOOKUP(A6,'1月份科目余额（2.25导出）'!D:D,'1月份科目余额（2.25导出）'!O:O,0)</f>
        <v>57350.41</v>
      </c>
      <c r="C6" s="40">
        <v>22164.96</v>
      </c>
      <c r="D6" s="40">
        <v>11091.95</v>
      </c>
      <c r="E6" s="40">
        <f>SUMIFS('1月份挂账'!$P:$P,'1月份挂账'!$R:$R,$A6)-SUMIFS('1月份挂账'!$O:$O,'1月份挂账'!$R:$R,$A6)</f>
        <v>16908.28</v>
      </c>
      <c r="F6" s="41">
        <f t="shared" si="0"/>
        <v>29350.18</v>
      </c>
      <c r="G6" s="41">
        <f t="shared" si="1"/>
        <v>7185.22</v>
      </c>
    </row>
    <row r="7" customHeight="1" spans="1:7">
      <c r="A7" s="38" t="s">
        <v>297</v>
      </c>
      <c r="B7" s="39">
        <f>_xlfn.XLOOKUP(A7,'1月份科目余额（2.25导出）'!D:D,'1月份科目余额（2.25导出）'!O:O,0)</f>
        <v>16490.64</v>
      </c>
      <c r="C7" s="40">
        <v>4158.4</v>
      </c>
      <c r="D7" s="40">
        <v>11955.4</v>
      </c>
      <c r="E7" s="40">
        <f>SUMIFS('1月份挂账'!$P:$P,'1月份挂账'!$R:$R,$A7)-SUMIFS('1月份挂账'!$O:$O,'1月份挂账'!$R:$R,$A7)</f>
        <v>0</v>
      </c>
      <c r="F7" s="41">
        <f t="shared" si="0"/>
        <v>4535.24</v>
      </c>
      <c r="G7" s="41">
        <f t="shared" si="1"/>
        <v>376.84</v>
      </c>
    </row>
    <row r="8" customHeight="1" spans="1:7">
      <c r="A8" s="38" t="s">
        <v>244</v>
      </c>
      <c r="B8" s="39">
        <f>_xlfn.XLOOKUP(A8,'1月份科目余额（2.25导出）'!D:D,'1月份科目余额（2.25导出）'!O:O,0)</f>
        <v>262055.59</v>
      </c>
      <c r="C8" s="40">
        <v>73431.69</v>
      </c>
      <c r="D8" s="40">
        <v>101896.62</v>
      </c>
      <c r="E8" s="40">
        <f>SUMIFS('1月份挂账'!$P:$P,'1月份挂账'!$R:$R,$A8)-SUMIFS('1月份挂账'!$O:$O,'1月份挂账'!$R:$R,$A8)</f>
        <v>78601.67</v>
      </c>
      <c r="F8" s="41">
        <f t="shared" si="0"/>
        <v>81557.3</v>
      </c>
      <c r="G8" s="41">
        <f t="shared" si="1"/>
        <v>8125.61</v>
      </c>
    </row>
    <row r="9" customHeight="1" spans="1:7">
      <c r="A9" s="38" t="s">
        <v>245</v>
      </c>
      <c r="B9" s="39">
        <f>_xlfn.XLOOKUP(A9,'1月份科目余额（2.25导出）'!D:D,'1月份科目余额（2.25导出）'!O:O,0)</f>
        <v>139395</v>
      </c>
      <c r="C9" s="40">
        <v>58223.35</v>
      </c>
      <c r="D9" s="40">
        <v>65814.77</v>
      </c>
      <c r="E9" s="40">
        <f>SUMIFS('1月份挂账'!$P:$P,'1月份挂账'!$R:$R,$A9)-SUMIFS('1月份挂账'!$O:$O,'1月份挂账'!$R:$R,$A9)</f>
        <v>71377.35</v>
      </c>
      <c r="F9" s="41">
        <f t="shared" si="0"/>
        <v>2202.88</v>
      </c>
      <c r="G9" s="41">
        <f t="shared" si="1"/>
        <v>0</v>
      </c>
    </row>
    <row r="10" customHeight="1" spans="1:7">
      <c r="A10" s="38" t="s">
        <v>246</v>
      </c>
      <c r="B10" s="39">
        <f>_xlfn.XLOOKUP(A10,'1月份科目余额（2.25导出）'!D:D,'1月份科目余额（2.25导出）'!O:O,0)</f>
        <v>129030.41</v>
      </c>
      <c r="C10" s="40">
        <v>36579.57</v>
      </c>
      <c r="D10" s="40">
        <v>53202.89</v>
      </c>
      <c r="E10" s="40">
        <f>SUMIFS('1月份挂账'!$P:$P,'1月份挂账'!$R:$R,$A10)-SUMIFS('1月份挂账'!$O:$O,'1月份挂账'!$R:$R,$A10)</f>
        <v>75095.26</v>
      </c>
      <c r="F10" s="41">
        <f t="shared" si="0"/>
        <v>732.260000000009</v>
      </c>
      <c r="G10" s="41">
        <f t="shared" si="1"/>
        <v>0</v>
      </c>
    </row>
    <row r="11" customHeight="1" spans="1:7">
      <c r="A11" s="38" t="s">
        <v>247</v>
      </c>
      <c r="B11" s="39">
        <f>_xlfn.XLOOKUP(A11,'1月份科目余额（2.25导出）'!D:D,'1月份科目余额（2.25导出）'!O:O,0)</f>
        <v>15068.27</v>
      </c>
      <c r="C11" s="40">
        <v>24909.61</v>
      </c>
      <c r="D11" s="40">
        <v>15068.27</v>
      </c>
      <c r="E11" s="40">
        <f>SUMIFS('1月份挂账'!$P:$P,'1月份挂账'!$R:$R,$A11)-SUMIFS('1月份挂账'!$O:$O,'1月份挂账'!$R:$R,$A11)</f>
        <v>0</v>
      </c>
      <c r="F11" s="41">
        <f t="shared" si="0"/>
        <v>0</v>
      </c>
      <c r="G11" s="41">
        <f t="shared" si="1"/>
        <v>0</v>
      </c>
    </row>
    <row r="12" customHeight="1" spans="1:7">
      <c r="A12" s="38" t="s">
        <v>248</v>
      </c>
      <c r="B12" s="39">
        <f>_xlfn.XLOOKUP(A12,'1月份科目余额（2.25导出）'!D:D,'1月份科目余额（2.25导出）'!O:O,0)</f>
        <v>754195</v>
      </c>
      <c r="C12" s="40">
        <v>156040.34</v>
      </c>
      <c r="D12" s="40">
        <v>234060.52</v>
      </c>
      <c r="E12" s="40">
        <f>SUMIFS('1月份挂账'!$P:$P,'1月份挂账'!$R:$R,$A12)-SUMIFS('1月份挂账'!$O:$O,'1月份挂账'!$R:$R,$A12)</f>
        <v>520134.48</v>
      </c>
      <c r="F12" s="41">
        <f t="shared" si="0"/>
        <v>0</v>
      </c>
      <c r="G12" s="41">
        <f t="shared" si="1"/>
        <v>0</v>
      </c>
    </row>
    <row r="13" customHeight="1" spans="1:7">
      <c r="A13" s="38" t="s">
        <v>249</v>
      </c>
      <c r="B13" s="39">
        <f>_xlfn.XLOOKUP(A13,'1月份科目余额（2.25导出）'!D:D,'1月份科目余额（2.25导出）'!O:O,0)</f>
        <v>798845.31</v>
      </c>
      <c r="C13" s="40">
        <v>140073</v>
      </c>
      <c r="D13" s="40">
        <v>215330.24</v>
      </c>
      <c r="E13" s="40">
        <f>SUMIFS('1月份挂账'!$P:$P,'1月份挂账'!$R:$R,$A13)-SUMIFS('1月份挂账'!$O:$O,'1月份挂账'!$R:$R,$A13)</f>
        <v>442481.63</v>
      </c>
      <c r="F13" s="41">
        <f t="shared" si="0"/>
        <v>141033.44</v>
      </c>
      <c r="G13" s="41">
        <f t="shared" si="1"/>
        <v>960.440000000061</v>
      </c>
    </row>
    <row r="14" customHeight="1" spans="1:7">
      <c r="A14" s="38" t="s">
        <v>250</v>
      </c>
      <c r="B14" s="39">
        <f>_xlfn.XLOOKUP(A14,'1月份科目余额（2.25导出）'!D:D,'1月份科目余额（2.25导出）'!O:O,0)</f>
        <v>736769.84</v>
      </c>
      <c r="C14" s="40">
        <v>214435.01</v>
      </c>
      <c r="D14" s="40">
        <v>277122.08</v>
      </c>
      <c r="E14" s="40">
        <f>SUMIFS('1月份挂账'!$P:$P,'1月份挂账'!$R:$R,$A14)-SUMIFS('1月份挂账'!$O:$O,'1月份挂账'!$R:$R,$A14)</f>
        <v>332887.93</v>
      </c>
      <c r="F14" s="41">
        <f t="shared" si="0"/>
        <v>126759.83</v>
      </c>
      <c r="G14" s="41">
        <f t="shared" si="1"/>
        <v>0</v>
      </c>
    </row>
    <row r="15" customHeight="1" spans="1:7">
      <c r="A15" s="38" t="s">
        <v>298</v>
      </c>
      <c r="B15" s="39">
        <f>_xlfn.XLOOKUP(A15,'1月份科目余额（2.25导出）'!D:D,'1月份科目余额（2.25导出）'!O:O,0)</f>
        <v>266678.72</v>
      </c>
      <c r="C15" s="40">
        <v>44838.4</v>
      </c>
      <c r="D15" s="40">
        <v>76876.16</v>
      </c>
      <c r="E15" s="40">
        <f>SUMIFS('1月份挂账'!$P:$P,'1月份挂账'!$R:$R,$A15)-SUMIFS('1月份挂账'!$O:$O,'1月份挂账'!$R:$R,$A15)</f>
        <v>181993.28</v>
      </c>
      <c r="F15" s="41">
        <f t="shared" si="0"/>
        <v>7809.27999999997</v>
      </c>
      <c r="G15" s="41">
        <f t="shared" si="1"/>
        <v>0</v>
      </c>
    </row>
    <row r="16" customHeight="1" spans="1:7">
      <c r="A16" s="38" t="s">
        <v>251</v>
      </c>
      <c r="B16" s="39">
        <f>_xlfn.XLOOKUP(A16,'1月份科目余额（2.25导出）'!D:D,'1月份科目余额（2.25导出）'!O:O,0)</f>
        <v>579096.13</v>
      </c>
      <c r="C16" s="40">
        <v>315864</v>
      </c>
      <c r="D16" s="40">
        <v>496390.13</v>
      </c>
      <c r="E16" s="40">
        <f>SUMIFS('1月份挂账'!$P:$P,'1月份挂账'!$R:$R,$A16)-SUMIFS('1月份挂账'!$O:$O,'1月份挂账'!$R:$R,$A16)</f>
        <v>401306</v>
      </c>
      <c r="F16" s="41">
        <f t="shared" si="0"/>
        <v>0</v>
      </c>
      <c r="G16" s="41">
        <f t="shared" si="1"/>
        <v>0</v>
      </c>
    </row>
    <row r="17" customHeight="1" spans="1:7">
      <c r="A17" s="38" t="s">
        <v>252</v>
      </c>
      <c r="B17" s="39">
        <f>_xlfn.XLOOKUP(A17,'1月份科目余额（2.25导出）'!D:D,'1月份科目余额（2.25导出）'!O:O,0)</f>
        <v>329534.44</v>
      </c>
      <c r="C17" s="40">
        <v>120535.71</v>
      </c>
      <c r="D17" s="40">
        <v>125570.84</v>
      </c>
      <c r="E17" s="40">
        <f>SUMIFS('1月份挂账'!$P:$P,'1月份挂账'!$R:$R,$A17)-SUMIFS('1月份挂账'!$O:$O,'1月份挂账'!$R:$R,$A17)</f>
        <v>82996.78</v>
      </c>
      <c r="F17" s="41">
        <f t="shared" si="0"/>
        <v>120966.82</v>
      </c>
      <c r="G17" s="41">
        <f t="shared" si="1"/>
        <v>431.109999999986</v>
      </c>
    </row>
    <row r="18" customHeight="1" spans="1:7">
      <c r="A18" s="38" t="s">
        <v>253</v>
      </c>
      <c r="B18" s="39">
        <f>_xlfn.XLOOKUP(A18,'1月份科目余额（2.25导出）'!D:D,'1月份科目余额（2.25导出）'!O:O,0)</f>
        <v>244220.47</v>
      </c>
      <c r="C18" s="40">
        <v>82202.79</v>
      </c>
      <c r="D18" s="40">
        <v>103979.54</v>
      </c>
      <c r="E18" s="40">
        <f>SUMIFS('1月份挂账'!$P:$P,'1月份挂账'!$R:$R,$A18)-SUMIFS('1月份挂账'!$O:$O,'1月份挂账'!$R:$R,$A18)</f>
        <v>135456.27</v>
      </c>
      <c r="F18" s="41">
        <f t="shared" si="0"/>
        <v>4784.66</v>
      </c>
      <c r="G18" s="41">
        <f t="shared" si="1"/>
        <v>0</v>
      </c>
    </row>
    <row r="19" customHeight="1" spans="1:7">
      <c r="A19" s="38" t="s">
        <v>254</v>
      </c>
      <c r="B19" s="39">
        <f>_xlfn.XLOOKUP(A19,'1月份科目余额（2.25导出）'!D:D,'1月份科目余额（2.25导出）'!O:O,0)</f>
        <v>910504.9</v>
      </c>
      <c r="C19" s="40">
        <v>387879.92</v>
      </c>
      <c r="D19" s="40">
        <v>500315.59</v>
      </c>
      <c r="E19" s="40">
        <f>SUMIFS('1月份挂账'!$P:$P,'1月份挂账'!$R:$R,$A19)-SUMIFS('1月份挂账'!$O:$O,'1月份挂账'!$R:$R,$A19)</f>
        <v>913202.96</v>
      </c>
      <c r="F19" s="41">
        <f t="shared" si="0"/>
        <v>0</v>
      </c>
      <c r="G19" s="41">
        <f t="shared" si="1"/>
        <v>0</v>
      </c>
    </row>
    <row r="20" customHeight="1" spans="1:7">
      <c r="A20" s="38" t="s">
        <v>255</v>
      </c>
      <c r="B20" s="39">
        <f>_xlfn.XLOOKUP(A20,'1月份科目余额（2.25导出）'!D:D,'1月份科目余额（2.25导出）'!O:O,0)</f>
        <v>374826.52</v>
      </c>
      <c r="C20" s="40">
        <v>84254.16</v>
      </c>
      <c r="D20" s="40">
        <v>144813.5</v>
      </c>
      <c r="E20" s="40">
        <f>SUMIFS('1月份挂账'!$P:$P,'1月份挂账'!$R:$R,$A20)-SUMIFS('1月份挂账'!$O:$O,'1月份挂账'!$R:$R,$A20)</f>
        <v>0</v>
      </c>
      <c r="F20" s="41">
        <f t="shared" si="0"/>
        <v>230013.02</v>
      </c>
      <c r="G20" s="41">
        <f t="shared" si="1"/>
        <v>145758.86</v>
      </c>
    </row>
    <row r="21" customHeight="1" spans="1:7">
      <c r="A21" s="38" t="s">
        <v>256</v>
      </c>
      <c r="B21" s="39">
        <f>_xlfn.XLOOKUP(A21,'1月份科目余额（2.25导出）'!D:D,'1月份科目余额（2.25导出）'!O:O,0)</f>
        <v>194633.37</v>
      </c>
      <c r="C21" s="40">
        <v>2672377.55</v>
      </c>
      <c r="D21" s="40">
        <v>1178057.46</v>
      </c>
      <c r="E21" s="40">
        <f>SUMIFS('1月份挂账'!$P:$P,'1月份挂账'!$R:$R,$A21)-SUMIFS('1月份挂账'!$O:$O,'1月份挂账'!$R:$R,$A21)</f>
        <v>0</v>
      </c>
      <c r="F21" s="41">
        <f t="shared" si="0"/>
        <v>0</v>
      </c>
      <c r="G21" s="41">
        <f t="shared" si="1"/>
        <v>0</v>
      </c>
    </row>
    <row r="22" customHeight="1" spans="1:7">
      <c r="A22" s="38" t="s">
        <v>257</v>
      </c>
      <c r="B22" s="39">
        <f>_xlfn.XLOOKUP(A22,'1月份科目余额（2.25导出）'!D:D,'1月份科目余额（2.25导出）'!O:O,0)</f>
        <v>-386888.71</v>
      </c>
      <c r="C22" s="40">
        <v>159248.64</v>
      </c>
      <c r="D22" s="40">
        <v>320815.05</v>
      </c>
      <c r="E22" s="40">
        <f>SUMIFS('1月份挂账'!$P:$P,'1月份挂账'!$R:$R,$A22)-SUMIFS('1月份挂账'!$O:$O,'1月份挂账'!$R:$R,$A22)</f>
        <v>0</v>
      </c>
      <c r="F22" s="41">
        <f t="shared" si="0"/>
        <v>0</v>
      </c>
      <c r="G22" s="41">
        <f t="shared" si="1"/>
        <v>0</v>
      </c>
    </row>
    <row r="23" customHeight="1" spans="1:7">
      <c r="A23" s="38" t="s">
        <v>258</v>
      </c>
      <c r="B23" s="39">
        <f>_xlfn.XLOOKUP(A23,'1月份科目余额（2.25导出）'!D:D,'1月份科目余额（2.25导出）'!O:O,0)</f>
        <v>245714.01</v>
      </c>
      <c r="C23" s="40">
        <v>204055.98</v>
      </c>
      <c r="D23" s="40">
        <v>176582.49</v>
      </c>
      <c r="E23" s="40">
        <f>SUMIFS('1月份挂账'!$P:$P,'1月份挂账'!$R:$R,$A23)-SUMIFS('1月份挂账'!$O:$O,'1月份挂账'!$R:$R,$A23)</f>
        <v>61016.77</v>
      </c>
      <c r="F23" s="41">
        <f t="shared" si="0"/>
        <v>8114.75000000002</v>
      </c>
      <c r="G23" s="41">
        <f t="shared" si="1"/>
        <v>0</v>
      </c>
    </row>
    <row r="24" customHeight="1" spans="1:7">
      <c r="A24" s="38" t="s">
        <v>259</v>
      </c>
      <c r="B24" s="39">
        <f>_xlfn.XLOOKUP(A24,'1月份科目余额（2.25导出）'!D:D,'1月份科目余额（2.25导出）'!O:O,0)</f>
        <v>549356.28</v>
      </c>
      <c r="C24" s="40">
        <v>133199.88</v>
      </c>
      <c r="D24" s="40">
        <v>174513.81</v>
      </c>
      <c r="E24" s="40">
        <f>SUMIFS('1月份挂账'!$P:$P,'1月份挂账'!$R:$R,$A24)-SUMIFS('1月份挂账'!$O:$O,'1月份挂账'!$R:$R,$A24)</f>
        <v>241642.59</v>
      </c>
      <c r="F24" s="41">
        <f t="shared" si="0"/>
        <v>133199.88</v>
      </c>
      <c r="G24" s="41">
        <f t="shared" si="1"/>
        <v>0</v>
      </c>
    </row>
    <row r="25" customHeight="1" spans="1:7">
      <c r="A25" s="38" t="s">
        <v>299</v>
      </c>
      <c r="B25" s="39">
        <f>_xlfn.XLOOKUP(A25,'1月份科目余额（2.25导出）'!D:D,'1月份科目余额（2.25导出）'!O:O,0)</f>
        <v>324795.29</v>
      </c>
      <c r="C25" s="40">
        <v>287434.43</v>
      </c>
      <c r="D25" s="40">
        <v>0</v>
      </c>
      <c r="E25" s="40">
        <f>SUMIFS('1月份挂账'!$P:$P,'1月份挂账'!$R:$R,$A25)-SUMIFS('1月份挂账'!$O:$O,'1月份挂账'!$R:$R,$A25)</f>
        <v>324795.67</v>
      </c>
      <c r="F25" s="41">
        <f t="shared" si="0"/>
        <v>0</v>
      </c>
      <c r="G25" s="41">
        <f t="shared" si="1"/>
        <v>0</v>
      </c>
    </row>
    <row r="26" customHeight="1" spans="1:7">
      <c r="A26" s="38" t="s">
        <v>260</v>
      </c>
      <c r="B26" s="39">
        <f>_xlfn.XLOOKUP(A26,'1月份科目余额（2.25导出）'!D:D,'1月份科目余额（2.25导出）'!O:O,0)</f>
        <v>381600.18</v>
      </c>
      <c r="C26" s="40">
        <v>104392.72</v>
      </c>
      <c r="D26" s="40">
        <v>128847.2</v>
      </c>
      <c r="E26" s="40">
        <f>SUMIFS('1月份挂账'!$P:$P,'1月份挂账'!$R:$R,$A26)-SUMIFS('1月份挂账'!$O:$O,'1月份挂账'!$R:$R,$A26)</f>
        <v>148360.26</v>
      </c>
      <c r="F26" s="41">
        <f t="shared" si="0"/>
        <v>104392.72</v>
      </c>
      <c r="G26" s="41">
        <f t="shared" si="1"/>
        <v>0</v>
      </c>
    </row>
    <row r="27" customHeight="1" spans="1:7">
      <c r="A27" s="38" t="s">
        <v>261</v>
      </c>
      <c r="B27" s="39">
        <f>_xlfn.XLOOKUP(A27,'1月份科目余额（2.25导出）'!D:D,'1月份科目余额（2.25导出）'!O:O,0)</f>
        <v>803596.61</v>
      </c>
      <c r="C27" s="40">
        <v>314465</v>
      </c>
      <c r="D27" s="40">
        <v>0</v>
      </c>
      <c r="E27" s="40">
        <f>SUMIFS('1月份挂账'!$P:$P,'1月份挂账'!$R:$R,$A27)-SUMIFS('1月份挂账'!$O:$O,'1月份挂账'!$R:$R,$A27)</f>
        <v>0</v>
      </c>
      <c r="F27" s="41">
        <f t="shared" si="0"/>
        <v>803596.61</v>
      </c>
      <c r="G27" s="41">
        <f t="shared" si="1"/>
        <v>489131.61</v>
      </c>
    </row>
    <row r="28" customHeight="1" spans="1:7">
      <c r="A28" s="38" t="s">
        <v>262</v>
      </c>
      <c r="B28" s="39">
        <f>_xlfn.XLOOKUP(A28,'1月份科目余额（2.25导出）'!D:D,'1月份科目余额（2.25导出）'!O:O,0)</f>
        <v>360864.9</v>
      </c>
      <c r="C28" s="40">
        <v>351001.84</v>
      </c>
      <c r="D28" s="40">
        <v>0</v>
      </c>
      <c r="E28" s="40">
        <f>SUMIFS('1月份挂账'!$P:$P,'1月份挂账'!$R:$R,$A28)-SUMIFS('1月份挂账'!$O:$O,'1月份挂账'!$R:$R,$A28)</f>
        <v>0</v>
      </c>
      <c r="F28" s="41">
        <f t="shared" si="0"/>
        <v>360864.9</v>
      </c>
      <c r="G28" s="41">
        <f t="shared" si="1"/>
        <v>9863.06</v>
      </c>
    </row>
    <row r="29" customHeight="1" spans="1:7">
      <c r="A29" s="38" t="s">
        <v>263</v>
      </c>
      <c r="B29" s="39">
        <f>_xlfn.XLOOKUP(A29,'1月份科目余额（2.25导出）'!D:D,'1月份科目余额（2.25导出）'!O:O,0)</f>
        <v>113065.81</v>
      </c>
      <c r="C29" s="40">
        <v>56508.57</v>
      </c>
      <c r="D29" s="40">
        <v>76774.03</v>
      </c>
      <c r="E29" s="40">
        <f>SUMIFS('1月份挂账'!$P:$P,'1月份挂账'!$R:$R,$A29)-SUMIFS('1月份挂账'!$O:$O,'1月份挂账'!$R:$R,$A29)</f>
        <v>32879.45</v>
      </c>
      <c r="F29" s="41">
        <f t="shared" si="0"/>
        <v>3412.32999999999</v>
      </c>
      <c r="G29" s="41">
        <f t="shared" si="1"/>
        <v>0</v>
      </c>
    </row>
    <row r="30" customHeight="1" spans="1:7">
      <c r="A30" s="38" t="s">
        <v>264</v>
      </c>
      <c r="B30" s="39">
        <f>_xlfn.XLOOKUP(A30,'1月份科目余额（2.25导出）'!D:D,'1月份科目余额（2.25导出）'!O:O,0)</f>
        <v>2881042.38</v>
      </c>
      <c r="C30" s="40">
        <v>910693.24</v>
      </c>
      <c r="D30" s="40">
        <v>879093.92</v>
      </c>
      <c r="E30" s="40">
        <f>SUMIFS('1月份挂账'!$P:$P,'1月份挂账'!$R:$R,$A30)-SUMIFS('1月份挂账'!$O:$O,'1月份挂账'!$R:$R,$A30)</f>
        <v>1066979.88</v>
      </c>
      <c r="F30" s="41">
        <f t="shared" si="0"/>
        <v>934968.58</v>
      </c>
      <c r="G30" s="41">
        <f t="shared" si="1"/>
        <v>24275.3399999996</v>
      </c>
    </row>
    <row r="31" customHeight="1" spans="1:7">
      <c r="A31" s="38" t="s">
        <v>265</v>
      </c>
      <c r="B31" s="39">
        <f>_xlfn.XLOOKUP(A31,'1月份科目余额（2.25导出）'!D:D,'1月份科目余额（2.25导出）'!O:O,0)</f>
        <v>3220208.22</v>
      </c>
      <c r="C31" s="40">
        <v>1289815.35</v>
      </c>
      <c r="D31" s="40">
        <v>1521381.72</v>
      </c>
      <c r="E31" s="40">
        <f>SUMIFS('1月份挂账'!$P:$P,'1月份挂账'!$R:$R,$A31)-SUMIFS('1月份挂账'!$O:$O,'1月份挂账'!$R:$R,$A31)</f>
        <v>1711278.93</v>
      </c>
      <c r="F31" s="41">
        <f t="shared" si="0"/>
        <v>0</v>
      </c>
      <c r="G31" s="41">
        <f t="shared" si="1"/>
        <v>0</v>
      </c>
    </row>
    <row r="32" customHeight="1" spans="1:7">
      <c r="A32" s="38" t="s">
        <v>267</v>
      </c>
      <c r="B32" s="39">
        <f>_xlfn.XLOOKUP(A32,'1月份科目余额（2.25导出）'!D:D,'1月份科目余额（2.25导出）'!O:O,0)</f>
        <v>25471.28</v>
      </c>
      <c r="C32" s="40">
        <v>9390.47</v>
      </c>
      <c r="D32" s="40">
        <v>12930.65</v>
      </c>
      <c r="E32" s="40">
        <f>SUMIFS('1月份挂账'!$P:$P,'1月份挂账'!$R:$R,$A32)-SUMIFS('1月份挂账'!$O:$O,'1月份挂账'!$R:$R,$A32)</f>
        <v>12540.63</v>
      </c>
      <c r="F32" s="41">
        <f t="shared" si="0"/>
        <v>0</v>
      </c>
      <c r="G32" s="41">
        <f t="shared" si="1"/>
        <v>0</v>
      </c>
    </row>
    <row r="33" customHeight="1" spans="1:7">
      <c r="A33" s="38" t="s">
        <v>268</v>
      </c>
      <c r="B33" s="39">
        <f>_xlfn.XLOOKUP(A33,'1月份科目余额（2.25导出）'!D:D,'1月份科目余额（2.25导出）'!O:O,0)</f>
        <v>25062.5</v>
      </c>
      <c r="C33" s="40">
        <v>0</v>
      </c>
      <c r="D33" s="40">
        <v>25062.5</v>
      </c>
      <c r="E33" s="40">
        <f>SUMIFS('1月份挂账'!$P:$P,'1月份挂账'!$R:$R,$A33)-SUMIFS('1月份挂账'!$O:$O,'1月份挂账'!$R:$R,$A33)</f>
        <v>0</v>
      </c>
      <c r="F33" s="41">
        <f t="shared" si="0"/>
        <v>0</v>
      </c>
      <c r="G33" s="41">
        <f t="shared" si="1"/>
        <v>0</v>
      </c>
    </row>
    <row r="34" customHeight="1" spans="1:7">
      <c r="A34" s="38" t="s">
        <v>406</v>
      </c>
      <c r="B34" s="39">
        <f>_xlfn.XLOOKUP(A34,'1月份科目余额（2.25导出）'!D:D,'1月份科目余额（2.25导出）'!O:O,0)</f>
        <v>2621.52</v>
      </c>
      <c r="C34" s="40">
        <v>0</v>
      </c>
      <c r="D34" s="40">
        <v>0</v>
      </c>
      <c r="E34" s="40">
        <f>SUMIFS('1月份挂账'!$P:$P,'1月份挂账'!$R:$R,$A34)-SUMIFS('1月份挂账'!$O:$O,'1月份挂账'!$R:$R,$A34)</f>
        <v>0</v>
      </c>
      <c r="F34" s="41">
        <f t="shared" si="0"/>
        <v>2621.52</v>
      </c>
      <c r="G34" s="41">
        <f t="shared" si="1"/>
        <v>2621.52</v>
      </c>
    </row>
    <row r="35" customHeight="1" spans="1:7">
      <c r="A35" s="38" t="s">
        <v>407</v>
      </c>
      <c r="B35" s="39">
        <f>_xlfn.XLOOKUP(A35,'1月份科目余额（2.25导出）'!D:D,'1月份科目余额（2.25导出）'!O:O,0)</f>
        <v>54943.1</v>
      </c>
      <c r="C35" s="40">
        <v>0</v>
      </c>
      <c r="D35" s="40">
        <v>0</v>
      </c>
      <c r="E35" s="40">
        <f>SUMIFS('1月份挂账'!$P:$P,'1月份挂账'!$R:$R,$A35)-SUMIFS('1月份挂账'!$O:$O,'1月份挂账'!$R:$R,$A35)</f>
        <v>0</v>
      </c>
      <c r="F35" s="41">
        <f t="shared" si="0"/>
        <v>54943.1</v>
      </c>
      <c r="G35" s="41">
        <f t="shared" si="1"/>
        <v>54943.1</v>
      </c>
    </row>
    <row r="36" customHeight="1" spans="1:7">
      <c r="A36" s="38" t="s">
        <v>300</v>
      </c>
      <c r="B36" s="39">
        <f>_xlfn.XLOOKUP(A36,'1月份科目余额（2.25导出）'!D:D,'1月份科目余额（2.25导出）'!O:O,0)</f>
        <v>149557.34</v>
      </c>
      <c r="C36" s="40">
        <v>184312.22</v>
      </c>
      <c r="D36" s="40">
        <v>149557.34</v>
      </c>
      <c r="E36" s="40">
        <f>SUMIFS('1月份挂账'!$P:$P,'1月份挂账'!$R:$R,$A36)-SUMIFS('1月份挂账'!$O:$O,'1月份挂账'!$R:$R,$A36)</f>
        <v>147549.22</v>
      </c>
      <c r="F36" s="41">
        <f t="shared" si="0"/>
        <v>0</v>
      </c>
      <c r="G36" s="41">
        <f t="shared" si="1"/>
        <v>0</v>
      </c>
    </row>
    <row r="37" customHeight="1" spans="1:7">
      <c r="A37" s="38" t="s">
        <v>301</v>
      </c>
      <c r="B37" s="39">
        <f>_xlfn.XLOOKUP(A37,'1月份科目余额（2.25导出）'!D:D,'1月份科目余额（2.25导出）'!O:O,0)</f>
        <v>141610.15</v>
      </c>
      <c r="C37" s="40">
        <v>86320.08</v>
      </c>
      <c r="D37" s="40">
        <v>871.64</v>
      </c>
      <c r="E37" s="40">
        <f>SUMIFS('1月份挂账'!$P:$P,'1月份挂账'!$R:$R,$A37)-SUMIFS('1月份挂账'!$O:$O,'1月份挂账'!$R:$R,$A37)</f>
        <v>49192.39</v>
      </c>
      <c r="F37" s="41">
        <f t="shared" si="0"/>
        <v>91546.12</v>
      </c>
      <c r="G37" s="41">
        <f t="shared" si="1"/>
        <v>5226.03999999999</v>
      </c>
    </row>
    <row r="38" customHeight="1" spans="1:7">
      <c r="A38" s="38" t="s">
        <v>269</v>
      </c>
      <c r="B38" s="39">
        <f>_xlfn.XLOOKUP(A38,'1月份科目余额（2.25导出）'!D:D,'1月份科目余额（2.25导出）'!O:O,0)</f>
        <v>-10623.91</v>
      </c>
      <c r="C38" s="40">
        <v>0</v>
      </c>
      <c r="D38" s="40">
        <v>98691.84</v>
      </c>
      <c r="E38" s="40">
        <f>SUMIFS('1月份挂账'!$P:$P,'1月份挂账'!$R:$R,$A38)-SUMIFS('1月份挂账'!$O:$O,'1月份挂账'!$R:$R,$A38)</f>
        <v>95896.6</v>
      </c>
      <c r="F38" s="41">
        <f t="shared" si="0"/>
        <v>0</v>
      </c>
      <c r="G38" s="41">
        <f t="shared" si="1"/>
        <v>0</v>
      </c>
    </row>
    <row r="39" customHeight="1" spans="1:7">
      <c r="A39" s="38" t="s">
        <v>270</v>
      </c>
      <c r="B39" s="39">
        <f>_xlfn.XLOOKUP(A39,'1月份科目余额（2.25导出）'!D:D,'1月份科目余额（2.25导出）'!O:O,0)</f>
        <v>23501.85</v>
      </c>
      <c r="C39" s="40">
        <v>16465.23</v>
      </c>
      <c r="D39" s="40">
        <v>15941.5</v>
      </c>
      <c r="E39" s="40">
        <f>SUMIFS('1月份挂账'!$P:$P,'1月份挂账'!$R:$R,$A39)-SUMIFS('1月份挂账'!$O:$O,'1月份挂账'!$R:$R,$A39)</f>
        <v>7509.52</v>
      </c>
      <c r="F39" s="41">
        <f t="shared" si="0"/>
        <v>50.8299999999981</v>
      </c>
      <c r="G39" s="41">
        <f t="shared" si="1"/>
        <v>0</v>
      </c>
    </row>
    <row r="40" customHeight="1" spans="1:7">
      <c r="A40" s="38" t="s">
        <v>271</v>
      </c>
      <c r="B40" s="39">
        <f>_xlfn.XLOOKUP(A40,'1月份科目余额（2.25导出）'!D:D,'1月份科目余额（2.25导出）'!O:O,0)</f>
        <v>22774.59</v>
      </c>
      <c r="C40" s="40">
        <v>0</v>
      </c>
      <c r="D40" s="40">
        <v>0</v>
      </c>
      <c r="E40" s="40">
        <f>SUMIFS('1月份挂账'!$P:$P,'1月份挂账'!$R:$R,$A40)-SUMIFS('1月份挂账'!$O:$O,'1月份挂账'!$R:$R,$A40)</f>
        <v>0</v>
      </c>
      <c r="F40" s="41">
        <f t="shared" si="0"/>
        <v>22774.59</v>
      </c>
      <c r="G40" s="41">
        <f t="shared" si="1"/>
        <v>22774.59</v>
      </c>
    </row>
    <row r="41" customHeight="1" spans="1:7">
      <c r="A41" s="38" t="s">
        <v>272</v>
      </c>
      <c r="B41" s="39">
        <f>_xlfn.XLOOKUP(A41,'1月份科目余额（2.25导出）'!D:D,'1月份科目余额（2.25导出）'!O:O,0)</f>
        <v>328471.91</v>
      </c>
      <c r="C41" s="40">
        <v>129368.42</v>
      </c>
      <c r="D41" s="40">
        <v>145034.28</v>
      </c>
      <c r="E41" s="40">
        <f>SUMIFS('1月份挂账'!$P:$P,'1月份挂账'!$R:$R,$A41)-SUMIFS('1月份挂账'!$O:$O,'1月份挂账'!$R:$R,$A41)</f>
        <v>175708.95</v>
      </c>
      <c r="F41" s="41">
        <f t="shared" si="0"/>
        <v>7728.67999999996</v>
      </c>
      <c r="G41" s="41">
        <f t="shared" si="1"/>
        <v>0</v>
      </c>
    </row>
    <row r="42" customHeight="1" spans="1:7">
      <c r="A42" s="38" t="s">
        <v>273</v>
      </c>
      <c r="B42" s="39">
        <f>_xlfn.XLOOKUP(A42,'1月份科目余额（2.25导出）'!D:D,'1月份科目余额（2.25导出）'!O:O,0)</f>
        <v>13613.57</v>
      </c>
      <c r="C42" s="40">
        <v>13613.57</v>
      </c>
      <c r="D42" s="40">
        <v>0</v>
      </c>
      <c r="E42" s="40">
        <f>SUMIFS('1月份挂账'!$P:$P,'1月份挂账'!$R:$R,$A42)-SUMIFS('1月份挂账'!$O:$O,'1月份挂账'!$R:$R,$A42)</f>
        <v>0</v>
      </c>
      <c r="F42" s="41">
        <f t="shared" si="0"/>
        <v>13613.57</v>
      </c>
      <c r="G42" s="41">
        <f t="shared" si="1"/>
        <v>0</v>
      </c>
    </row>
    <row r="43" customHeight="1" spans="1:7">
      <c r="A43" s="38" t="s">
        <v>302</v>
      </c>
      <c r="B43" s="39">
        <f>_xlfn.XLOOKUP(A43,'1月份科目余额（2.25导出）'!D:D,'1月份科目余额（2.25导出）'!O:O,0)</f>
        <v>221893.67</v>
      </c>
      <c r="C43" s="40">
        <v>0</v>
      </c>
      <c r="D43" s="40">
        <v>21119.7</v>
      </c>
      <c r="E43" s="40">
        <f>SUMIFS('1月份挂账'!$P:$P,'1月份挂账'!$R:$R,$A43)-SUMIFS('1月份挂账'!$O:$O,'1月份挂账'!$R:$R,$A43)</f>
        <v>34215.27</v>
      </c>
      <c r="F43" s="41">
        <f t="shared" si="0"/>
        <v>166558.7</v>
      </c>
      <c r="G43" s="41">
        <f t="shared" si="1"/>
        <v>166558.7</v>
      </c>
    </row>
    <row r="44" customHeight="1" spans="1:7">
      <c r="A44" s="38" t="s">
        <v>274</v>
      </c>
      <c r="B44" s="39">
        <f>_xlfn.XLOOKUP(A44,'1月份科目余额（2.25导出）'!D:D,'1月份科目余额（2.25导出）'!O:O,0)</f>
        <v>232164.57</v>
      </c>
      <c r="C44" s="40">
        <v>78272.1</v>
      </c>
      <c r="D44" s="40">
        <v>80766.45</v>
      </c>
      <c r="E44" s="40">
        <f>SUMIFS('1月份挂账'!$P:$P,'1月份挂账'!$R:$R,$A44)-SUMIFS('1月份挂账'!$O:$O,'1月份挂账'!$R:$R,$A44)</f>
        <v>58259.63</v>
      </c>
      <c r="F44" s="41">
        <f t="shared" si="0"/>
        <v>93138.49</v>
      </c>
      <c r="G44" s="41">
        <f t="shared" si="1"/>
        <v>14866.39</v>
      </c>
    </row>
    <row r="45" customHeight="1" spans="1:7">
      <c r="A45" s="38" t="s">
        <v>275</v>
      </c>
      <c r="B45" s="39">
        <f>_xlfn.XLOOKUP(A45,'1月份科目余额（2.25导出）'!D:D,'1月份科目余额（2.25导出）'!O:O,0)</f>
        <v>13886.37</v>
      </c>
      <c r="C45" s="40">
        <v>0</v>
      </c>
      <c r="D45" s="40">
        <v>8179.64</v>
      </c>
      <c r="E45" s="40">
        <f>SUMIFS('1月份挂账'!$P:$P,'1月份挂账'!$R:$R,$A45)-SUMIFS('1月份挂账'!$O:$O,'1月份挂账'!$R:$R,$A45)</f>
        <v>5706.73</v>
      </c>
      <c r="F45" s="41">
        <f t="shared" si="0"/>
        <v>0</v>
      </c>
      <c r="G45" s="41">
        <f t="shared" si="1"/>
        <v>0</v>
      </c>
    </row>
    <row r="46" customHeight="1" spans="1:7">
      <c r="A46" s="38" t="s">
        <v>408</v>
      </c>
      <c r="B46" s="39">
        <f>_xlfn.XLOOKUP(A46,'1月份科目余额（2.25导出）'!D:D,'1月份科目余额（2.25导出）'!O:O,0)</f>
        <v>14278.43</v>
      </c>
      <c r="C46" s="40">
        <v>0</v>
      </c>
      <c r="D46" s="40">
        <v>0</v>
      </c>
      <c r="E46" s="40">
        <f>SUMIFS('1月份挂账'!$P:$P,'1月份挂账'!$R:$R,$A46)-SUMIFS('1月份挂账'!$O:$O,'1月份挂账'!$R:$R,$A46)</f>
        <v>0</v>
      </c>
      <c r="F46" s="41">
        <f t="shared" si="0"/>
        <v>14278.43</v>
      </c>
      <c r="G46" s="41">
        <f t="shared" si="1"/>
        <v>14278.43</v>
      </c>
    </row>
    <row r="47" customHeight="1" spans="1:7">
      <c r="A47" s="38" t="s">
        <v>276</v>
      </c>
      <c r="B47" s="39">
        <f>_xlfn.XLOOKUP(A47,'1月份科目余额（2.25导出）'!D:D,'1月份科目余额（2.25导出）'!O:O,0)</f>
        <v>38188.24</v>
      </c>
      <c r="C47" s="40">
        <v>0</v>
      </c>
      <c r="D47" s="40">
        <v>0</v>
      </c>
      <c r="E47" s="40">
        <f>SUMIFS('1月份挂账'!$P:$P,'1月份挂账'!$R:$R,$A47)-SUMIFS('1月份挂账'!$O:$O,'1月份挂账'!$R:$R,$A47)</f>
        <v>0</v>
      </c>
      <c r="F47" s="41">
        <f t="shared" si="0"/>
        <v>38188.24</v>
      </c>
      <c r="G47" s="41">
        <f t="shared" si="1"/>
        <v>38188.24</v>
      </c>
    </row>
    <row r="48" customHeight="1" spans="1:7">
      <c r="A48" s="38" t="s">
        <v>303</v>
      </c>
      <c r="B48" s="39">
        <f>_xlfn.XLOOKUP(A48,'1月份科目余额（2.25导出）'!D:D,'1月份科目余额（2.25导出）'!O:O,0)</f>
        <v>394240</v>
      </c>
      <c r="C48" s="40">
        <v>376656</v>
      </c>
      <c r="D48" s="40">
        <v>0</v>
      </c>
      <c r="E48" s="40">
        <f>SUMIFS('1月份挂账'!$P:$P,'1月份挂账'!$R:$R,$A48)-SUMIFS('1月份挂账'!$O:$O,'1月份挂账'!$R:$R,$A48)</f>
        <v>394240</v>
      </c>
      <c r="F48" s="41">
        <f t="shared" si="0"/>
        <v>0</v>
      </c>
      <c r="G48" s="41">
        <f t="shared" si="1"/>
        <v>0</v>
      </c>
    </row>
    <row r="49" customHeight="1" spans="1:7">
      <c r="A49" s="38" t="s">
        <v>277</v>
      </c>
      <c r="B49" s="39">
        <f>_xlfn.XLOOKUP(A49,'1月份科目余额（2.25导出）'!D:D,'1月份科目余额（2.25导出）'!O:O,0)</f>
        <v>0</v>
      </c>
      <c r="C49" s="40">
        <v>483184.09</v>
      </c>
      <c r="D49" s="40">
        <v>568596.23</v>
      </c>
      <c r="E49" s="40">
        <f>SUMIFS('1月份挂账'!$P:$P,'1月份挂账'!$R:$R,$A49)-SUMIFS('1月份挂账'!$O:$O,'1月份挂账'!$R:$R,$A49)</f>
        <v>513493.75</v>
      </c>
      <c r="F49" s="41">
        <f t="shared" si="0"/>
        <v>0</v>
      </c>
      <c r="G49" s="41">
        <f t="shared" si="1"/>
        <v>0</v>
      </c>
    </row>
    <row r="50" customHeight="1" spans="1:7">
      <c r="A50" s="38" t="s">
        <v>304</v>
      </c>
      <c r="B50" s="39">
        <f>_xlfn.XLOOKUP(A50,'1月份科目余额（2.25导出）'!D:D,'1月份科目余额（2.25导出）'!O:O,0)</f>
        <v>31814.02</v>
      </c>
      <c r="C50" s="40">
        <v>0</v>
      </c>
      <c r="D50" s="40">
        <v>31814.02</v>
      </c>
      <c r="E50" s="40">
        <f>SUMIFS('1月份挂账'!$P:$P,'1月份挂账'!$R:$R,$A50)-SUMIFS('1月份挂账'!$O:$O,'1月份挂账'!$R:$R,$A50)</f>
        <v>0</v>
      </c>
      <c r="F50" s="41">
        <f t="shared" si="0"/>
        <v>0</v>
      </c>
      <c r="G50" s="41">
        <f t="shared" si="1"/>
        <v>0</v>
      </c>
    </row>
    <row r="51" customHeight="1" spans="1:7">
      <c r="A51" s="38" t="s">
        <v>305</v>
      </c>
      <c r="B51" s="39">
        <f>_xlfn.XLOOKUP(A51,'1月份科目余额（2.25导出）'!D:D,'1月份科目余额（2.25导出）'!O:O,0)</f>
        <v>0</v>
      </c>
      <c r="C51" s="40">
        <v>5796.9</v>
      </c>
      <c r="D51" s="40">
        <v>0</v>
      </c>
      <c r="E51" s="40">
        <f>SUMIFS('1月份挂账'!$P:$P,'1月份挂账'!$R:$R,$A51)-SUMIFS('1月份挂账'!$O:$O,'1月份挂账'!$R:$R,$A51)</f>
        <v>0</v>
      </c>
      <c r="F51" s="41">
        <f t="shared" si="0"/>
        <v>0</v>
      </c>
      <c r="G51" s="41">
        <f t="shared" si="1"/>
        <v>0</v>
      </c>
    </row>
    <row r="52" customHeight="1" spans="1:7">
      <c r="A52" s="38" t="s">
        <v>409</v>
      </c>
      <c r="B52" s="39">
        <f>_xlfn.XLOOKUP(A52,'1月份科目余额（2.25导出）'!D:D,'1月份科目余额（2.25导出）'!O:O,0)</f>
        <v>24590.72</v>
      </c>
      <c r="C52" s="40">
        <v>0</v>
      </c>
      <c r="D52" s="40">
        <v>0</v>
      </c>
      <c r="E52" s="40">
        <f>SUMIFS('1月份挂账'!$P:$P,'1月份挂账'!$R:$R,$A52)-SUMIFS('1月份挂账'!$O:$O,'1月份挂账'!$R:$R,$A52)</f>
        <v>0</v>
      </c>
      <c r="F52" s="41">
        <f t="shared" si="0"/>
        <v>24590.72</v>
      </c>
      <c r="G52" s="41">
        <f t="shared" si="1"/>
        <v>24590.72</v>
      </c>
    </row>
    <row r="53" customHeight="1" spans="1:7">
      <c r="A53" s="38" t="s">
        <v>410</v>
      </c>
      <c r="B53" s="39">
        <f>_xlfn.XLOOKUP(A53,'1月份科目余额（2.25导出）'!D:D,'1月份科目余额（2.25导出）'!O:O,0)</f>
        <v>34880</v>
      </c>
      <c r="C53" s="40">
        <v>0</v>
      </c>
      <c r="D53" s="40">
        <v>0</v>
      </c>
      <c r="E53" s="40">
        <f>SUMIFS('1月份挂账'!$P:$P,'1月份挂账'!$R:$R,$A53)-SUMIFS('1月份挂账'!$O:$O,'1月份挂账'!$R:$R,$A53)</f>
        <v>0</v>
      </c>
      <c r="F53" s="41">
        <f t="shared" si="0"/>
        <v>34880</v>
      </c>
      <c r="G53" s="41">
        <f t="shared" si="1"/>
        <v>34880</v>
      </c>
    </row>
    <row r="54" customHeight="1" spans="1:7">
      <c r="A54" s="38" t="s">
        <v>411</v>
      </c>
      <c r="B54" s="39">
        <f>_xlfn.XLOOKUP(A54,'1月份科目余额（2.25导出）'!D:D,'1月份科目余额（2.25导出）'!O:O,0)</f>
        <v>0</v>
      </c>
      <c r="C54" s="40">
        <v>0</v>
      </c>
      <c r="D54" s="40">
        <v>0</v>
      </c>
      <c r="E54" s="40">
        <f>SUMIFS('1月份挂账'!$P:$P,'1月份挂账'!$R:$R,$A54)-SUMIFS('1月份挂账'!$O:$O,'1月份挂账'!$R:$R,$A54)</f>
        <v>0</v>
      </c>
      <c r="F54" s="41">
        <f t="shared" si="0"/>
        <v>0</v>
      </c>
      <c r="G54" s="41">
        <f t="shared" si="1"/>
        <v>0</v>
      </c>
    </row>
    <row r="55" customHeight="1" spans="1:7">
      <c r="A55" s="38" t="s">
        <v>278</v>
      </c>
      <c r="B55" s="39">
        <f>_xlfn.XLOOKUP(A55,'1月份科目余额（2.25导出）'!D:D,'1月份科目余额（2.25导出）'!O:O,0)</f>
        <v>10558.72</v>
      </c>
      <c r="C55" s="40">
        <v>9898.8</v>
      </c>
      <c r="D55" s="40">
        <v>9898.8</v>
      </c>
      <c r="E55" s="40">
        <f>SUMIFS('1月份挂账'!$P:$P,'1月份挂账'!$R:$R,$A55)-SUMIFS('1月份挂账'!$O:$O,'1月份挂账'!$R:$R,$A55)</f>
        <v>10558.72</v>
      </c>
      <c r="F55" s="41">
        <f t="shared" si="0"/>
        <v>0</v>
      </c>
      <c r="G55" s="41">
        <f t="shared" si="1"/>
        <v>0</v>
      </c>
    </row>
    <row r="56" customHeight="1" spans="1:7">
      <c r="A56" s="38" t="s">
        <v>412</v>
      </c>
      <c r="B56" s="39">
        <f>_xlfn.XLOOKUP(A56,'1月份科目余额（2.25导出）'!D:D,'1月份科目余额（2.25导出）'!O:O,0)</f>
        <v>10750.82</v>
      </c>
      <c r="C56" s="40">
        <v>2406.9</v>
      </c>
      <c r="D56" s="40">
        <v>3209.2</v>
      </c>
      <c r="E56" s="40">
        <f>SUMIFS('1月份挂账'!$P:$P,'1月份挂账'!$R:$R,$A56)-SUMIFS('1月份挂账'!$O:$O,'1月份挂账'!$R:$R,$A56)</f>
        <v>7541.62</v>
      </c>
      <c r="F56" s="41">
        <f t="shared" si="0"/>
        <v>0</v>
      </c>
      <c r="G56" s="41">
        <f t="shared" si="1"/>
        <v>0</v>
      </c>
    </row>
    <row r="57" customHeight="1" spans="1:7">
      <c r="A57" s="38" t="s">
        <v>306</v>
      </c>
      <c r="B57" s="39">
        <f>_xlfn.XLOOKUP(A57,'1月份科目余额（2.25导出）'!D:D,'1月份科目余额（2.25导出）'!O:O,0)</f>
        <v>69770.72</v>
      </c>
      <c r="C57" s="40">
        <v>32793.73</v>
      </c>
      <c r="D57" s="40">
        <v>7299.8</v>
      </c>
      <c r="E57" s="40">
        <f>SUMIFS('1月份挂账'!$P:$P,'1月份挂账'!$R:$R,$A57)-SUMIFS('1月份挂账'!$O:$O,'1月份挂账'!$R:$R,$A57)</f>
        <v>62470.92</v>
      </c>
      <c r="F57" s="41">
        <f t="shared" si="0"/>
        <v>0</v>
      </c>
      <c r="G57" s="41">
        <f t="shared" si="1"/>
        <v>0</v>
      </c>
    </row>
    <row r="58" customHeight="1" spans="1:7">
      <c r="A58" s="38" t="s">
        <v>279</v>
      </c>
      <c r="B58" s="39">
        <f>_xlfn.XLOOKUP(A58,'1月份科目余额（2.25导出）'!D:D,'1月份科目余额（2.25导出）'!O:O,0)</f>
        <v>13932.9</v>
      </c>
      <c r="C58" s="40">
        <v>0</v>
      </c>
      <c r="D58" s="40">
        <v>0</v>
      </c>
      <c r="E58" s="40">
        <f>SUMIFS('1月份挂账'!$P:$P,'1月份挂账'!$R:$R,$A58)-SUMIFS('1月份挂账'!$O:$O,'1月份挂账'!$R:$R,$A58)</f>
        <v>0</v>
      </c>
      <c r="F58" s="41">
        <f t="shared" si="0"/>
        <v>13932.9</v>
      </c>
      <c r="G58" s="41">
        <f t="shared" si="1"/>
        <v>13932.9</v>
      </c>
    </row>
    <row r="59" customHeight="1" spans="1:7">
      <c r="A59" s="38" t="s">
        <v>280</v>
      </c>
      <c r="B59" s="39">
        <f>_xlfn.XLOOKUP(A59,'1月份科目余额（2.25导出）'!D:D,'1月份科目余额（2.25导出）'!O:O,0)</f>
        <v>168822</v>
      </c>
      <c r="C59" s="40">
        <v>76107.76</v>
      </c>
      <c r="D59" s="40">
        <v>56497.74</v>
      </c>
      <c r="E59" s="40">
        <f>SUMIFS('1月份挂账'!$P:$P,'1月份挂账'!$R:$R,$A59)-SUMIFS('1月份挂账'!$O:$O,'1月份挂账'!$R:$R,$A59)</f>
        <v>36216.5</v>
      </c>
      <c r="F59" s="41">
        <f t="shared" si="0"/>
        <v>76107.76</v>
      </c>
      <c r="G59" s="41">
        <f t="shared" si="1"/>
        <v>0</v>
      </c>
    </row>
    <row r="60" customHeight="1" spans="1:7">
      <c r="A60" s="38" t="s">
        <v>307</v>
      </c>
      <c r="B60" s="39">
        <f>_xlfn.XLOOKUP(A60,'1月份科目余额（2.25导出）'!D:D,'1月份科目余额（2.25导出）'!O:O,0)</f>
        <v>29590.85</v>
      </c>
      <c r="C60" s="40">
        <v>4920.59</v>
      </c>
      <c r="D60" s="40">
        <v>11343.67</v>
      </c>
      <c r="E60" s="40">
        <f>SUMIFS('1月份挂账'!$P:$P,'1月份挂账'!$R:$R,$A60)-SUMIFS('1月份挂账'!$O:$O,'1月份挂账'!$R:$R,$A60)</f>
        <v>13326.59</v>
      </c>
      <c r="F60" s="41">
        <f t="shared" si="0"/>
        <v>4920.59</v>
      </c>
      <c r="G60" s="41">
        <f t="shared" si="1"/>
        <v>0</v>
      </c>
    </row>
    <row r="61" customHeight="1" spans="1:7">
      <c r="A61" s="38" t="s">
        <v>308</v>
      </c>
      <c r="B61" s="39">
        <f>_xlfn.XLOOKUP(A61,'1月份科目余额（2.25导出）'!D:D,'1月份科目余额（2.25导出）'!O:O,0)</f>
        <v>22943.52</v>
      </c>
      <c r="C61" s="40">
        <v>0</v>
      </c>
      <c r="D61" s="40">
        <v>22943.52</v>
      </c>
      <c r="E61" s="40">
        <f>SUMIFS('1月份挂账'!$P:$P,'1月份挂账'!$R:$R,$A61)-SUMIFS('1月份挂账'!$O:$O,'1月份挂账'!$R:$R,$A61)</f>
        <v>0</v>
      </c>
      <c r="F61" s="41">
        <f t="shared" si="0"/>
        <v>0</v>
      </c>
      <c r="G61" s="41">
        <f t="shared" si="1"/>
        <v>0</v>
      </c>
    </row>
    <row r="62" customHeight="1" spans="1:7">
      <c r="A62" s="38" t="s">
        <v>309</v>
      </c>
      <c r="B62" s="39">
        <f>_xlfn.XLOOKUP(A62,'1月份科目余额（2.25导出）'!D:D,'1月份科目余额（2.25导出）'!O:O,0)</f>
        <v>3245.36</v>
      </c>
      <c r="C62" s="40">
        <v>3245.36</v>
      </c>
      <c r="D62" s="40">
        <v>0</v>
      </c>
      <c r="E62" s="40">
        <f>SUMIFS('1月份挂账'!$P:$P,'1月份挂账'!$R:$R,$A62)-SUMIFS('1月份挂账'!$O:$O,'1月份挂账'!$R:$R,$A62)</f>
        <v>0</v>
      </c>
      <c r="F62" s="41">
        <f t="shared" si="0"/>
        <v>3245.36</v>
      </c>
      <c r="G62" s="41">
        <f t="shared" si="1"/>
        <v>0</v>
      </c>
    </row>
    <row r="63" customHeight="1" spans="1:7">
      <c r="A63" s="38" t="s">
        <v>281</v>
      </c>
      <c r="B63" s="39">
        <f>_xlfn.XLOOKUP(A63,'1月份科目余额（2.25导出）'!D:D,'1月份科目余额（2.25导出）'!O:O,0)</f>
        <v>28728</v>
      </c>
      <c r="C63" s="40">
        <v>9576</v>
      </c>
      <c r="D63" s="40">
        <v>9576</v>
      </c>
      <c r="E63" s="40">
        <f>SUMIFS('1月份挂账'!$P:$P,'1月份挂账'!$R:$R,$A63)-SUMIFS('1月份挂账'!$O:$O,'1月份挂账'!$R:$R,$A63)</f>
        <v>9576</v>
      </c>
      <c r="F63" s="41">
        <f t="shared" si="0"/>
        <v>9576</v>
      </c>
      <c r="G63" s="41">
        <f t="shared" si="1"/>
        <v>0</v>
      </c>
    </row>
    <row r="64" customHeight="1" spans="1:7">
      <c r="A64" s="38" t="s">
        <v>282</v>
      </c>
      <c r="B64" s="39">
        <f>_xlfn.XLOOKUP(A64,'1月份科目余额（2.25导出）'!D:D,'1月份科目余额（2.25导出）'!O:O,0)</f>
        <v>85600</v>
      </c>
      <c r="C64" s="40">
        <v>84750</v>
      </c>
      <c r="D64" s="40">
        <v>0</v>
      </c>
      <c r="E64" s="40">
        <f>SUMIFS('1月份挂账'!$P:$P,'1月份挂账'!$R:$R,$A64)-SUMIFS('1月份挂账'!$O:$O,'1月份挂账'!$R:$R,$A64)</f>
        <v>0</v>
      </c>
      <c r="F64" s="41">
        <f t="shared" si="0"/>
        <v>85600</v>
      </c>
      <c r="G64" s="41">
        <f t="shared" si="1"/>
        <v>850</v>
      </c>
    </row>
    <row r="65" customHeight="1" spans="1:7">
      <c r="A65" s="38" t="s">
        <v>310</v>
      </c>
      <c r="B65" s="39">
        <f>_xlfn.XLOOKUP(A65,'1月份科目余额（2.25导出）'!D:D,'1月份科目余额（2.25导出）'!O:O,0)</f>
        <v>0</v>
      </c>
      <c r="C65" s="40">
        <v>0</v>
      </c>
      <c r="D65" s="40">
        <v>0</v>
      </c>
      <c r="E65" s="40">
        <f>SUMIFS('1月份挂账'!$P:$P,'1月份挂账'!$R:$R,$A65)-SUMIFS('1月份挂账'!$O:$O,'1月份挂账'!$R:$R,$A65)</f>
        <v>0</v>
      </c>
      <c r="F65" s="41">
        <f t="shared" si="0"/>
        <v>0</v>
      </c>
      <c r="G65" s="41">
        <f t="shared" si="1"/>
        <v>0</v>
      </c>
    </row>
    <row r="66" customHeight="1" spans="1:7">
      <c r="A66" s="38" t="s">
        <v>311</v>
      </c>
      <c r="B66" s="39">
        <f>_xlfn.XLOOKUP(A66,'1月份科目余额（2.25导出）'!D:D,'1月份科目余额（2.25导出）'!O:O,0)</f>
        <v>88818.1</v>
      </c>
      <c r="C66" s="40">
        <v>0</v>
      </c>
      <c r="D66" s="40">
        <v>0</v>
      </c>
      <c r="E66" s="40">
        <f>SUMIFS('1月份挂账'!$P:$P,'1月份挂账'!$R:$R,$A66)-SUMIFS('1月份挂账'!$O:$O,'1月份挂账'!$R:$R,$A66)</f>
        <v>88818</v>
      </c>
      <c r="F66" s="41">
        <f t="shared" si="0"/>
        <v>0.100000000005821</v>
      </c>
      <c r="G66" s="41">
        <f t="shared" si="1"/>
        <v>0.100000000005821</v>
      </c>
    </row>
    <row r="67" customHeight="1" spans="1:7">
      <c r="A67" s="38" t="s">
        <v>283</v>
      </c>
      <c r="B67" s="39">
        <f>_xlfn.XLOOKUP(A67,'1月份科目余额（2.25导出）'!D:D,'1月份科目余额（2.25导出）'!O:O,0)</f>
        <v>17289</v>
      </c>
      <c r="C67" s="40">
        <v>0</v>
      </c>
      <c r="D67" s="40">
        <v>8644.5</v>
      </c>
      <c r="E67" s="40">
        <f>SUMIFS('1月份挂账'!$P:$P,'1月份挂账'!$R:$R,$A67)-SUMIFS('1月份挂账'!$O:$O,'1月份挂账'!$R:$R,$A67)</f>
        <v>8644.5</v>
      </c>
      <c r="F67" s="41">
        <f t="shared" ref="F67:F80" si="2">IF((B67-D67-E67)&gt;0,B67-D67-E67,0)</f>
        <v>0</v>
      </c>
      <c r="G67" s="41">
        <f t="shared" ref="G67:G80" si="3">IF((B67-C67-D67-E67)&gt;0,B67-C67-D67-E67,0)</f>
        <v>0</v>
      </c>
    </row>
    <row r="68" customHeight="1" spans="1:7">
      <c r="A68" s="38" t="s">
        <v>413</v>
      </c>
      <c r="B68" s="39">
        <f>_xlfn.XLOOKUP(A68,'1月份科目余额（2.25导出）'!D:D,'1月份科目余额（2.25导出）'!O:O,0)</f>
        <v>0</v>
      </c>
      <c r="D68" s="40">
        <v>2892.8</v>
      </c>
      <c r="E68" s="40">
        <f>SUMIFS('1月份挂账'!$P:$P,'1月份挂账'!$R:$R,$A68)-SUMIFS('1月份挂账'!$O:$O,'1月份挂账'!$R:$R,$A68)</f>
        <v>0</v>
      </c>
      <c r="F68" s="41">
        <f t="shared" si="2"/>
        <v>0</v>
      </c>
      <c r="G68" s="41">
        <f t="shared" si="3"/>
        <v>0</v>
      </c>
    </row>
    <row r="69" customHeight="1" spans="1:7">
      <c r="A69" s="38" t="s">
        <v>414</v>
      </c>
      <c r="B69" s="39">
        <f>_xlfn.XLOOKUP(A69,'1月份科目余额（2.25导出）'!D:D,'1月份科目余额（2.25导出）'!O:O,0)</f>
        <v>0</v>
      </c>
      <c r="D69" s="40">
        <v>1762.8</v>
      </c>
      <c r="E69" s="40">
        <f>SUMIFS('1月份挂账'!$P:$P,'1月份挂账'!$R:$R,$A69)-SUMIFS('1月份挂账'!$O:$O,'1月份挂账'!$R:$R,$A69)</f>
        <v>0</v>
      </c>
      <c r="F69" s="41">
        <f t="shared" si="2"/>
        <v>0</v>
      </c>
      <c r="G69" s="41">
        <f t="shared" si="3"/>
        <v>0</v>
      </c>
    </row>
    <row r="70" customHeight="1" spans="1:7">
      <c r="A70" s="38" t="s">
        <v>415</v>
      </c>
      <c r="B70" s="39">
        <f>_xlfn.XLOOKUP(A70,'1月份科目余额（2.25导出）'!D:D,'1月份科目余额（2.25导出）'!O:O,0)</f>
        <v>-46646.4</v>
      </c>
      <c r="D70" s="40">
        <v>29154</v>
      </c>
      <c r="E70" s="40">
        <f>SUMIFS('1月份挂账'!$P:$P,'1月份挂账'!$R:$R,$A70)-SUMIFS('1月份挂账'!$O:$O,'1月份挂账'!$R:$R,$A70)</f>
        <v>0</v>
      </c>
      <c r="F70" s="41">
        <f t="shared" si="2"/>
        <v>0</v>
      </c>
      <c r="G70" s="41">
        <f t="shared" si="3"/>
        <v>0</v>
      </c>
    </row>
    <row r="71" customHeight="1" spans="1:7">
      <c r="A71" s="38" t="s">
        <v>416</v>
      </c>
      <c r="B71" s="39">
        <f>_xlfn.XLOOKUP(A71,'1月份科目余额（2.25导出）'!D:D,'1月份科目余额（2.25导出）'!O:O,0)</f>
        <v>0</v>
      </c>
      <c r="D71" s="40">
        <v>18532</v>
      </c>
      <c r="E71" s="40">
        <f>SUMIFS('1月份挂账'!$P:$P,'1月份挂账'!$R:$R,$A71)-SUMIFS('1月份挂账'!$O:$O,'1月份挂账'!$R:$R,$A71)</f>
        <v>18532</v>
      </c>
      <c r="F71" s="41">
        <f t="shared" si="2"/>
        <v>0</v>
      </c>
      <c r="G71" s="41">
        <f t="shared" si="3"/>
        <v>0</v>
      </c>
    </row>
    <row r="72" customHeight="1" spans="1:7">
      <c r="A72" s="38" t="s">
        <v>312</v>
      </c>
      <c r="B72" s="39">
        <f>_xlfn.XLOOKUP(A72,'1月份科目余额（2.25导出）'!D:D,'1月份科目余额（2.25导出）'!O:O,0)</f>
        <v>-6040.98</v>
      </c>
      <c r="D72" s="40">
        <v>4010.54</v>
      </c>
      <c r="E72" s="40">
        <f>SUMIFS('1月份挂账'!$P:$P,'1月份挂账'!$R:$R,$A72)-SUMIFS('1月份挂账'!$O:$O,'1月份挂账'!$R:$R,$A72)</f>
        <v>0</v>
      </c>
      <c r="F72" s="41">
        <f t="shared" si="2"/>
        <v>0</v>
      </c>
      <c r="G72" s="41">
        <f t="shared" si="3"/>
        <v>0</v>
      </c>
    </row>
    <row r="73" customHeight="1" spans="1:7">
      <c r="A73" s="38" t="s">
        <v>313</v>
      </c>
      <c r="B73" s="39">
        <f>_xlfn.XLOOKUP(A73,'1月份科目余额（2.25导出）'!D:D,'1月份科目余额（2.25导出）'!O:O,0)</f>
        <v>44413.72</v>
      </c>
      <c r="D73" s="40">
        <v>3986.64</v>
      </c>
      <c r="E73" s="40">
        <f>SUMIFS('1月份挂账'!$P:$P,'1月份挂账'!$R:$R,$A73)-SUMIFS('1月份挂账'!$O:$O,'1月份挂账'!$R:$R,$A73)</f>
        <v>40426.88</v>
      </c>
      <c r="F73" s="41">
        <f t="shared" si="2"/>
        <v>0.200000000004366</v>
      </c>
      <c r="G73" s="41">
        <f t="shared" si="3"/>
        <v>0.200000000004366</v>
      </c>
    </row>
    <row r="74" customHeight="1" spans="1:7">
      <c r="A74" s="38" t="s">
        <v>284</v>
      </c>
      <c r="B74" s="39">
        <f>_xlfn.XLOOKUP(A74,'1月份科目余额（2.25导出）'!D:D,'1月份科目余额（2.25导出）'!O:O,0)</f>
        <v>1850.69</v>
      </c>
      <c r="D74" s="40">
        <v>1850.69</v>
      </c>
      <c r="E74" s="40">
        <f>SUMIFS('1月份挂账'!$P:$P,'1月份挂账'!$R:$R,$A74)-SUMIFS('1月份挂账'!$O:$O,'1月份挂账'!$R:$R,$A74)</f>
        <v>0</v>
      </c>
      <c r="F74" s="41">
        <f t="shared" si="2"/>
        <v>0</v>
      </c>
      <c r="G74" s="41">
        <f t="shared" si="3"/>
        <v>0</v>
      </c>
    </row>
    <row r="75" customHeight="1" spans="1:7">
      <c r="A75" s="38" t="s">
        <v>285</v>
      </c>
      <c r="B75" s="39">
        <f>_xlfn.XLOOKUP(A75,'1月份科目余额（2.25导出）'!D:D,'1月份科目余额（2.25导出）'!O:O,0)</f>
        <v>55661.54</v>
      </c>
      <c r="D75" s="40">
        <v>55661.54</v>
      </c>
      <c r="E75" s="40">
        <f>SUMIFS('1月份挂账'!$P:$P,'1月份挂账'!$R:$R,$A75)-SUMIFS('1月份挂账'!$O:$O,'1月份挂账'!$R:$R,$A75)</f>
        <v>0</v>
      </c>
      <c r="F75" s="41">
        <f t="shared" si="2"/>
        <v>0</v>
      </c>
      <c r="G75" s="41">
        <f t="shared" si="3"/>
        <v>0</v>
      </c>
    </row>
    <row r="76" customHeight="1" spans="1:7">
      <c r="A76" s="38" t="s">
        <v>314</v>
      </c>
      <c r="B76" s="39">
        <f>_xlfn.XLOOKUP(A76,'1月份科目余额（2.25导出）'!D:D,'1月份科目余额（2.25导出）'!O:O,0)</f>
        <v>121021.99</v>
      </c>
      <c r="D76" s="40">
        <v>67333.03</v>
      </c>
      <c r="E76" s="40">
        <f>SUMIFS('1月份挂账'!$P:$P,'1月份挂账'!$R:$R,$A76)-SUMIFS('1月份挂账'!$O:$O,'1月份挂账'!$R:$R,$A76)</f>
        <v>53688.96</v>
      </c>
      <c r="F76" s="41">
        <f t="shared" si="2"/>
        <v>0</v>
      </c>
      <c r="G76" s="41">
        <f t="shared" si="3"/>
        <v>0</v>
      </c>
    </row>
    <row r="77" customHeight="1" spans="1:7">
      <c r="A77" s="38" t="s">
        <v>380</v>
      </c>
      <c r="B77" s="39">
        <f>_xlfn.XLOOKUP(A77,'1月份科目余额（2.25导出）'!D:D,'1月份科目余额（2.25导出）'!O:O,0)</f>
        <v>7000</v>
      </c>
      <c r="D77" s="40">
        <v>82000</v>
      </c>
      <c r="E77" s="40">
        <f>SUMIFS('1月份挂账'!$P:$P,'1月份挂账'!$R:$R,$A77)-SUMIFS('1月份挂账'!$O:$O,'1月份挂账'!$R:$R,$A77)</f>
        <v>0</v>
      </c>
      <c r="F77" s="41">
        <f t="shared" si="2"/>
        <v>0</v>
      </c>
      <c r="G77" s="41">
        <f t="shared" si="3"/>
        <v>0</v>
      </c>
    </row>
    <row r="78" customHeight="1" spans="1:7">
      <c r="A78" s="38" t="s">
        <v>417</v>
      </c>
      <c r="B78" s="39">
        <f>_xlfn.XLOOKUP(A78,'1月份科目余额（2.25导出）'!D:D,'1月份科目余额（2.25导出）'!O:O,0)</f>
        <v>69562.26</v>
      </c>
      <c r="E78" s="40">
        <f>SUMIFS('1月份挂账'!$P:$P,'1月份挂账'!$R:$R,$A78)-SUMIFS('1月份挂账'!$O:$O,'1月份挂账'!$R:$R,$A78)</f>
        <v>68352.16</v>
      </c>
      <c r="F78" s="41">
        <f t="shared" si="2"/>
        <v>1210.09999999999</v>
      </c>
      <c r="G78" s="41">
        <f t="shared" si="3"/>
        <v>1210.09999999999</v>
      </c>
    </row>
    <row r="79" customHeight="1" spans="1:7">
      <c r="A79" s="38" t="s">
        <v>418</v>
      </c>
      <c r="B79" s="39">
        <f>_xlfn.XLOOKUP(A79,'1月份科目余额（2.25导出）'!D:D,'1月份科目余额（2.25导出）'!O:O,0)</f>
        <v>79817.67</v>
      </c>
      <c r="E79" s="40">
        <f>SUMIFS('1月份挂账'!$P:$P,'1月份挂账'!$R:$R,$A79)-SUMIFS('1月份挂账'!$O:$O,'1月份挂账'!$R:$R,$A79)</f>
        <v>79817.67</v>
      </c>
      <c r="F79" s="41">
        <f t="shared" si="2"/>
        <v>0</v>
      </c>
      <c r="G79" s="41">
        <f t="shared" si="3"/>
        <v>0</v>
      </c>
    </row>
    <row r="80" customHeight="1" spans="1:7">
      <c r="A80" s="38" t="s">
        <v>315</v>
      </c>
      <c r="B80" s="39">
        <f>_xlfn.XLOOKUP(A80,'1月份科目余额（2.25导出）'!D:D,'1月份科目余额（2.25导出）'!O:O,0)</f>
        <v>3305.25</v>
      </c>
      <c r="E80" s="40">
        <f>SUMIFS('1月份挂账'!$P:$P,'1月份挂账'!$R:$R,$A80)-SUMIFS('1月份挂账'!$O:$O,'1月份挂账'!$R:$R,$A80)</f>
        <v>3305.25</v>
      </c>
      <c r="F80" s="41">
        <f t="shared" si="2"/>
        <v>0</v>
      </c>
      <c r="G80" s="41">
        <f t="shared" si="3"/>
        <v>0</v>
      </c>
    </row>
    <row r="84" customHeight="1" spans="1:8">
      <c r="A84" s="38" t="s">
        <v>29</v>
      </c>
      <c r="B84" s="87">
        <f t="shared" ref="B84:H84" si="4">SUM(B3:B83)</f>
        <v>17539630.86</v>
      </c>
      <c r="C84" s="87">
        <f t="shared" si="4"/>
        <v>10023719.74</v>
      </c>
      <c r="D84" s="87">
        <f t="shared" si="4"/>
        <v>8714003.56</v>
      </c>
      <c r="E84" s="87">
        <f t="shared" si="4"/>
        <v>9033923.95</v>
      </c>
      <c r="F84" s="87">
        <f t="shared" si="4"/>
        <v>3964219.53</v>
      </c>
      <c r="G84" s="87">
        <f t="shared" si="4"/>
        <v>1084284.64</v>
      </c>
      <c r="H84" s="87">
        <f t="shared" si="4"/>
        <v>0</v>
      </c>
    </row>
    <row r="85" customHeight="1" spans="1:6">
      <c r="A85" s="38" t="s">
        <v>293</v>
      </c>
      <c r="B85" s="87">
        <f>SUMIFS(B3:B83,B3:B83,"&gt;0")</f>
        <v>17989830.86</v>
      </c>
      <c r="C85" s="88"/>
      <c r="D85" s="89"/>
      <c r="E85" s="89"/>
      <c r="F85" s="88"/>
    </row>
  </sheetData>
  <autoFilter xmlns:etc="http://www.wps.cn/officeDocument/2017/etCustomData" ref="A1:H85" etc:filterBottomFollowUsedRange="0">
    <extLst/>
  </autoFilter>
  <mergeCells count="1">
    <mergeCell ref="A1:H1"/>
  </mergeCells>
  <conditionalFormatting sqref="A$1:A$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P115"/>
  <sheetViews>
    <sheetView workbookViewId="0">
      <selection activeCell="K31" sqref="K31"/>
    </sheetView>
  </sheetViews>
  <sheetFormatPr defaultColWidth="8" defaultRowHeight="14.25"/>
  <cols>
    <col min="1" max="1" width="7.75" style="1" customWidth="1"/>
    <col min="2" max="2" width="15.75" style="1" customWidth="1"/>
    <col min="3" max="3" width="9.375" style="1" customWidth="1"/>
    <col min="4" max="4" width="23.125" style="1" customWidth="1"/>
    <col min="5" max="6" width="7.75" style="1" customWidth="1"/>
    <col min="7" max="7" width="8.125" style="1" customWidth="1"/>
    <col min="8" max="8" width="10.75" style="1" customWidth="1"/>
    <col min="9" max="10" width="12.375" style="1" customWidth="1"/>
    <col min="11" max="12" width="10.875" style="1" customWidth="1"/>
    <col min="13" max="13" width="8.125" style="1" customWidth="1"/>
    <col min="14" max="14" width="10.75" style="1" customWidth="1"/>
    <col min="15" max="15" width="12.125" style="1" customWidth="1"/>
    <col min="16" max="16" width="23.75" style="1" customWidth="1"/>
    <col min="17" max="16384" width="8" style="1"/>
  </cols>
  <sheetData>
    <row r="1" s="1" customFormat="1" spans="1:15">
      <c r="A1" s="4" t="s">
        <v>429</v>
      </c>
      <c r="B1" s="4" t="s">
        <v>430</v>
      </c>
      <c r="C1" s="4" t="s">
        <v>431</v>
      </c>
      <c r="D1" s="4" t="s">
        <v>432</v>
      </c>
      <c r="E1" s="4" t="s">
        <v>433</v>
      </c>
      <c r="F1" s="4" t="s">
        <v>434</v>
      </c>
      <c r="G1" s="4" t="s">
        <v>435</v>
      </c>
      <c r="H1" s="5" t="s">
        <v>436</v>
      </c>
      <c r="I1" s="5" t="s">
        <v>437</v>
      </c>
      <c r="J1" s="5" t="s">
        <v>438</v>
      </c>
      <c r="K1" s="5" t="s">
        <v>439</v>
      </c>
      <c r="L1" s="5" t="s">
        <v>440</v>
      </c>
      <c r="M1" s="4" t="s">
        <v>435</v>
      </c>
      <c r="N1" s="5" t="s">
        <v>441</v>
      </c>
      <c r="O1" s="1" t="s">
        <v>442</v>
      </c>
    </row>
    <row r="2" s="1" customFormat="1" ht="15" customHeight="1" spans="1:14">
      <c r="A2" s="8" t="s">
        <v>41</v>
      </c>
      <c r="B2" s="11" t="s">
        <v>41</v>
      </c>
      <c r="C2" s="8" t="s">
        <v>41</v>
      </c>
      <c r="D2" s="11" t="s">
        <v>41</v>
      </c>
      <c r="E2" s="8" t="s">
        <v>41</v>
      </c>
      <c r="F2" s="8" t="s">
        <v>443</v>
      </c>
      <c r="G2" s="8" t="s">
        <v>41</v>
      </c>
      <c r="H2" s="36">
        <v>-29834296.72</v>
      </c>
      <c r="I2" s="36">
        <v>17573402.26</v>
      </c>
      <c r="J2" s="36">
        <v>12854179.68</v>
      </c>
      <c r="K2" s="36">
        <v>17573402.26</v>
      </c>
      <c r="L2" s="36">
        <v>12854179.68</v>
      </c>
      <c r="M2" s="8" t="s">
        <v>41</v>
      </c>
      <c r="N2" s="36">
        <v>-25115074.14</v>
      </c>
    </row>
    <row r="3" s="1" customFormat="1" ht="15" customHeight="1" spans="1:16">
      <c r="A3" s="12" t="s">
        <v>444</v>
      </c>
      <c r="B3" s="15" t="s">
        <v>445</v>
      </c>
      <c r="C3" s="12" t="s">
        <v>41</v>
      </c>
      <c r="D3" s="15" t="s">
        <v>446</v>
      </c>
      <c r="E3" s="12" t="s">
        <v>41</v>
      </c>
      <c r="F3" s="12" t="s">
        <v>443</v>
      </c>
      <c r="G3" s="12" t="s">
        <v>447</v>
      </c>
      <c r="H3" s="37">
        <v>8404936.57</v>
      </c>
      <c r="I3" s="37">
        <v>0</v>
      </c>
      <c r="J3" s="37">
        <v>1602286.94</v>
      </c>
      <c r="K3" s="37">
        <v>0</v>
      </c>
      <c r="L3" s="37">
        <v>1602286.94</v>
      </c>
      <c r="M3" s="12" t="s">
        <v>447</v>
      </c>
      <c r="N3" s="37">
        <v>10007223.51</v>
      </c>
      <c r="O3" s="1">
        <f t="shared" ref="O3:O66" si="0">IF(M3="贷",N3,-N3)</f>
        <v>10007223.51</v>
      </c>
      <c r="P3" s="1" t="e">
        <f>_xlfn.XLOOKUP(D3,'1月份计划'!A:A,'1月份计划'!A:A)</f>
        <v>#N/A</v>
      </c>
    </row>
    <row r="4" s="1" customFormat="1" ht="15" customHeight="1" spans="1:16">
      <c r="A4" s="12" t="s">
        <v>444</v>
      </c>
      <c r="B4" s="15" t="s">
        <v>445</v>
      </c>
      <c r="C4" s="12" t="s">
        <v>41</v>
      </c>
      <c r="D4" s="15" t="s">
        <v>448</v>
      </c>
      <c r="E4" s="12" t="s">
        <v>41</v>
      </c>
      <c r="F4" s="12" t="s">
        <v>443</v>
      </c>
      <c r="G4" s="12" t="s">
        <v>447</v>
      </c>
      <c r="H4" s="37">
        <v>80.3</v>
      </c>
      <c r="I4" s="37">
        <v>0</v>
      </c>
      <c r="J4" s="37">
        <v>0</v>
      </c>
      <c r="K4" s="37">
        <v>0</v>
      </c>
      <c r="L4" s="37">
        <v>0</v>
      </c>
      <c r="M4" s="12" t="s">
        <v>447</v>
      </c>
      <c r="N4" s="37">
        <v>80.3</v>
      </c>
      <c r="O4" s="1">
        <f t="shared" si="0"/>
        <v>80.3</v>
      </c>
      <c r="P4" s="1" t="e">
        <f>_xlfn.XLOOKUP(D4,'1月份计划'!A:A,'1月份计划'!A:A)</f>
        <v>#N/A</v>
      </c>
    </row>
    <row r="5" s="1" customFormat="1" ht="15" customHeight="1" spans="1:16">
      <c r="A5" s="8" t="s">
        <v>444</v>
      </c>
      <c r="B5" s="11" t="s">
        <v>445</v>
      </c>
      <c r="C5" s="8" t="s">
        <v>41</v>
      </c>
      <c r="D5" s="11" t="s">
        <v>449</v>
      </c>
      <c r="E5" s="8" t="s">
        <v>41</v>
      </c>
      <c r="F5" s="8" t="s">
        <v>443</v>
      </c>
      <c r="G5" s="8" t="s">
        <v>447</v>
      </c>
      <c r="H5" s="36">
        <v>23367.17</v>
      </c>
      <c r="I5" s="36">
        <v>0</v>
      </c>
      <c r="J5" s="36">
        <v>0</v>
      </c>
      <c r="K5" s="36">
        <v>0</v>
      </c>
      <c r="L5" s="36">
        <v>0</v>
      </c>
      <c r="M5" s="8" t="s">
        <v>447</v>
      </c>
      <c r="N5" s="36">
        <v>23367.17</v>
      </c>
      <c r="O5" s="1">
        <f t="shared" si="0"/>
        <v>23367.17</v>
      </c>
      <c r="P5" s="1" t="e">
        <f>_xlfn.XLOOKUP(D5,'1月份计划'!A:A,'1月份计划'!A:A)</f>
        <v>#N/A</v>
      </c>
    </row>
    <row r="6" s="1" customFormat="1" ht="15" customHeight="1" spans="1:16">
      <c r="A6" s="12" t="s">
        <v>444</v>
      </c>
      <c r="B6" s="15" t="s">
        <v>445</v>
      </c>
      <c r="C6" s="12" t="s">
        <v>41</v>
      </c>
      <c r="D6" s="15" t="s">
        <v>450</v>
      </c>
      <c r="E6" s="12" t="s">
        <v>41</v>
      </c>
      <c r="F6" s="12" t="s">
        <v>443</v>
      </c>
      <c r="G6" s="12" t="s">
        <v>447</v>
      </c>
      <c r="H6" s="37">
        <v>9685.4</v>
      </c>
      <c r="I6" s="37">
        <v>0</v>
      </c>
      <c r="J6" s="37">
        <v>0</v>
      </c>
      <c r="K6" s="37">
        <v>0</v>
      </c>
      <c r="L6" s="37">
        <v>0</v>
      </c>
      <c r="M6" s="12" t="s">
        <v>447</v>
      </c>
      <c r="N6" s="37">
        <v>9685.4</v>
      </c>
      <c r="O6" s="1">
        <f t="shared" si="0"/>
        <v>9685.4</v>
      </c>
      <c r="P6" s="1" t="e">
        <f>_xlfn.XLOOKUP(D6,'1月份计划'!A:A,'1月份计划'!A:A)</f>
        <v>#N/A</v>
      </c>
    </row>
    <row r="7" s="1" customFormat="1" ht="15" customHeight="1" spans="1:16">
      <c r="A7" s="8" t="s">
        <v>444</v>
      </c>
      <c r="B7" s="11" t="s">
        <v>445</v>
      </c>
      <c r="C7" s="8" t="s">
        <v>41</v>
      </c>
      <c r="D7" s="11" t="s">
        <v>241</v>
      </c>
      <c r="E7" s="8" t="s">
        <v>41</v>
      </c>
      <c r="F7" s="8" t="s">
        <v>443</v>
      </c>
      <c r="G7" s="8" t="s">
        <v>447</v>
      </c>
      <c r="H7" s="36">
        <v>422419.7</v>
      </c>
      <c r="I7" s="36">
        <v>150000</v>
      </c>
      <c r="J7" s="36">
        <v>119091.84</v>
      </c>
      <c r="K7" s="36">
        <v>150000</v>
      </c>
      <c r="L7" s="36">
        <v>119091.84</v>
      </c>
      <c r="M7" s="8" t="s">
        <v>447</v>
      </c>
      <c r="N7" s="36">
        <v>391511.54</v>
      </c>
      <c r="O7" s="1">
        <f t="shared" si="0"/>
        <v>391511.54</v>
      </c>
      <c r="P7" s="1" t="str">
        <f>_xlfn.XLOOKUP(D7,'1月份计划'!A:A,'1月份计划'!A:A)</f>
        <v>天津琪安科技有限公司</v>
      </c>
    </row>
    <row r="8" s="1" customFormat="1" ht="15" customHeight="1" spans="1:16">
      <c r="A8" s="12" t="s">
        <v>444</v>
      </c>
      <c r="B8" s="15" t="s">
        <v>445</v>
      </c>
      <c r="C8" s="12" t="s">
        <v>41</v>
      </c>
      <c r="D8" s="15" t="s">
        <v>242</v>
      </c>
      <c r="E8" s="12" t="s">
        <v>41</v>
      </c>
      <c r="F8" s="12" t="s">
        <v>443</v>
      </c>
      <c r="G8" s="12" t="s">
        <v>447</v>
      </c>
      <c r="H8" s="37">
        <v>189588.75</v>
      </c>
      <c r="I8" s="37">
        <v>120000</v>
      </c>
      <c r="J8" s="37">
        <v>77995.01</v>
      </c>
      <c r="K8" s="37">
        <v>120000</v>
      </c>
      <c r="L8" s="37">
        <v>77995.01</v>
      </c>
      <c r="M8" s="12" t="s">
        <v>447</v>
      </c>
      <c r="N8" s="37">
        <v>147583.76</v>
      </c>
      <c r="O8" s="1">
        <f t="shared" si="0"/>
        <v>147583.76</v>
      </c>
      <c r="P8" s="1" t="str">
        <f>_xlfn.XLOOKUP(D8,'1月份计划'!A:A,'1月份计划'!A:A)</f>
        <v>黄骅市广亿汽车部件有限公司</v>
      </c>
    </row>
    <row r="9" s="1" customFormat="1" ht="15" customHeight="1" spans="1:16">
      <c r="A9" s="12" t="s">
        <v>444</v>
      </c>
      <c r="B9" s="15" t="s">
        <v>445</v>
      </c>
      <c r="C9" s="12" t="s">
        <v>41</v>
      </c>
      <c r="D9" s="15" t="s">
        <v>243</v>
      </c>
      <c r="E9" s="12" t="s">
        <v>41</v>
      </c>
      <c r="F9" s="12" t="s">
        <v>443</v>
      </c>
      <c r="G9" s="12" t="s">
        <v>447</v>
      </c>
      <c r="H9" s="37">
        <v>110442.13</v>
      </c>
      <c r="I9" s="37">
        <v>70000</v>
      </c>
      <c r="J9" s="37">
        <v>16908.28</v>
      </c>
      <c r="K9" s="37">
        <v>70000</v>
      </c>
      <c r="L9" s="37">
        <v>16908.28</v>
      </c>
      <c r="M9" s="12" t="s">
        <v>447</v>
      </c>
      <c r="N9" s="37">
        <v>57350.41</v>
      </c>
      <c r="O9" s="1">
        <f t="shared" si="0"/>
        <v>57350.41</v>
      </c>
      <c r="P9" s="1" t="str">
        <f>_xlfn.XLOOKUP(D9,'1月份计划'!A:A,'1月份计划'!A:A)</f>
        <v>霸州市自强汽车零部件厂</v>
      </c>
    </row>
    <row r="10" s="1" customFormat="1" ht="15" customHeight="1" spans="1:16">
      <c r="A10" s="8" t="s">
        <v>444</v>
      </c>
      <c r="B10" s="11" t="s">
        <v>445</v>
      </c>
      <c r="C10" s="8" t="s">
        <v>41</v>
      </c>
      <c r="D10" s="11" t="s">
        <v>297</v>
      </c>
      <c r="E10" s="8" t="s">
        <v>41</v>
      </c>
      <c r="F10" s="8" t="s">
        <v>443</v>
      </c>
      <c r="G10" s="8" t="s">
        <v>447</v>
      </c>
      <c r="H10" s="36">
        <v>46490.64</v>
      </c>
      <c r="I10" s="36">
        <v>30000</v>
      </c>
      <c r="J10" s="36">
        <v>0</v>
      </c>
      <c r="K10" s="36">
        <v>30000</v>
      </c>
      <c r="L10" s="36">
        <v>0</v>
      </c>
      <c r="M10" s="8" t="s">
        <v>447</v>
      </c>
      <c r="N10" s="36">
        <v>16490.64</v>
      </c>
      <c r="O10" s="1">
        <f t="shared" si="0"/>
        <v>16490.64</v>
      </c>
      <c r="P10" s="1" t="str">
        <f>_xlfn.XLOOKUP(D10,'1月份计划'!A:A,'1月份计划'!A:A)</f>
        <v>海兴中盛弹簧有限公司</v>
      </c>
    </row>
    <row r="11" s="1" customFormat="1" ht="15" customHeight="1" spans="1:16">
      <c r="A11" s="12" t="s">
        <v>444</v>
      </c>
      <c r="B11" s="15" t="s">
        <v>445</v>
      </c>
      <c r="C11" s="12" t="s">
        <v>41</v>
      </c>
      <c r="D11" s="15" t="s">
        <v>451</v>
      </c>
      <c r="E11" s="12" t="s">
        <v>41</v>
      </c>
      <c r="F11" s="12" t="s">
        <v>443</v>
      </c>
      <c r="G11" s="12" t="s">
        <v>447</v>
      </c>
      <c r="H11" s="37">
        <v>29295813.46</v>
      </c>
      <c r="I11" s="37">
        <v>0</v>
      </c>
      <c r="J11" s="37">
        <v>0</v>
      </c>
      <c r="K11" s="37">
        <v>0</v>
      </c>
      <c r="L11" s="37">
        <v>0</v>
      </c>
      <c r="M11" s="12" t="s">
        <v>447</v>
      </c>
      <c r="N11" s="37">
        <v>29295813.46</v>
      </c>
      <c r="O11" s="1">
        <f t="shared" si="0"/>
        <v>29295813.46</v>
      </c>
      <c r="P11" s="1" t="e">
        <f>_xlfn.XLOOKUP(D11,'1月份计划'!A:A,'1月份计划'!A:A)</f>
        <v>#N/A</v>
      </c>
    </row>
    <row r="12" s="1" customFormat="1" ht="15" customHeight="1" spans="1:16">
      <c r="A12" s="8" t="s">
        <v>444</v>
      </c>
      <c r="B12" s="11" t="s">
        <v>445</v>
      </c>
      <c r="C12" s="8" t="s">
        <v>41</v>
      </c>
      <c r="D12" s="11" t="s">
        <v>244</v>
      </c>
      <c r="E12" s="8" t="s">
        <v>41</v>
      </c>
      <c r="F12" s="8" t="s">
        <v>443</v>
      </c>
      <c r="G12" s="8" t="s">
        <v>447</v>
      </c>
      <c r="H12" s="36">
        <v>293453.92</v>
      </c>
      <c r="I12" s="36">
        <v>110000</v>
      </c>
      <c r="J12" s="36">
        <v>78601.67</v>
      </c>
      <c r="K12" s="36">
        <v>110000</v>
      </c>
      <c r="L12" s="36">
        <v>78601.67</v>
      </c>
      <c r="M12" s="8" t="s">
        <v>447</v>
      </c>
      <c r="N12" s="36">
        <v>262055.59</v>
      </c>
      <c r="O12" s="1">
        <f t="shared" si="0"/>
        <v>262055.59</v>
      </c>
      <c r="P12" s="1" t="str">
        <f>_xlfn.XLOOKUP(D12,'1月份计划'!A:A,'1月份计划'!A:A)</f>
        <v>沧州临港明康汽车配件有限公司</v>
      </c>
    </row>
    <row r="13" s="1" customFormat="1" ht="15" customHeight="1" spans="1:16">
      <c r="A13" s="12" t="s">
        <v>444</v>
      </c>
      <c r="B13" s="15" t="s">
        <v>445</v>
      </c>
      <c r="C13" s="12" t="s">
        <v>41</v>
      </c>
      <c r="D13" s="15" t="s">
        <v>245</v>
      </c>
      <c r="E13" s="12" t="s">
        <v>41</v>
      </c>
      <c r="F13" s="12" t="s">
        <v>443</v>
      </c>
      <c r="G13" s="12" t="s">
        <v>447</v>
      </c>
      <c r="H13" s="37">
        <v>228017.65</v>
      </c>
      <c r="I13" s="37">
        <v>160000</v>
      </c>
      <c r="J13" s="37">
        <v>71377.35</v>
      </c>
      <c r="K13" s="37">
        <v>160000</v>
      </c>
      <c r="L13" s="37">
        <v>71377.35</v>
      </c>
      <c r="M13" s="12" t="s">
        <v>447</v>
      </c>
      <c r="N13" s="37">
        <v>139395</v>
      </c>
      <c r="O13" s="1">
        <f t="shared" si="0"/>
        <v>139395</v>
      </c>
      <c r="P13" s="1" t="str">
        <f>_xlfn.XLOOKUP(D13,'1月份计划'!A:A,'1月份计划'!A:A)</f>
        <v>黄骅市建昌塑料制品有限公司</v>
      </c>
    </row>
    <row r="14" s="1" customFormat="1" ht="15" customHeight="1" spans="1:16">
      <c r="A14" s="8" t="s">
        <v>444</v>
      </c>
      <c r="B14" s="11" t="s">
        <v>445</v>
      </c>
      <c r="C14" s="8" t="s">
        <v>41</v>
      </c>
      <c r="D14" s="11" t="s">
        <v>283</v>
      </c>
      <c r="E14" s="8" t="s">
        <v>41</v>
      </c>
      <c r="F14" s="8" t="s">
        <v>443</v>
      </c>
      <c r="G14" s="8" t="s">
        <v>447</v>
      </c>
      <c r="H14" s="36">
        <v>23051.76</v>
      </c>
      <c r="I14" s="36">
        <v>14407.26</v>
      </c>
      <c r="J14" s="36">
        <v>8644.5</v>
      </c>
      <c r="K14" s="36">
        <v>14407.26</v>
      </c>
      <c r="L14" s="36">
        <v>8644.5</v>
      </c>
      <c r="M14" s="8" t="s">
        <v>447</v>
      </c>
      <c r="N14" s="36">
        <v>17289</v>
      </c>
      <c r="O14" s="1">
        <f t="shared" si="0"/>
        <v>17289</v>
      </c>
      <c r="P14" s="1" t="str">
        <f>_xlfn.XLOOKUP(D14,'1月份计划'!A:A,'1月份计划'!A:A)</f>
        <v>黄骅市成卓汽车部件厂</v>
      </c>
    </row>
    <row r="15" s="1" customFormat="1" ht="15" customHeight="1" spans="1:16">
      <c r="A15" s="12" t="s">
        <v>444</v>
      </c>
      <c r="B15" s="15" t="s">
        <v>445</v>
      </c>
      <c r="C15" s="12" t="s">
        <v>41</v>
      </c>
      <c r="D15" s="15" t="s">
        <v>452</v>
      </c>
      <c r="E15" s="12" t="s">
        <v>41</v>
      </c>
      <c r="F15" s="12" t="s">
        <v>443</v>
      </c>
      <c r="G15" s="12" t="s">
        <v>447</v>
      </c>
      <c r="H15" s="37">
        <v>5200.09</v>
      </c>
      <c r="I15" s="37">
        <v>0</v>
      </c>
      <c r="J15" s="37">
        <v>0</v>
      </c>
      <c r="K15" s="37">
        <v>0</v>
      </c>
      <c r="L15" s="37">
        <v>0</v>
      </c>
      <c r="M15" s="12" t="s">
        <v>447</v>
      </c>
      <c r="N15" s="37">
        <v>5200.09</v>
      </c>
      <c r="O15" s="1">
        <f t="shared" si="0"/>
        <v>5200.09</v>
      </c>
      <c r="P15" s="1" t="e">
        <f>_xlfn.XLOOKUP(D15,'1月份计划'!A:A,'1月份计划'!A:A)</f>
        <v>#N/A</v>
      </c>
    </row>
    <row r="16" s="1" customFormat="1" ht="15" customHeight="1" spans="1:16">
      <c r="A16" s="8" t="s">
        <v>444</v>
      </c>
      <c r="B16" s="11" t="s">
        <v>445</v>
      </c>
      <c r="C16" s="8" t="s">
        <v>41</v>
      </c>
      <c r="D16" s="11" t="s">
        <v>312</v>
      </c>
      <c r="E16" s="8" t="s">
        <v>41</v>
      </c>
      <c r="F16" s="8" t="s">
        <v>443</v>
      </c>
      <c r="G16" s="8" t="s">
        <v>447</v>
      </c>
      <c r="H16" s="36">
        <v>4010.54</v>
      </c>
      <c r="I16" s="36">
        <v>4010.54</v>
      </c>
      <c r="J16" s="36">
        <v>-6040.98</v>
      </c>
      <c r="K16" s="36">
        <v>4010.54</v>
      </c>
      <c r="L16" s="36">
        <v>-6040.98</v>
      </c>
      <c r="M16" s="8" t="s">
        <v>453</v>
      </c>
      <c r="N16" s="36">
        <v>6040.98</v>
      </c>
      <c r="O16" s="1">
        <f t="shared" si="0"/>
        <v>-6040.98</v>
      </c>
      <c r="P16" s="1" t="str">
        <f>_xlfn.XLOOKUP(D16,'1月份计划'!A:A,'1月份计划'!A:A)</f>
        <v>沧州旭兴五金制品有限公司</v>
      </c>
    </row>
    <row r="17" s="1" customFormat="1" ht="15" customHeight="1" spans="1:16">
      <c r="A17" s="8" t="s">
        <v>444</v>
      </c>
      <c r="B17" s="11" t="s">
        <v>445</v>
      </c>
      <c r="C17" s="8" t="s">
        <v>41</v>
      </c>
      <c r="D17" s="11" t="s">
        <v>280</v>
      </c>
      <c r="E17" s="8" t="s">
        <v>41</v>
      </c>
      <c r="F17" s="8" t="s">
        <v>443</v>
      </c>
      <c r="G17" s="8" t="s">
        <v>447</v>
      </c>
      <c r="H17" s="36">
        <v>132605.5</v>
      </c>
      <c r="I17" s="36">
        <v>0</v>
      </c>
      <c r="J17" s="36">
        <v>36216.5</v>
      </c>
      <c r="K17" s="36">
        <v>0</v>
      </c>
      <c r="L17" s="36">
        <v>36216.5</v>
      </c>
      <c r="M17" s="8" t="s">
        <v>447</v>
      </c>
      <c r="N17" s="36">
        <v>168822</v>
      </c>
      <c r="O17" s="1">
        <f t="shared" si="0"/>
        <v>168822</v>
      </c>
      <c r="P17" s="1" t="str">
        <f>_xlfn.XLOOKUP(D17,'1月份计划'!A:A,'1月份计划'!A:A)</f>
        <v>文安县德实汽车配件有限公司</v>
      </c>
    </row>
    <row r="18" s="1" customFormat="1" ht="15" customHeight="1" spans="1:16">
      <c r="A18" s="8" t="s">
        <v>444</v>
      </c>
      <c r="B18" s="11" t="s">
        <v>445</v>
      </c>
      <c r="C18" s="8" t="s">
        <v>41</v>
      </c>
      <c r="D18" s="11" t="s">
        <v>246</v>
      </c>
      <c r="E18" s="8" t="s">
        <v>41</v>
      </c>
      <c r="F18" s="8" t="s">
        <v>443</v>
      </c>
      <c r="G18" s="8" t="s">
        <v>447</v>
      </c>
      <c r="H18" s="36">
        <v>203935.15</v>
      </c>
      <c r="I18" s="36">
        <v>150000</v>
      </c>
      <c r="J18" s="36">
        <v>75095.26</v>
      </c>
      <c r="K18" s="36">
        <v>150000</v>
      </c>
      <c r="L18" s="36">
        <v>75095.26</v>
      </c>
      <c r="M18" s="8" t="s">
        <v>447</v>
      </c>
      <c r="N18" s="36">
        <v>129030.41</v>
      </c>
      <c r="O18" s="1">
        <f t="shared" si="0"/>
        <v>129030.41</v>
      </c>
      <c r="P18" s="1" t="str">
        <f>_xlfn.XLOOKUP(D18,'1月份计划'!A:A,'1月份计划'!A:A)</f>
        <v>廊坊市烁鑫汽车配件有限公司</v>
      </c>
    </row>
    <row r="19" s="1" customFormat="1" ht="15" customHeight="1" spans="1:16">
      <c r="A19" s="12" t="s">
        <v>444</v>
      </c>
      <c r="B19" s="15" t="s">
        <v>445</v>
      </c>
      <c r="C19" s="12" t="s">
        <v>41</v>
      </c>
      <c r="D19" s="15" t="s">
        <v>247</v>
      </c>
      <c r="E19" s="12" t="s">
        <v>41</v>
      </c>
      <c r="F19" s="12" t="s">
        <v>443</v>
      </c>
      <c r="G19" s="12" t="s">
        <v>447</v>
      </c>
      <c r="H19" s="37">
        <v>39977.88</v>
      </c>
      <c r="I19" s="37">
        <v>24909.61</v>
      </c>
      <c r="J19" s="37">
        <v>0</v>
      </c>
      <c r="K19" s="37">
        <v>24909.61</v>
      </c>
      <c r="L19" s="37">
        <v>0</v>
      </c>
      <c r="M19" s="12" t="s">
        <v>447</v>
      </c>
      <c r="N19" s="37">
        <v>15068.27</v>
      </c>
      <c r="O19" s="1">
        <f t="shared" si="0"/>
        <v>15068.27</v>
      </c>
      <c r="P19" s="1" t="str">
        <f>_xlfn.XLOOKUP(D19,'1月份计划'!A:A,'1月份计划'!A:A)</f>
        <v>黄骅市汇铭汽车部件有限公司</v>
      </c>
    </row>
    <row r="20" s="1" customFormat="1" ht="15" customHeight="1" spans="1:16">
      <c r="A20" s="8" t="s">
        <v>444</v>
      </c>
      <c r="B20" s="11" t="s">
        <v>445</v>
      </c>
      <c r="C20" s="8" t="s">
        <v>41</v>
      </c>
      <c r="D20" s="11" t="s">
        <v>248</v>
      </c>
      <c r="E20" s="8" t="s">
        <v>41</v>
      </c>
      <c r="F20" s="8" t="s">
        <v>443</v>
      </c>
      <c r="G20" s="8" t="s">
        <v>447</v>
      </c>
      <c r="H20" s="36">
        <v>858221.88</v>
      </c>
      <c r="I20" s="36">
        <v>624161.36</v>
      </c>
      <c r="J20" s="36">
        <v>520134.48</v>
      </c>
      <c r="K20" s="36">
        <v>624161.36</v>
      </c>
      <c r="L20" s="36">
        <v>520134.48</v>
      </c>
      <c r="M20" s="8" t="s">
        <v>447</v>
      </c>
      <c r="N20" s="36">
        <v>754195</v>
      </c>
      <c r="O20" s="1">
        <f t="shared" si="0"/>
        <v>754195</v>
      </c>
      <c r="P20" s="1" t="str">
        <f>_xlfn.XLOOKUP(D20,'1月份计划'!A:A,'1月份计划'!A:A)</f>
        <v>上海明芳汽车零件有限公司</v>
      </c>
    </row>
    <row r="21" s="1" customFormat="1" ht="15" customHeight="1" spans="1:16">
      <c r="A21" s="8" t="s">
        <v>444</v>
      </c>
      <c r="B21" s="11" t="s">
        <v>445</v>
      </c>
      <c r="C21" s="8" t="s">
        <v>41</v>
      </c>
      <c r="D21" s="11" t="s">
        <v>279</v>
      </c>
      <c r="E21" s="8" t="s">
        <v>41</v>
      </c>
      <c r="F21" s="8" t="s">
        <v>443</v>
      </c>
      <c r="G21" s="8" t="s">
        <v>447</v>
      </c>
      <c r="H21" s="36">
        <v>13932.9</v>
      </c>
      <c r="I21" s="36">
        <v>0</v>
      </c>
      <c r="J21" s="36">
        <v>0</v>
      </c>
      <c r="K21" s="36">
        <v>0</v>
      </c>
      <c r="L21" s="36">
        <v>0</v>
      </c>
      <c r="M21" s="8" t="s">
        <v>447</v>
      </c>
      <c r="N21" s="36">
        <v>13932.9</v>
      </c>
      <c r="O21" s="1">
        <f t="shared" si="0"/>
        <v>13932.9</v>
      </c>
      <c r="P21" s="1" t="str">
        <f>_xlfn.XLOOKUP(D21,'1月份计划'!A:A,'1月份计划'!A:A)</f>
        <v>上海秉直精密机械有限公司</v>
      </c>
    </row>
    <row r="22" s="1" customFormat="1" ht="15" customHeight="1" spans="1:16">
      <c r="A22" s="8" t="s">
        <v>444</v>
      </c>
      <c r="B22" s="11" t="s">
        <v>445</v>
      </c>
      <c r="C22" s="8" t="s">
        <v>41</v>
      </c>
      <c r="D22" s="11" t="s">
        <v>249</v>
      </c>
      <c r="E22" s="8" t="s">
        <v>41</v>
      </c>
      <c r="F22" s="8" t="s">
        <v>443</v>
      </c>
      <c r="G22" s="8" t="s">
        <v>447</v>
      </c>
      <c r="H22" s="36">
        <v>856363.68</v>
      </c>
      <c r="I22" s="36">
        <v>500000</v>
      </c>
      <c r="J22" s="36">
        <v>442481.63</v>
      </c>
      <c r="K22" s="36">
        <v>500000</v>
      </c>
      <c r="L22" s="36">
        <v>442481.63</v>
      </c>
      <c r="M22" s="8" t="s">
        <v>447</v>
      </c>
      <c r="N22" s="36">
        <v>798845.31</v>
      </c>
      <c r="O22" s="1">
        <f t="shared" si="0"/>
        <v>798845.31</v>
      </c>
      <c r="P22" s="1" t="str">
        <f>_xlfn.XLOOKUP(D22,'1月份计划'!A:A,'1月份计划'!A:A)</f>
        <v>江苏力乐汽车部件股份有限公司</v>
      </c>
    </row>
    <row r="23" s="1" customFormat="1" ht="15" customHeight="1" spans="1:16">
      <c r="A23" s="12" t="s">
        <v>444</v>
      </c>
      <c r="B23" s="15" t="s">
        <v>445</v>
      </c>
      <c r="C23" s="12" t="s">
        <v>41</v>
      </c>
      <c r="D23" s="15" t="s">
        <v>417</v>
      </c>
      <c r="E23" s="12" t="s">
        <v>41</v>
      </c>
      <c r="F23" s="12" t="s">
        <v>443</v>
      </c>
      <c r="G23" s="12" t="s">
        <v>447</v>
      </c>
      <c r="H23" s="37">
        <v>1210.1</v>
      </c>
      <c r="I23" s="37">
        <v>0</v>
      </c>
      <c r="J23" s="37">
        <v>68352.16</v>
      </c>
      <c r="K23" s="37">
        <v>0</v>
      </c>
      <c r="L23" s="37">
        <v>68352.16</v>
      </c>
      <c r="M23" s="12" t="s">
        <v>447</v>
      </c>
      <c r="N23" s="37">
        <v>69562.26</v>
      </c>
      <c r="O23" s="1">
        <f t="shared" si="0"/>
        <v>69562.26</v>
      </c>
      <c r="P23" s="1" t="str">
        <f>_xlfn.XLOOKUP(D23,'1月份计划'!A:A,'1月份计划'!A:A)</f>
        <v>太航常青汽车安全系统(苏州)股</v>
      </c>
    </row>
    <row r="24" s="1" customFormat="1" ht="15" customHeight="1" spans="1:16">
      <c r="A24" s="8" t="s">
        <v>444</v>
      </c>
      <c r="B24" s="11" t="s">
        <v>445</v>
      </c>
      <c r="C24" s="8" t="s">
        <v>41</v>
      </c>
      <c r="D24" s="11" t="s">
        <v>250</v>
      </c>
      <c r="E24" s="8" t="s">
        <v>41</v>
      </c>
      <c r="F24" s="8" t="s">
        <v>443</v>
      </c>
      <c r="G24" s="8" t="s">
        <v>447</v>
      </c>
      <c r="H24" s="36">
        <v>903881.91</v>
      </c>
      <c r="I24" s="36">
        <v>500000</v>
      </c>
      <c r="J24" s="36">
        <v>332887.93</v>
      </c>
      <c r="K24" s="36">
        <v>500000</v>
      </c>
      <c r="L24" s="36">
        <v>332887.93</v>
      </c>
      <c r="M24" s="8" t="s">
        <v>447</v>
      </c>
      <c r="N24" s="36">
        <v>736769.84</v>
      </c>
      <c r="O24" s="1">
        <f t="shared" si="0"/>
        <v>736769.84</v>
      </c>
      <c r="P24" s="1" t="str">
        <f>_xlfn.XLOOKUP(D24,'1月份计划'!A:A,'1月份计划'!A:A)</f>
        <v>溧阳鑫岩汽车零部件有限公司</v>
      </c>
    </row>
    <row r="25" s="1" customFormat="1" ht="15" customHeight="1" spans="1:16">
      <c r="A25" s="12" t="s">
        <v>444</v>
      </c>
      <c r="B25" s="15" t="s">
        <v>445</v>
      </c>
      <c r="C25" s="12" t="s">
        <v>41</v>
      </c>
      <c r="D25" s="15" t="s">
        <v>311</v>
      </c>
      <c r="E25" s="12" t="s">
        <v>41</v>
      </c>
      <c r="F25" s="12" t="s">
        <v>443</v>
      </c>
      <c r="G25" s="12" t="s">
        <v>447</v>
      </c>
      <c r="H25" s="37">
        <v>0.1</v>
      </c>
      <c r="I25" s="37">
        <v>0</v>
      </c>
      <c r="J25" s="37">
        <v>88818</v>
      </c>
      <c r="K25" s="37">
        <v>0</v>
      </c>
      <c r="L25" s="37">
        <v>88818</v>
      </c>
      <c r="M25" s="12" t="s">
        <v>447</v>
      </c>
      <c r="N25" s="37">
        <v>88818.1</v>
      </c>
      <c r="O25" s="1">
        <f t="shared" si="0"/>
        <v>88818.1</v>
      </c>
      <c r="P25" s="1" t="str">
        <f>_xlfn.XLOOKUP(D25,'1月份计划'!A:A,'1月份计划'!A:A)</f>
        <v>江苏全盛座舱技术股份有限公司</v>
      </c>
    </row>
    <row r="26" s="1" customFormat="1" ht="15" customHeight="1" spans="1:16">
      <c r="A26" s="12" t="s">
        <v>444</v>
      </c>
      <c r="B26" s="15" t="s">
        <v>445</v>
      </c>
      <c r="C26" s="12" t="s">
        <v>41</v>
      </c>
      <c r="D26" s="15" t="s">
        <v>298</v>
      </c>
      <c r="E26" s="12" t="s">
        <v>41</v>
      </c>
      <c r="F26" s="12" t="s">
        <v>443</v>
      </c>
      <c r="G26" s="12" t="s">
        <v>447</v>
      </c>
      <c r="H26" s="37">
        <v>194685.44</v>
      </c>
      <c r="I26" s="37">
        <v>110000</v>
      </c>
      <c r="J26" s="37">
        <v>181993.28</v>
      </c>
      <c r="K26" s="37">
        <v>110000</v>
      </c>
      <c r="L26" s="37">
        <v>181993.28</v>
      </c>
      <c r="M26" s="12" t="s">
        <v>447</v>
      </c>
      <c r="N26" s="37">
        <v>266678.72</v>
      </c>
      <c r="O26" s="1">
        <f t="shared" si="0"/>
        <v>266678.72</v>
      </c>
      <c r="P26" s="1" t="str">
        <f>_xlfn.XLOOKUP(D26,'1月份计划'!A:A,'1月份计划'!A:A)</f>
        <v>浙江华悦汽车零部件股份有限公</v>
      </c>
    </row>
    <row r="27" s="1" customFormat="1" ht="15" customHeight="1" spans="1:16">
      <c r="A27" s="8" t="s">
        <v>444</v>
      </c>
      <c r="B27" s="11" t="s">
        <v>445</v>
      </c>
      <c r="C27" s="8" t="s">
        <v>41</v>
      </c>
      <c r="D27" s="11" t="s">
        <v>251</v>
      </c>
      <c r="E27" s="8" t="s">
        <v>41</v>
      </c>
      <c r="F27" s="8" t="s">
        <v>443</v>
      </c>
      <c r="G27" s="8" t="s">
        <v>447</v>
      </c>
      <c r="H27" s="36">
        <v>177790.13</v>
      </c>
      <c r="I27" s="36">
        <v>0</v>
      </c>
      <c r="J27" s="36">
        <v>401306</v>
      </c>
      <c r="K27" s="36">
        <v>0</v>
      </c>
      <c r="L27" s="36">
        <v>401306</v>
      </c>
      <c r="M27" s="8" t="s">
        <v>447</v>
      </c>
      <c r="N27" s="36">
        <v>579096.13</v>
      </c>
      <c r="O27" s="1">
        <f t="shared" si="0"/>
        <v>579096.13</v>
      </c>
      <c r="P27" s="1" t="str">
        <f>_xlfn.XLOOKUP(D27,'1月份计划'!A:A,'1月份计划'!A:A)</f>
        <v>厦门凯平化工有限公司</v>
      </c>
    </row>
    <row r="28" s="1" customFormat="1" ht="15" customHeight="1" spans="1:16">
      <c r="A28" s="8" t="s">
        <v>444</v>
      </c>
      <c r="B28" s="11" t="s">
        <v>445</v>
      </c>
      <c r="C28" s="8" t="s">
        <v>41</v>
      </c>
      <c r="D28" s="11" t="s">
        <v>252</v>
      </c>
      <c r="E28" s="8" t="s">
        <v>41</v>
      </c>
      <c r="F28" s="8" t="s">
        <v>443</v>
      </c>
      <c r="G28" s="8" t="s">
        <v>447</v>
      </c>
      <c r="H28" s="36">
        <v>406537.66</v>
      </c>
      <c r="I28" s="36">
        <v>160000</v>
      </c>
      <c r="J28" s="36">
        <v>82996.78</v>
      </c>
      <c r="K28" s="36">
        <v>160000</v>
      </c>
      <c r="L28" s="36">
        <v>82996.78</v>
      </c>
      <c r="M28" s="8" t="s">
        <v>447</v>
      </c>
      <c r="N28" s="36">
        <v>329534.44</v>
      </c>
      <c r="O28" s="1">
        <f t="shared" si="0"/>
        <v>329534.44</v>
      </c>
      <c r="P28" s="1" t="str">
        <f>_xlfn.XLOOKUP(D28,'1月份计划'!A:A,'1月份计划'!A:A)</f>
        <v>湖北伟士通汽车零件有限公司</v>
      </c>
    </row>
    <row r="29" s="1" customFormat="1" ht="15" customHeight="1" spans="1:16">
      <c r="A29" s="12" t="s">
        <v>444</v>
      </c>
      <c r="B29" s="15" t="s">
        <v>445</v>
      </c>
      <c r="C29" s="12" t="s">
        <v>41</v>
      </c>
      <c r="D29" s="15" t="s">
        <v>253</v>
      </c>
      <c r="E29" s="12" t="s">
        <v>41</v>
      </c>
      <c r="F29" s="12" t="s">
        <v>443</v>
      </c>
      <c r="G29" s="12" t="s">
        <v>447</v>
      </c>
      <c r="H29" s="37">
        <v>338764.2</v>
      </c>
      <c r="I29" s="37">
        <v>230000</v>
      </c>
      <c r="J29" s="37">
        <v>135456.27</v>
      </c>
      <c r="K29" s="37">
        <v>230000</v>
      </c>
      <c r="L29" s="37">
        <v>135456.27</v>
      </c>
      <c r="M29" s="12" t="s">
        <v>447</v>
      </c>
      <c r="N29" s="37">
        <v>244220.47</v>
      </c>
      <c r="O29" s="1">
        <f t="shared" si="0"/>
        <v>244220.47</v>
      </c>
      <c r="P29" s="1" t="str">
        <f>_xlfn.XLOOKUP(D29,'1月份计划'!A:A,'1月份计划'!A:A)</f>
        <v>衡阳县标准件厂株洲销售处</v>
      </c>
    </row>
    <row r="30" s="1" customFormat="1" ht="15" customHeight="1" spans="1:16">
      <c r="A30" s="8" t="s">
        <v>444</v>
      </c>
      <c r="B30" s="11" t="s">
        <v>445</v>
      </c>
      <c r="C30" s="8" t="s">
        <v>41</v>
      </c>
      <c r="D30" s="11" t="s">
        <v>254</v>
      </c>
      <c r="E30" s="8" t="s">
        <v>41</v>
      </c>
      <c r="F30" s="8" t="s">
        <v>443</v>
      </c>
      <c r="G30" s="8" t="s">
        <v>447</v>
      </c>
      <c r="H30" s="36">
        <v>597301.94</v>
      </c>
      <c r="I30" s="36">
        <v>600000</v>
      </c>
      <c r="J30" s="36">
        <v>913202.96</v>
      </c>
      <c r="K30" s="36">
        <v>600000</v>
      </c>
      <c r="L30" s="36">
        <v>913202.96</v>
      </c>
      <c r="M30" s="8" t="s">
        <v>447</v>
      </c>
      <c r="N30" s="36">
        <v>910504.9</v>
      </c>
      <c r="O30" s="1">
        <f t="shared" si="0"/>
        <v>910504.9</v>
      </c>
      <c r="P30" s="1" t="str">
        <f>_xlfn.XLOOKUP(D30,'1月份计划'!A:A,'1月份计划'!A:A)</f>
        <v>湖南凌天汽车零部件有限公司</v>
      </c>
    </row>
    <row r="31" s="1" customFormat="1" ht="15" customHeight="1" spans="1:16">
      <c r="A31" s="12" t="s">
        <v>444</v>
      </c>
      <c r="B31" s="15" t="s">
        <v>445</v>
      </c>
      <c r="C31" s="12" t="s">
        <v>41</v>
      </c>
      <c r="D31" s="15" t="s">
        <v>454</v>
      </c>
      <c r="E31" s="12" t="s">
        <v>41</v>
      </c>
      <c r="F31" s="12" t="s">
        <v>443</v>
      </c>
      <c r="G31" s="12" t="s">
        <v>447</v>
      </c>
      <c r="H31" s="37">
        <v>101764.01</v>
      </c>
      <c r="I31" s="37">
        <v>72853.59</v>
      </c>
      <c r="J31" s="37">
        <v>0</v>
      </c>
      <c r="K31" s="37">
        <v>72853.59</v>
      </c>
      <c r="L31" s="37">
        <v>0</v>
      </c>
      <c r="M31" s="12" t="s">
        <v>447</v>
      </c>
      <c r="N31" s="37">
        <v>28910.42</v>
      </c>
      <c r="O31" s="1">
        <f t="shared" si="0"/>
        <v>28910.42</v>
      </c>
      <c r="P31" s="1" t="e">
        <f>_xlfn.XLOOKUP(D31,'1月份计划'!A:A,'1月份计划'!A:A)</f>
        <v>#N/A</v>
      </c>
    </row>
    <row r="32" s="1" customFormat="1" ht="15" customHeight="1" spans="1:16">
      <c r="A32" s="8" t="s">
        <v>444</v>
      </c>
      <c r="B32" s="11" t="s">
        <v>445</v>
      </c>
      <c r="C32" s="8" t="s">
        <v>41</v>
      </c>
      <c r="D32" s="11" t="s">
        <v>255</v>
      </c>
      <c r="E32" s="8" t="s">
        <v>41</v>
      </c>
      <c r="F32" s="8" t="s">
        <v>443</v>
      </c>
      <c r="G32" s="8" t="s">
        <v>447</v>
      </c>
      <c r="H32" s="36">
        <v>366345.26</v>
      </c>
      <c r="I32" s="36">
        <v>220000</v>
      </c>
      <c r="J32" s="36">
        <v>0</v>
      </c>
      <c r="K32" s="36">
        <v>220000</v>
      </c>
      <c r="L32" s="36">
        <v>0</v>
      </c>
      <c r="M32" s="8" t="s">
        <v>447</v>
      </c>
      <c r="N32" s="36">
        <v>146345.26</v>
      </c>
      <c r="O32" s="1">
        <f t="shared" si="0"/>
        <v>146345.26</v>
      </c>
      <c r="P32" s="1" t="str">
        <f>_xlfn.XLOOKUP(D32,'1月份计划'!A:A,'1月份计划'!A:A)</f>
        <v>重庆光大产业有限公司</v>
      </c>
    </row>
    <row r="33" s="1" customFormat="1" ht="15" customHeight="1" spans="1:16">
      <c r="A33" s="12" t="s">
        <v>444</v>
      </c>
      <c r="B33" s="15" t="s">
        <v>445</v>
      </c>
      <c r="C33" s="12" t="s">
        <v>41</v>
      </c>
      <c r="D33" s="15" t="s">
        <v>256</v>
      </c>
      <c r="E33" s="12" t="s">
        <v>41</v>
      </c>
      <c r="F33" s="12" t="s">
        <v>443</v>
      </c>
      <c r="G33" s="12" t="s">
        <v>447</v>
      </c>
      <c r="H33" s="37">
        <v>4894633.37</v>
      </c>
      <c r="I33" s="37">
        <v>2700000</v>
      </c>
      <c r="J33" s="37">
        <v>0</v>
      </c>
      <c r="K33" s="37">
        <v>2700000</v>
      </c>
      <c r="L33" s="37">
        <v>0</v>
      </c>
      <c r="M33" s="12" t="s">
        <v>447</v>
      </c>
      <c r="N33" s="37">
        <v>2194633.37</v>
      </c>
      <c r="O33" s="1">
        <f t="shared" si="0"/>
        <v>2194633.37</v>
      </c>
      <c r="P33" s="1" t="str">
        <f>_xlfn.XLOOKUP(D33,'1月份计划'!A:A,'1月份计划'!A:A)</f>
        <v>湘乡简美工贸有限公司</v>
      </c>
    </row>
    <row r="34" s="1" customFormat="1" ht="15" customHeight="1" spans="1:16">
      <c r="A34" s="12" t="s">
        <v>444</v>
      </c>
      <c r="B34" s="15" t="s">
        <v>445</v>
      </c>
      <c r="C34" s="12" t="s">
        <v>41</v>
      </c>
      <c r="D34" s="15" t="s">
        <v>455</v>
      </c>
      <c r="E34" s="12" t="s">
        <v>41</v>
      </c>
      <c r="F34" s="12" t="s">
        <v>443</v>
      </c>
      <c r="G34" s="12" t="s">
        <v>447</v>
      </c>
      <c r="H34" s="37">
        <v>241042</v>
      </c>
      <c r="I34" s="37">
        <v>0</v>
      </c>
      <c r="J34" s="37">
        <v>0</v>
      </c>
      <c r="K34" s="37">
        <v>0</v>
      </c>
      <c r="L34" s="37">
        <v>0</v>
      </c>
      <c r="M34" s="12" t="s">
        <v>447</v>
      </c>
      <c r="N34" s="37">
        <v>241042</v>
      </c>
      <c r="O34" s="1">
        <f t="shared" si="0"/>
        <v>241042</v>
      </c>
      <c r="P34" s="1" t="e">
        <f>_xlfn.XLOOKUP(D34,'1月份计划'!A:A,'1月份计划'!A:A)</f>
        <v>#N/A</v>
      </c>
    </row>
    <row r="35" s="1" customFormat="1" ht="15" customHeight="1" spans="1:16">
      <c r="A35" s="8" t="s">
        <v>444</v>
      </c>
      <c r="B35" s="11" t="s">
        <v>445</v>
      </c>
      <c r="C35" s="8" t="s">
        <v>41</v>
      </c>
      <c r="D35" s="11" t="s">
        <v>456</v>
      </c>
      <c r="E35" s="8" t="s">
        <v>41</v>
      </c>
      <c r="F35" s="8" t="s">
        <v>443</v>
      </c>
      <c r="G35" s="8" t="s">
        <v>447</v>
      </c>
      <c r="H35" s="36">
        <v>315723.23</v>
      </c>
      <c r="I35" s="36">
        <v>200000</v>
      </c>
      <c r="J35" s="36">
        <v>0</v>
      </c>
      <c r="K35" s="36">
        <v>200000</v>
      </c>
      <c r="L35" s="36">
        <v>0</v>
      </c>
      <c r="M35" s="8" t="s">
        <v>447</v>
      </c>
      <c r="N35" s="36">
        <v>115723.23</v>
      </c>
      <c r="O35" s="1">
        <f t="shared" si="0"/>
        <v>115723.23</v>
      </c>
      <c r="P35" s="1" t="e">
        <f>_xlfn.XLOOKUP(D35,'1月份计划'!A:A,'1月份计划'!A:A)</f>
        <v>#N/A</v>
      </c>
    </row>
    <row r="36" s="1" customFormat="1" ht="15" customHeight="1" spans="1:16">
      <c r="A36" s="12" t="s">
        <v>444</v>
      </c>
      <c r="B36" s="15" t="s">
        <v>445</v>
      </c>
      <c r="C36" s="12" t="s">
        <v>41</v>
      </c>
      <c r="D36" s="15" t="s">
        <v>457</v>
      </c>
      <c r="E36" s="12" t="s">
        <v>41</v>
      </c>
      <c r="F36" s="12" t="s">
        <v>443</v>
      </c>
      <c r="G36" s="12" t="s">
        <v>447</v>
      </c>
      <c r="H36" s="37">
        <v>1400</v>
      </c>
      <c r="I36" s="37">
        <v>0</v>
      </c>
      <c r="J36" s="37">
        <v>0</v>
      </c>
      <c r="K36" s="37">
        <v>0</v>
      </c>
      <c r="L36" s="37">
        <v>0</v>
      </c>
      <c r="M36" s="12" t="s">
        <v>447</v>
      </c>
      <c r="N36" s="37">
        <v>1400</v>
      </c>
      <c r="O36" s="1">
        <f t="shared" si="0"/>
        <v>1400</v>
      </c>
      <c r="P36" s="1" t="e">
        <f>_xlfn.XLOOKUP(D36,'1月份计划'!A:A,'1月份计划'!A:A)</f>
        <v>#N/A</v>
      </c>
    </row>
    <row r="37" s="1" customFormat="1" ht="15" customHeight="1" spans="1:16">
      <c r="A37" s="8" t="s">
        <v>444</v>
      </c>
      <c r="B37" s="11" t="s">
        <v>445</v>
      </c>
      <c r="C37" s="8" t="s">
        <v>41</v>
      </c>
      <c r="D37" s="11" t="s">
        <v>458</v>
      </c>
      <c r="E37" s="8" t="s">
        <v>41</v>
      </c>
      <c r="F37" s="8" t="s">
        <v>443</v>
      </c>
      <c r="G37" s="8" t="s">
        <v>447</v>
      </c>
      <c r="H37" s="36">
        <v>5600</v>
      </c>
      <c r="I37" s="36">
        <v>0</v>
      </c>
      <c r="J37" s="36">
        <v>0</v>
      </c>
      <c r="K37" s="36">
        <v>0</v>
      </c>
      <c r="L37" s="36">
        <v>0</v>
      </c>
      <c r="M37" s="8" t="s">
        <v>447</v>
      </c>
      <c r="N37" s="36">
        <v>5600</v>
      </c>
      <c r="O37" s="1">
        <f t="shared" si="0"/>
        <v>5600</v>
      </c>
      <c r="P37" s="1" t="e">
        <f>_xlfn.XLOOKUP(D37,'1月份计划'!A:A,'1月份计划'!A:A)</f>
        <v>#N/A</v>
      </c>
    </row>
    <row r="38" s="1" customFormat="1" ht="15" customHeight="1" spans="1:16">
      <c r="A38" s="12" t="s">
        <v>444</v>
      </c>
      <c r="B38" s="15" t="s">
        <v>445</v>
      </c>
      <c r="C38" s="12" t="s">
        <v>41</v>
      </c>
      <c r="D38" s="15" t="s">
        <v>459</v>
      </c>
      <c r="E38" s="12" t="s">
        <v>41</v>
      </c>
      <c r="F38" s="12" t="s">
        <v>443</v>
      </c>
      <c r="G38" s="12" t="s">
        <v>447</v>
      </c>
      <c r="H38" s="37">
        <v>6250</v>
      </c>
      <c r="I38" s="37">
        <v>0</v>
      </c>
      <c r="J38" s="37">
        <v>0</v>
      </c>
      <c r="K38" s="37">
        <v>0</v>
      </c>
      <c r="L38" s="37">
        <v>0</v>
      </c>
      <c r="M38" s="12" t="s">
        <v>447</v>
      </c>
      <c r="N38" s="37">
        <v>6250</v>
      </c>
      <c r="O38" s="1">
        <f t="shared" si="0"/>
        <v>6250</v>
      </c>
      <c r="P38" s="1" t="e">
        <f>_xlfn.XLOOKUP(D38,'1月份计划'!A:A,'1月份计划'!A:A)</f>
        <v>#N/A</v>
      </c>
    </row>
    <row r="39" s="1" customFormat="1" ht="15" customHeight="1" spans="1:16">
      <c r="A39" s="12" t="s">
        <v>444</v>
      </c>
      <c r="B39" s="15" t="s">
        <v>445</v>
      </c>
      <c r="C39" s="12" t="s">
        <v>41</v>
      </c>
      <c r="D39" s="15" t="s">
        <v>460</v>
      </c>
      <c r="E39" s="12" t="s">
        <v>41</v>
      </c>
      <c r="F39" s="12" t="s">
        <v>443</v>
      </c>
      <c r="G39" s="12" t="s">
        <v>447</v>
      </c>
      <c r="H39" s="37">
        <v>12000</v>
      </c>
      <c r="I39" s="37">
        <v>0</v>
      </c>
      <c r="J39" s="37">
        <v>0</v>
      </c>
      <c r="K39" s="37">
        <v>0</v>
      </c>
      <c r="L39" s="37">
        <v>0</v>
      </c>
      <c r="M39" s="12" t="s">
        <v>447</v>
      </c>
      <c r="N39" s="37">
        <v>12000</v>
      </c>
      <c r="O39" s="1">
        <f t="shared" si="0"/>
        <v>12000</v>
      </c>
      <c r="P39" s="1" t="e">
        <f>_xlfn.XLOOKUP(D39,'1月份计划'!A:A,'1月份计划'!A:A)</f>
        <v>#N/A</v>
      </c>
    </row>
    <row r="40" s="1" customFormat="1" ht="15" customHeight="1" spans="1:16">
      <c r="A40" s="12" t="s">
        <v>444</v>
      </c>
      <c r="B40" s="15" t="s">
        <v>445</v>
      </c>
      <c r="C40" s="12" t="s">
        <v>41</v>
      </c>
      <c r="D40" s="15" t="s">
        <v>461</v>
      </c>
      <c r="E40" s="12" t="s">
        <v>41</v>
      </c>
      <c r="F40" s="12" t="s">
        <v>443</v>
      </c>
      <c r="G40" s="12" t="s">
        <v>447</v>
      </c>
      <c r="H40" s="37">
        <v>9600</v>
      </c>
      <c r="I40" s="37">
        <v>0</v>
      </c>
      <c r="J40" s="37">
        <v>0</v>
      </c>
      <c r="K40" s="37">
        <v>0</v>
      </c>
      <c r="L40" s="37">
        <v>0</v>
      </c>
      <c r="M40" s="12" t="s">
        <v>447</v>
      </c>
      <c r="N40" s="37">
        <v>9600</v>
      </c>
      <c r="O40" s="1">
        <f t="shared" si="0"/>
        <v>9600</v>
      </c>
      <c r="P40" s="1" t="e">
        <f>_xlfn.XLOOKUP(D40,'1月份计划'!A:A,'1月份计划'!A:A)</f>
        <v>#N/A</v>
      </c>
    </row>
    <row r="41" s="1" customFormat="1" ht="15" customHeight="1" spans="1:16">
      <c r="A41" s="12" t="s">
        <v>444</v>
      </c>
      <c r="B41" s="15" t="s">
        <v>445</v>
      </c>
      <c r="C41" s="12" t="s">
        <v>41</v>
      </c>
      <c r="D41" s="15" t="s">
        <v>462</v>
      </c>
      <c r="E41" s="12" t="s">
        <v>41</v>
      </c>
      <c r="F41" s="12" t="s">
        <v>443</v>
      </c>
      <c r="G41" s="12" t="s">
        <v>453</v>
      </c>
      <c r="H41" s="37">
        <v>15365.76</v>
      </c>
      <c r="I41" s="37">
        <v>0</v>
      </c>
      <c r="J41" s="37">
        <v>0</v>
      </c>
      <c r="K41" s="37">
        <v>0</v>
      </c>
      <c r="L41" s="37">
        <v>0</v>
      </c>
      <c r="M41" s="12" t="s">
        <v>453</v>
      </c>
      <c r="N41" s="37">
        <v>15365.76</v>
      </c>
      <c r="O41" s="1">
        <f t="shared" si="0"/>
        <v>-15365.76</v>
      </c>
      <c r="P41" s="1" t="e">
        <f>_xlfn.XLOOKUP(D41,'1月份计划'!A:A,'1月份计划'!A:A)</f>
        <v>#N/A</v>
      </c>
    </row>
    <row r="42" s="1" customFormat="1" ht="15" customHeight="1" spans="1:16">
      <c r="A42" s="8" t="s">
        <v>444</v>
      </c>
      <c r="B42" s="11" t="s">
        <v>445</v>
      </c>
      <c r="C42" s="8" t="s">
        <v>41</v>
      </c>
      <c r="D42" s="11" t="s">
        <v>463</v>
      </c>
      <c r="E42" s="8" t="s">
        <v>41</v>
      </c>
      <c r="F42" s="8" t="s">
        <v>443</v>
      </c>
      <c r="G42" s="8" t="s">
        <v>447</v>
      </c>
      <c r="H42" s="36">
        <v>2200</v>
      </c>
      <c r="I42" s="36">
        <v>0</v>
      </c>
      <c r="J42" s="36">
        <v>0</v>
      </c>
      <c r="K42" s="36">
        <v>0</v>
      </c>
      <c r="L42" s="36">
        <v>0</v>
      </c>
      <c r="M42" s="8" t="s">
        <v>447</v>
      </c>
      <c r="N42" s="36">
        <v>2200</v>
      </c>
      <c r="O42" s="1">
        <f t="shared" si="0"/>
        <v>2200</v>
      </c>
      <c r="P42" s="1" t="e">
        <f>_xlfn.XLOOKUP(D42,'1月份计划'!A:A,'1月份计划'!A:A)</f>
        <v>#N/A</v>
      </c>
    </row>
    <row r="43" s="1" customFormat="1" ht="15" customHeight="1" spans="1:16">
      <c r="A43" s="12" t="s">
        <v>444</v>
      </c>
      <c r="B43" s="15" t="s">
        <v>445</v>
      </c>
      <c r="C43" s="12" t="s">
        <v>41</v>
      </c>
      <c r="D43" s="15" t="s">
        <v>464</v>
      </c>
      <c r="E43" s="12" t="s">
        <v>41</v>
      </c>
      <c r="F43" s="12" t="s">
        <v>443</v>
      </c>
      <c r="G43" s="12" t="s">
        <v>447</v>
      </c>
      <c r="H43" s="37">
        <v>6340</v>
      </c>
      <c r="I43" s="37">
        <v>0</v>
      </c>
      <c r="J43" s="37">
        <v>0</v>
      </c>
      <c r="K43" s="37">
        <v>0</v>
      </c>
      <c r="L43" s="37">
        <v>0</v>
      </c>
      <c r="M43" s="12" t="s">
        <v>447</v>
      </c>
      <c r="N43" s="37">
        <v>6340</v>
      </c>
      <c r="O43" s="1">
        <f t="shared" si="0"/>
        <v>6340</v>
      </c>
      <c r="P43" s="1" t="e">
        <f>_xlfn.XLOOKUP(D43,'1月份计划'!A:A,'1月份计划'!A:A)</f>
        <v>#N/A</v>
      </c>
    </row>
    <row r="44" s="1" customFormat="1" ht="15" customHeight="1" spans="1:16">
      <c r="A44" s="8" t="s">
        <v>444</v>
      </c>
      <c r="B44" s="11" t="s">
        <v>445</v>
      </c>
      <c r="C44" s="8" t="s">
        <v>41</v>
      </c>
      <c r="D44" s="11" t="s">
        <v>465</v>
      </c>
      <c r="E44" s="8" t="s">
        <v>41</v>
      </c>
      <c r="F44" s="8" t="s">
        <v>443</v>
      </c>
      <c r="G44" s="8" t="s">
        <v>447</v>
      </c>
      <c r="H44" s="36">
        <v>30585</v>
      </c>
      <c r="I44" s="36">
        <v>0</v>
      </c>
      <c r="J44" s="36">
        <v>0</v>
      </c>
      <c r="K44" s="36">
        <v>0</v>
      </c>
      <c r="L44" s="36">
        <v>0</v>
      </c>
      <c r="M44" s="8" t="s">
        <v>447</v>
      </c>
      <c r="N44" s="36">
        <v>30585</v>
      </c>
      <c r="O44" s="1">
        <f t="shared" si="0"/>
        <v>30585</v>
      </c>
      <c r="P44" s="1" t="e">
        <f>_xlfn.XLOOKUP(D44,'1月份计划'!A:A,'1月份计划'!A:A)</f>
        <v>#N/A</v>
      </c>
    </row>
    <row r="45" s="1" customFormat="1" ht="15" customHeight="1" spans="1:16">
      <c r="A45" s="12" t="s">
        <v>444</v>
      </c>
      <c r="B45" s="15" t="s">
        <v>445</v>
      </c>
      <c r="C45" s="12" t="s">
        <v>41</v>
      </c>
      <c r="D45" s="15" t="s">
        <v>257</v>
      </c>
      <c r="E45" s="12" t="s">
        <v>41</v>
      </c>
      <c r="F45" s="12" t="s">
        <v>443</v>
      </c>
      <c r="G45" s="12" t="s">
        <v>453</v>
      </c>
      <c r="H45" s="37">
        <v>224512.23</v>
      </c>
      <c r="I45" s="37">
        <v>0</v>
      </c>
      <c r="J45" s="37">
        <v>0</v>
      </c>
      <c r="K45" s="37">
        <v>0</v>
      </c>
      <c r="L45" s="37">
        <v>0</v>
      </c>
      <c r="M45" s="12" t="s">
        <v>453</v>
      </c>
      <c r="N45" s="37">
        <v>224512.23</v>
      </c>
      <c r="O45" s="1">
        <f t="shared" si="0"/>
        <v>-224512.23</v>
      </c>
      <c r="P45" s="1" t="str">
        <f>_xlfn.XLOOKUP(D45,'1月份计划'!A:A,'1月份计划'!A:A)</f>
        <v>佛吉亚（无锡）座椅部件有限公</v>
      </c>
    </row>
    <row r="46" s="1" customFormat="1" ht="15" customHeight="1" spans="1:16">
      <c r="A46" s="8" t="s">
        <v>444</v>
      </c>
      <c r="B46" s="11" t="s">
        <v>445</v>
      </c>
      <c r="C46" s="8" t="s">
        <v>41</v>
      </c>
      <c r="D46" s="11" t="s">
        <v>278</v>
      </c>
      <c r="E46" s="8" t="s">
        <v>41</v>
      </c>
      <c r="F46" s="8" t="s">
        <v>443</v>
      </c>
      <c r="G46" s="8" t="s">
        <v>447</v>
      </c>
      <c r="H46" s="36">
        <v>25076.96</v>
      </c>
      <c r="I46" s="36">
        <v>25076.96</v>
      </c>
      <c r="J46" s="36">
        <v>10558.72</v>
      </c>
      <c r="K46" s="36">
        <v>25076.96</v>
      </c>
      <c r="L46" s="36">
        <v>10558.72</v>
      </c>
      <c r="M46" s="8" t="s">
        <v>447</v>
      </c>
      <c r="N46" s="36">
        <v>10558.72</v>
      </c>
      <c r="O46" s="1">
        <f t="shared" si="0"/>
        <v>10558.72</v>
      </c>
      <c r="P46" s="1" t="str">
        <f>_xlfn.XLOOKUP(D46,'1月份计划'!A:A,'1月份计划'!A:A)</f>
        <v>重庆渝融兴汽车配件有限公司</v>
      </c>
    </row>
    <row r="47" s="1" customFormat="1" ht="15" customHeight="1" spans="1:16">
      <c r="A47" s="12" t="s">
        <v>444</v>
      </c>
      <c r="B47" s="15" t="s">
        <v>445</v>
      </c>
      <c r="C47" s="12" t="s">
        <v>41</v>
      </c>
      <c r="D47" s="15" t="s">
        <v>412</v>
      </c>
      <c r="E47" s="12" t="s">
        <v>41</v>
      </c>
      <c r="F47" s="12" t="s">
        <v>443</v>
      </c>
      <c r="G47" s="12" t="s">
        <v>447</v>
      </c>
      <c r="H47" s="37">
        <v>7541.62</v>
      </c>
      <c r="I47" s="37">
        <v>4332.42</v>
      </c>
      <c r="J47" s="37">
        <v>7541.62</v>
      </c>
      <c r="K47" s="37">
        <v>4332.42</v>
      </c>
      <c r="L47" s="37">
        <v>7541.62</v>
      </c>
      <c r="M47" s="12" t="s">
        <v>447</v>
      </c>
      <c r="N47" s="37">
        <v>10750.82</v>
      </c>
      <c r="O47" s="1">
        <f t="shared" si="0"/>
        <v>10750.82</v>
      </c>
      <c r="P47" s="1" t="str">
        <f>_xlfn.XLOOKUP(D47,'1月份计划'!A:A,'1月份计划'!A:A)</f>
        <v>安徽汉升工业部件股份有限公司</v>
      </c>
    </row>
    <row r="48" s="1" customFormat="1" ht="15" customHeight="1" spans="1:16">
      <c r="A48" s="8" t="s">
        <v>444</v>
      </c>
      <c r="B48" s="11" t="s">
        <v>445</v>
      </c>
      <c r="C48" s="8" t="s">
        <v>41</v>
      </c>
      <c r="D48" s="11" t="s">
        <v>258</v>
      </c>
      <c r="E48" s="8" t="s">
        <v>41</v>
      </c>
      <c r="F48" s="8" t="s">
        <v>443</v>
      </c>
      <c r="G48" s="8" t="s">
        <v>447</v>
      </c>
      <c r="H48" s="36">
        <v>738753.22</v>
      </c>
      <c r="I48" s="36">
        <v>350000</v>
      </c>
      <c r="J48" s="36">
        <v>61016.77</v>
      </c>
      <c r="K48" s="36">
        <v>350000</v>
      </c>
      <c r="L48" s="36">
        <v>61016.77</v>
      </c>
      <c r="M48" s="8" t="s">
        <v>447</v>
      </c>
      <c r="N48" s="36">
        <v>449769.99</v>
      </c>
      <c r="O48" s="1">
        <f t="shared" si="0"/>
        <v>449769.99</v>
      </c>
      <c r="P48" s="1" t="str">
        <f>_xlfn.XLOOKUP(D48,'1月份计划'!A:A,'1月份计划'!A:A)</f>
        <v>吉林省德邦汽车电子有限公司</v>
      </c>
    </row>
    <row r="49" s="1" customFormat="1" ht="15" customHeight="1" spans="1:16">
      <c r="A49" s="12" t="s">
        <v>444</v>
      </c>
      <c r="B49" s="15" t="s">
        <v>445</v>
      </c>
      <c r="C49" s="12" t="s">
        <v>41</v>
      </c>
      <c r="D49" s="15" t="s">
        <v>259</v>
      </c>
      <c r="E49" s="12" t="s">
        <v>41</v>
      </c>
      <c r="F49" s="12" t="s">
        <v>443</v>
      </c>
      <c r="G49" s="12" t="s">
        <v>447</v>
      </c>
      <c r="H49" s="37">
        <v>785749.59</v>
      </c>
      <c r="I49" s="37">
        <v>478035.9</v>
      </c>
      <c r="J49" s="37">
        <v>241642.59</v>
      </c>
      <c r="K49" s="37">
        <v>478035.9</v>
      </c>
      <c r="L49" s="37">
        <v>241642.59</v>
      </c>
      <c r="M49" s="12" t="s">
        <v>447</v>
      </c>
      <c r="N49" s="37">
        <v>549356.28</v>
      </c>
      <c r="O49" s="1">
        <f t="shared" si="0"/>
        <v>549356.28</v>
      </c>
      <c r="P49" s="1" t="str">
        <f>_xlfn.XLOOKUP(D49,'1月份计划'!A:A,'1月份计划'!A:A)</f>
        <v>吉林省方舟电子科技有限公司</v>
      </c>
    </row>
    <row r="50" s="1" customFormat="1" ht="15" customHeight="1" spans="1:16">
      <c r="A50" s="8" t="s">
        <v>444</v>
      </c>
      <c r="B50" s="11" t="s">
        <v>445</v>
      </c>
      <c r="C50" s="8" t="s">
        <v>41</v>
      </c>
      <c r="D50" s="11" t="s">
        <v>299</v>
      </c>
      <c r="E50" s="8" t="s">
        <v>41</v>
      </c>
      <c r="F50" s="8" t="s">
        <v>443</v>
      </c>
      <c r="G50" s="8" t="s">
        <v>447</v>
      </c>
      <c r="H50" s="36">
        <v>287434.43</v>
      </c>
      <c r="I50" s="36">
        <v>0</v>
      </c>
      <c r="J50" s="36">
        <v>324795.67</v>
      </c>
      <c r="K50" s="36">
        <v>0</v>
      </c>
      <c r="L50" s="36">
        <v>324795.67</v>
      </c>
      <c r="M50" s="8" t="s">
        <v>447</v>
      </c>
      <c r="N50" s="36">
        <v>612230.1</v>
      </c>
      <c r="O50" s="1">
        <f t="shared" si="0"/>
        <v>612230.1</v>
      </c>
      <c r="P50" s="1" t="str">
        <f>_xlfn.XLOOKUP(D50,'1月份计划'!A:A,'1月份计划'!A:A)</f>
        <v>长春富维安道拓汽车金属零部件</v>
      </c>
    </row>
    <row r="51" s="1" customFormat="1" ht="15" customHeight="1" spans="1:16">
      <c r="A51" s="12" t="s">
        <v>444</v>
      </c>
      <c r="B51" s="15" t="s">
        <v>445</v>
      </c>
      <c r="C51" s="12" t="s">
        <v>41</v>
      </c>
      <c r="D51" s="15" t="s">
        <v>260</v>
      </c>
      <c r="E51" s="12" t="s">
        <v>41</v>
      </c>
      <c r="F51" s="12" t="s">
        <v>443</v>
      </c>
      <c r="G51" s="12" t="s">
        <v>447</v>
      </c>
      <c r="H51" s="37">
        <v>523706.75</v>
      </c>
      <c r="I51" s="37">
        <v>290466.83</v>
      </c>
      <c r="J51" s="37">
        <v>148360.26</v>
      </c>
      <c r="K51" s="37">
        <v>290466.83</v>
      </c>
      <c r="L51" s="37">
        <v>148360.26</v>
      </c>
      <c r="M51" s="12" t="s">
        <v>447</v>
      </c>
      <c r="N51" s="37">
        <v>381600.18</v>
      </c>
      <c r="O51" s="1">
        <f t="shared" si="0"/>
        <v>381600.18</v>
      </c>
      <c r="P51" s="1" t="str">
        <f>_xlfn.XLOOKUP(D51,'1月份计划'!A:A,'1月份计划'!A:A)</f>
        <v>黄骅市雍丰塑料制品有限公司</v>
      </c>
    </row>
    <row r="52" s="1" customFormat="1" ht="15" customHeight="1" spans="1:16">
      <c r="A52" s="12" t="s">
        <v>444</v>
      </c>
      <c r="B52" s="15" t="s">
        <v>445</v>
      </c>
      <c r="C52" s="12" t="s">
        <v>41</v>
      </c>
      <c r="D52" s="15" t="s">
        <v>466</v>
      </c>
      <c r="E52" s="12" t="s">
        <v>41</v>
      </c>
      <c r="F52" s="12" t="s">
        <v>443</v>
      </c>
      <c r="G52" s="12" t="s">
        <v>447</v>
      </c>
      <c r="H52" s="37">
        <v>1508.81</v>
      </c>
      <c r="I52" s="37">
        <v>0</v>
      </c>
      <c r="J52" s="37">
        <v>0</v>
      </c>
      <c r="K52" s="37">
        <v>0</v>
      </c>
      <c r="L52" s="37">
        <v>0</v>
      </c>
      <c r="M52" s="12" t="s">
        <v>447</v>
      </c>
      <c r="N52" s="37">
        <v>1508.81</v>
      </c>
      <c r="O52" s="1">
        <f t="shared" si="0"/>
        <v>1508.81</v>
      </c>
      <c r="P52" s="1" t="e">
        <f>_xlfn.XLOOKUP(D52,'1月份计划'!A:A,'1月份计划'!A:A)</f>
        <v>#N/A</v>
      </c>
    </row>
    <row r="53" s="1" customFormat="1" ht="15" customHeight="1" spans="1:16">
      <c r="A53" s="8" t="s">
        <v>444</v>
      </c>
      <c r="B53" s="11" t="s">
        <v>445</v>
      </c>
      <c r="C53" s="8" t="s">
        <v>41</v>
      </c>
      <c r="D53" s="11" t="s">
        <v>467</v>
      </c>
      <c r="E53" s="8" t="s">
        <v>41</v>
      </c>
      <c r="F53" s="8" t="s">
        <v>443</v>
      </c>
      <c r="G53" s="8" t="s">
        <v>447</v>
      </c>
      <c r="H53" s="36">
        <v>19684</v>
      </c>
      <c r="I53" s="36">
        <v>0</v>
      </c>
      <c r="J53" s="36">
        <v>0</v>
      </c>
      <c r="K53" s="36">
        <v>0</v>
      </c>
      <c r="L53" s="36">
        <v>0</v>
      </c>
      <c r="M53" s="8" t="s">
        <v>447</v>
      </c>
      <c r="N53" s="36">
        <v>19684</v>
      </c>
      <c r="O53" s="1">
        <f t="shared" si="0"/>
        <v>19684</v>
      </c>
      <c r="P53" s="1" t="e">
        <f>_xlfn.XLOOKUP(D53,'1月份计划'!A:A,'1月份计划'!A:A)</f>
        <v>#N/A</v>
      </c>
    </row>
    <row r="54" s="1" customFormat="1" ht="15" customHeight="1" spans="1:16">
      <c r="A54" s="12" t="s">
        <v>444</v>
      </c>
      <c r="B54" s="15" t="s">
        <v>445</v>
      </c>
      <c r="C54" s="12" t="s">
        <v>41</v>
      </c>
      <c r="D54" s="15" t="s">
        <v>306</v>
      </c>
      <c r="E54" s="12" t="s">
        <v>41</v>
      </c>
      <c r="F54" s="12" t="s">
        <v>443</v>
      </c>
      <c r="G54" s="12" t="s">
        <v>447</v>
      </c>
      <c r="H54" s="37">
        <v>40093.53</v>
      </c>
      <c r="I54" s="37">
        <v>32793.73</v>
      </c>
      <c r="J54" s="37">
        <v>62470.92</v>
      </c>
      <c r="K54" s="37">
        <v>32793.73</v>
      </c>
      <c r="L54" s="37">
        <v>62470.92</v>
      </c>
      <c r="M54" s="12" t="s">
        <v>447</v>
      </c>
      <c r="N54" s="37">
        <v>69770.72</v>
      </c>
      <c r="O54" s="1">
        <f t="shared" si="0"/>
        <v>69770.72</v>
      </c>
      <c r="P54" s="1" t="str">
        <f>_xlfn.XLOOKUP(D54,'1月份计划'!A:A,'1月份计划'!A:A)</f>
        <v>江苏忠明祥和精工股份有限公司</v>
      </c>
    </row>
    <row r="55" s="1" customFormat="1" ht="15" customHeight="1" spans="1:16">
      <c r="A55" s="8" t="s">
        <v>444</v>
      </c>
      <c r="B55" s="11" t="s">
        <v>445</v>
      </c>
      <c r="C55" s="8" t="s">
        <v>41</v>
      </c>
      <c r="D55" s="11" t="s">
        <v>468</v>
      </c>
      <c r="E55" s="8" t="s">
        <v>41</v>
      </c>
      <c r="F55" s="8" t="s">
        <v>443</v>
      </c>
      <c r="G55" s="8" t="s">
        <v>447</v>
      </c>
      <c r="H55" s="36">
        <v>23.19</v>
      </c>
      <c r="I55" s="36">
        <v>0</v>
      </c>
      <c r="J55" s="36">
        <v>0</v>
      </c>
      <c r="K55" s="36">
        <v>0</v>
      </c>
      <c r="L55" s="36">
        <v>0</v>
      </c>
      <c r="M55" s="8" t="s">
        <v>447</v>
      </c>
      <c r="N55" s="36">
        <v>23.19</v>
      </c>
      <c r="O55" s="1">
        <f t="shared" si="0"/>
        <v>23.19</v>
      </c>
      <c r="P55" s="1" t="e">
        <f>_xlfn.XLOOKUP(D55,'1月份计划'!A:A,'1月份计划'!A:A)</f>
        <v>#N/A</v>
      </c>
    </row>
    <row r="56" s="1" customFormat="1" ht="15" customHeight="1" spans="1:16">
      <c r="A56" s="12" t="s">
        <v>444</v>
      </c>
      <c r="B56" s="15" t="s">
        <v>445</v>
      </c>
      <c r="C56" s="12" t="s">
        <v>41</v>
      </c>
      <c r="D56" s="15" t="s">
        <v>469</v>
      </c>
      <c r="E56" s="12" t="s">
        <v>41</v>
      </c>
      <c r="F56" s="12" t="s">
        <v>443</v>
      </c>
      <c r="G56" s="12" t="s">
        <v>447</v>
      </c>
      <c r="H56" s="37">
        <v>5878.26</v>
      </c>
      <c r="I56" s="37">
        <v>0</v>
      </c>
      <c r="J56" s="37">
        <v>0</v>
      </c>
      <c r="K56" s="37">
        <v>0</v>
      </c>
      <c r="L56" s="37">
        <v>0</v>
      </c>
      <c r="M56" s="12" t="s">
        <v>447</v>
      </c>
      <c r="N56" s="37">
        <v>5878.26</v>
      </c>
      <c r="O56" s="1">
        <f t="shared" si="0"/>
        <v>5878.26</v>
      </c>
      <c r="P56" s="1" t="e">
        <f>_xlfn.XLOOKUP(D56,'1月份计划'!A:A,'1月份计划'!A:A)</f>
        <v>#N/A</v>
      </c>
    </row>
    <row r="57" s="1" customFormat="1" ht="15" customHeight="1" spans="1:16">
      <c r="A57" s="8" t="s">
        <v>444</v>
      </c>
      <c r="B57" s="11" t="s">
        <v>445</v>
      </c>
      <c r="C57" s="8" t="s">
        <v>41</v>
      </c>
      <c r="D57" s="11" t="s">
        <v>470</v>
      </c>
      <c r="E57" s="8" t="s">
        <v>41</v>
      </c>
      <c r="F57" s="8" t="s">
        <v>443</v>
      </c>
      <c r="G57" s="8" t="s">
        <v>447</v>
      </c>
      <c r="H57" s="36">
        <v>65450</v>
      </c>
      <c r="I57" s="36">
        <v>0</v>
      </c>
      <c r="J57" s="36">
        <v>0</v>
      </c>
      <c r="K57" s="36">
        <v>0</v>
      </c>
      <c r="L57" s="36">
        <v>0</v>
      </c>
      <c r="M57" s="8" t="s">
        <v>447</v>
      </c>
      <c r="N57" s="36">
        <v>65450</v>
      </c>
      <c r="O57" s="1">
        <f t="shared" si="0"/>
        <v>65450</v>
      </c>
      <c r="P57" s="1" t="e">
        <f>_xlfn.XLOOKUP(D57,'1月份计划'!A:A,'1月份计划'!A:A)</f>
        <v>#N/A</v>
      </c>
    </row>
    <row r="58" s="1" customFormat="1" ht="15" customHeight="1" spans="1:16">
      <c r="A58" s="8" t="s">
        <v>444</v>
      </c>
      <c r="B58" s="11" t="s">
        <v>445</v>
      </c>
      <c r="C58" s="8" t="s">
        <v>41</v>
      </c>
      <c r="D58" s="11" t="s">
        <v>471</v>
      </c>
      <c r="E58" s="8" t="s">
        <v>41</v>
      </c>
      <c r="F58" s="8" t="s">
        <v>443</v>
      </c>
      <c r="G58" s="8" t="s">
        <v>447</v>
      </c>
      <c r="H58" s="36">
        <v>61614.37</v>
      </c>
      <c r="I58" s="36">
        <v>0</v>
      </c>
      <c r="J58" s="36">
        <v>0</v>
      </c>
      <c r="K58" s="36">
        <v>0</v>
      </c>
      <c r="L58" s="36">
        <v>0</v>
      </c>
      <c r="M58" s="8" t="s">
        <v>447</v>
      </c>
      <c r="N58" s="36">
        <v>61614.37</v>
      </c>
      <c r="O58" s="1">
        <f t="shared" si="0"/>
        <v>61614.37</v>
      </c>
      <c r="P58" s="1" t="e">
        <f>_xlfn.XLOOKUP(D58,'1月份计划'!A:A,'1月份计划'!A:A)</f>
        <v>#N/A</v>
      </c>
    </row>
    <row r="59" s="1" customFormat="1" ht="15" customHeight="1" spans="1:16">
      <c r="A59" s="8" t="s">
        <v>444</v>
      </c>
      <c r="B59" s="11" t="s">
        <v>445</v>
      </c>
      <c r="C59" s="8" t="s">
        <v>41</v>
      </c>
      <c r="D59" s="11" t="s">
        <v>261</v>
      </c>
      <c r="E59" s="8" t="s">
        <v>41</v>
      </c>
      <c r="F59" s="8" t="s">
        <v>443</v>
      </c>
      <c r="G59" s="8" t="s">
        <v>447</v>
      </c>
      <c r="H59" s="36">
        <v>1103596.61</v>
      </c>
      <c r="I59" s="36">
        <v>300000</v>
      </c>
      <c r="J59" s="36">
        <v>0</v>
      </c>
      <c r="K59" s="36">
        <v>300000</v>
      </c>
      <c r="L59" s="36">
        <v>0</v>
      </c>
      <c r="M59" s="8" t="s">
        <v>447</v>
      </c>
      <c r="N59" s="36">
        <v>803596.61</v>
      </c>
      <c r="O59" s="1">
        <f t="shared" si="0"/>
        <v>803596.61</v>
      </c>
      <c r="P59" s="1" t="str">
        <f>_xlfn.XLOOKUP(D59,'1月份计划'!A:A,'1月份计划'!A:A)</f>
        <v>景德镇市乾立运输有限公司</v>
      </c>
    </row>
    <row r="60" s="1" customFormat="1" ht="15" customHeight="1" spans="1:16">
      <c r="A60" s="8" t="s">
        <v>444</v>
      </c>
      <c r="B60" s="11" t="s">
        <v>445</v>
      </c>
      <c r="C60" s="8" t="s">
        <v>41</v>
      </c>
      <c r="D60" s="11" t="s">
        <v>472</v>
      </c>
      <c r="E60" s="8" t="s">
        <v>41</v>
      </c>
      <c r="F60" s="8" t="s">
        <v>443</v>
      </c>
      <c r="G60" s="8" t="s">
        <v>447</v>
      </c>
      <c r="H60" s="36">
        <v>474</v>
      </c>
      <c r="I60" s="36">
        <v>0</v>
      </c>
      <c r="J60" s="36">
        <v>0</v>
      </c>
      <c r="K60" s="36">
        <v>0</v>
      </c>
      <c r="L60" s="36">
        <v>0</v>
      </c>
      <c r="M60" s="8" t="s">
        <v>447</v>
      </c>
      <c r="N60" s="36">
        <v>474</v>
      </c>
      <c r="O60" s="1">
        <f t="shared" si="0"/>
        <v>474</v>
      </c>
      <c r="P60" s="1" t="e">
        <f>_xlfn.XLOOKUP(D60,'1月份计划'!A:A,'1月份计划'!A:A)</f>
        <v>#N/A</v>
      </c>
    </row>
    <row r="61" s="1" customFormat="1" ht="15" customHeight="1" spans="1:16">
      <c r="A61" s="12" t="s">
        <v>444</v>
      </c>
      <c r="B61" s="15" t="s">
        <v>445</v>
      </c>
      <c r="C61" s="12" t="s">
        <v>41</v>
      </c>
      <c r="D61" s="15" t="s">
        <v>262</v>
      </c>
      <c r="E61" s="12" t="s">
        <v>41</v>
      </c>
      <c r="F61" s="12" t="s">
        <v>443</v>
      </c>
      <c r="G61" s="12" t="s">
        <v>447</v>
      </c>
      <c r="H61" s="37">
        <v>1160864.9</v>
      </c>
      <c r="I61" s="37">
        <v>800000</v>
      </c>
      <c r="J61" s="37">
        <v>0</v>
      </c>
      <c r="K61" s="37">
        <v>800000</v>
      </c>
      <c r="L61" s="37">
        <v>0</v>
      </c>
      <c r="M61" s="12" t="s">
        <v>447</v>
      </c>
      <c r="N61" s="37">
        <v>360864.9</v>
      </c>
      <c r="O61" s="1">
        <f t="shared" si="0"/>
        <v>360864.9</v>
      </c>
      <c r="P61" s="1" t="str">
        <f>_xlfn.XLOOKUP(D61,'1月份计划'!A:A,'1月份计划'!A:A)</f>
        <v>景德镇市凯达汽车配件有限公司</v>
      </c>
    </row>
    <row r="62" s="1" customFormat="1" ht="15" customHeight="1" spans="1:16">
      <c r="A62" s="12" t="s">
        <v>444</v>
      </c>
      <c r="B62" s="15" t="s">
        <v>445</v>
      </c>
      <c r="C62" s="12" t="s">
        <v>41</v>
      </c>
      <c r="D62" s="15" t="s">
        <v>263</v>
      </c>
      <c r="E62" s="12" t="s">
        <v>41</v>
      </c>
      <c r="F62" s="12" t="s">
        <v>443</v>
      </c>
      <c r="G62" s="12" t="s">
        <v>447</v>
      </c>
      <c r="H62" s="37">
        <v>270186.36</v>
      </c>
      <c r="I62" s="37">
        <v>190000</v>
      </c>
      <c r="J62" s="37">
        <v>32879.45</v>
      </c>
      <c r="K62" s="37">
        <v>190000</v>
      </c>
      <c r="L62" s="37">
        <v>32879.45</v>
      </c>
      <c r="M62" s="12" t="s">
        <v>447</v>
      </c>
      <c r="N62" s="37">
        <v>113065.81</v>
      </c>
      <c r="O62" s="1">
        <f t="shared" si="0"/>
        <v>113065.81</v>
      </c>
      <c r="P62" s="1" t="str">
        <f>_xlfn.XLOOKUP(D62,'1月份计划'!A:A,'1月份计划'!A:A)</f>
        <v>武汉德锐隆科技有限公司</v>
      </c>
    </row>
    <row r="63" s="1" customFormat="1" ht="15" customHeight="1" spans="1:16">
      <c r="A63" s="8" t="s">
        <v>444</v>
      </c>
      <c r="B63" s="11" t="s">
        <v>445</v>
      </c>
      <c r="C63" s="8" t="s">
        <v>41</v>
      </c>
      <c r="D63" s="11" t="s">
        <v>473</v>
      </c>
      <c r="E63" s="8" t="s">
        <v>41</v>
      </c>
      <c r="F63" s="8" t="s">
        <v>443</v>
      </c>
      <c r="G63" s="8" t="s">
        <v>447</v>
      </c>
      <c r="H63" s="36">
        <v>13000</v>
      </c>
      <c r="I63" s="36">
        <v>0</v>
      </c>
      <c r="J63" s="36">
        <v>0</v>
      </c>
      <c r="K63" s="36">
        <v>0</v>
      </c>
      <c r="L63" s="36">
        <v>0</v>
      </c>
      <c r="M63" s="8" t="s">
        <v>447</v>
      </c>
      <c r="N63" s="36">
        <v>13000</v>
      </c>
      <c r="O63" s="1">
        <f t="shared" si="0"/>
        <v>13000</v>
      </c>
      <c r="P63" s="1" t="e">
        <f>_xlfn.XLOOKUP(D63,'1月份计划'!A:A,'1月份计划'!A:A)</f>
        <v>#N/A</v>
      </c>
    </row>
    <row r="64" s="1" customFormat="1" ht="15" customHeight="1" spans="1:16">
      <c r="A64" s="12" t="s">
        <v>444</v>
      </c>
      <c r="B64" s="15" t="s">
        <v>445</v>
      </c>
      <c r="C64" s="12" t="s">
        <v>41</v>
      </c>
      <c r="D64" s="15" t="s">
        <v>474</v>
      </c>
      <c r="E64" s="12" t="s">
        <v>41</v>
      </c>
      <c r="F64" s="12" t="s">
        <v>443</v>
      </c>
      <c r="G64" s="12" t="s">
        <v>447</v>
      </c>
      <c r="H64" s="37">
        <v>117.55</v>
      </c>
      <c r="I64" s="37">
        <v>0</v>
      </c>
      <c r="J64" s="37">
        <v>0</v>
      </c>
      <c r="K64" s="37">
        <v>0</v>
      </c>
      <c r="L64" s="37">
        <v>0</v>
      </c>
      <c r="M64" s="12" t="s">
        <v>447</v>
      </c>
      <c r="N64" s="37">
        <v>117.55</v>
      </c>
      <c r="O64" s="1">
        <f t="shared" si="0"/>
        <v>117.55</v>
      </c>
      <c r="P64" s="1" t="e">
        <f>_xlfn.XLOOKUP(D64,'1月份计划'!A:A,'1月份计划'!A:A)</f>
        <v>#N/A</v>
      </c>
    </row>
    <row r="65" s="1" customFormat="1" ht="15" customHeight="1" spans="1:16">
      <c r="A65" s="12" t="s">
        <v>444</v>
      </c>
      <c r="B65" s="15" t="s">
        <v>445</v>
      </c>
      <c r="C65" s="12" t="s">
        <v>41</v>
      </c>
      <c r="D65" s="15" t="s">
        <v>475</v>
      </c>
      <c r="E65" s="12" t="s">
        <v>41</v>
      </c>
      <c r="F65" s="12" t="s">
        <v>443</v>
      </c>
      <c r="G65" s="12" t="s">
        <v>447</v>
      </c>
      <c r="H65" s="37">
        <v>32648.8</v>
      </c>
      <c r="I65" s="37">
        <v>0</v>
      </c>
      <c r="J65" s="37">
        <v>0</v>
      </c>
      <c r="K65" s="37">
        <v>0</v>
      </c>
      <c r="L65" s="37">
        <v>0</v>
      </c>
      <c r="M65" s="12" t="s">
        <v>447</v>
      </c>
      <c r="N65" s="37">
        <v>32648.8</v>
      </c>
      <c r="O65" s="1">
        <f t="shared" si="0"/>
        <v>32648.8</v>
      </c>
      <c r="P65" s="1" t="e">
        <f>_xlfn.XLOOKUP(D65,'1月份计划'!A:A,'1月份计划'!A:A)</f>
        <v>#N/A</v>
      </c>
    </row>
    <row r="66" s="1" customFormat="1" ht="15" customHeight="1" spans="1:16">
      <c r="A66" s="12" t="s">
        <v>444</v>
      </c>
      <c r="B66" s="15" t="s">
        <v>445</v>
      </c>
      <c r="C66" s="12" t="s">
        <v>41</v>
      </c>
      <c r="D66" s="15" t="s">
        <v>476</v>
      </c>
      <c r="E66" s="12" t="s">
        <v>41</v>
      </c>
      <c r="F66" s="12" t="s">
        <v>443</v>
      </c>
      <c r="G66" s="12" t="s">
        <v>447</v>
      </c>
      <c r="H66" s="37">
        <v>10486.2</v>
      </c>
      <c r="I66" s="37">
        <v>0</v>
      </c>
      <c r="J66" s="37">
        <v>0</v>
      </c>
      <c r="K66" s="37">
        <v>0</v>
      </c>
      <c r="L66" s="37">
        <v>0</v>
      </c>
      <c r="M66" s="12" t="s">
        <v>447</v>
      </c>
      <c r="N66" s="37">
        <v>10486.2</v>
      </c>
      <c r="O66" s="1">
        <f t="shared" si="0"/>
        <v>10486.2</v>
      </c>
      <c r="P66" s="1" t="e">
        <f>_xlfn.XLOOKUP(D66,'1月份计划'!A:A,'1月份计划'!A:A)</f>
        <v>#N/A</v>
      </c>
    </row>
    <row r="67" s="1" customFormat="1" ht="15" customHeight="1" spans="1:16">
      <c r="A67" s="8" t="s">
        <v>444</v>
      </c>
      <c r="B67" s="11" t="s">
        <v>445</v>
      </c>
      <c r="C67" s="8" t="s">
        <v>41</v>
      </c>
      <c r="D67" s="11" t="s">
        <v>477</v>
      </c>
      <c r="E67" s="8" t="s">
        <v>41</v>
      </c>
      <c r="F67" s="8" t="s">
        <v>443</v>
      </c>
      <c r="G67" s="8" t="s">
        <v>447</v>
      </c>
      <c r="H67" s="36">
        <v>3730</v>
      </c>
      <c r="I67" s="36">
        <v>0</v>
      </c>
      <c r="J67" s="36">
        <v>0</v>
      </c>
      <c r="K67" s="36">
        <v>0</v>
      </c>
      <c r="L67" s="36">
        <v>0</v>
      </c>
      <c r="M67" s="8" t="s">
        <v>447</v>
      </c>
      <c r="N67" s="36">
        <v>3730</v>
      </c>
      <c r="O67" s="1">
        <f t="shared" ref="O67:O115" si="1">IF(M67="贷",N67,-N67)</f>
        <v>3730</v>
      </c>
      <c r="P67" s="1" t="e">
        <f>_xlfn.XLOOKUP(D67,'1月份计划'!A:A,'1月份计划'!A:A)</f>
        <v>#N/A</v>
      </c>
    </row>
    <row r="68" s="1" customFormat="1" ht="15" customHeight="1" spans="1:16">
      <c r="A68" s="8" t="s">
        <v>444</v>
      </c>
      <c r="B68" s="11" t="s">
        <v>445</v>
      </c>
      <c r="C68" s="8" t="s">
        <v>41</v>
      </c>
      <c r="D68" s="11" t="s">
        <v>264</v>
      </c>
      <c r="E68" s="8" t="s">
        <v>41</v>
      </c>
      <c r="F68" s="8" t="s">
        <v>443</v>
      </c>
      <c r="G68" s="8" t="s">
        <v>447</v>
      </c>
      <c r="H68" s="36">
        <v>3014062.5</v>
      </c>
      <c r="I68" s="36">
        <v>1200000</v>
      </c>
      <c r="J68" s="36">
        <v>1066979.88</v>
      </c>
      <c r="K68" s="36">
        <v>1200000</v>
      </c>
      <c r="L68" s="36">
        <v>1066979.88</v>
      </c>
      <c r="M68" s="8" t="s">
        <v>447</v>
      </c>
      <c r="N68" s="36">
        <v>2881042.38</v>
      </c>
      <c r="O68" s="1">
        <f t="shared" si="1"/>
        <v>2881042.38</v>
      </c>
      <c r="P68" s="1" t="str">
        <f>_xlfn.XLOOKUP(D68,'1月份计划'!A:A,'1月份计划'!A:A)</f>
        <v>湘潭湘和汽车零部件制造有限公</v>
      </c>
    </row>
    <row r="69" s="1" customFormat="1" ht="15" customHeight="1" spans="1:16">
      <c r="A69" s="12" t="s">
        <v>444</v>
      </c>
      <c r="B69" s="15" t="s">
        <v>445</v>
      </c>
      <c r="C69" s="12" t="s">
        <v>41</v>
      </c>
      <c r="D69" s="15" t="s">
        <v>265</v>
      </c>
      <c r="E69" s="12" t="s">
        <v>41</v>
      </c>
      <c r="F69" s="12" t="s">
        <v>443</v>
      </c>
      <c r="G69" s="12" t="s">
        <v>447</v>
      </c>
      <c r="H69" s="37">
        <v>3588929.29</v>
      </c>
      <c r="I69" s="37">
        <v>2080000</v>
      </c>
      <c r="J69" s="37">
        <v>1711278.93</v>
      </c>
      <c r="K69" s="37">
        <v>2080000</v>
      </c>
      <c r="L69" s="37">
        <v>1711278.93</v>
      </c>
      <c r="M69" s="12" t="s">
        <v>447</v>
      </c>
      <c r="N69" s="37">
        <v>3220208.22</v>
      </c>
      <c r="O69" s="1">
        <f t="shared" si="1"/>
        <v>3220208.22</v>
      </c>
      <c r="P69" s="1" t="str">
        <f>_xlfn.XLOOKUP(D69,'1月份计划'!A:A,'1月份计划'!A:A)</f>
        <v>湖南中道机械设备有限公司</v>
      </c>
    </row>
    <row r="70" s="1" customFormat="1" ht="15" customHeight="1" spans="1:16">
      <c r="A70" s="8" t="s">
        <v>444</v>
      </c>
      <c r="B70" s="11" t="s">
        <v>445</v>
      </c>
      <c r="C70" s="8" t="s">
        <v>41</v>
      </c>
      <c r="D70" s="11" t="s">
        <v>267</v>
      </c>
      <c r="E70" s="8" t="s">
        <v>41</v>
      </c>
      <c r="F70" s="8" t="s">
        <v>443</v>
      </c>
      <c r="G70" s="8" t="s">
        <v>447</v>
      </c>
      <c r="H70" s="36">
        <v>41623.1</v>
      </c>
      <c r="I70" s="36">
        <v>28692.45</v>
      </c>
      <c r="J70" s="36">
        <v>12540.63</v>
      </c>
      <c r="K70" s="36">
        <v>28692.45</v>
      </c>
      <c r="L70" s="36">
        <v>12540.63</v>
      </c>
      <c r="M70" s="8" t="s">
        <v>447</v>
      </c>
      <c r="N70" s="36">
        <v>25471.28</v>
      </c>
      <c r="O70" s="1">
        <f t="shared" si="1"/>
        <v>25471.28</v>
      </c>
      <c r="P70" s="1" t="str">
        <f>_xlfn.XLOOKUP(D70,'1月份计划'!A:A,'1月份计划'!A:A)</f>
        <v>湘潭市忠强气体有限公司</v>
      </c>
    </row>
    <row r="71" s="1" customFormat="1" ht="15" customHeight="1" spans="1:16">
      <c r="A71" s="12" t="s">
        <v>444</v>
      </c>
      <c r="B71" s="15" t="s">
        <v>445</v>
      </c>
      <c r="C71" s="12" t="s">
        <v>41</v>
      </c>
      <c r="D71" s="15" t="s">
        <v>268</v>
      </c>
      <c r="E71" s="12" t="s">
        <v>41</v>
      </c>
      <c r="F71" s="12" t="s">
        <v>443</v>
      </c>
      <c r="G71" s="12" t="s">
        <v>447</v>
      </c>
      <c r="H71" s="37">
        <v>32987.81</v>
      </c>
      <c r="I71" s="37">
        <v>7925.31</v>
      </c>
      <c r="J71" s="37">
        <v>0</v>
      </c>
      <c r="K71" s="37">
        <v>7925.31</v>
      </c>
      <c r="L71" s="37">
        <v>0</v>
      </c>
      <c r="M71" s="12" t="s">
        <v>447</v>
      </c>
      <c r="N71" s="37">
        <v>25062.5</v>
      </c>
      <c r="O71" s="1">
        <f t="shared" si="1"/>
        <v>25062.5</v>
      </c>
      <c r="P71" s="1" t="str">
        <f>_xlfn.XLOOKUP(D71,'1月份计划'!A:A,'1月份计划'!A:A)</f>
        <v>湖南驷马机械有限公司</v>
      </c>
    </row>
    <row r="72" s="1" customFormat="1" ht="15" customHeight="1" spans="1:16">
      <c r="A72" s="8" t="s">
        <v>444</v>
      </c>
      <c r="B72" s="11" t="s">
        <v>445</v>
      </c>
      <c r="C72" s="8" t="s">
        <v>41</v>
      </c>
      <c r="D72" s="11" t="s">
        <v>478</v>
      </c>
      <c r="E72" s="8" t="s">
        <v>41</v>
      </c>
      <c r="F72" s="8" t="s">
        <v>443</v>
      </c>
      <c r="G72" s="8" t="s">
        <v>447</v>
      </c>
      <c r="H72" s="36">
        <v>3629.95</v>
      </c>
      <c r="I72" s="36">
        <v>0</v>
      </c>
      <c r="J72" s="36">
        <v>0</v>
      </c>
      <c r="K72" s="36">
        <v>0</v>
      </c>
      <c r="L72" s="36">
        <v>0</v>
      </c>
      <c r="M72" s="8" t="s">
        <v>447</v>
      </c>
      <c r="N72" s="36">
        <v>3629.95</v>
      </c>
      <c r="O72" s="1">
        <f t="shared" si="1"/>
        <v>3629.95</v>
      </c>
      <c r="P72" s="1" t="e">
        <f>_xlfn.XLOOKUP(D72,'1月份计划'!A:A,'1月份计划'!A:A)</f>
        <v>#N/A</v>
      </c>
    </row>
    <row r="73" s="1" customFormat="1" ht="15" customHeight="1" spans="1:16">
      <c r="A73" s="8" t="s">
        <v>444</v>
      </c>
      <c r="B73" s="11" t="s">
        <v>445</v>
      </c>
      <c r="C73" s="8" t="s">
        <v>41</v>
      </c>
      <c r="D73" s="11" t="s">
        <v>479</v>
      </c>
      <c r="E73" s="8" t="s">
        <v>41</v>
      </c>
      <c r="F73" s="8" t="s">
        <v>443</v>
      </c>
      <c r="G73" s="8" t="s">
        <v>447</v>
      </c>
      <c r="H73" s="36">
        <v>949</v>
      </c>
      <c r="I73" s="36">
        <v>0</v>
      </c>
      <c r="J73" s="36">
        <v>0</v>
      </c>
      <c r="K73" s="36">
        <v>0</v>
      </c>
      <c r="L73" s="36">
        <v>0</v>
      </c>
      <c r="M73" s="8" t="s">
        <v>447</v>
      </c>
      <c r="N73" s="36">
        <v>949</v>
      </c>
      <c r="O73" s="1">
        <f t="shared" si="1"/>
        <v>949</v>
      </c>
      <c r="P73" s="1" t="e">
        <f>_xlfn.XLOOKUP(D73,'1月份计划'!A:A,'1月份计划'!A:A)</f>
        <v>#N/A</v>
      </c>
    </row>
    <row r="74" s="1" customFormat="1" ht="15" customHeight="1" spans="1:16">
      <c r="A74" s="12" t="s">
        <v>444</v>
      </c>
      <c r="B74" s="15" t="s">
        <v>445</v>
      </c>
      <c r="C74" s="12" t="s">
        <v>41</v>
      </c>
      <c r="D74" s="15" t="s">
        <v>480</v>
      </c>
      <c r="E74" s="12" t="s">
        <v>41</v>
      </c>
      <c r="F74" s="12" t="s">
        <v>443</v>
      </c>
      <c r="G74" s="12" t="s">
        <v>447</v>
      </c>
      <c r="H74" s="37">
        <v>497.5</v>
      </c>
      <c r="I74" s="37">
        <v>0</v>
      </c>
      <c r="J74" s="37">
        <v>0</v>
      </c>
      <c r="K74" s="37">
        <v>0</v>
      </c>
      <c r="L74" s="37">
        <v>0</v>
      </c>
      <c r="M74" s="12" t="s">
        <v>447</v>
      </c>
      <c r="N74" s="37">
        <v>497.5</v>
      </c>
      <c r="O74" s="1">
        <f t="shared" si="1"/>
        <v>497.5</v>
      </c>
      <c r="P74" s="1" t="e">
        <f>_xlfn.XLOOKUP(D74,'1月份计划'!A:A,'1月份计划'!A:A)</f>
        <v>#N/A</v>
      </c>
    </row>
    <row r="75" s="1" customFormat="1" ht="15" customHeight="1" spans="1:16">
      <c r="A75" s="8" t="s">
        <v>444</v>
      </c>
      <c r="B75" s="11" t="s">
        <v>445</v>
      </c>
      <c r="C75" s="8" t="s">
        <v>41</v>
      </c>
      <c r="D75" s="11" t="s">
        <v>406</v>
      </c>
      <c r="E75" s="8" t="s">
        <v>41</v>
      </c>
      <c r="F75" s="8" t="s">
        <v>443</v>
      </c>
      <c r="G75" s="8" t="s">
        <v>447</v>
      </c>
      <c r="H75" s="36">
        <v>2621.52</v>
      </c>
      <c r="I75" s="36">
        <v>0</v>
      </c>
      <c r="J75" s="36">
        <v>0</v>
      </c>
      <c r="K75" s="36">
        <v>0</v>
      </c>
      <c r="L75" s="36">
        <v>0</v>
      </c>
      <c r="M75" s="8" t="s">
        <v>447</v>
      </c>
      <c r="N75" s="36">
        <v>2621.52</v>
      </c>
      <c r="O75" s="1">
        <f t="shared" si="1"/>
        <v>2621.52</v>
      </c>
      <c r="P75" s="1" t="str">
        <f>_xlfn.XLOOKUP(D75,'1月份计划'!A:A,'1月份计划'!A:A)</f>
        <v>广州吉中汽车内饰系统有限公司</v>
      </c>
    </row>
    <row r="76" s="1" customFormat="1" ht="15" customHeight="1" spans="1:16">
      <c r="A76" s="12" t="s">
        <v>444</v>
      </c>
      <c r="B76" s="15" t="s">
        <v>445</v>
      </c>
      <c r="C76" s="12" t="s">
        <v>41</v>
      </c>
      <c r="D76" s="15" t="s">
        <v>407</v>
      </c>
      <c r="E76" s="12" t="s">
        <v>41</v>
      </c>
      <c r="F76" s="12" t="s">
        <v>443</v>
      </c>
      <c r="G76" s="12" t="s">
        <v>447</v>
      </c>
      <c r="H76" s="37">
        <v>54943.1</v>
      </c>
      <c r="I76" s="37">
        <v>0</v>
      </c>
      <c r="J76" s="37">
        <v>0</v>
      </c>
      <c r="K76" s="37">
        <v>0</v>
      </c>
      <c r="L76" s="37">
        <v>0</v>
      </c>
      <c r="M76" s="12" t="s">
        <v>447</v>
      </c>
      <c r="N76" s="37">
        <v>54943.1</v>
      </c>
      <c r="O76" s="1">
        <f t="shared" si="1"/>
        <v>54943.1</v>
      </c>
      <c r="P76" s="1" t="str">
        <f>_xlfn.XLOOKUP(D76,'1月份计划'!A:A,'1月份计划'!A:A)</f>
        <v>广州松兴电气股份有限公司</v>
      </c>
    </row>
    <row r="77" s="1" customFormat="1" ht="15" customHeight="1" spans="1:16">
      <c r="A77" s="8" t="s">
        <v>444</v>
      </c>
      <c r="B77" s="11" t="s">
        <v>445</v>
      </c>
      <c r="C77" s="8" t="s">
        <v>41</v>
      </c>
      <c r="D77" s="11" t="s">
        <v>481</v>
      </c>
      <c r="E77" s="8" t="s">
        <v>41</v>
      </c>
      <c r="F77" s="8" t="s">
        <v>443</v>
      </c>
      <c r="G77" s="8" t="s">
        <v>447</v>
      </c>
      <c r="H77" s="36">
        <v>760</v>
      </c>
      <c r="I77" s="36">
        <v>0</v>
      </c>
      <c r="J77" s="36">
        <v>0</v>
      </c>
      <c r="K77" s="36">
        <v>0</v>
      </c>
      <c r="L77" s="36">
        <v>0</v>
      </c>
      <c r="M77" s="8" t="s">
        <v>447</v>
      </c>
      <c r="N77" s="36">
        <v>760</v>
      </c>
      <c r="O77" s="1">
        <f t="shared" si="1"/>
        <v>760</v>
      </c>
      <c r="P77" s="1" t="e">
        <f>_xlfn.XLOOKUP(D77,'1月份计划'!A:A,'1月份计划'!A:A)</f>
        <v>#N/A</v>
      </c>
    </row>
    <row r="78" s="1" customFormat="1" ht="15" customHeight="1" spans="1:16">
      <c r="A78" s="8" t="s">
        <v>444</v>
      </c>
      <c r="B78" s="11" t="s">
        <v>445</v>
      </c>
      <c r="C78" s="8" t="s">
        <v>41</v>
      </c>
      <c r="D78" s="11" t="s">
        <v>300</v>
      </c>
      <c r="E78" s="8" t="s">
        <v>41</v>
      </c>
      <c r="F78" s="8" t="s">
        <v>443</v>
      </c>
      <c r="G78" s="8" t="s">
        <v>447</v>
      </c>
      <c r="H78" s="36">
        <v>527928.21</v>
      </c>
      <c r="I78" s="36">
        <v>194058.65</v>
      </c>
      <c r="J78" s="36">
        <v>147549.22</v>
      </c>
      <c r="K78" s="36">
        <v>194058.65</v>
      </c>
      <c r="L78" s="36">
        <v>147549.22</v>
      </c>
      <c r="M78" s="8" t="s">
        <v>447</v>
      </c>
      <c r="N78" s="36">
        <v>481418.78</v>
      </c>
      <c r="O78" s="1">
        <f t="shared" si="1"/>
        <v>481418.78</v>
      </c>
      <c r="P78" s="1" t="str">
        <f>_xlfn.XLOOKUP(D78,'1月份计划'!A:A,'1月份计划'!A:A)</f>
        <v>广州市信征汽车零件有限公司</v>
      </c>
    </row>
    <row r="79" s="1" customFormat="1" ht="15" customHeight="1" spans="1:16">
      <c r="A79" s="12" t="s">
        <v>444</v>
      </c>
      <c r="B79" s="15" t="s">
        <v>445</v>
      </c>
      <c r="C79" s="12" t="s">
        <v>41</v>
      </c>
      <c r="D79" s="15" t="s">
        <v>482</v>
      </c>
      <c r="E79" s="12" t="s">
        <v>41</v>
      </c>
      <c r="F79" s="12" t="s">
        <v>443</v>
      </c>
      <c r="G79" s="12" t="s">
        <v>447</v>
      </c>
      <c r="H79" s="37">
        <v>15050.16</v>
      </c>
      <c r="I79" s="37">
        <v>0</v>
      </c>
      <c r="J79" s="37">
        <v>0</v>
      </c>
      <c r="K79" s="37">
        <v>0</v>
      </c>
      <c r="L79" s="37">
        <v>0</v>
      </c>
      <c r="M79" s="12" t="s">
        <v>447</v>
      </c>
      <c r="N79" s="37">
        <v>15050.16</v>
      </c>
      <c r="O79" s="1">
        <f t="shared" si="1"/>
        <v>15050.16</v>
      </c>
      <c r="P79" s="1" t="e">
        <f>_xlfn.XLOOKUP(D79,'1月份计划'!A:A,'1月份计划'!A:A)</f>
        <v>#N/A</v>
      </c>
    </row>
    <row r="80" s="1" customFormat="1" ht="15" customHeight="1" spans="1:16">
      <c r="A80" s="8" t="s">
        <v>444</v>
      </c>
      <c r="B80" s="11" t="s">
        <v>445</v>
      </c>
      <c r="C80" s="8" t="s">
        <v>41</v>
      </c>
      <c r="D80" s="11" t="s">
        <v>483</v>
      </c>
      <c r="E80" s="8" t="s">
        <v>41</v>
      </c>
      <c r="F80" s="8" t="s">
        <v>484</v>
      </c>
      <c r="G80" s="8" t="s">
        <v>453</v>
      </c>
      <c r="H80" s="36">
        <v>566</v>
      </c>
      <c r="I80" s="36">
        <v>0</v>
      </c>
      <c r="J80" s="36">
        <v>0</v>
      </c>
      <c r="K80" s="36">
        <v>0</v>
      </c>
      <c r="L80" s="36">
        <v>0</v>
      </c>
      <c r="M80" s="8" t="s">
        <v>453</v>
      </c>
      <c r="N80" s="36">
        <v>566</v>
      </c>
      <c r="O80" s="1">
        <f t="shared" si="1"/>
        <v>-566</v>
      </c>
      <c r="P80" s="1" t="e">
        <f>_xlfn.XLOOKUP(D80,'1月份计划'!A:A,'1月份计划'!A:A)</f>
        <v>#N/A</v>
      </c>
    </row>
    <row r="81" s="1" customFormat="1" ht="15" customHeight="1" spans="1:16">
      <c r="A81" s="8" t="s">
        <v>444</v>
      </c>
      <c r="B81" s="11" t="s">
        <v>445</v>
      </c>
      <c r="C81" s="8" t="s">
        <v>41</v>
      </c>
      <c r="D81" s="11" t="s">
        <v>285</v>
      </c>
      <c r="E81" s="8" t="s">
        <v>41</v>
      </c>
      <c r="F81" s="8" t="s">
        <v>484</v>
      </c>
      <c r="G81" s="8" t="s">
        <v>447</v>
      </c>
      <c r="H81" s="36">
        <v>55661.54</v>
      </c>
      <c r="I81" s="36">
        <v>0</v>
      </c>
      <c r="J81" s="36">
        <v>0</v>
      </c>
      <c r="K81" s="36">
        <v>0</v>
      </c>
      <c r="L81" s="36">
        <v>0</v>
      </c>
      <c r="M81" s="8" t="s">
        <v>447</v>
      </c>
      <c r="N81" s="36">
        <v>55661.54</v>
      </c>
      <c r="O81" s="1">
        <f t="shared" si="1"/>
        <v>55661.54</v>
      </c>
      <c r="P81" s="1" t="str">
        <f>_xlfn.XLOOKUP(D81,'1月份计划'!A:A,'1月份计划'!A:A)</f>
        <v>株洲铖亿轨道交通技术有限</v>
      </c>
    </row>
    <row r="82" s="1" customFormat="1" ht="15" customHeight="1" spans="1:16">
      <c r="A82" s="12" t="s">
        <v>444</v>
      </c>
      <c r="B82" s="15" t="s">
        <v>445</v>
      </c>
      <c r="C82" s="12" t="s">
        <v>41</v>
      </c>
      <c r="D82" s="15" t="s">
        <v>485</v>
      </c>
      <c r="E82" s="12" t="s">
        <v>41</v>
      </c>
      <c r="F82" s="12" t="s">
        <v>443</v>
      </c>
      <c r="G82" s="12" t="s">
        <v>447</v>
      </c>
      <c r="H82" s="37">
        <v>7961.51</v>
      </c>
      <c r="I82" s="37">
        <v>0</v>
      </c>
      <c r="J82" s="37">
        <v>0</v>
      </c>
      <c r="K82" s="37">
        <v>0</v>
      </c>
      <c r="L82" s="37">
        <v>0</v>
      </c>
      <c r="M82" s="12" t="s">
        <v>447</v>
      </c>
      <c r="N82" s="37">
        <v>7961.51</v>
      </c>
      <c r="O82" s="1">
        <f t="shared" si="1"/>
        <v>7961.51</v>
      </c>
      <c r="P82" s="1" t="e">
        <f>_xlfn.XLOOKUP(D82,'1月份计划'!A:A,'1月份计划'!A:A)</f>
        <v>#N/A</v>
      </c>
    </row>
    <row r="83" s="1" customFormat="1" ht="15" customHeight="1" spans="1:16">
      <c r="A83" s="12" t="s">
        <v>444</v>
      </c>
      <c r="B83" s="15" t="s">
        <v>445</v>
      </c>
      <c r="C83" s="12" t="s">
        <v>41</v>
      </c>
      <c r="D83" s="15" t="s">
        <v>301</v>
      </c>
      <c r="E83" s="12" t="s">
        <v>41</v>
      </c>
      <c r="F83" s="12" t="s">
        <v>443</v>
      </c>
      <c r="G83" s="12" t="s">
        <v>447</v>
      </c>
      <c r="H83" s="37">
        <v>92417.76</v>
      </c>
      <c r="I83" s="37">
        <v>0</v>
      </c>
      <c r="J83" s="37">
        <v>49192.39</v>
      </c>
      <c r="K83" s="37">
        <v>0</v>
      </c>
      <c r="L83" s="37">
        <v>49192.39</v>
      </c>
      <c r="M83" s="12" t="s">
        <v>447</v>
      </c>
      <c r="N83" s="37">
        <v>141610.15</v>
      </c>
      <c r="O83" s="1">
        <f t="shared" si="1"/>
        <v>141610.15</v>
      </c>
      <c r="P83" s="1" t="str">
        <f>_xlfn.XLOOKUP(D83,'1月份计划'!A:A,'1月份计划'!A:A)</f>
        <v>醴陵广仁环保科技有限公司</v>
      </c>
    </row>
    <row r="84" s="1" customFormat="1" ht="15" customHeight="1" spans="1:16">
      <c r="A84" s="8" t="s">
        <v>444</v>
      </c>
      <c r="B84" s="11" t="s">
        <v>445</v>
      </c>
      <c r="C84" s="8" t="s">
        <v>41</v>
      </c>
      <c r="D84" s="11" t="s">
        <v>269</v>
      </c>
      <c r="E84" s="8" t="s">
        <v>41</v>
      </c>
      <c r="F84" s="8" t="s">
        <v>443</v>
      </c>
      <c r="G84" s="8" t="s">
        <v>453</v>
      </c>
      <c r="H84" s="36">
        <v>57859.11</v>
      </c>
      <c r="I84" s="36">
        <v>0</v>
      </c>
      <c r="J84" s="36">
        <v>47235.2</v>
      </c>
      <c r="K84" s="36">
        <v>0</v>
      </c>
      <c r="L84" s="36">
        <v>47235.2</v>
      </c>
      <c r="M84" s="8" t="s">
        <v>453</v>
      </c>
      <c r="N84" s="36">
        <v>10623.91</v>
      </c>
      <c r="O84" s="1">
        <f t="shared" si="1"/>
        <v>-10623.91</v>
      </c>
      <c r="P84" s="1" t="str">
        <f>_xlfn.XLOOKUP(D84,'1月份计划'!A:A,'1月份计划'!A:A)</f>
        <v>长沙真旺钢铁贸易有限公司</v>
      </c>
    </row>
    <row r="85" s="1" customFormat="1" ht="15" customHeight="1" spans="1:16">
      <c r="A85" s="8" t="s">
        <v>444</v>
      </c>
      <c r="B85" s="11" t="s">
        <v>445</v>
      </c>
      <c r="C85" s="8" t="s">
        <v>41</v>
      </c>
      <c r="D85" s="11" t="s">
        <v>270</v>
      </c>
      <c r="E85" s="8" t="s">
        <v>41</v>
      </c>
      <c r="F85" s="8" t="s">
        <v>443</v>
      </c>
      <c r="G85" s="8" t="s">
        <v>447</v>
      </c>
      <c r="H85" s="36">
        <v>41992.33</v>
      </c>
      <c r="I85" s="36">
        <v>26000</v>
      </c>
      <c r="J85" s="36">
        <v>7509.52</v>
      </c>
      <c r="K85" s="36">
        <v>26000</v>
      </c>
      <c r="L85" s="36">
        <v>7509.52</v>
      </c>
      <c r="M85" s="8" t="s">
        <v>447</v>
      </c>
      <c r="N85" s="36">
        <v>23501.85</v>
      </c>
      <c r="O85" s="1">
        <f t="shared" si="1"/>
        <v>23501.85</v>
      </c>
      <c r="P85" s="1" t="str">
        <f>_xlfn.XLOOKUP(D85,'1月份计划'!A:A,'1月份计划'!A:A)</f>
        <v>深州市晶立泰机械配件有限公司</v>
      </c>
    </row>
    <row r="86" s="1" customFormat="1" ht="15" customHeight="1" spans="1:16">
      <c r="A86" s="12" t="s">
        <v>444</v>
      </c>
      <c r="B86" s="15" t="s">
        <v>445</v>
      </c>
      <c r="C86" s="12" t="s">
        <v>41</v>
      </c>
      <c r="D86" s="15" t="s">
        <v>271</v>
      </c>
      <c r="E86" s="12" t="s">
        <v>41</v>
      </c>
      <c r="F86" s="12" t="s">
        <v>443</v>
      </c>
      <c r="G86" s="12" t="s">
        <v>447</v>
      </c>
      <c r="H86" s="37">
        <v>22774.59</v>
      </c>
      <c r="I86" s="37">
        <v>0</v>
      </c>
      <c r="J86" s="37">
        <v>0</v>
      </c>
      <c r="K86" s="37">
        <v>0</v>
      </c>
      <c r="L86" s="37">
        <v>0</v>
      </c>
      <c r="M86" s="12" t="s">
        <v>447</v>
      </c>
      <c r="N86" s="37">
        <v>22774.59</v>
      </c>
      <c r="O86" s="1">
        <f t="shared" si="1"/>
        <v>22774.59</v>
      </c>
      <c r="P86" s="1" t="str">
        <f>_xlfn.XLOOKUP(D86,'1月份计划'!A:A,'1月份计划'!A:A)</f>
        <v>山东鼎信新材料科技有限公司</v>
      </c>
    </row>
    <row r="87" s="1" customFormat="1" ht="15" customHeight="1" spans="1:16">
      <c r="A87" s="8" t="s">
        <v>444</v>
      </c>
      <c r="B87" s="11" t="s">
        <v>445</v>
      </c>
      <c r="C87" s="8" t="s">
        <v>41</v>
      </c>
      <c r="D87" s="11" t="s">
        <v>272</v>
      </c>
      <c r="E87" s="8" t="s">
        <v>41</v>
      </c>
      <c r="F87" s="8" t="s">
        <v>443</v>
      </c>
      <c r="G87" s="8" t="s">
        <v>447</v>
      </c>
      <c r="H87" s="36">
        <v>552762.96</v>
      </c>
      <c r="I87" s="36">
        <v>400000</v>
      </c>
      <c r="J87" s="36">
        <v>175708.95</v>
      </c>
      <c r="K87" s="36">
        <v>400000</v>
      </c>
      <c r="L87" s="36">
        <v>175708.95</v>
      </c>
      <c r="M87" s="8" t="s">
        <v>447</v>
      </c>
      <c r="N87" s="36">
        <v>328471.91</v>
      </c>
      <c r="O87" s="1">
        <f t="shared" si="1"/>
        <v>328471.91</v>
      </c>
      <c r="P87" s="1" t="str">
        <f>_xlfn.XLOOKUP(D87,'1月份计划'!A:A,'1月份计划'!A:A)</f>
        <v>湖南诺亿科技有限公司</v>
      </c>
    </row>
    <row r="88" s="1" customFormat="1" ht="15" customHeight="1" spans="1:16">
      <c r="A88" s="12" t="s">
        <v>444</v>
      </c>
      <c r="B88" s="15" t="s">
        <v>445</v>
      </c>
      <c r="C88" s="12" t="s">
        <v>41</v>
      </c>
      <c r="D88" s="15" t="s">
        <v>273</v>
      </c>
      <c r="E88" s="12" t="s">
        <v>41</v>
      </c>
      <c r="F88" s="12" t="s">
        <v>443</v>
      </c>
      <c r="G88" s="12" t="s">
        <v>447</v>
      </c>
      <c r="H88" s="37">
        <v>31764.98</v>
      </c>
      <c r="I88" s="37">
        <v>18151.41</v>
      </c>
      <c r="J88" s="37">
        <v>0</v>
      </c>
      <c r="K88" s="37">
        <v>18151.41</v>
      </c>
      <c r="L88" s="37">
        <v>0</v>
      </c>
      <c r="M88" s="12" t="s">
        <v>447</v>
      </c>
      <c r="N88" s="37">
        <v>13613.57</v>
      </c>
      <c r="O88" s="1">
        <f t="shared" si="1"/>
        <v>13613.57</v>
      </c>
      <c r="P88" s="1" t="str">
        <f>_xlfn.XLOOKUP(D88,'1月份计划'!A:A,'1月份计划'!A:A)</f>
        <v>长春超力内饰件有限公司</v>
      </c>
    </row>
    <row r="89" s="1" customFormat="1" ht="15" customHeight="1" spans="1:16">
      <c r="A89" s="12" t="s">
        <v>444</v>
      </c>
      <c r="B89" s="15" t="s">
        <v>445</v>
      </c>
      <c r="C89" s="12" t="s">
        <v>41</v>
      </c>
      <c r="D89" s="15" t="s">
        <v>302</v>
      </c>
      <c r="E89" s="12" t="s">
        <v>41</v>
      </c>
      <c r="F89" s="12" t="s">
        <v>443</v>
      </c>
      <c r="G89" s="12" t="s">
        <v>447</v>
      </c>
      <c r="H89" s="37">
        <v>287678.4</v>
      </c>
      <c r="I89" s="37">
        <v>100000</v>
      </c>
      <c r="J89" s="37">
        <v>34215.27</v>
      </c>
      <c r="K89" s="37">
        <v>100000</v>
      </c>
      <c r="L89" s="37">
        <v>34215.27</v>
      </c>
      <c r="M89" s="12" t="s">
        <v>447</v>
      </c>
      <c r="N89" s="37">
        <v>221893.67</v>
      </c>
      <c r="O89" s="1">
        <f t="shared" si="1"/>
        <v>221893.67</v>
      </c>
      <c r="P89" s="1" t="str">
        <f>_xlfn.XLOOKUP(D89,'1月份计划'!A:A,'1月份计划'!A:A)</f>
        <v>重庆市宏立摩托车制造有限公司</v>
      </c>
    </row>
    <row r="90" s="1" customFormat="1" ht="15" customHeight="1" spans="1:16">
      <c r="A90" s="12" t="s">
        <v>444</v>
      </c>
      <c r="B90" s="15" t="s">
        <v>445</v>
      </c>
      <c r="C90" s="12" t="s">
        <v>41</v>
      </c>
      <c r="D90" s="15" t="s">
        <v>303</v>
      </c>
      <c r="E90" s="12" t="s">
        <v>41</v>
      </c>
      <c r="F90" s="12" t="s">
        <v>443</v>
      </c>
      <c r="G90" s="12" t="s">
        <v>447</v>
      </c>
      <c r="H90" s="37">
        <v>266624.5</v>
      </c>
      <c r="I90" s="37">
        <v>266624.5</v>
      </c>
      <c r="J90" s="37">
        <v>394240</v>
      </c>
      <c r="K90" s="37">
        <v>266624.5</v>
      </c>
      <c r="L90" s="37">
        <v>394240</v>
      </c>
      <c r="M90" s="12" t="s">
        <v>447</v>
      </c>
      <c r="N90" s="37">
        <v>394240</v>
      </c>
      <c r="O90" s="1">
        <f t="shared" si="1"/>
        <v>394240</v>
      </c>
      <c r="P90" s="1" t="str">
        <f>_xlfn.XLOOKUP(D90,'1月份计划'!A:A,'1月份计划'!A:A)</f>
        <v>湖北欣辰达商贸有限公司</v>
      </c>
    </row>
    <row r="91" s="1" customFormat="1" ht="15" customHeight="1" spans="1:16">
      <c r="A91" s="8" t="s">
        <v>444</v>
      </c>
      <c r="B91" s="11" t="s">
        <v>445</v>
      </c>
      <c r="C91" s="8" t="s">
        <v>41</v>
      </c>
      <c r="D91" s="11" t="s">
        <v>274</v>
      </c>
      <c r="E91" s="8" t="s">
        <v>41</v>
      </c>
      <c r="F91" s="8" t="s">
        <v>443</v>
      </c>
      <c r="G91" s="8" t="s">
        <v>447</v>
      </c>
      <c r="H91" s="36">
        <v>323904.94</v>
      </c>
      <c r="I91" s="36">
        <v>150000</v>
      </c>
      <c r="J91" s="36">
        <v>58259.63</v>
      </c>
      <c r="K91" s="36">
        <v>150000</v>
      </c>
      <c r="L91" s="36">
        <v>58259.63</v>
      </c>
      <c r="M91" s="8" t="s">
        <v>447</v>
      </c>
      <c r="N91" s="36">
        <v>232164.57</v>
      </c>
      <c r="O91" s="1">
        <f t="shared" si="1"/>
        <v>232164.57</v>
      </c>
      <c r="P91" s="1" t="str">
        <f>_xlfn.XLOOKUP(D91,'1月份计划'!A:A,'1月份计划'!A:A)</f>
        <v>湖南裕腾兴汽车配件有限公司</v>
      </c>
    </row>
    <row r="92" s="1" customFormat="1" ht="15" customHeight="1" spans="1:16">
      <c r="A92" s="12" t="s">
        <v>444</v>
      </c>
      <c r="B92" s="15" t="s">
        <v>445</v>
      </c>
      <c r="C92" s="12" t="s">
        <v>41</v>
      </c>
      <c r="D92" s="15" t="s">
        <v>486</v>
      </c>
      <c r="E92" s="12" t="s">
        <v>41</v>
      </c>
      <c r="F92" s="12" t="s">
        <v>443</v>
      </c>
      <c r="G92" s="12" t="s">
        <v>453</v>
      </c>
      <c r="H92" s="37">
        <v>27216</v>
      </c>
      <c r="I92" s="37">
        <v>0</v>
      </c>
      <c r="J92" s="37">
        <v>0</v>
      </c>
      <c r="K92" s="37">
        <v>0</v>
      </c>
      <c r="L92" s="37">
        <v>0</v>
      </c>
      <c r="M92" s="12" t="s">
        <v>453</v>
      </c>
      <c r="N92" s="37">
        <v>27216</v>
      </c>
      <c r="O92" s="1">
        <f t="shared" si="1"/>
        <v>-27216</v>
      </c>
      <c r="P92" s="1" t="e">
        <f>_xlfn.XLOOKUP(D92,'1月份计划'!A:A,'1月份计划'!A:A)</f>
        <v>#N/A</v>
      </c>
    </row>
    <row r="93" s="1" customFormat="1" ht="15" customHeight="1" spans="1:16">
      <c r="A93" s="8" t="s">
        <v>444</v>
      </c>
      <c r="B93" s="11" t="s">
        <v>445</v>
      </c>
      <c r="C93" s="8" t="s">
        <v>41</v>
      </c>
      <c r="D93" s="11" t="s">
        <v>275</v>
      </c>
      <c r="E93" s="8" t="s">
        <v>41</v>
      </c>
      <c r="F93" s="8" t="s">
        <v>443</v>
      </c>
      <c r="G93" s="8" t="s">
        <v>447</v>
      </c>
      <c r="H93" s="36">
        <v>42385.12</v>
      </c>
      <c r="I93" s="36">
        <v>34205.48</v>
      </c>
      <c r="J93" s="36">
        <v>5706.73</v>
      </c>
      <c r="K93" s="36">
        <v>34205.48</v>
      </c>
      <c r="L93" s="36">
        <v>5706.73</v>
      </c>
      <c r="M93" s="8" t="s">
        <v>447</v>
      </c>
      <c r="N93" s="36">
        <v>13886.37</v>
      </c>
      <c r="O93" s="1">
        <f t="shared" si="1"/>
        <v>13886.37</v>
      </c>
      <c r="P93" s="1" t="str">
        <f>_xlfn.XLOOKUP(D93,'1月份计划'!A:A,'1月份计划'!A:A)</f>
        <v>株洲诚康实业有限责任公司</v>
      </c>
    </row>
    <row r="94" s="1" customFormat="1" ht="15" customHeight="1" spans="1:16">
      <c r="A94" s="12" t="s">
        <v>444</v>
      </c>
      <c r="B94" s="15" t="s">
        <v>445</v>
      </c>
      <c r="C94" s="12" t="s">
        <v>41</v>
      </c>
      <c r="D94" s="15" t="s">
        <v>281</v>
      </c>
      <c r="E94" s="12" t="s">
        <v>41</v>
      </c>
      <c r="F94" s="12" t="s">
        <v>443</v>
      </c>
      <c r="G94" s="12" t="s">
        <v>447</v>
      </c>
      <c r="H94" s="37">
        <v>35568</v>
      </c>
      <c r="I94" s="37">
        <v>16416</v>
      </c>
      <c r="J94" s="37">
        <v>9576</v>
      </c>
      <c r="K94" s="37">
        <v>16416</v>
      </c>
      <c r="L94" s="37">
        <v>9576</v>
      </c>
      <c r="M94" s="12" t="s">
        <v>447</v>
      </c>
      <c r="N94" s="37">
        <v>28728</v>
      </c>
      <c r="O94" s="1">
        <f t="shared" si="1"/>
        <v>28728</v>
      </c>
      <c r="P94" s="1" t="str">
        <f>_xlfn.XLOOKUP(D94,'1月份计划'!A:A,'1月份计划'!A:A)</f>
        <v>湖南奥瑞格工贸有限公司</v>
      </c>
    </row>
    <row r="95" s="1" customFormat="1" ht="15" customHeight="1" spans="1:16">
      <c r="A95" s="8" t="s">
        <v>444</v>
      </c>
      <c r="B95" s="11" t="s">
        <v>445</v>
      </c>
      <c r="C95" s="8" t="s">
        <v>41</v>
      </c>
      <c r="D95" s="11" t="s">
        <v>408</v>
      </c>
      <c r="E95" s="8" t="s">
        <v>41</v>
      </c>
      <c r="F95" s="8" t="s">
        <v>443</v>
      </c>
      <c r="G95" s="8" t="s">
        <v>447</v>
      </c>
      <c r="H95" s="36">
        <v>14278.43</v>
      </c>
      <c r="I95" s="36">
        <v>0</v>
      </c>
      <c r="J95" s="36">
        <v>0</v>
      </c>
      <c r="K95" s="36">
        <v>0</v>
      </c>
      <c r="L95" s="36">
        <v>0</v>
      </c>
      <c r="M95" s="8" t="s">
        <v>447</v>
      </c>
      <c r="N95" s="36">
        <v>14278.43</v>
      </c>
      <c r="O95" s="1">
        <f t="shared" si="1"/>
        <v>14278.43</v>
      </c>
      <c r="P95" s="1" t="str">
        <f>_xlfn.XLOOKUP(D95,'1月份计划'!A:A,'1月份计划'!A:A)</f>
        <v>十堰市盈旭工贸有限公司</v>
      </c>
    </row>
    <row r="96" s="1" customFormat="1" ht="15" customHeight="1" spans="1:16">
      <c r="A96" s="12" t="s">
        <v>444</v>
      </c>
      <c r="B96" s="15" t="s">
        <v>445</v>
      </c>
      <c r="C96" s="12" t="s">
        <v>41</v>
      </c>
      <c r="D96" s="15" t="s">
        <v>284</v>
      </c>
      <c r="E96" s="12" t="s">
        <v>41</v>
      </c>
      <c r="F96" s="12" t="s">
        <v>443</v>
      </c>
      <c r="G96" s="12" t="s">
        <v>447</v>
      </c>
      <c r="H96" s="37">
        <v>1850.69</v>
      </c>
      <c r="I96" s="37">
        <v>0</v>
      </c>
      <c r="J96" s="37">
        <v>0</v>
      </c>
      <c r="K96" s="37">
        <v>0</v>
      </c>
      <c r="L96" s="37">
        <v>0</v>
      </c>
      <c r="M96" s="12" t="s">
        <v>447</v>
      </c>
      <c r="N96" s="37">
        <v>1850.69</v>
      </c>
      <c r="O96" s="1">
        <f t="shared" si="1"/>
        <v>1850.69</v>
      </c>
      <c r="P96" s="1" t="str">
        <f>_xlfn.XLOOKUP(D96,'1月份计划'!A:A,'1月份计划'!A:A)</f>
        <v>湖南兴天宏实业有限公司</v>
      </c>
    </row>
    <row r="97" s="1" customFormat="1" ht="15" customHeight="1" spans="1:16">
      <c r="A97" s="12" t="s">
        <v>444</v>
      </c>
      <c r="B97" s="15" t="s">
        <v>445</v>
      </c>
      <c r="C97" s="12" t="s">
        <v>41</v>
      </c>
      <c r="D97" s="15" t="s">
        <v>487</v>
      </c>
      <c r="E97" s="12" t="s">
        <v>41</v>
      </c>
      <c r="F97" s="12" t="s">
        <v>443</v>
      </c>
      <c r="G97" s="12" t="s">
        <v>447</v>
      </c>
      <c r="H97" s="37">
        <v>20</v>
      </c>
      <c r="I97" s="37">
        <v>0</v>
      </c>
      <c r="J97" s="37">
        <v>0</v>
      </c>
      <c r="K97" s="37">
        <v>0</v>
      </c>
      <c r="L97" s="37">
        <v>0</v>
      </c>
      <c r="M97" s="12" t="s">
        <v>447</v>
      </c>
      <c r="N97" s="37">
        <v>20</v>
      </c>
      <c r="O97" s="1">
        <f t="shared" si="1"/>
        <v>20</v>
      </c>
      <c r="P97" s="1" t="e">
        <f>_xlfn.XLOOKUP(D97,'1月份计划'!A:A,'1月份计划'!A:A)</f>
        <v>#N/A</v>
      </c>
    </row>
    <row r="98" s="1" customFormat="1" ht="15" customHeight="1" spans="1:16">
      <c r="A98" s="8" t="s">
        <v>444</v>
      </c>
      <c r="B98" s="11" t="s">
        <v>445</v>
      </c>
      <c r="C98" s="8" t="s">
        <v>41</v>
      </c>
      <c r="D98" s="11" t="s">
        <v>276</v>
      </c>
      <c r="E98" s="8" t="s">
        <v>41</v>
      </c>
      <c r="F98" s="8" t="s">
        <v>443</v>
      </c>
      <c r="G98" s="8" t="s">
        <v>447</v>
      </c>
      <c r="H98" s="36">
        <v>38188.24</v>
      </c>
      <c r="I98" s="36">
        <v>0</v>
      </c>
      <c r="J98" s="36">
        <v>0</v>
      </c>
      <c r="K98" s="36">
        <v>0</v>
      </c>
      <c r="L98" s="36">
        <v>0</v>
      </c>
      <c r="M98" s="8" t="s">
        <v>447</v>
      </c>
      <c r="N98" s="36">
        <v>38188.24</v>
      </c>
      <c r="O98" s="1">
        <f t="shared" si="1"/>
        <v>38188.24</v>
      </c>
      <c r="P98" s="1" t="str">
        <f>_xlfn.XLOOKUP(D98,'1月份计划'!A:A,'1月份计划'!A:A)</f>
        <v>山东鼎昌智能科技有限公司</v>
      </c>
    </row>
    <row r="99" s="1" customFormat="1" ht="15" customHeight="1" spans="1:16">
      <c r="A99" s="12" t="s">
        <v>444</v>
      </c>
      <c r="B99" s="15" t="s">
        <v>445</v>
      </c>
      <c r="C99" s="12" t="s">
        <v>41</v>
      </c>
      <c r="D99" s="15" t="s">
        <v>277</v>
      </c>
      <c r="E99" s="12" t="s">
        <v>41</v>
      </c>
      <c r="F99" s="12" t="s">
        <v>443</v>
      </c>
      <c r="G99" s="12" t="s">
        <v>447</v>
      </c>
      <c r="H99" s="37">
        <v>1380234.51</v>
      </c>
      <c r="I99" s="37">
        <v>1266638.28</v>
      </c>
      <c r="J99" s="37">
        <v>513493.75</v>
      </c>
      <c r="K99" s="37">
        <v>1266638.28</v>
      </c>
      <c r="L99" s="37">
        <v>513493.75</v>
      </c>
      <c r="M99" s="12" t="s">
        <v>447</v>
      </c>
      <c r="N99" s="37">
        <v>627089.98</v>
      </c>
      <c r="O99" s="1">
        <f t="shared" si="1"/>
        <v>627089.98</v>
      </c>
      <c r="P99" s="1" t="str">
        <f>_xlfn.XLOOKUP(D99,'1月份计划'!A:A,'1月份计划'!A:A)</f>
        <v>汇阅（上海）新材料科技有限公</v>
      </c>
    </row>
    <row r="100" s="1" customFormat="1" ht="15" customHeight="1" spans="1:16">
      <c r="A100" s="8" t="s">
        <v>444</v>
      </c>
      <c r="B100" s="11" t="s">
        <v>445</v>
      </c>
      <c r="C100" s="8" t="s">
        <v>41</v>
      </c>
      <c r="D100" s="11" t="s">
        <v>304</v>
      </c>
      <c r="E100" s="8" t="s">
        <v>41</v>
      </c>
      <c r="F100" s="8" t="s">
        <v>443</v>
      </c>
      <c r="G100" s="8" t="s">
        <v>447</v>
      </c>
      <c r="H100" s="36">
        <v>31814.02</v>
      </c>
      <c r="I100" s="36">
        <v>0</v>
      </c>
      <c r="J100" s="36">
        <v>0</v>
      </c>
      <c r="K100" s="36">
        <v>0</v>
      </c>
      <c r="L100" s="36">
        <v>0</v>
      </c>
      <c r="M100" s="8" t="s">
        <v>447</v>
      </c>
      <c r="N100" s="36">
        <v>31814.02</v>
      </c>
      <c r="O100" s="1">
        <f t="shared" si="1"/>
        <v>31814.02</v>
      </c>
      <c r="P100" s="1" t="str">
        <f>_xlfn.XLOOKUP(D100,'1月份计划'!A:A,'1月份计划'!A:A)</f>
        <v>常州立天汽车零部件有限公司</v>
      </c>
    </row>
    <row r="101" s="1" customFormat="1" ht="15" customHeight="1" spans="1:16">
      <c r="A101" s="12" t="s">
        <v>444</v>
      </c>
      <c r="B101" s="15" t="s">
        <v>445</v>
      </c>
      <c r="C101" s="12" t="s">
        <v>41</v>
      </c>
      <c r="D101" s="15" t="s">
        <v>488</v>
      </c>
      <c r="E101" s="12" t="s">
        <v>41</v>
      </c>
      <c r="F101" s="12" t="s">
        <v>443</v>
      </c>
      <c r="G101" s="12" t="s">
        <v>447</v>
      </c>
      <c r="H101" s="37">
        <v>2927</v>
      </c>
      <c r="I101" s="37">
        <v>0</v>
      </c>
      <c r="J101" s="37">
        <v>0</v>
      </c>
      <c r="K101" s="37">
        <v>0</v>
      </c>
      <c r="L101" s="37">
        <v>0</v>
      </c>
      <c r="M101" s="12" t="s">
        <v>447</v>
      </c>
      <c r="N101" s="37">
        <v>2927</v>
      </c>
      <c r="O101" s="1">
        <f t="shared" si="1"/>
        <v>2927</v>
      </c>
      <c r="P101" s="1" t="str">
        <f>_xlfn.XLOOKUP(D101,'1月份计划'!A:A,'1月份计划'!A:A)</f>
        <v>台州市黄岩增益模塑有限公司</v>
      </c>
    </row>
    <row r="102" s="1" customFormat="1" ht="15" customHeight="1" spans="1:16">
      <c r="A102" s="8" t="s">
        <v>444</v>
      </c>
      <c r="B102" s="11" t="s">
        <v>445</v>
      </c>
      <c r="C102" s="8" t="s">
        <v>41</v>
      </c>
      <c r="D102" s="11" t="s">
        <v>418</v>
      </c>
      <c r="E102" s="8" t="s">
        <v>41</v>
      </c>
      <c r="F102" s="8" t="s">
        <v>443</v>
      </c>
      <c r="G102" s="8" t="s">
        <v>489</v>
      </c>
      <c r="H102" s="36">
        <v>0</v>
      </c>
      <c r="I102" s="36">
        <v>0</v>
      </c>
      <c r="J102" s="36">
        <v>79817.67</v>
      </c>
      <c r="K102" s="36">
        <v>0</v>
      </c>
      <c r="L102" s="36">
        <v>79817.67</v>
      </c>
      <c r="M102" s="8" t="s">
        <v>447</v>
      </c>
      <c r="N102" s="36">
        <v>79817.67</v>
      </c>
      <c r="O102" s="1">
        <f t="shared" si="1"/>
        <v>79817.67</v>
      </c>
      <c r="P102" s="1" t="str">
        <f>_xlfn.XLOOKUP(D102,'1月份计划'!A:A,'1月份计划'!A:A)</f>
        <v>河北莫特美橡塑科技有限公司</v>
      </c>
    </row>
    <row r="103" s="1" customFormat="1" ht="15" customHeight="1" spans="1:16">
      <c r="A103" s="8" t="s">
        <v>444</v>
      </c>
      <c r="B103" s="11" t="s">
        <v>445</v>
      </c>
      <c r="C103" s="8" t="s">
        <v>41</v>
      </c>
      <c r="D103" s="11" t="s">
        <v>314</v>
      </c>
      <c r="E103" s="8" t="s">
        <v>41</v>
      </c>
      <c r="F103" s="8" t="s">
        <v>443</v>
      </c>
      <c r="G103" s="8" t="s">
        <v>447</v>
      </c>
      <c r="H103" s="36">
        <v>67333.03</v>
      </c>
      <c r="I103" s="36">
        <v>0</v>
      </c>
      <c r="J103" s="36">
        <v>53688.96</v>
      </c>
      <c r="K103" s="36">
        <v>0</v>
      </c>
      <c r="L103" s="36">
        <v>53688.96</v>
      </c>
      <c r="M103" s="8" t="s">
        <v>447</v>
      </c>
      <c r="N103" s="36">
        <v>121021.99</v>
      </c>
      <c r="O103" s="1">
        <f t="shared" si="1"/>
        <v>121021.99</v>
      </c>
      <c r="P103" s="1" t="str">
        <f>_xlfn.XLOOKUP(D103,'1月份计划'!A:A,'1月份计划'!A:A)</f>
        <v>北京美好生活家居用品有限公司</v>
      </c>
    </row>
    <row r="104" s="1" customFormat="1" ht="15" customHeight="1" spans="1:16">
      <c r="A104" s="12" t="s">
        <v>444</v>
      </c>
      <c r="B104" s="15" t="s">
        <v>445</v>
      </c>
      <c r="C104" s="12" t="s">
        <v>41</v>
      </c>
      <c r="D104" s="15" t="s">
        <v>282</v>
      </c>
      <c r="E104" s="12" t="s">
        <v>41</v>
      </c>
      <c r="F104" s="12" t="s">
        <v>443</v>
      </c>
      <c r="G104" s="12" t="s">
        <v>447</v>
      </c>
      <c r="H104" s="37">
        <v>85600</v>
      </c>
      <c r="I104" s="37">
        <v>0</v>
      </c>
      <c r="J104" s="37">
        <v>0</v>
      </c>
      <c r="K104" s="37">
        <v>0</v>
      </c>
      <c r="L104" s="37">
        <v>0</v>
      </c>
      <c r="M104" s="12" t="s">
        <v>447</v>
      </c>
      <c r="N104" s="37">
        <v>85600</v>
      </c>
      <c r="O104" s="1">
        <f t="shared" si="1"/>
        <v>85600</v>
      </c>
      <c r="P104" s="1" t="str">
        <f>_xlfn.XLOOKUP(D104,'1月份计划'!A:A,'1月份计划'!A:A)</f>
        <v>天津鑫淼塑料制品有限公司</v>
      </c>
    </row>
    <row r="105" s="1" customFormat="1" ht="15" customHeight="1" spans="1:16">
      <c r="A105" s="8" t="s">
        <v>444</v>
      </c>
      <c r="B105" s="11" t="s">
        <v>445</v>
      </c>
      <c r="C105" s="8" t="s">
        <v>41</v>
      </c>
      <c r="D105" s="11" t="s">
        <v>307</v>
      </c>
      <c r="E105" s="8" t="s">
        <v>41</v>
      </c>
      <c r="F105" s="8" t="s">
        <v>443</v>
      </c>
      <c r="G105" s="8" t="s">
        <v>447</v>
      </c>
      <c r="H105" s="36">
        <v>28636.63</v>
      </c>
      <c r="I105" s="36">
        <v>12372.37</v>
      </c>
      <c r="J105" s="36">
        <v>13326.59</v>
      </c>
      <c r="K105" s="36">
        <v>12372.37</v>
      </c>
      <c r="L105" s="36">
        <v>13326.59</v>
      </c>
      <c r="M105" s="8" t="s">
        <v>447</v>
      </c>
      <c r="N105" s="36">
        <v>29590.85</v>
      </c>
      <c r="O105" s="1">
        <f t="shared" si="1"/>
        <v>29590.85</v>
      </c>
      <c r="P105" s="1" t="str">
        <f>_xlfn.XLOOKUP(D105,'1月份计划'!A:A,'1月份计划'!A:A)</f>
        <v>沧州宇诺五金制造有限公司</v>
      </c>
    </row>
    <row r="106" s="1" customFormat="1" ht="15" customHeight="1" spans="1:16">
      <c r="A106" s="12" t="s">
        <v>444</v>
      </c>
      <c r="B106" s="15" t="s">
        <v>445</v>
      </c>
      <c r="C106" s="12" t="s">
        <v>41</v>
      </c>
      <c r="D106" s="15" t="s">
        <v>409</v>
      </c>
      <c r="E106" s="12" t="s">
        <v>41</v>
      </c>
      <c r="F106" s="12" t="s">
        <v>443</v>
      </c>
      <c r="G106" s="12" t="s">
        <v>447</v>
      </c>
      <c r="H106" s="37">
        <v>74590.72</v>
      </c>
      <c r="I106" s="37">
        <v>50000</v>
      </c>
      <c r="J106" s="37">
        <v>0</v>
      </c>
      <c r="K106" s="37">
        <v>50000</v>
      </c>
      <c r="L106" s="37">
        <v>0</v>
      </c>
      <c r="M106" s="12" t="s">
        <v>447</v>
      </c>
      <c r="N106" s="37">
        <v>24590.72</v>
      </c>
      <c r="O106" s="1">
        <f t="shared" si="1"/>
        <v>24590.72</v>
      </c>
      <c r="P106" s="1" t="str">
        <f>_xlfn.XLOOKUP(D106,'1月份计划'!A:A,'1月份计划'!A:A)</f>
        <v>河北方基恒达汽车部件有限公司</v>
      </c>
    </row>
    <row r="107" s="1" customFormat="1" ht="15" customHeight="1" spans="1:16">
      <c r="A107" s="8" t="s">
        <v>444</v>
      </c>
      <c r="B107" s="11" t="s">
        <v>445</v>
      </c>
      <c r="C107" s="8" t="s">
        <v>41</v>
      </c>
      <c r="D107" s="11" t="s">
        <v>308</v>
      </c>
      <c r="E107" s="8" t="s">
        <v>41</v>
      </c>
      <c r="F107" s="8" t="s">
        <v>443</v>
      </c>
      <c r="G107" s="8" t="s">
        <v>447</v>
      </c>
      <c r="H107" s="36">
        <v>39859.62</v>
      </c>
      <c r="I107" s="36">
        <v>16916.1</v>
      </c>
      <c r="J107" s="36">
        <v>0</v>
      </c>
      <c r="K107" s="36">
        <v>16916.1</v>
      </c>
      <c r="L107" s="36">
        <v>0</v>
      </c>
      <c r="M107" s="8" t="s">
        <v>447</v>
      </c>
      <c r="N107" s="36">
        <v>22943.52</v>
      </c>
      <c r="O107" s="1">
        <f t="shared" si="1"/>
        <v>22943.52</v>
      </c>
      <c r="P107" s="1" t="str">
        <f>_xlfn.XLOOKUP(D107,'1月份计划'!A:A,'1月份计划'!A:A)</f>
        <v>清河县沁园汽车零部件有限公司</v>
      </c>
    </row>
    <row r="108" s="1" customFormat="1" ht="15" customHeight="1" spans="1:16">
      <c r="A108" s="8" t="s">
        <v>444</v>
      </c>
      <c r="B108" s="11" t="s">
        <v>445</v>
      </c>
      <c r="C108" s="8" t="s">
        <v>41</v>
      </c>
      <c r="D108" s="11" t="s">
        <v>309</v>
      </c>
      <c r="E108" s="8" t="s">
        <v>41</v>
      </c>
      <c r="F108" s="8" t="s">
        <v>443</v>
      </c>
      <c r="G108" s="8" t="s">
        <v>447</v>
      </c>
      <c r="H108" s="36">
        <v>9736.08</v>
      </c>
      <c r="I108" s="36">
        <v>6490.72</v>
      </c>
      <c r="J108" s="36">
        <v>0</v>
      </c>
      <c r="K108" s="36">
        <v>6490.72</v>
      </c>
      <c r="L108" s="36">
        <v>0</v>
      </c>
      <c r="M108" s="8" t="s">
        <v>447</v>
      </c>
      <c r="N108" s="36">
        <v>3245.36</v>
      </c>
      <c r="O108" s="1">
        <f t="shared" si="1"/>
        <v>3245.36</v>
      </c>
      <c r="P108" s="1" t="str">
        <f>_xlfn.XLOOKUP(D108,'1月份计划'!A:A,'1月份计划'!A:A)</f>
        <v>新梦顶（上海）贸易有限公司</v>
      </c>
    </row>
    <row r="109" s="1" customFormat="1" ht="15" customHeight="1" spans="1:16">
      <c r="A109" s="8" t="s">
        <v>444</v>
      </c>
      <c r="B109" s="11" t="s">
        <v>445</v>
      </c>
      <c r="C109" s="8" t="s">
        <v>41</v>
      </c>
      <c r="D109" s="11" t="s">
        <v>313</v>
      </c>
      <c r="E109" s="8" t="s">
        <v>41</v>
      </c>
      <c r="F109" s="8" t="s">
        <v>443</v>
      </c>
      <c r="G109" s="8" t="s">
        <v>447</v>
      </c>
      <c r="H109" s="36">
        <v>3986.84</v>
      </c>
      <c r="I109" s="36">
        <v>0</v>
      </c>
      <c r="J109" s="36">
        <v>40426.88</v>
      </c>
      <c r="K109" s="36">
        <v>0</v>
      </c>
      <c r="L109" s="36">
        <v>40426.88</v>
      </c>
      <c r="M109" s="8" t="s">
        <v>447</v>
      </c>
      <c r="N109" s="36">
        <v>44413.72</v>
      </c>
      <c r="O109" s="1">
        <f t="shared" si="1"/>
        <v>44413.72</v>
      </c>
      <c r="P109" s="1" t="str">
        <f>_xlfn.XLOOKUP(D109,'1月份计划'!A:A,'1月份计划'!A:A)</f>
        <v>江苏万金汽车零部件制造有限公</v>
      </c>
    </row>
    <row r="110" s="1" customFormat="1" ht="15" customHeight="1" spans="1:16">
      <c r="A110" s="12" t="s">
        <v>444</v>
      </c>
      <c r="B110" s="15" t="s">
        <v>445</v>
      </c>
      <c r="C110" s="12" t="s">
        <v>41</v>
      </c>
      <c r="D110" s="15" t="s">
        <v>315</v>
      </c>
      <c r="E110" s="12" t="s">
        <v>41</v>
      </c>
      <c r="F110" s="12" t="s">
        <v>443</v>
      </c>
      <c r="G110" s="12" t="s">
        <v>489</v>
      </c>
      <c r="H110" s="37">
        <v>0</v>
      </c>
      <c r="I110" s="37">
        <v>0</v>
      </c>
      <c r="J110" s="37">
        <v>3305.25</v>
      </c>
      <c r="K110" s="37">
        <v>0</v>
      </c>
      <c r="L110" s="37">
        <v>3305.25</v>
      </c>
      <c r="M110" s="12" t="s">
        <v>447</v>
      </c>
      <c r="N110" s="37">
        <v>3305.25</v>
      </c>
      <c r="O110" s="1">
        <f t="shared" si="1"/>
        <v>3305.25</v>
      </c>
      <c r="P110" s="1" t="str">
        <f>_xlfn.XLOOKUP(D110,'1月份计划'!A:A,'1月份计划'!A:A)</f>
        <v>江苏凌派通信科技有限公司</v>
      </c>
    </row>
    <row r="111" s="1" customFormat="1" ht="15" customHeight="1" spans="1:16">
      <c r="A111" s="12" t="s">
        <v>444</v>
      </c>
      <c r="B111" s="15" t="s">
        <v>445</v>
      </c>
      <c r="C111" s="12" t="s">
        <v>41</v>
      </c>
      <c r="D111" s="15" t="s">
        <v>380</v>
      </c>
      <c r="E111" s="12" t="s">
        <v>41</v>
      </c>
      <c r="F111" s="12" t="s">
        <v>443</v>
      </c>
      <c r="G111" s="12" t="s">
        <v>447</v>
      </c>
      <c r="H111" s="37">
        <v>41000</v>
      </c>
      <c r="I111" s="37">
        <v>0</v>
      </c>
      <c r="J111" s="37">
        <v>-34000</v>
      </c>
      <c r="K111" s="37">
        <v>0</v>
      </c>
      <c r="L111" s="37">
        <v>-34000</v>
      </c>
      <c r="M111" s="12" t="s">
        <v>447</v>
      </c>
      <c r="N111" s="37">
        <v>7000</v>
      </c>
      <c r="O111" s="1">
        <f t="shared" si="1"/>
        <v>7000</v>
      </c>
      <c r="P111" s="1" t="str">
        <f>_xlfn.XLOOKUP(D111,'1月份计划'!A:A,'1月份计划'!A:A)</f>
        <v>无锡市奇胜五金制品有限公司</v>
      </c>
    </row>
    <row r="112" s="1" customFormat="1" ht="15" customHeight="1" spans="1:16">
      <c r="A112" s="8" t="s">
        <v>444</v>
      </c>
      <c r="B112" s="11" t="s">
        <v>445</v>
      </c>
      <c r="C112" s="8" t="s">
        <v>41</v>
      </c>
      <c r="D112" s="11" t="s">
        <v>410</v>
      </c>
      <c r="E112" s="8" t="s">
        <v>41</v>
      </c>
      <c r="F112" s="8" t="s">
        <v>443</v>
      </c>
      <c r="G112" s="8" t="s">
        <v>447</v>
      </c>
      <c r="H112" s="36">
        <v>94880</v>
      </c>
      <c r="I112" s="36">
        <v>60000</v>
      </c>
      <c r="J112" s="36">
        <v>0</v>
      </c>
      <c r="K112" s="36">
        <v>60000</v>
      </c>
      <c r="L112" s="36">
        <v>0</v>
      </c>
      <c r="M112" s="8" t="s">
        <v>447</v>
      </c>
      <c r="N112" s="36">
        <v>34880</v>
      </c>
      <c r="O112" s="1">
        <f t="shared" si="1"/>
        <v>34880</v>
      </c>
      <c r="P112" s="1" t="str">
        <f>_xlfn.XLOOKUP(D112,'1月份计划'!A:A,'1月份计划'!A:A)</f>
        <v>慈溪市维克多自控元件有限公司</v>
      </c>
    </row>
    <row r="113" s="1" customFormat="1" ht="15" customHeight="1" spans="1:16">
      <c r="A113" s="12" t="s">
        <v>444</v>
      </c>
      <c r="B113" s="15" t="s">
        <v>445</v>
      </c>
      <c r="C113" s="12" t="s">
        <v>41</v>
      </c>
      <c r="D113" s="15" t="s">
        <v>411</v>
      </c>
      <c r="E113" s="12" t="s">
        <v>41</v>
      </c>
      <c r="F113" s="12" t="s">
        <v>443</v>
      </c>
      <c r="G113" s="12" t="s">
        <v>447</v>
      </c>
      <c r="H113" s="37">
        <v>39034.81</v>
      </c>
      <c r="I113" s="37">
        <v>0</v>
      </c>
      <c r="J113" s="37">
        <v>0</v>
      </c>
      <c r="K113" s="37">
        <v>0</v>
      </c>
      <c r="L113" s="37">
        <v>0</v>
      </c>
      <c r="M113" s="12" t="s">
        <v>447</v>
      </c>
      <c r="N113" s="37">
        <v>39034.81</v>
      </c>
      <c r="O113" s="1">
        <f t="shared" si="1"/>
        <v>39034.81</v>
      </c>
      <c r="P113" s="1" t="str">
        <f>_xlfn.XLOOKUP(D113,'1月份计划'!A:A,'1月份计划'!A:A)</f>
        <v>山东金达汽车部件制造股份有限</v>
      </c>
    </row>
    <row r="114" s="1" customFormat="1" ht="15" customHeight="1" spans="1:16">
      <c r="A114" s="8" t="s">
        <v>444</v>
      </c>
      <c r="B114" s="11" t="s">
        <v>445</v>
      </c>
      <c r="C114" s="8" t="s">
        <v>41</v>
      </c>
      <c r="D114" s="11" t="s">
        <v>240</v>
      </c>
      <c r="E114" s="8" t="s">
        <v>41</v>
      </c>
      <c r="F114" s="8" t="s">
        <v>443</v>
      </c>
      <c r="G114" s="8" t="s">
        <v>447</v>
      </c>
      <c r="H114" s="36">
        <v>58696.72</v>
      </c>
      <c r="I114" s="36">
        <v>25000</v>
      </c>
      <c r="J114" s="36">
        <v>1853.2</v>
      </c>
      <c r="K114" s="36">
        <v>25000</v>
      </c>
      <c r="L114" s="36">
        <v>1853.2</v>
      </c>
      <c r="M114" s="8" t="s">
        <v>447</v>
      </c>
      <c r="N114" s="36">
        <v>35549.92</v>
      </c>
      <c r="O114" s="1">
        <f t="shared" si="1"/>
        <v>35549.92</v>
      </c>
      <c r="P114" s="1" t="str">
        <f>_xlfn.XLOOKUP(D114,'1月份计划'!A:A,'1月份计划'!A:A)</f>
        <v>重庆厚元汽车配件有限公司</v>
      </c>
    </row>
    <row r="115" s="1" customFormat="1" ht="15" customHeight="1" spans="1:16">
      <c r="A115" s="12" t="s">
        <v>490</v>
      </c>
      <c r="B115" s="15" t="s">
        <v>491</v>
      </c>
      <c r="C115" s="12" t="s">
        <v>41</v>
      </c>
      <c r="D115" s="15" t="s">
        <v>41</v>
      </c>
      <c r="E115" s="12" t="s">
        <v>492</v>
      </c>
      <c r="F115" s="12" t="s">
        <v>443</v>
      </c>
      <c r="G115" s="12" t="s">
        <v>453</v>
      </c>
      <c r="H115" s="37">
        <v>35898858.48</v>
      </c>
      <c r="I115" s="37">
        <v>0</v>
      </c>
      <c r="J115" s="37">
        <v>0</v>
      </c>
      <c r="K115" s="37">
        <v>0</v>
      </c>
      <c r="L115" s="37">
        <v>0</v>
      </c>
      <c r="M115" s="12" t="s">
        <v>453</v>
      </c>
      <c r="N115" s="37">
        <v>35898858.48</v>
      </c>
      <c r="O115" s="1">
        <f t="shared" si="1"/>
        <v>-35898858.48</v>
      </c>
      <c r="P115" s="1" t="e">
        <f>_xlfn.XLOOKUP(D115,'1月份计划'!A:A,'1月份计划'!A:A)</f>
        <v>#N/A</v>
      </c>
    </row>
  </sheetData>
  <autoFilter xmlns:etc="http://www.wps.cn/officeDocument/2017/etCustomData" ref="A1:P115" etc:filterBottomFollowUsedRange="0">
    <extLst/>
  </autoFilter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O239"/>
  <sheetViews>
    <sheetView workbookViewId="0">
      <selection activeCell="D226" sqref="D226"/>
    </sheetView>
  </sheetViews>
  <sheetFormatPr defaultColWidth="8" defaultRowHeight="12.75"/>
  <cols>
    <col min="1" max="1" width="7.75" style="22" customWidth="1"/>
    <col min="2" max="2" width="15.75" style="22" customWidth="1"/>
    <col min="3" max="3" width="9.375" style="22" customWidth="1"/>
    <col min="4" max="4" width="23.125" style="22" customWidth="1"/>
    <col min="5" max="6" width="7.75" style="22" customWidth="1"/>
    <col min="7" max="7" width="8.125" style="22" customWidth="1"/>
    <col min="8" max="8" width="10.75" style="22" customWidth="1"/>
    <col min="9" max="10" width="12.375" style="22" customWidth="1"/>
    <col min="11" max="12" width="10.875" style="22" customWidth="1"/>
    <col min="13" max="13" width="8.125" style="22" customWidth="1"/>
    <col min="14" max="14" width="10.75" style="22" customWidth="1"/>
    <col min="15" max="15" width="12.25" style="22"/>
    <col min="16" max="16384" width="8" style="22"/>
  </cols>
  <sheetData>
    <row r="1" s="22" customFormat="1" spans="1:14">
      <c r="A1" s="23" t="s">
        <v>429</v>
      </c>
      <c r="B1" s="23" t="s">
        <v>430</v>
      </c>
      <c r="C1" s="23" t="s">
        <v>431</v>
      </c>
      <c r="D1" s="23" t="s">
        <v>432</v>
      </c>
      <c r="E1" s="23" t="s">
        <v>433</v>
      </c>
      <c r="F1" s="23" t="s">
        <v>434</v>
      </c>
      <c r="G1" s="23" t="s">
        <v>435</v>
      </c>
      <c r="H1" s="24" t="s">
        <v>436</v>
      </c>
      <c r="I1" s="24" t="s">
        <v>437</v>
      </c>
      <c r="J1" s="24" t="s">
        <v>438</v>
      </c>
      <c r="K1" s="24" t="s">
        <v>439</v>
      </c>
      <c r="L1" s="24" t="s">
        <v>440</v>
      </c>
      <c r="M1" s="23" t="s">
        <v>435</v>
      </c>
      <c r="N1" s="24" t="s">
        <v>441</v>
      </c>
    </row>
    <row r="2" s="22" customFormat="1" ht="15" customHeight="1" spans="1:14">
      <c r="A2" s="25" t="s">
        <v>41</v>
      </c>
      <c r="B2" s="28" t="s">
        <v>41</v>
      </c>
      <c r="C2" s="25" t="s">
        <v>41</v>
      </c>
      <c r="D2" s="28" t="s">
        <v>41</v>
      </c>
      <c r="E2" s="25" t="s">
        <v>41</v>
      </c>
      <c r="F2" s="25" t="s">
        <v>443</v>
      </c>
      <c r="G2" s="25" t="s">
        <v>41</v>
      </c>
      <c r="H2" s="76">
        <v>-27982345.84</v>
      </c>
      <c r="I2" s="76">
        <v>14146160.63</v>
      </c>
      <c r="J2" s="76">
        <v>9532452.91</v>
      </c>
      <c r="K2" s="76">
        <v>38448022.08</v>
      </c>
      <c r="L2" s="76">
        <v>31982363.48</v>
      </c>
      <c r="M2" s="25" t="s">
        <v>41</v>
      </c>
      <c r="N2" s="76">
        <v>-23368638.12</v>
      </c>
    </row>
    <row r="3" s="22" customFormat="1" ht="15" customHeight="1" spans="1:14">
      <c r="A3" s="29" t="s">
        <v>444</v>
      </c>
      <c r="B3" s="32" t="s">
        <v>445</v>
      </c>
      <c r="C3" s="29" t="s">
        <v>41</v>
      </c>
      <c r="D3" s="32" t="s">
        <v>41</v>
      </c>
      <c r="E3" s="29" t="s">
        <v>492</v>
      </c>
      <c r="F3" s="29" t="s">
        <v>443</v>
      </c>
      <c r="G3" s="29" t="s">
        <v>447</v>
      </c>
      <c r="H3" s="77">
        <v>0</v>
      </c>
      <c r="I3" s="77">
        <v>1945695.81</v>
      </c>
      <c r="J3" s="77">
        <v>1945695.81</v>
      </c>
      <c r="K3" s="77">
        <v>5924831.17</v>
      </c>
      <c r="L3" s="77">
        <v>5924831.17</v>
      </c>
      <c r="M3" s="29" t="s">
        <v>447</v>
      </c>
      <c r="N3" s="77">
        <v>0</v>
      </c>
    </row>
    <row r="4" s="22" customFormat="1" ht="15" customHeight="1" spans="1:14">
      <c r="A4" s="25" t="s">
        <v>444</v>
      </c>
      <c r="B4" s="28" t="s">
        <v>445</v>
      </c>
      <c r="C4" s="25" t="s">
        <v>41</v>
      </c>
      <c r="D4" s="28" t="s">
        <v>493</v>
      </c>
      <c r="E4" s="25" t="s">
        <v>41</v>
      </c>
      <c r="F4" s="25" t="s">
        <v>443</v>
      </c>
      <c r="G4" s="25" t="s">
        <v>489</v>
      </c>
      <c r="H4" s="76">
        <v>0</v>
      </c>
      <c r="I4" s="76">
        <v>0</v>
      </c>
      <c r="J4" s="76">
        <v>0</v>
      </c>
      <c r="K4" s="76">
        <v>0</v>
      </c>
      <c r="L4" s="76">
        <v>0</v>
      </c>
      <c r="M4" s="25" t="s">
        <v>489</v>
      </c>
      <c r="N4" s="76">
        <v>0</v>
      </c>
    </row>
    <row r="5" s="22" customFormat="1" ht="15" customHeight="1" spans="1:15">
      <c r="A5" s="29" t="s">
        <v>444</v>
      </c>
      <c r="B5" s="32" t="s">
        <v>445</v>
      </c>
      <c r="C5" s="29" t="s">
        <v>41</v>
      </c>
      <c r="D5" s="32" t="s">
        <v>446</v>
      </c>
      <c r="E5" s="29" t="s">
        <v>41</v>
      </c>
      <c r="F5" s="29" t="s">
        <v>443</v>
      </c>
      <c r="G5" s="29" t="s">
        <v>447</v>
      </c>
      <c r="H5" s="77">
        <v>11191782.44</v>
      </c>
      <c r="I5" s="77">
        <v>0</v>
      </c>
      <c r="J5" s="77">
        <v>1617213.4</v>
      </c>
      <c r="K5" s="77">
        <v>0</v>
      </c>
      <c r="L5" s="77">
        <v>4404059.27</v>
      </c>
      <c r="M5" s="29" t="s">
        <v>447</v>
      </c>
      <c r="N5" s="77">
        <v>12808995.84</v>
      </c>
      <c r="O5" s="22">
        <f t="shared" ref="O5:O68" si="0">IF(M5="贷",N5,-N5)</f>
        <v>12808995.84</v>
      </c>
    </row>
    <row r="6" s="22" customFormat="1" ht="15" customHeight="1" spans="1:15">
      <c r="A6" s="25" t="s">
        <v>444</v>
      </c>
      <c r="B6" s="28" t="s">
        <v>445</v>
      </c>
      <c r="C6" s="25" t="s">
        <v>41</v>
      </c>
      <c r="D6" s="28" t="s">
        <v>414</v>
      </c>
      <c r="E6" s="25" t="s">
        <v>41</v>
      </c>
      <c r="F6" s="25" t="s">
        <v>443</v>
      </c>
      <c r="G6" s="25" t="s">
        <v>489</v>
      </c>
      <c r="H6" s="76">
        <v>0</v>
      </c>
      <c r="I6" s="76">
        <v>0</v>
      </c>
      <c r="J6" s="76">
        <v>0</v>
      </c>
      <c r="K6" s="76">
        <v>0</v>
      </c>
      <c r="L6" s="76">
        <v>0</v>
      </c>
      <c r="M6" s="25" t="s">
        <v>489</v>
      </c>
      <c r="N6" s="76">
        <v>0</v>
      </c>
      <c r="O6" s="22">
        <f t="shared" si="0"/>
        <v>0</v>
      </c>
    </row>
    <row r="7" s="22" customFormat="1" ht="15" customHeight="1" spans="1:15">
      <c r="A7" s="29" t="s">
        <v>444</v>
      </c>
      <c r="B7" s="32" t="s">
        <v>445</v>
      </c>
      <c r="C7" s="29" t="s">
        <v>41</v>
      </c>
      <c r="D7" s="32" t="s">
        <v>448</v>
      </c>
      <c r="E7" s="29" t="s">
        <v>41</v>
      </c>
      <c r="F7" s="29" t="s">
        <v>443</v>
      </c>
      <c r="G7" s="29" t="s">
        <v>447</v>
      </c>
      <c r="H7" s="77">
        <v>80.3</v>
      </c>
      <c r="I7" s="77">
        <v>0</v>
      </c>
      <c r="J7" s="77">
        <v>0</v>
      </c>
      <c r="K7" s="77">
        <v>0</v>
      </c>
      <c r="L7" s="77">
        <v>0</v>
      </c>
      <c r="M7" s="29" t="s">
        <v>447</v>
      </c>
      <c r="N7" s="77">
        <v>80.3</v>
      </c>
      <c r="O7" s="22">
        <f t="shared" si="0"/>
        <v>80.3</v>
      </c>
    </row>
    <row r="8" s="22" customFormat="1" ht="15" customHeight="1" spans="1:15">
      <c r="A8" s="25" t="s">
        <v>444</v>
      </c>
      <c r="B8" s="28" t="s">
        <v>445</v>
      </c>
      <c r="C8" s="25" t="s">
        <v>41</v>
      </c>
      <c r="D8" s="28" t="s">
        <v>494</v>
      </c>
      <c r="E8" s="25" t="s">
        <v>41</v>
      </c>
      <c r="F8" s="25" t="s">
        <v>443</v>
      </c>
      <c r="G8" s="25" t="s">
        <v>489</v>
      </c>
      <c r="H8" s="76">
        <v>0</v>
      </c>
      <c r="I8" s="76">
        <v>0</v>
      </c>
      <c r="J8" s="76">
        <v>0</v>
      </c>
      <c r="K8" s="76">
        <v>0</v>
      </c>
      <c r="L8" s="76">
        <v>0</v>
      </c>
      <c r="M8" s="25" t="s">
        <v>489</v>
      </c>
      <c r="N8" s="76">
        <v>0</v>
      </c>
      <c r="O8" s="22">
        <f t="shared" si="0"/>
        <v>0</v>
      </c>
    </row>
    <row r="9" s="22" customFormat="1" ht="15" customHeight="1" spans="1:15">
      <c r="A9" s="29" t="s">
        <v>444</v>
      </c>
      <c r="B9" s="32" t="s">
        <v>445</v>
      </c>
      <c r="C9" s="29" t="s">
        <v>41</v>
      </c>
      <c r="D9" s="32" t="s">
        <v>495</v>
      </c>
      <c r="E9" s="29" t="s">
        <v>41</v>
      </c>
      <c r="F9" s="29" t="s">
        <v>443</v>
      </c>
      <c r="G9" s="29" t="s">
        <v>489</v>
      </c>
      <c r="H9" s="77">
        <v>0</v>
      </c>
      <c r="I9" s="77">
        <v>0</v>
      </c>
      <c r="J9" s="77">
        <v>0</v>
      </c>
      <c r="K9" s="77">
        <v>0</v>
      </c>
      <c r="L9" s="77">
        <v>0</v>
      </c>
      <c r="M9" s="29" t="s">
        <v>489</v>
      </c>
      <c r="N9" s="77">
        <v>0</v>
      </c>
      <c r="O9" s="22">
        <f t="shared" si="0"/>
        <v>0</v>
      </c>
    </row>
    <row r="10" s="22" customFormat="1" ht="15" customHeight="1" spans="1:15">
      <c r="A10" s="25" t="s">
        <v>444</v>
      </c>
      <c r="B10" s="28" t="s">
        <v>445</v>
      </c>
      <c r="C10" s="25" t="s">
        <v>41</v>
      </c>
      <c r="D10" s="28" t="s">
        <v>449</v>
      </c>
      <c r="E10" s="25" t="s">
        <v>41</v>
      </c>
      <c r="F10" s="25" t="s">
        <v>443</v>
      </c>
      <c r="G10" s="25" t="s">
        <v>447</v>
      </c>
      <c r="H10" s="76">
        <v>23367.17</v>
      </c>
      <c r="I10" s="76">
        <v>0</v>
      </c>
      <c r="J10" s="76">
        <v>0</v>
      </c>
      <c r="K10" s="76">
        <v>0</v>
      </c>
      <c r="L10" s="76">
        <v>0</v>
      </c>
      <c r="M10" s="25" t="s">
        <v>447</v>
      </c>
      <c r="N10" s="76">
        <v>23367.17</v>
      </c>
      <c r="O10" s="22">
        <f t="shared" si="0"/>
        <v>23367.17</v>
      </c>
    </row>
    <row r="11" s="22" customFormat="1" ht="15" customHeight="1" spans="1:15">
      <c r="A11" s="29" t="s">
        <v>444</v>
      </c>
      <c r="B11" s="32" t="s">
        <v>445</v>
      </c>
      <c r="C11" s="29" t="s">
        <v>41</v>
      </c>
      <c r="D11" s="32" t="s">
        <v>450</v>
      </c>
      <c r="E11" s="29" t="s">
        <v>41</v>
      </c>
      <c r="F11" s="29" t="s">
        <v>443</v>
      </c>
      <c r="G11" s="29" t="s">
        <v>447</v>
      </c>
      <c r="H11" s="77">
        <v>9685.4</v>
      </c>
      <c r="I11" s="77">
        <v>0</v>
      </c>
      <c r="J11" s="77">
        <v>0</v>
      </c>
      <c r="K11" s="77">
        <v>0</v>
      </c>
      <c r="L11" s="77">
        <v>0</v>
      </c>
      <c r="M11" s="29" t="s">
        <v>447</v>
      </c>
      <c r="N11" s="77">
        <v>9685.4</v>
      </c>
      <c r="O11" s="22">
        <f t="shared" si="0"/>
        <v>9685.4</v>
      </c>
    </row>
    <row r="12" s="22" customFormat="1" ht="15" customHeight="1" spans="1:15">
      <c r="A12" s="25" t="s">
        <v>444</v>
      </c>
      <c r="B12" s="28" t="s">
        <v>445</v>
      </c>
      <c r="C12" s="25" t="s">
        <v>41</v>
      </c>
      <c r="D12" s="28" t="s">
        <v>241</v>
      </c>
      <c r="E12" s="25" t="s">
        <v>41</v>
      </c>
      <c r="F12" s="25" t="s">
        <v>443</v>
      </c>
      <c r="G12" s="25" t="s">
        <v>447</v>
      </c>
      <c r="H12" s="76">
        <v>403937.07</v>
      </c>
      <c r="I12" s="76">
        <v>272419.7</v>
      </c>
      <c r="J12" s="76">
        <v>12458.85</v>
      </c>
      <c r="K12" s="76">
        <v>422419.7</v>
      </c>
      <c r="L12" s="76">
        <v>143976.22</v>
      </c>
      <c r="M12" s="25" t="s">
        <v>447</v>
      </c>
      <c r="N12" s="76">
        <v>143976.22</v>
      </c>
      <c r="O12" s="22">
        <f t="shared" si="0"/>
        <v>143976.22</v>
      </c>
    </row>
    <row r="13" s="22" customFormat="1" ht="15" customHeight="1" spans="1:15">
      <c r="A13" s="29" t="s">
        <v>444</v>
      </c>
      <c r="B13" s="32" t="s">
        <v>445</v>
      </c>
      <c r="C13" s="29" t="s">
        <v>41</v>
      </c>
      <c r="D13" s="32" t="s">
        <v>242</v>
      </c>
      <c r="E13" s="29" t="s">
        <v>41</v>
      </c>
      <c r="F13" s="29" t="s">
        <v>443</v>
      </c>
      <c r="G13" s="29" t="s">
        <v>447</v>
      </c>
      <c r="H13" s="77">
        <v>171409.01</v>
      </c>
      <c r="I13" s="77">
        <v>69588.75</v>
      </c>
      <c r="J13" s="77">
        <v>19709.37</v>
      </c>
      <c r="K13" s="77">
        <v>189588.75</v>
      </c>
      <c r="L13" s="77">
        <v>121529.63</v>
      </c>
      <c r="M13" s="29" t="s">
        <v>447</v>
      </c>
      <c r="N13" s="77">
        <v>121529.63</v>
      </c>
      <c r="O13" s="22">
        <f t="shared" si="0"/>
        <v>121529.63</v>
      </c>
    </row>
    <row r="14" s="22" customFormat="1" ht="15" customHeight="1" spans="1:15">
      <c r="A14" s="25" t="s">
        <v>444</v>
      </c>
      <c r="B14" s="28" t="s">
        <v>445</v>
      </c>
      <c r="C14" s="25" t="s">
        <v>41</v>
      </c>
      <c r="D14" s="28" t="s">
        <v>496</v>
      </c>
      <c r="E14" s="25" t="s">
        <v>41</v>
      </c>
      <c r="F14" s="25" t="s">
        <v>443</v>
      </c>
      <c r="G14" s="25" t="s">
        <v>489</v>
      </c>
      <c r="H14" s="76">
        <v>0</v>
      </c>
      <c r="I14" s="76">
        <v>0</v>
      </c>
      <c r="J14" s="76">
        <v>0</v>
      </c>
      <c r="K14" s="76">
        <v>0</v>
      </c>
      <c r="L14" s="76">
        <v>0</v>
      </c>
      <c r="M14" s="25" t="s">
        <v>489</v>
      </c>
      <c r="N14" s="76">
        <v>0</v>
      </c>
      <c r="O14" s="22">
        <f t="shared" si="0"/>
        <v>0</v>
      </c>
    </row>
    <row r="15" s="22" customFormat="1" ht="15" customHeight="1" spans="1:15">
      <c r="A15" s="29" t="s">
        <v>444</v>
      </c>
      <c r="B15" s="32" t="s">
        <v>445</v>
      </c>
      <c r="C15" s="29" t="s">
        <v>41</v>
      </c>
      <c r="D15" s="32" t="s">
        <v>243</v>
      </c>
      <c r="E15" s="29" t="s">
        <v>41</v>
      </c>
      <c r="F15" s="29" t="s">
        <v>443</v>
      </c>
      <c r="G15" s="29" t="s">
        <v>447</v>
      </c>
      <c r="H15" s="77">
        <v>69000.6</v>
      </c>
      <c r="I15" s="77">
        <v>40442.13</v>
      </c>
      <c r="J15" s="77">
        <v>22332.39</v>
      </c>
      <c r="K15" s="77">
        <v>110442.13</v>
      </c>
      <c r="L15" s="77">
        <v>50890.86</v>
      </c>
      <c r="M15" s="29" t="s">
        <v>447</v>
      </c>
      <c r="N15" s="77">
        <v>50890.86</v>
      </c>
      <c r="O15" s="22">
        <f t="shared" si="0"/>
        <v>50890.86</v>
      </c>
    </row>
    <row r="16" s="22" customFormat="1" ht="15" customHeight="1" spans="1:15">
      <c r="A16" s="25" t="s">
        <v>444</v>
      </c>
      <c r="B16" s="28" t="s">
        <v>445</v>
      </c>
      <c r="C16" s="25" t="s">
        <v>41</v>
      </c>
      <c r="D16" s="28" t="s">
        <v>297</v>
      </c>
      <c r="E16" s="25" t="s">
        <v>41</v>
      </c>
      <c r="F16" s="25" t="s">
        <v>443</v>
      </c>
      <c r="G16" s="25" t="s">
        <v>447</v>
      </c>
      <c r="H16" s="76">
        <v>16490.64</v>
      </c>
      <c r="I16" s="76">
        <v>20158.62</v>
      </c>
      <c r="J16" s="76">
        <v>0</v>
      </c>
      <c r="K16" s="76">
        <v>50158.62</v>
      </c>
      <c r="L16" s="76">
        <v>0</v>
      </c>
      <c r="M16" s="25" t="s">
        <v>453</v>
      </c>
      <c r="N16" s="76">
        <v>3667.98</v>
      </c>
      <c r="O16" s="22">
        <f t="shared" si="0"/>
        <v>-3667.98</v>
      </c>
    </row>
    <row r="17" s="22" customFormat="1" ht="15" customHeight="1" spans="1:15">
      <c r="A17" s="29" t="s">
        <v>444</v>
      </c>
      <c r="B17" s="32" t="s">
        <v>445</v>
      </c>
      <c r="C17" s="29" t="s">
        <v>41</v>
      </c>
      <c r="D17" s="32" t="s">
        <v>497</v>
      </c>
      <c r="E17" s="29" t="s">
        <v>41</v>
      </c>
      <c r="F17" s="29" t="s">
        <v>443</v>
      </c>
      <c r="G17" s="29" t="s">
        <v>489</v>
      </c>
      <c r="H17" s="77">
        <v>0</v>
      </c>
      <c r="I17" s="77">
        <v>0</v>
      </c>
      <c r="J17" s="77">
        <v>0</v>
      </c>
      <c r="K17" s="77">
        <v>0</v>
      </c>
      <c r="L17" s="77">
        <v>0</v>
      </c>
      <c r="M17" s="29" t="s">
        <v>489</v>
      </c>
      <c r="N17" s="77">
        <v>0</v>
      </c>
      <c r="O17" s="22">
        <f t="shared" si="0"/>
        <v>0</v>
      </c>
    </row>
    <row r="18" s="22" customFormat="1" ht="15" customHeight="1" spans="1:15">
      <c r="A18" s="25" t="s">
        <v>444</v>
      </c>
      <c r="B18" s="28" t="s">
        <v>445</v>
      </c>
      <c r="C18" s="25" t="s">
        <v>41</v>
      </c>
      <c r="D18" s="28" t="s">
        <v>498</v>
      </c>
      <c r="E18" s="25" t="s">
        <v>41</v>
      </c>
      <c r="F18" s="25" t="s">
        <v>443</v>
      </c>
      <c r="G18" s="25" t="s">
        <v>489</v>
      </c>
      <c r="H18" s="76">
        <v>0</v>
      </c>
      <c r="I18" s="76">
        <v>0</v>
      </c>
      <c r="J18" s="76">
        <v>0</v>
      </c>
      <c r="K18" s="76">
        <v>0</v>
      </c>
      <c r="L18" s="76">
        <v>0</v>
      </c>
      <c r="M18" s="25" t="s">
        <v>489</v>
      </c>
      <c r="N18" s="76">
        <v>0</v>
      </c>
      <c r="O18" s="22">
        <f t="shared" si="0"/>
        <v>0</v>
      </c>
    </row>
    <row r="19" s="22" customFormat="1" ht="15" customHeight="1" spans="1:15">
      <c r="A19" s="29" t="s">
        <v>444</v>
      </c>
      <c r="B19" s="32" t="s">
        <v>445</v>
      </c>
      <c r="C19" s="29" t="s">
        <v>41</v>
      </c>
      <c r="D19" s="32" t="s">
        <v>451</v>
      </c>
      <c r="E19" s="29" t="s">
        <v>41</v>
      </c>
      <c r="F19" s="29" t="s">
        <v>443</v>
      </c>
      <c r="G19" s="29" t="s">
        <v>447</v>
      </c>
      <c r="H19" s="77">
        <v>29061319.46</v>
      </c>
      <c r="I19" s="77">
        <v>0</v>
      </c>
      <c r="J19" s="77">
        <v>0</v>
      </c>
      <c r="K19" s="77">
        <v>100000</v>
      </c>
      <c r="L19" s="77">
        <v>-134494</v>
      </c>
      <c r="M19" s="29" t="s">
        <v>447</v>
      </c>
      <c r="N19" s="77">
        <v>29061319.46</v>
      </c>
      <c r="O19" s="22">
        <f t="shared" si="0"/>
        <v>29061319.46</v>
      </c>
    </row>
    <row r="20" s="22" customFormat="1" ht="15" customHeight="1" spans="1:15">
      <c r="A20" s="25" t="s">
        <v>444</v>
      </c>
      <c r="B20" s="28" t="s">
        <v>445</v>
      </c>
      <c r="C20" s="25" t="s">
        <v>41</v>
      </c>
      <c r="D20" s="28" t="s">
        <v>499</v>
      </c>
      <c r="E20" s="25" t="s">
        <v>41</v>
      </c>
      <c r="F20" s="25" t="s">
        <v>443</v>
      </c>
      <c r="G20" s="25" t="s">
        <v>489</v>
      </c>
      <c r="H20" s="76">
        <v>0</v>
      </c>
      <c r="I20" s="76">
        <v>0</v>
      </c>
      <c r="J20" s="76">
        <v>0</v>
      </c>
      <c r="K20" s="76">
        <v>0</v>
      </c>
      <c r="L20" s="76">
        <v>0</v>
      </c>
      <c r="M20" s="25" t="s">
        <v>489</v>
      </c>
      <c r="N20" s="76">
        <v>0</v>
      </c>
      <c r="O20" s="22">
        <f t="shared" si="0"/>
        <v>0</v>
      </c>
    </row>
    <row r="21" s="22" customFormat="1" ht="15" customHeight="1" spans="1:15">
      <c r="A21" s="29" t="s">
        <v>444</v>
      </c>
      <c r="B21" s="32" t="s">
        <v>445</v>
      </c>
      <c r="C21" s="29" t="s">
        <v>41</v>
      </c>
      <c r="D21" s="32" t="s">
        <v>500</v>
      </c>
      <c r="E21" s="29" t="s">
        <v>41</v>
      </c>
      <c r="F21" s="29" t="s">
        <v>443</v>
      </c>
      <c r="G21" s="29" t="s">
        <v>489</v>
      </c>
      <c r="H21" s="77">
        <v>0</v>
      </c>
      <c r="I21" s="77">
        <v>0</v>
      </c>
      <c r="J21" s="77">
        <v>0</v>
      </c>
      <c r="K21" s="77">
        <v>0</v>
      </c>
      <c r="L21" s="77">
        <v>0</v>
      </c>
      <c r="M21" s="29" t="s">
        <v>489</v>
      </c>
      <c r="N21" s="77">
        <v>0</v>
      </c>
      <c r="O21" s="22">
        <f t="shared" si="0"/>
        <v>0</v>
      </c>
    </row>
    <row r="22" s="22" customFormat="1" ht="15" customHeight="1" spans="1:15">
      <c r="A22" s="25" t="s">
        <v>444</v>
      </c>
      <c r="B22" s="28" t="s">
        <v>445</v>
      </c>
      <c r="C22" s="25" t="s">
        <v>41</v>
      </c>
      <c r="D22" s="28" t="s">
        <v>244</v>
      </c>
      <c r="E22" s="25" t="s">
        <v>41</v>
      </c>
      <c r="F22" s="25" t="s">
        <v>443</v>
      </c>
      <c r="G22" s="25" t="s">
        <v>447</v>
      </c>
      <c r="H22" s="76">
        <v>307758.78</v>
      </c>
      <c r="I22" s="76">
        <v>183453.92</v>
      </c>
      <c r="J22" s="76">
        <v>19537.7</v>
      </c>
      <c r="K22" s="76">
        <v>293453.92</v>
      </c>
      <c r="L22" s="76">
        <v>143842.56</v>
      </c>
      <c r="M22" s="25" t="s">
        <v>447</v>
      </c>
      <c r="N22" s="76">
        <v>143842.56</v>
      </c>
      <c r="O22" s="22">
        <f t="shared" si="0"/>
        <v>143842.56</v>
      </c>
    </row>
    <row r="23" s="22" customFormat="1" ht="15" customHeight="1" spans="1:15">
      <c r="A23" s="29" t="s">
        <v>444</v>
      </c>
      <c r="B23" s="32" t="s">
        <v>445</v>
      </c>
      <c r="C23" s="29" t="s">
        <v>41</v>
      </c>
      <c r="D23" s="32" t="s">
        <v>245</v>
      </c>
      <c r="E23" s="29" t="s">
        <v>41</v>
      </c>
      <c r="F23" s="29" t="s">
        <v>443</v>
      </c>
      <c r="G23" s="29" t="s">
        <v>447</v>
      </c>
      <c r="H23" s="77">
        <v>176561.81</v>
      </c>
      <c r="I23" s="77">
        <v>68017.65</v>
      </c>
      <c r="J23" s="77">
        <v>28650.14</v>
      </c>
      <c r="K23" s="77">
        <v>228017.65</v>
      </c>
      <c r="L23" s="77">
        <v>137194.3</v>
      </c>
      <c r="M23" s="29" t="s">
        <v>447</v>
      </c>
      <c r="N23" s="77">
        <v>137194.3</v>
      </c>
      <c r="O23" s="22">
        <f t="shared" si="0"/>
        <v>137194.3</v>
      </c>
    </row>
    <row r="24" s="22" customFormat="1" ht="15" customHeight="1" spans="1:15">
      <c r="A24" s="25" t="s">
        <v>444</v>
      </c>
      <c r="B24" s="28" t="s">
        <v>445</v>
      </c>
      <c r="C24" s="25" t="s">
        <v>41</v>
      </c>
      <c r="D24" s="28" t="s">
        <v>283</v>
      </c>
      <c r="E24" s="25" t="s">
        <v>41</v>
      </c>
      <c r="F24" s="25" t="s">
        <v>443</v>
      </c>
      <c r="G24" s="25" t="s">
        <v>447</v>
      </c>
      <c r="H24" s="76">
        <v>23052</v>
      </c>
      <c r="I24" s="76">
        <v>8644.5</v>
      </c>
      <c r="J24" s="76">
        <v>5763</v>
      </c>
      <c r="K24" s="76">
        <v>23051.76</v>
      </c>
      <c r="L24" s="76">
        <v>20170.5</v>
      </c>
      <c r="M24" s="25" t="s">
        <v>447</v>
      </c>
      <c r="N24" s="76">
        <v>20170.5</v>
      </c>
      <c r="O24" s="22">
        <f t="shared" si="0"/>
        <v>20170.5</v>
      </c>
    </row>
    <row r="25" s="22" customFormat="1" ht="15" customHeight="1" spans="1:15">
      <c r="A25" s="29" t="s">
        <v>444</v>
      </c>
      <c r="B25" s="32" t="s">
        <v>445</v>
      </c>
      <c r="C25" s="29" t="s">
        <v>41</v>
      </c>
      <c r="D25" s="32" t="s">
        <v>501</v>
      </c>
      <c r="E25" s="29" t="s">
        <v>41</v>
      </c>
      <c r="F25" s="29" t="s">
        <v>443</v>
      </c>
      <c r="G25" s="29" t="s">
        <v>489</v>
      </c>
      <c r="H25" s="77">
        <v>0</v>
      </c>
      <c r="I25" s="77">
        <v>0</v>
      </c>
      <c r="J25" s="77">
        <v>0</v>
      </c>
      <c r="K25" s="77">
        <v>0</v>
      </c>
      <c r="L25" s="77">
        <v>0</v>
      </c>
      <c r="M25" s="29" t="s">
        <v>489</v>
      </c>
      <c r="N25" s="77">
        <v>0</v>
      </c>
      <c r="O25" s="22">
        <f t="shared" si="0"/>
        <v>0</v>
      </c>
    </row>
    <row r="26" s="22" customFormat="1" ht="15" customHeight="1" spans="1:15">
      <c r="A26" s="25" t="s">
        <v>444</v>
      </c>
      <c r="B26" s="28" t="s">
        <v>445</v>
      </c>
      <c r="C26" s="25" t="s">
        <v>41</v>
      </c>
      <c r="D26" s="28" t="s">
        <v>502</v>
      </c>
      <c r="E26" s="25" t="s">
        <v>41</v>
      </c>
      <c r="F26" s="25" t="s">
        <v>443</v>
      </c>
      <c r="G26" s="25" t="s">
        <v>489</v>
      </c>
      <c r="H26" s="76">
        <v>0</v>
      </c>
      <c r="I26" s="76">
        <v>0</v>
      </c>
      <c r="J26" s="76">
        <v>0</v>
      </c>
      <c r="K26" s="76">
        <v>0</v>
      </c>
      <c r="L26" s="76">
        <v>0</v>
      </c>
      <c r="M26" s="25" t="s">
        <v>489</v>
      </c>
      <c r="N26" s="76">
        <v>0</v>
      </c>
      <c r="O26" s="22">
        <f t="shared" si="0"/>
        <v>0</v>
      </c>
    </row>
    <row r="27" s="22" customFormat="1" ht="15" customHeight="1" spans="1:15">
      <c r="A27" s="29" t="s">
        <v>444</v>
      </c>
      <c r="B27" s="32" t="s">
        <v>445</v>
      </c>
      <c r="C27" s="29" t="s">
        <v>41</v>
      </c>
      <c r="D27" s="32" t="s">
        <v>452</v>
      </c>
      <c r="E27" s="29" t="s">
        <v>41</v>
      </c>
      <c r="F27" s="29" t="s">
        <v>443</v>
      </c>
      <c r="G27" s="29" t="s">
        <v>447</v>
      </c>
      <c r="H27" s="77">
        <v>5200.09</v>
      </c>
      <c r="I27" s="77">
        <v>0</v>
      </c>
      <c r="J27" s="77">
        <v>0</v>
      </c>
      <c r="K27" s="77">
        <v>0</v>
      </c>
      <c r="L27" s="77">
        <v>0</v>
      </c>
      <c r="M27" s="29" t="s">
        <v>447</v>
      </c>
      <c r="N27" s="77">
        <v>5200.09</v>
      </c>
      <c r="O27" s="22">
        <f t="shared" si="0"/>
        <v>5200.09</v>
      </c>
    </row>
    <row r="28" s="22" customFormat="1" ht="15" customHeight="1" spans="1:15">
      <c r="A28" s="25" t="s">
        <v>444</v>
      </c>
      <c r="B28" s="28" t="s">
        <v>445</v>
      </c>
      <c r="C28" s="25" t="s">
        <v>41</v>
      </c>
      <c r="D28" s="28" t="s">
        <v>312</v>
      </c>
      <c r="E28" s="25" t="s">
        <v>41</v>
      </c>
      <c r="F28" s="25" t="s">
        <v>443</v>
      </c>
      <c r="G28" s="25" t="s">
        <v>489</v>
      </c>
      <c r="H28" s="76">
        <v>0</v>
      </c>
      <c r="I28" s="76">
        <v>0</v>
      </c>
      <c r="J28" s="76">
        <v>0</v>
      </c>
      <c r="K28" s="76">
        <v>4010.54</v>
      </c>
      <c r="L28" s="76">
        <v>0</v>
      </c>
      <c r="M28" s="25" t="s">
        <v>489</v>
      </c>
      <c r="N28" s="76">
        <v>0</v>
      </c>
      <c r="O28" s="22">
        <f t="shared" si="0"/>
        <v>0</v>
      </c>
    </row>
    <row r="29" s="22" customFormat="1" ht="15" customHeight="1" spans="1:15">
      <c r="A29" s="29" t="s">
        <v>444</v>
      </c>
      <c r="B29" s="32" t="s">
        <v>445</v>
      </c>
      <c r="C29" s="29" t="s">
        <v>41</v>
      </c>
      <c r="D29" s="32" t="s">
        <v>503</v>
      </c>
      <c r="E29" s="29" t="s">
        <v>41</v>
      </c>
      <c r="F29" s="29" t="s">
        <v>443</v>
      </c>
      <c r="G29" s="29" t="s">
        <v>489</v>
      </c>
      <c r="H29" s="77">
        <v>0</v>
      </c>
      <c r="I29" s="77">
        <v>0</v>
      </c>
      <c r="J29" s="77">
        <v>0</v>
      </c>
      <c r="K29" s="77">
        <v>0</v>
      </c>
      <c r="L29" s="77">
        <v>0</v>
      </c>
      <c r="M29" s="29" t="s">
        <v>489</v>
      </c>
      <c r="N29" s="77">
        <v>0</v>
      </c>
      <c r="O29" s="22">
        <f t="shared" si="0"/>
        <v>0</v>
      </c>
    </row>
    <row r="30" s="22" customFormat="1" ht="15" customHeight="1" spans="1:15">
      <c r="A30" s="25" t="s">
        <v>444</v>
      </c>
      <c r="B30" s="28" t="s">
        <v>445</v>
      </c>
      <c r="C30" s="25" t="s">
        <v>41</v>
      </c>
      <c r="D30" s="28" t="s">
        <v>280</v>
      </c>
      <c r="E30" s="25" t="s">
        <v>41</v>
      </c>
      <c r="F30" s="25" t="s">
        <v>443</v>
      </c>
      <c r="G30" s="25" t="s">
        <v>447</v>
      </c>
      <c r="H30" s="76">
        <v>188987.3</v>
      </c>
      <c r="I30" s="76">
        <v>132605.5</v>
      </c>
      <c r="J30" s="76">
        <v>0</v>
      </c>
      <c r="K30" s="76">
        <v>132605.5</v>
      </c>
      <c r="L30" s="76">
        <v>56381.8</v>
      </c>
      <c r="M30" s="25" t="s">
        <v>447</v>
      </c>
      <c r="N30" s="76">
        <v>56381.8</v>
      </c>
      <c r="O30" s="22">
        <f t="shared" si="0"/>
        <v>56381.8</v>
      </c>
    </row>
    <row r="31" s="22" customFormat="1" ht="15" customHeight="1" spans="1:15">
      <c r="A31" s="29" t="s">
        <v>444</v>
      </c>
      <c r="B31" s="32" t="s">
        <v>445</v>
      </c>
      <c r="C31" s="29" t="s">
        <v>41</v>
      </c>
      <c r="D31" s="32" t="s">
        <v>504</v>
      </c>
      <c r="E31" s="29" t="s">
        <v>41</v>
      </c>
      <c r="F31" s="29" t="s">
        <v>443</v>
      </c>
      <c r="G31" s="29" t="s">
        <v>489</v>
      </c>
      <c r="H31" s="77">
        <v>0</v>
      </c>
      <c r="I31" s="77">
        <v>0</v>
      </c>
      <c r="J31" s="77">
        <v>0</v>
      </c>
      <c r="K31" s="77">
        <v>0</v>
      </c>
      <c r="L31" s="77">
        <v>0</v>
      </c>
      <c r="M31" s="29" t="s">
        <v>489</v>
      </c>
      <c r="N31" s="77">
        <v>0</v>
      </c>
      <c r="O31" s="22">
        <f t="shared" si="0"/>
        <v>0</v>
      </c>
    </row>
    <row r="32" s="22" customFormat="1" ht="15" customHeight="1" spans="1:15">
      <c r="A32" s="25" t="s">
        <v>444</v>
      </c>
      <c r="B32" s="28" t="s">
        <v>445</v>
      </c>
      <c r="C32" s="25" t="s">
        <v>41</v>
      </c>
      <c r="D32" s="28" t="s">
        <v>246</v>
      </c>
      <c r="E32" s="25" t="s">
        <v>41</v>
      </c>
      <c r="F32" s="25" t="s">
        <v>443</v>
      </c>
      <c r="G32" s="25" t="s">
        <v>447</v>
      </c>
      <c r="H32" s="76">
        <v>155700.44</v>
      </c>
      <c r="I32" s="76">
        <v>53935.15</v>
      </c>
      <c r="J32" s="76">
        <v>26006.5</v>
      </c>
      <c r="K32" s="76">
        <v>203935.15</v>
      </c>
      <c r="L32" s="76">
        <v>127771.79</v>
      </c>
      <c r="M32" s="25" t="s">
        <v>447</v>
      </c>
      <c r="N32" s="76">
        <v>127771.79</v>
      </c>
      <c r="O32" s="22">
        <f t="shared" si="0"/>
        <v>127771.79</v>
      </c>
    </row>
    <row r="33" s="22" customFormat="1" ht="15" customHeight="1" spans="1:15">
      <c r="A33" s="29" t="s">
        <v>444</v>
      </c>
      <c r="B33" s="32" t="s">
        <v>445</v>
      </c>
      <c r="C33" s="29" t="s">
        <v>41</v>
      </c>
      <c r="D33" s="32" t="s">
        <v>505</v>
      </c>
      <c r="E33" s="29" t="s">
        <v>41</v>
      </c>
      <c r="F33" s="29" t="s">
        <v>443</v>
      </c>
      <c r="G33" s="29" t="s">
        <v>489</v>
      </c>
      <c r="H33" s="77">
        <v>0</v>
      </c>
      <c r="I33" s="77">
        <v>0</v>
      </c>
      <c r="J33" s="77">
        <v>0</v>
      </c>
      <c r="K33" s="77">
        <v>0</v>
      </c>
      <c r="L33" s="77">
        <v>0</v>
      </c>
      <c r="M33" s="29" t="s">
        <v>489</v>
      </c>
      <c r="N33" s="77">
        <v>0</v>
      </c>
      <c r="O33" s="22">
        <f t="shared" si="0"/>
        <v>0</v>
      </c>
    </row>
    <row r="34" s="22" customFormat="1" ht="15" customHeight="1" spans="1:15">
      <c r="A34" s="25" t="s">
        <v>444</v>
      </c>
      <c r="B34" s="28" t="s">
        <v>445</v>
      </c>
      <c r="C34" s="25" t="s">
        <v>41</v>
      </c>
      <c r="D34" s="28" t="s">
        <v>506</v>
      </c>
      <c r="E34" s="25" t="s">
        <v>41</v>
      </c>
      <c r="F34" s="25" t="s">
        <v>443</v>
      </c>
      <c r="G34" s="25" t="s">
        <v>489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  <c r="M34" s="25" t="s">
        <v>489</v>
      </c>
      <c r="N34" s="76">
        <v>0</v>
      </c>
      <c r="O34" s="22">
        <f t="shared" si="0"/>
        <v>0</v>
      </c>
    </row>
    <row r="35" s="22" customFormat="1" ht="15" customHeight="1" spans="1:15">
      <c r="A35" s="29" t="s">
        <v>444</v>
      </c>
      <c r="B35" s="32" t="s">
        <v>445</v>
      </c>
      <c r="C35" s="29" t="s">
        <v>41</v>
      </c>
      <c r="D35" s="32" t="s">
        <v>507</v>
      </c>
      <c r="E35" s="29" t="s">
        <v>41</v>
      </c>
      <c r="F35" s="29" t="s">
        <v>443</v>
      </c>
      <c r="G35" s="29" t="s">
        <v>489</v>
      </c>
      <c r="H35" s="77">
        <v>0</v>
      </c>
      <c r="I35" s="77">
        <v>0</v>
      </c>
      <c r="J35" s="77">
        <v>0</v>
      </c>
      <c r="K35" s="77">
        <v>0</v>
      </c>
      <c r="L35" s="77">
        <v>0</v>
      </c>
      <c r="M35" s="29" t="s">
        <v>489</v>
      </c>
      <c r="N35" s="77">
        <v>0</v>
      </c>
      <c r="O35" s="22">
        <f t="shared" si="0"/>
        <v>0</v>
      </c>
    </row>
    <row r="36" s="22" customFormat="1" ht="15" customHeight="1" spans="1:15">
      <c r="A36" s="25" t="s">
        <v>444</v>
      </c>
      <c r="B36" s="28" t="s">
        <v>445</v>
      </c>
      <c r="C36" s="25" t="s">
        <v>41</v>
      </c>
      <c r="D36" s="28" t="s">
        <v>508</v>
      </c>
      <c r="E36" s="25" t="s">
        <v>41</v>
      </c>
      <c r="F36" s="25" t="s">
        <v>443</v>
      </c>
      <c r="G36" s="25" t="s">
        <v>489</v>
      </c>
      <c r="H36" s="76">
        <v>0</v>
      </c>
      <c r="I36" s="76">
        <v>0</v>
      </c>
      <c r="J36" s="76">
        <v>0</v>
      </c>
      <c r="K36" s="76">
        <v>0</v>
      </c>
      <c r="L36" s="76">
        <v>0</v>
      </c>
      <c r="M36" s="25" t="s">
        <v>489</v>
      </c>
      <c r="N36" s="76">
        <v>0</v>
      </c>
      <c r="O36" s="22">
        <f t="shared" si="0"/>
        <v>0</v>
      </c>
    </row>
    <row r="37" s="22" customFormat="1" ht="15" customHeight="1" spans="1:15">
      <c r="A37" s="29" t="s">
        <v>444</v>
      </c>
      <c r="B37" s="32" t="s">
        <v>445</v>
      </c>
      <c r="C37" s="29" t="s">
        <v>41</v>
      </c>
      <c r="D37" s="32" t="s">
        <v>247</v>
      </c>
      <c r="E37" s="29" t="s">
        <v>41</v>
      </c>
      <c r="F37" s="29" t="s">
        <v>443</v>
      </c>
      <c r="G37" s="29" t="s">
        <v>447</v>
      </c>
      <c r="H37" s="77">
        <v>15068.27</v>
      </c>
      <c r="I37" s="77">
        <v>15068.27</v>
      </c>
      <c r="J37" s="77">
        <v>29435.59</v>
      </c>
      <c r="K37" s="77">
        <v>39977.88</v>
      </c>
      <c r="L37" s="77">
        <v>29435.59</v>
      </c>
      <c r="M37" s="29" t="s">
        <v>447</v>
      </c>
      <c r="N37" s="77">
        <v>29435.59</v>
      </c>
      <c r="O37" s="22">
        <f t="shared" si="0"/>
        <v>29435.59</v>
      </c>
    </row>
    <row r="38" s="22" customFormat="1" ht="15" customHeight="1" spans="1:15">
      <c r="A38" s="25" t="s">
        <v>444</v>
      </c>
      <c r="B38" s="28" t="s">
        <v>445</v>
      </c>
      <c r="C38" s="25" t="s">
        <v>41</v>
      </c>
      <c r="D38" s="28" t="s">
        <v>509</v>
      </c>
      <c r="E38" s="25" t="s">
        <v>41</v>
      </c>
      <c r="F38" s="25" t="s">
        <v>443</v>
      </c>
      <c r="G38" s="25" t="s">
        <v>489</v>
      </c>
      <c r="H38" s="76">
        <v>0</v>
      </c>
      <c r="I38" s="76">
        <v>0</v>
      </c>
      <c r="J38" s="76">
        <v>0</v>
      </c>
      <c r="K38" s="76">
        <v>0</v>
      </c>
      <c r="L38" s="76">
        <v>0</v>
      </c>
      <c r="M38" s="25" t="s">
        <v>489</v>
      </c>
      <c r="N38" s="76">
        <v>0</v>
      </c>
      <c r="O38" s="22">
        <f t="shared" si="0"/>
        <v>0</v>
      </c>
    </row>
    <row r="39" s="22" customFormat="1" ht="15" customHeight="1" spans="1:15">
      <c r="A39" s="29" t="s">
        <v>444</v>
      </c>
      <c r="B39" s="32" t="s">
        <v>445</v>
      </c>
      <c r="C39" s="29" t="s">
        <v>41</v>
      </c>
      <c r="D39" s="32" t="s">
        <v>510</v>
      </c>
      <c r="E39" s="29" t="s">
        <v>41</v>
      </c>
      <c r="F39" s="29" t="s">
        <v>443</v>
      </c>
      <c r="G39" s="29" t="s">
        <v>489</v>
      </c>
      <c r="H39" s="77">
        <v>0</v>
      </c>
      <c r="I39" s="77">
        <v>0</v>
      </c>
      <c r="J39" s="77">
        <v>0</v>
      </c>
      <c r="K39" s="77">
        <v>0</v>
      </c>
      <c r="L39" s="77">
        <v>0</v>
      </c>
      <c r="M39" s="29" t="s">
        <v>489</v>
      </c>
      <c r="N39" s="77">
        <v>0</v>
      </c>
      <c r="O39" s="22">
        <f t="shared" si="0"/>
        <v>0</v>
      </c>
    </row>
    <row r="40" s="22" customFormat="1" ht="15" customHeight="1" spans="1:15">
      <c r="A40" s="25" t="s">
        <v>444</v>
      </c>
      <c r="B40" s="28" t="s">
        <v>445</v>
      </c>
      <c r="C40" s="25" t="s">
        <v>41</v>
      </c>
      <c r="D40" s="28" t="s">
        <v>248</v>
      </c>
      <c r="E40" s="25" t="s">
        <v>41</v>
      </c>
      <c r="F40" s="25" t="s">
        <v>443</v>
      </c>
      <c r="G40" s="25" t="s">
        <v>447</v>
      </c>
      <c r="H40" s="76">
        <v>832215.18</v>
      </c>
      <c r="I40" s="76">
        <v>234060.52</v>
      </c>
      <c r="J40" s="76">
        <v>156040.34</v>
      </c>
      <c r="K40" s="76">
        <v>858221.88</v>
      </c>
      <c r="L40" s="76">
        <v>754195</v>
      </c>
      <c r="M40" s="25" t="s">
        <v>447</v>
      </c>
      <c r="N40" s="76">
        <v>754195</v>
      </c>
      <c r="O40" s="22">
        <f t="shared" si="0"/>
        <v>754195</v>
      </c>
    </row>
    <row r="41" s="22" customFormat="1" ht="15" customHeight="1" spans="1:15">
      <c r="A41" s="29" t="s">
        <v>444</v>
      </c>
      <c r="B41" s="32" t="s">
        <v>445</v>
      </c>
      <c r="C41" s="29" t="s">
        <v>41</v>
      </c>
      <c r="D41" s="32" t="s">
        <v>511</v>
      </c>
      <c r="E41" s="29" t="s">
        <v>41</v>
      </c>
      <c r="F41" s="29" t="s">
        <v>443</v>
      </c>
      <c r="G41" s="29" t="s">
        <v>489</v>
      </c>
      <c r="H41" s="77">
        <v>0</v>
      </c>
      <c r="I41" s="77">
        <v>0</v>
      </c>
      <c r="J41" s="77">
        <v>0</v>
      </c>
      <c r="K41" s="77">
        <v>0</v>
      </c>
      <c r="L41" s="77">
        <v>0</v>
      </c>
      <c r="M41" s="29" t="s">
        <v>489</v>
      </c>
      <c r="N41" s="77">
        <v>0</v>
      </c>
      <c r="O41" s="22">
        <f t="shared" si="0"/>
        <v>0</v>
      </c>
    </row>
    <row r="42" s="22" customFormat="1" ht="15" customHeight="1" spans="1:15">
      <c r="A42" s="25" t="s">
        <v>444</v>
      </c>
      <c r="B42" s="28" t="s">
        <v>445</v>
      </c>
      <c r="C42" s="25" t="s">
        <v>41</v>
      </c>
      <c r="D42" s="28" t="s">
        <v>279</v>
      </c>
      <c r="E42" s="25" t="s">
        <v>41</v>
      </c>
      <c r="F42" s="25" t="s">
        <v>443</v>
      </c>
      <c r="G42" s="25" t="s">
        <v>447</v>
      </c>
      <c r="H42" s="76">
        <v>13932.9</v>
      </c>
      <c r="I42" s="76">
        <v>0</v>
      </c>
      <c r="J42" s="76">
        <v>0</v>
      </c>
      <c r="K42" s="76">
        <v>0</v>
      </c>
      <c r="L42" s="76">
        <v>0</v>
      </c>
      <c r="M42" s="25" t="s">
        <v>447</v>
      </c>
      <c r="N42" s="76">
        <v>13932.9</v>
      </c>
      <c r="O42" s="22">
        <f t="shared" si="0"/>
        <v>13932.9</v>
      </c>
    </row>
    <row r="43" s="22" customFormat="1" ht="15" customHeight="1" spans="1:15">
      <c r="A43" s="29" t="s">
        <v>444</v>
      </c>
      <c r="B43" s="32" t="s">
        <v>445</v>
      </c>
      <c r="C43" s="29" t="s">
        <v>41</v>
      </c>
      <c r="D43" s="32" t="s">
        <v>512</v>
      </c>
      <c r="E43" s="29" t="s">
        <v>41</v>
      </c>
      <c r="F43" s="29" t="s">
        <v>443</v>
      </c>
      <c r="G43" s="29" t="s">
        <v>489</v>
      </c>
      <c r="H43" s="77">
        <v>0</v>
      </c>
      <c r="I43" s="77">
        <v>0</v>
      </c>
      <c r="J43" s="77">
        <v>0</v>
      </c>
      <c r="K43" s="77">
        <v>0</v>
      </c>
      <c r="L43" s="77">
        <v>0</v>
      </c>
      <c r="M43" s="29" t="s">
        <v>489</v>
      </c>
      <c r="N43" s="77">
        <v>0</v>
      </c>
      <c r="O43" s="22">
        <f t="shared" si="0"/>
        <v>0</v>
      </c>
    </row>
    <row r="44" s="22" customFormat="1" ht="15" customHeight="1" spans="1:15">
      <c r="A44" s="25" t="s">
        <v>444</v>
      </c>
      <c r="B44" s="28" t="s">
        <v>445</v>
      </c>
      <c r="C44" s="25" t="s">
        <v>41</v>
      </c>
      <c r="D44" s="28" t="s">
        <v>249</v>
      </c>
      <c r="E44" s="25" t="s">
        <v>41</v>
      </c>
      <c r="F44" s="25" t="s">
        <v>443</v>
      </c>
      <c r="G44" s="25" t="s">
        <v>447</v>
      </c>
      <c r="H44" s="76">
        <v>1030823.01</v>
      </c>
      <c r="I44" s="76">
        <v>356363.68</v>
      </c>
      <c r="J44" s="76">
        <v>123779.07</v>
      </c>
      <c r="K44" s="76">
        <v>856363.68</v>
      </c>
      <c r="L44" s="76">
        <v>798238.4</v>
      </c>
      <c r="M44" s="25" t="s">
        <v>447</v>
      </c>
      <c r="N44" s="76">
        <v>798238.4</v>
      </c>
      <c r="O44" s="22">
        <f t="shared" si="0"/>
        <v>798238.4</v>
      </c>
    </row>
    <row r="45" s="22" customFormat="1" ht="15" customHeight="1" spans="1:15">
      <c r="A45" s="29" t="s">
        <v>444</v>
      </c>
      <c r="B45" s="32" t="s">
        <v>445</v>
      </c>
      <c r="C45" s="29" t="s">
        <v>41</v>
      </c>
      <c r="D45" s="32" t="s">
        <v>417</v>
      </c>
      <c r="E45" s="29" t="s">
        <v>41</v>
      </c>
      <c r="F45" s="29" t="s">
        <v>443</v>
      </c>
      <c r="G45" s="29" t="s">
        <v>447</v>
      </c>
      <c r="H45" s="77">
        <v>69562.26</v>
      </c>
      <c r="I45" s="77">
        <v>1210.1</v>
      </c>
      <c r="J45" s="77">
        <v>0</v>
      </c>
      <c r="K45" s="77">
        <v>1210.1</v>
      </c>
      <c r="L45" s="77">
        <v>68352.16</v>
      </c>
      <c r="M45" s="29" t="s">
        <v>447</v>
      </c>
      <c r="N45" s="77">
        <v>68352.16</v>
      </c>
      <c r="O45" s="22">
        <f t="shared" si="0"/>
        <v>68352.16</v>
      </c>
    </row>
    <row r="46" s="22" customFormat="1" ht="15" customHeight="1" spans="1:15">
      <c r="A46" s="25" t="s">
        <v>444</v>
      </c>
      <c r="B46" s="28" t="s">
        <v>445</v>
      </c>
      <c r="C46" s="25" t="s">
        <v>41</v>
      </c>
      <c r="D46" s="28" t="s">
        <v>250</v>
      </c>
      <c r="E46" s="25" t="s">
        <v>41</v>
      </c>
      <c r="F46" s="25" t="s">
        <v>443</v>
      </c>
      <c r="G46" s="25" t="s">
        <v>447</v>
      </c>
      <c r="H46" s="76">
        <v>891014.81</v>
      </c>
      <c r="I46" s="76">
        <v>403881.91</v>
      </c>
      <c r="J46" s="76">
        <v>129520.69</v>
      </c>
      <c r="K46" s="76">
        <v>903881.91</v>
      </c>
      <c r="L46" s="76">
        <v>616653.59</v>
      </c>
      <c r="M46" s="25" t="s">
        <v>447</v>
      </c>
      <c r="N46" s="76">
        <v>616653.59</v>
      </c>
      <c r="O46" s="22">
        <f t="shared" si="0"/>
        <v>616653.59</v>
      </c>
    </row>
    <row r="47" s="22" customFormat="1" ht="15" customHeight="1" spans="1:15">
      <c r="A47" s="29" t="s">
        <v>444</v>
      </c>
      <c r="B47" s="32" t="s">
        <v>445</v>
      </c>
      <c r="C47" s="29" t="s">
        <v>41</v>
      </c>
      <c r="D47" s="32" t="s">
        <v>311</v>
      </c>
      <c r="E47" s="29" t="s">
        <v>41</v>
      </c>
      <c r="F47" s="29" t="s">
        <v>443</v>
      </c>
      <c r="G47" s="29" t="s">
        <v>447</v>
      </c>
      <c r="H47" s="77">
        <v>266454.1</v>
      </c>
      <c r="I47" s="77">
        <v>0</v>
      </c>
      <c r="J47" s="77">
        <v>0</v>
      </c>
      <c r="K47" s="77">
        <v>0</v>
      </c>
      <c r="L47" s="77">
        <v>266454</v>
      </c>
      <c r="M47" s="29" t="s">
        <v>447</v>
      </c>
      <c r="N47" s="77">
        <v>266454.1</v>
      </c>
      <c r="O47" s="22">
        <f t="shared" si="0"/>
        <v>266454.1</v>
      </c>
    </row>
    <row r="48" s="22" customFormat="1" ht="15" customHeight="1" spans="1:15">
      <c r="A48" s="25" t="s">
        <v>444</v>
      </c>
      <c r="B48" s="28" t="s">
        <v>445</v>
      </c>
      <c r="C48" s="25" t="s">
        <v>41</v>
      </c>
      <c r="D48" s="28" t="s">
        <v>513</v>
      </c>
      <c r="E48" s="25" t="s">
        <v>41</v>
      </c>
      <c r="F48" s="25" t="s">
        <v>443</v>
      </c>
      <c r="G48" s="25" t="s">
        <v>489</v>
      </c>
      <c r="H48" s="76">
        <v>0</v>
      </c>
      <c r="I48" s="76">
        <v>0</v>
      </c>
      <c r="J48" s="76">
        <v>0</v>
      </c>
      <c r="K48" s="76">
        <v>0</v>
      </c>
      <c r="L48" s="76">
        <v>0</v>
      </c>
      <c r="M48" s="25" t="s">
        <v>489</v>
      </c>
      <c r="N48" s="76">
        <v>0</v>
      </c>
      <c r="O48" s="22">
        <f t="shared" si="0"/>
        <v>0</v>
      </c>
    </row>
    <row r="49" s="22" customFormat="1" ht="15" customHeight="1" spans="1:15">
      <c r="A49" s="29" t="s">
        <v>444</v>
      </c>
      <c r="B49" s="32" t="s">
        <v>445</v>
      </c>
      <c r="C49" s="29" t="s">
        <v>41</v>
      </c>
      <c r="D49" s="32" t="s">
        <v>514</v>
      </c>
      <c r="E49" s="29" t="s">
        <v>41</v>
      </c>
      <c r="F49" s="29" t="s">
        <v>443</v>
      </c>
      <c r="G49" s="29" t="s">
        <v>489</v>
      </c>
      <c r="H49" s="77">
        <v>0</v>
      </c>
      <c r="I49" s="77">
        <v>0</v>
      </c>
      <c r="J49" s="77">
        <v>0</v>
      </c>
      <c r="K49" s="77">
        <v>0</v>
      </c>
      <c r="L49" s="77">
        <v>0</v>
      </c>
      <c r="M49" s="29" t="s">
        <v>489</v>
      </c>
      <c r="N49" s="77">
        <v>0</v>
      </c>
      <c r="O49" s="22">
        <f t="shared" si="0"/>
        <v>0</v>
      </c>
    </row>
    <row r="50" s="22" customFormat="1" ht="15" customHeight="1" spans="1:15">
      <c r="A50" s="25" t="s">
        <v>444</v>
      </c>
      <c r="B50" s="28" t="s">
        <v>445</v>
      </c>
      <c r="C50" s="25" t="s">
        <v>41</v>
      </c>
      <c r="D50" s="28" t="s">
        <v>310</v>
      </c>
      <c r="E50" s="25" t="s">
        <v>41</v>
      </c>
      <c r="F50" s="25" t="s">
        <v>443</v>
      </c>
      <c r="G50" s="25" t="s">
        <v>489</v>
      </c>
      <c r="H50" s="76">
        <v>0</v>
      </c>
      <c r="I50" s="76">
        <v>0</v>
      </c>
      <c r="J50" s="76">
        <v>44034.75</v>
      </c>
      <c r="K50" s="76">
        <v>18956.52</v>
      </c>
      <c r="L50" s="76">
        <v>44034.75</v>
      </c>
      <c r="M50" s="25" t="s">
        <v>447</v>
      </c>
      <c r="N50" s="76">
        <v>44034.75</v>
      </c>
      <c r="O50" s="22">
        <f t="shared" si="0"/>
        <v>44034.75</v>
      </c>
    </row>
    <row r="51" s="22" customFormat="1" ht="15" customHeight="1" spans="1:15">
      <c r="A51" s="29" t="s">
        <v>444</v>
      </c>
      <c r="B51" s="32" t="s">
        <v>445</v>
      </c>
      <c r="C51" s="29" t="s">
        <v>41</v>
      </c>
      <c r="D51" s="32" t="s">
        <v>298</v>
      </c>
      <c r="E51" s="29" t="s">
        <v>41</v>
      </c>
      <c r="F51" s="29" t="s">
        <v>443</v>
      </c>
      <c r="G51" s="29" t="s">
        <v>447</v>
      </c>
      <c r="H51" s="77">
        <v>331766.72</v>
      </c>
      <c r="I51" s="77">
        <v>84685.44</v>
      </c>
      <c r="J51" s="77">
        <v>0</v>
      </c>
      <c r="K51" s="77">
        <v>194685.44</v>
      </c>
      <c r="L51" s="77">
        <v>247081.28</v>
      </c>
      <c r="M51" s="29" t="s">
        <v>447</v>
      </c>
      <c r="N51" s="77">
        <v>247081.28</v>
      </c>
      <c r="O51" s="22">
        <f t="shared" si="0"/>
        <v>247081.28</v>
      </c>
    </row>
    <row r="52" s="22" customFormat="1" ht="15" customHeight="1" spans="1:15">
      <c r="A52" s="25" t="s">
        <v>444</v>
      </c>
      <c r="B52" s="28" t="s">
        <v>445</v>
      </c>
      <c r="C52" s="25" t="s">
        <v>41</v>
      </c>
      <c r="D52" s="28" t="s">
        <v>515</v>
      </c>
      <c r="E52" s="25" t="s">
        <v>41</v>
      </c>
      <c r="F52" s="25" t="s">
        <v>443</v>
      </c>
      <c r="G52" s="25" t="s">
        <v>489</v>
      </c>
      <c r="H52" s="76">
        <v>0</v>
      </c>
      <c r="I52" s="76">
        <v>0</v>
      </c>
      <c r="J52" s="76">
        <v>0</v>
      </c>
      <c r="K52" s="76">
        <v>0</v>
      </c>
      <c r="L52" s="76">
        <v>0</v>
      </c>
      <c r="M52" s="25" t="s">
        <v>489</v>
      </c>
      <c r="N52" s="76">
        <v>0</v>
      </c>
      <c r="O52" s="22">
        <f t="shared" si="0"/>
        <v>0</v>
      </c>
    </row>
    <row r="53" s="22" customFormat="1" ht="15" customHeight="1" spans="1:15">
      <c r="A53" s="29" t="s">
        <v>444</v>
      </c>
      <c r="B53" s="32" t="s">
        <v>445</v>
      </c>
      <c r="C53" s="29" t="s">
        <v>41</v>
      </c>
      <c r="D53" s="32" t="s">
        <v>516</v>
      </c>
      <c r="E53" s="29" t="s">
        <v>41</v>
      </c>
      <c r="F53" s="29" t="s">
        <v>443</v>
      </c>
      <c r="G53" s="29" t="s">
        <v>489</v>
      </c>
      <c r="H53" s="77">
        <v>0</v>
      </c>
      <c r="I53" s="77">
        <v>0</v>
      </c>
      <c r="J53" s="77">
        <v>0</v>
      </c>
      <c r="K53" s="77">
        <v>0</v>
      </c>
      <c r="L53" s="77">
        <v>0</v>
      </c>
      <c r="M53" s="29" t="s">
        <v>489</v>
      </c>
      <c r="N53" s="77">
        <v>0</v>
      </c>
      <c r="O53" s="22">
        <f t="shared" si="0"/>
        <v>0</v>
      </c>
    </row>
    <row r="54" s="22" customFormat="1" ht="15" customHeight="1" spans="1:15">
      <c r="A54" s="25" t="s">
        <v>444</v>
      </c>
      <c r="B54" s="28" t="s">
        <v>445</v>
      </c>
      <c r="C54" s="25" t="s">
        <v>41</v>
      </c>
      <c r="D54" s="28" t="s">
        <v>517</v>
      </c>
      <c r="E54" s="25" t="s">
        <v>41</v>
      </c>
      <c r="F54" s="25" t="s">
        <v>443</v>
      </c>
      <c r="G54" s="25" t="s">
        <v>489</v>
      </c>
      <c r="H54" s="76">
        <v>0</v>
      </c>
      <c r="I54" s="76">
        <v>0</v>
      </c>
      <c r="J54" s="76">
        <v>0</v>
      </c>
      <c r="K54" s="76">
        <v>0</v>
      </c>
      <c r="L54" s="76">
        <v>0</v>
      </c>
      <c r="M54" s="25" t="s">
        <v>489</v>
      </c>
      <c r="N54" s="76">
        <v>0</v>
      </c>
      <c r="O54" s="22">
        <f t="shared" si="0"/>
        <v>0</v>
      </c>
    </row>
    <row r="55" s="22" customFormat="1" ht="15" customHeight="1" spans="1:15">
      <c r="A55" s="29" t="s">
        <v>444</v>
      </c>
      <c r="B55" s="32" t="s">
        <v>445</v>
      </c>
      <c r="C55" s="29" t="s">
        <v>41</v>
      </c>
      <c r="D55" s="32" t="s">
        <v>518</v>
      </c>
      <c r="E55" s="29" t="s">
        <v>41</v>
      </c>
      <c r="F55" s="29" t="s">
        <v>443</v>
      </c>
      <c r="G55" s="29" t="s">
        <v>489</v>
      </c>
      <c r="H55" s="77">
        <v>0</v>
      </c>
      <c r="I55" s="77">
        <v>0</v>
      </c>
      <c r="J55" s="77">
        <v>0</v>
      </c>
      <c r="K55" s="77">
        <v>0</v>
      </c>
      <c r="L55" s="77">
        <v>0</v>
      </c>
      <c r="M55" s="29" t="s">
        <v>489</v>
      </c>
      <c r="N55" s="77">
        <v>0</v>
      </c>
      <c r="O55" s="22">
        <f t="shared" si="0"/>
        <v>0</v>
      </c>
    </row>
    <row r="56" s="22" customFormat="1" ht="15" customHeight="1" spans="1:15">
      <c r="A56" s="25" t="s">
        <v>444</v>
      </c>
      <c r="B56" s="28" t="s">
        <v>445</v>
      </c>
      <c r="C56" s="25" t="s">
        <v>41</v>
      </c>
      <c r="D56" s="28" t="s">
        <v>251</v>
      </c>
      <c r="E56" s="25" t="s">
        <v>41</v>
      </c>
      <c r="F56" s="25" t="s">
        <v>443</v>
      </c>
      <c r="G56" s="25" t="s">
        <v>447</v>
      </c>
      <c r="H56" s="76">
        <v>981573.26</v>
      </c>
      <c r="I56" s="76">
        <v>815422.13</v>
      </c>
      <c r="J56" s="76">
        <v>303438</v>
      </c>
      <c r="K56" s="76">
        <v>815422.13</v>
      </c>
      <c r="L56" s="76">
        <v>1107221.13</v>
      </c>
      <c r="M56" s="25" t="s">
        <v>447</v>
      </c>
      <c r="N56" s="76">
        <v>469589.13</v>
      </c>
      <c r="O56" s="22">
        <f t="shared" si="0"/>
        <v>469589.13</v>
      </c>
    </row>
    <row r="57" s="22" customFormat="1" ht="15" customHeight="1" spans="1:15">
      <c r="A57" s="29" t="s">
        <v>444</v>
      </c>
      <c r="B57" s="32" t="s">
        <v>445</v>
      </c>
      <c r="C57" s="29" t="s">
        <v>41</v>
      </c>
      <c r="D57" s="32" t="s">
        <v>519</v>
      </c>
      <c r="E57" s="29" t="s">
        <v>41</v>
      </c>
      <c r="F57" s="29" t="s">
        <v>443</v>
      </c>
      <c r="G57" s="29" t="s">
        <v>489</v>
      </c>
      <c r="H57" s="77">
        <v>0</v>
      </c>
      <c r="I57" s="77">
        <v>0</v>
      </c>
      <c r="J57" s="77">
        <v>0</v>
      </c>
      <c r="K57" s="77">
        <v>0</v>
      </c>
      <c r="L57" s="77">
        <v>0</v>
      </c>
      <c r="M57" s="29" t="s">
        <v>489</v>
      </c>
      <c r="N57" s="77">
        <v>0</v>
      </c>
      <c r="O57" s="22">
        <f t="shared" si="0"/>
        <v>0</v>
      </c>
    </row>
    <row r="58" s="22" customFormat="1" ht="15" customHeight="1" spans="1:15">
      <c r="A58" s="25" t="s">
        <v>444</v>
      </c>
      <c r="B58" s="28" t="s">
        <v>445</v>
      </c>
      <c r="C58" s="25" t="s">
        <v>41</v>
      </c>
      <c r="D58" s="28" t="s">
        <v>520</v>
      </c>
      <c r="E58" s="25" t="s">
        <v>41</v>
      </c>
      <c r="F58" s="25" t="s">
        <v>443</v>
      </c>
      <c r="G58" s="25" t="s">
        <v>489</v>
      </c>
      <c r="H58" s="76">
        <v>0</v>
      </c>
      <c r="I58" s="76">
        <v>0</v>
      </c>
      <c r="J58" s="76">
        <v>0</v>
      </c>
      <c r="K58" s="76">
        <v>0</v>
      </c>
      <c r="L58" s="76">
        <v>0</v>
      </c>
      <c r="M58" s="25" t="s">
        <v>489</v>
      </c>
      <c r="N58" s="76">
        <v>0</v>
      </c>
      <c r="O58" s="22">
        <f t="shared" si="0"/>
        <v>0</v>
      </c>
    </row>
    <row r="59" s="22" customFormat="1" ht="15" customHeight="1" spans="1:15">
      <c r="A59" s="29" t="s">
        <v>444</v>
      </c>
      <c r="B59" s="32" t="s">
        <v>445</v>
      </c>
      <c r="C59" s="29" t="s">
        <v>41</v>
      </c>
      <c r="D59" s="32" t="s">
        <v>521</v>
      </c>
      <c r="E59" s="29" t="s">
        <v>41</v>
      </c>
      <c r="F59" s="29" t="s">
        <v>443</v>
      </c>
      <c r="G59" s="29" t="s">
        <v>489</v>
      </c>
      <c r="H59" s="77">
        <v>0</v>
      </c>
      <c r="I59" s="77">
        <v>0</v>
      </c>
      <c r="J59" s="77">
        <v>0</v>
      </c>
      <c r="K59" s="77">
        <v>0</v>
      </c>
      <c r="L59" s="77">
        <v>0</v>
      </c>
      <c r="M59" s="29" t="s">
        <v>489</v>
      </c>
      <c r="N59" s="77">
        <v>0</v>
      </c>
      <c r="O59" s="22">
        <f t="shared" si="0"/>
        <v>0</v>
      </c>
    </row>
    <row r="60" s="22" customFormat="1" ht="15" customHeight="1" spans="1:15">
      <c r="A60" s="25" t="s">
        <v>444</v>
      </c>
      <c r="B60" s="28" t="s">
        <v>445</v>
      </c>
      <c r="C60" s="25" t="s">
        <v>41</v>
      </c>
      <c r="D60" s="28" t="s">
        <v>252</v>
      </c>
      <c r="E60" s="25" t="s">
        <v>41</v>
      </c>
      <c r="F60" s="25" t="s">
        <v>443</v>
      </c>
      <c r="G60" s="25" t="s">
        <v>447</v>
      </c>
      <c r="H60" s="76">
        <v>379189.22</v>
      </c>
      <c r="I60" s="76">
        <v>246537.66</v>
      </c>
      <c r="J60" s="76">
        <v>4169.7</v>
      </c>
      <c r="K60" s="76">
        <v>406537.66</v>
      </c>
      <c r="L60" s="76">
        <v>136821.26</v>
      </c>
      <c r="M60" s="25" t="s">
        <v>447</v>
      </c>
      <c r="N60" s="76">
        <v>136821.26</v>
      </c>
      <c r="O60" s="22">
        <f t="shared" si="0"/>
        <v>136821.26</v>
      </c>
    </row>
    <row r="61" s="22" customFormat="1" ht="15" customHeight="1" spans="1:15">
      <c r="A61" s="29" t="s">
        <v>444</v>
      </c>
      <c r="B61" s="32" t="s">
        <v>445</v>
      </c>
      <c r="C61" s="29" t="s">
        <v>41</v>
      </c>
      <c r="D61" s="32" t="s">
        <v>253</v>
      </c>
      <c r="E61" s="29" t="s">
        <v>41</v>
      </c>
      <c r="F61" s="29" t="s">
        <v>443</v>
      </c>
      <c r="G61" s="29" t="s">
        <v>447</v>
      </c>
      <c r="H61" s="77">
        <v>354099.45</v>
      </c>
      <c r="I61" s="77">
        <v>108764.2</v>
      </c>
      <c r="J61" s="77">
        <v>79718</v>
      </c>
      <c r="K61" s="77">
        <v>338764.2</v>
      </c>
      <c r="L61" s="77">
        <v>325053.25</v>
      </c>
      <c r="M61" s="29" t="s">
        <v>447</v>
      </c>
      <c r="N61" s="77">
        <v>325053.25</v>
      </c>
      <c r="O61" s="22">
        <f t="shared" si="0"/>
        <v>325053.25</v>
      </c>
    </row>
    <row r="62" s="22" customFormat="1" ht="15" customHeight="1" spans="1:15">
      <c r="A62" s="25" t="s">
        <v>444</v>
      </c>
      <c r="B62" s="28" t="s">
        <v>445</v>
      </c>
      <c r="C62" s="25" t="s">
        <v>41</v>
      </c>
      <c r="D62" s="28" t="s">
        <v>254</v>
      </c>
      <c r="E62" s="25" t="s">
        <v>41</v>
      </c>
      <c r="F62" s="25" t="s">
        <v>443</v>
      </c>
      <c r="G62" s="25" t="s">
        <v>447</v>
      </c>
      <c r="H62" s="76">
        <v>1287615.5</v>
      </c>
      <c r="I62" s="76">
        <v>800000</v>
      </c>
      <c r="J62" s="76">
        <v>295077.67</v>
      </c>
      <c r="K62" s="76">
        <v>1400000</v>
      </c>
      <c r="L62" s="76">
        <v>1585391.23</v>
      </c>
      <c r="M62" s="25" t="s">
        <v>447</v>
      </c>
      <c r="N62" s="76">
        <v>782693.17</v>
      </c>
      <c r="O62" s="22">
        <f t="shared" si="0"/>
        <v>782693.17</v>
      </c>
    </row>
    <row r="63" s="22" customFormat="1" ht="15" customHeight="1" spans="1:15">
      <c r="A63" s="29" t="s">
        <v>444</v>
      </c>
      <c r="B63" s="32" t="s">
        <v>445</v>
      </c>
      <c r="C63" s="29" t="s">
        <v>41</v>
      </c>
      <c r="D63" s="32" t="s">
        <v>522</v>
      </c>
      <c r="E63" s="29" t="s">
        <v>41</v>
      </c>
      <c r="F63" s="29" t="s">
        <v>443</v>
      </c>
      <c r="G63" s="29" t="s">
        <v>489</v>
      </c>
      <c r="H63" s="77">
        <v>0</v>
      </c>
      <c r="I63" s="77">
        <v>0</v>
      </c>
      <c r="J63" s="77">
        <v>0</v>
      </c>
      <c r="K63" s="77">
        <v>0</v>
      </c>
      <c r="L63" s="77">
        <v>0</v>
      </c>
      <c r="M63" s="29" t="s">
        <v>489</v>
      </c>
      <c r="N63" s="77">
        <v>0</v>
      </c>
      <c r="O63" s="22">
        <f t="shared" si="0"/>
        <v>0</v>
      </c>
    </row>
    <row r="64" s="22" customFormat="1" ht="15" customHeight="1" spans="1:15">
      <c r="A64" s="25" t="s">
        <v>444</v>
      </c>
      <c r="B64" s="28" t="s">
        <v>445</v>
      </c>
      <c r="C64" s="25" t="s">
        <v>41</v>
      </c>
      <c r="D64" s="28" t="s">
        <v>523</v>
      </c>
      <c r="E64" s="25" t="s">
        <v>41</v>
      </c>
      <c r="F64" s="25" t="s">
        <v>443</v>
      </c>
      <c r="G64" s="25" t="s">
        <v>489</v>
      </c>
      <c r="H64" s="76">
        <v>0</v>
      </c>
      <c r="I64" s="76">
        <v>0</v>
      </c>
      <c r="J64" s="76">
        <v>0</v>
      </c>
      <c r="K64" s="76">
        <v>0</v>
      </c>
      <c r="L64" s="76">
        <v>0</v>
      </c>
      <c r="M64" s="25" t="s">
        <v>489</v>
      </c>
      <c r="N64" s="76">
        <v>0</v>
      </c>
      <c r="O64" s="22">
        <f t="shared" si="0"/>
        <v>0</v>
      </c>
    </row>
    <row r="65" s="22" customFormat="1" ht="15" customHeight="1" spans="1:15">
      <c r="A65" s="29" t="s">
        <v>444</v>
      </c>
      <c r="B65" s="32" t="s">
        <v>445</v>
      </c>
      <c r="C65" s="29" t="s">
        <v>41</v>
      </c>
      <c r="D65" s="32" t="s">
        <v>454</v>
      </c>
      <c r="E65" s="29" t="s">
        <v>41</v>
      </c>
      <c r="F65" s="29" t="s">
        <v>443</v>
      </c>
      <c r="G65" s="29" t="s">
        <v>447</v>
      </c>
      <c r="H65" s="77">
        <v>0.5</v>
      </c>
      <c r="I65" s="77">
        <v>0</v>
      </c>
      <c r="J65" s="77">
        <v>0</v>
      </c>
      <c r="K65" s="77">
        <v>101763.51</v>
      </c>
      <c r="L65" s="77">
        <v>0</v>
      </c>
      <c r="M65" s="29" t="s">
        <v>447</v>
      </c>
      <c r="N65" s="77">
        <v>0.5</v>
      </c>
      <c r="O65" s="22">
        <f t="shared" si="0"/>
        <v>0.5</v>
      </c>
    </row>
    <row r="66" s="22" customFormat="1" ht="15" customHeight="1" spans="1:15">
      <c r="A66" s="25" t="s">
        <v>444</v>
      </c>
      <c r="B66" s="28" t="s">
        <v>445</v>
      </c>
      <c r="C66" s="25" t="s">
        <v>41</v>
      </c>
      <c r="D66" s="28" t="s">
        <v>524</v>
      </c>
      <c r="E66" s="25" t="s">
        <v>41</v>
      </c>
      <c r="F66" s="25" t="s">
        <v>443</v>
      </c>
      <c r="G66" s="25" t="s">
        <v>489</v>
      </c>
      <c r="H66" s="76">
        <v>0</v>
      </c>
      <c r="I66" s="76">
        <v>0</v>
      </c>
      <c r="J66" s="76">
        <v>0</v>
      </c>
      <c r="K66" s="76">
        <v>0</v>
      </c>
      <c r="L66" s="76">
        <v>0</v>
      </c>
      <c r="M66" s="25" t="s">
        <v>489</v>
      </c>
      <c r="N66" s="76">
        <v>0</v>
      </c>
      <c r="O66" s="22">
        <f t="shared" si="0"/>
        <v>0</v>
      </c>
    </row>
    <row r="67" s="22" customFormat="1" ht="15" customHeight="1" spans="1:15">
      <c r="A67" s="29" t="s">
        <v>444</v>
      </c>
      <c r="B67" s="32" t="s">
        <v>445</v>
      </c>
      <c r="C67" s="29" t="s">
        <v>41</v>
      </c>
      <c r="D67" s="32" t="s">
        <v>525</v>
      </c>
      <c r="E67" s="29" t="s">
        <v>41</v>
      </c>
      <c r="F67" s="29" t="s">
        <v>443</v>
      </c>
      <c r="G67" s="29" t="s">
        <v>489</v>
      </c>
      <c r="H67" s="77">
        <v>0</v>
      </c>
      <c r="I67" s="77">
        <v>0</v>
      </c>
      <c r="J67" s="77">
        <v>0</v>
      </c>
      <c r="K67" s="77">
        <v>0</v>
      </c>
      <c r="L67" s="77">
        <v>0</v>
      </c>
      <c r="M67" s="29" t="s">
        <v>489</v>
      </c>
      <c r="N67" s="77">
        <v>0</v>
      </c>
      <c r="O67" s="22">
        <f t="shared" si="0"/>
        <v>0</v>
      </c>
    </row>
    <row r="68" s="22" customFormat="1" ht="15" customHeight="1" spans="1:15">
      <c r="A68" s="25" t="s">
        <v>444</v>
      </c>
      <c r="B68" s="28" t="s">
        <v>445</v>
      </c>
      <c r="C68" s="25" t="s">
        <v>41</v>
      </c>
      <c r="D68" s="28" t="s">
        <v>526</v>
      </c>
      <c r="E68" s="25" t="s">
        <v>41</v>
      </c>
      <c r="F68" s="25" t="s">
        <v>443</v>
      </c>
      <c r="G68" s="25" t="s">
        <v>489</v>
      </c>
      <c r="H68" s="76">
        <v>0</v>
      </c>
      <c r="I68" s="76">
        <v>0</v>
      </c>
      <c r="J68" s="76">
        <v>0</v>
      </c>
      <c r="K68" s="76">
        <v>0</v>
      </c>
      <c r="L68" s="76">
        <v>0</v>
      </c>
      <c r="M68" s="25" t="s">
        <v>489</v>
      </c>
      <c r="N68" s="76">
        <v>0</v>
      </c>
      <c r="O68" s="22">
        <f t="shared" si="0"/>
        <v>0</v>
      </c>
    </row>
    <row r="69" s="22" customFormat="1" ht="15" customHeight="1" spans="1:15">
      <c r="A69" s="29" t="s">
        <v>444</v>
      </c>
      <c r="B69" s="32" t="s">
        <v>445</v>
      </c>
      <c r="C69" s="29" t="s">
        <v>41</v>
      </c>
      <c r="D69" s="32" t="s">
        <v>527</v>
      </c>
      <c r="E69" s="29" t="s">
        <v>41</v>
      </c>
      <c r="F69" s="29" t="s">
        <v>443</v>
      </c>
      <c r="G69" s="29" t="s">
        <v>489</v>
      </c>
      <c r="H69" s="77">
        <v>0</v>
      </c>
      <c r="I69" s="77">
        <v>0</v>
      </c>
      <c r="J69" s="77">
        <v>0</v>
      </c>
      <c r="K69" s="77">
        <v>0</v>
      </c>
      <c r="L69" s="77">
        <v>0</v>
      </c>
      <c r="M69" s="29" t="s">
        <v>489</v>
      </c>
      <c r="N69" s="77">
        <v>0</v>
      </c>
      <c r="O69" s="22">
        <f t="shared" ref="O69:O132" si="1">IF(M69="贷",N69,-N69)</f>
        <v>0</v>
      </c>
    </row>
    <row r="70" s="22" customFormat="1" ht="15" customHeight="1" spans="1:15">
      <c r="A70" s="25" t="s">
        <v>444</v>
      </c>
      <c r="B70" s="28" t="s">
        <v>445</v>
      </c>
      <c r="C70" s="25" t="s">
        <v>41</v>
      </c>
      <c r="D70" s="28" t="s">
        <v>528</v>
      </c>
      <c r="E70" s="25" t="s">
        <v>41</v>
      </c>
      <c r="F70" s="25" t="s">
        <v>443</v>
      </c>
      <c r="G70" s="25" t="s">
        <v>489</v>
      </c>
      <c r="H70" s="76">
        <v>0</v>
      </c>
      <c r="I70" s="76">
        <v>0</v>
      </c>
      <c r="J70" s="76">
        <v>0</v>
      </c>
      <c r="K70" s="76">
        <v>0</v>
      </c>
      <c r="L70" s="76">
        <v>0</v>
      </c>
      <c r="M70" s="25" t="s">
        <v>489</v>
      </c>
      <c r="N70" s="76">
        <v>0</v>
      </c>
      <c r="O70" s="22">
        <f t="shared" si="1"/>
        <v>0</v>
      </c>
    </row>
    <row r="71" s="22" customFormat="1" ht="15" customHeight="1" spans="1:15">
      <c r="A71" s="29" t="s">
        <v>444</v>
      </c>
      <c r="B71" s="32" t="s">
        <v>445</v>
      </c>
      <c r="C71" s="29" t="s">
        <v>41</v>
      </c>
      <c r="D71" s="32" t="s">
        <v>529</v>
      </c>
      <c r="E71" s="29" t="s">
        <v>41</v>
      </c>
      <c r="F71" s="29" t="s">
        <v>443</v>
      </c>
      <c r="G71" s="29" t="s">
        <v>489</v>
      </c>
      <c r="H71" s="77">
        <v>0</v>
      </c>
      <c r="I71" s="77">
        <v>0</v>
      </c>
      <c r="J71" s="77">
        <v>0</v>
      </c>
      <c r="K71" s="77">
        <v>0</v>
      </c>
      <c r="L71" s="77">
        <v>0</v>
      </c>
      <c r="M71" s="29" t="s">
        <v>489</v>
      </c>
      <c r="N71" s="77">
        <v>0</v>
      </c>
      <c r="O71" s="22">
        <f t="shared" si="1"/>
        <v>0</v>
      </c>
    </row>
    <row r="72" s="22" customFormat="1" ht="15" customHeight="1" spans="1:15">
      <c r="A72" s="25" t="s">
        <v>444</v>
      </c>
      <c r="B72" s="28" t="s">
        <v>445</v>
      </c>
      <c r="C72" s="25" t="s">
        <v>41</v>
      </c>
      <c r="D72" s="28" t="s">
        <v>530</v>
      </c>
      <c r="E72" s="25" t="s">
        <v>41</v>
      </c>
      <c r="F72" s="25" t="s">
        <v>443</v>
      </c>
      <c r="G72" s="25" t="s">
        <v>489</v>
      </c>
      <c r="H72" s="76">
        <v>0</v>
      </c>
      <c r="I72" s="76">
        <v>0</v>
      </c>
      <c r="J72" s="76">
        <v>0</v>
      </c>
      <c r="K72" s="76">
        <v>0</v>
      </c>
      <c r="L72" s="76">
        <v>0</v>
      </c>
      <c r="M72" s="25" t="s">
        <v>489</v>
      </c>
      <c r="N72" s="76">
        <v>0</v>
      </c>
      <c r="O72" s="22">
        <f t="shared" si="1"/>
        <v>0</v>
      </c>
    </row>
    <row r="73" s="22" customFormat="1" ht="15" customHeight="1" spans="1:15">
      <c r="A73" s="29" t="s">
        <v>444</v>
      </c>
      <c r="B73" s="32" t="s">
        <v>445</v>
      </c>
      <c r="C73" s="29" t="s">
        <v>41</v>
      </c>
      <c r="D73" s="32" t="s">
        <v>531</v>
      </c>
      <c r="E73" s="29" t="s">
        <v>41</v>
      </c>
      <c r="F73" s="29" t="s">
        <v>443</v>
      </c>
      <c r="G73" s="29" t="s">
        <v>489</v>
      </c>
      <c r="H73" s="77">
        <v>0</v>
      </c>
      <c r="I73" s="77">
        <v>0</v>
      </c>
      <c r="J73" s="77">
        <v>0</v>
      </c>
      <c r="K73" s="77">
        <v>0</v>
      </c>
      <c r="L73" s="77">
        <v>0</v>
      </c>
      <c r="M73" s="29" t="s">
        <v>489</v>
      </c>
      <c r="N73" s="77">
        <v>0</v>
      </c>
      <c r="O73" s="22">
        <f t="shared" si="1"/>
        <v>0</v>
      </c>
    </row>
    <row r="74" s="22" customFormat="1" ht="15" customHeight="1" spans="1:15">
      <c r="A74" s="25" t="s">
        <v>444</v>
      </c>
      <c r="B74" s="28" t="s">
        <v>445</v>
      </c>
      <c r="C74" s="25" t="s">
        <v>41</v>
      </c>
      <c r="D74" s="28" t="s">
        <v>532</v>
      </c>
      <c r="E74" s="25" t="s">
        <v>41</v>
      </c>
      <c r="F74" s="25" t="s">
        <v>443</v>
      </c>
      <c r="G74" s="25" t="s">
        <v>489</v>
      </c>
      <c r="H74" s="76">
        <v>0</v>
      </c>
      <c r="I74" s="76">
        <v>0</v>
      </c>
      <c r="J74" s="76">
        <v>0</v>
      </c>
      <c r="K74" s="76">
        <v>0</v>
      </c>
      <c r="L74" s="76">
        <v>0</v>
      </c>
      <c r="M74" s="25" t="s">
        <v>489</v>
      </c>
      <c r="N74" s="76">
        <v>0</v>
      </c>
      <c r="O74" s="22">
        <f t="shared" si="1"/>
        <v>0</v>
      </c>
    </row>
    <row r="75" s="22" customFormat="1" ht="15" customHeight="1" spans="1:15">
      <c r="A75" s="29" t="s">
        <v>444</v>
      </c>
      <c r="B75" s="32" t="s">
        <v>445</v>
      </c>
      <c r="C75" s="29" t="s">
        <v>41</v>
      </c>
      <c r="D75" s="32" t="s">
        <v>533</v>
      </c>
      <c r="E75" s="29" t="s">
        <v>41</v>
      </c>
      <c r="F75" s="29" t="s">
        <v>443</v>
      </c>
      <c r="G75" s="29" t="s">
        <v>489</v>
      </c>
      <c r="H75" s="77">
        <v>0</v>
      </c>
      <c r="I75" s="77">
        <v>0</v>
      </c>
      <c r="J75" s="77">
        <v>0</v>
      </c>
      <c r="K75" s="77">
        <v>0</v>
      </c>
      <c r="L75" s="77">
        <v>0</v>
      </c>
      <c r="M75" s="29" t="s">
        <v>489</v>
      </c>
      <c r="N75" s="77">
        <v>0</v>
      </c>
      <c r="O75" s="22">
        <f t="shared" si="1"/>
        <v>0</v>
      </c>
    </row>
    <row r="76" s="22" customFormat="1" ht="15" customHeight="1" spans="1:15">
      <c r="A76" s="25" t="s">
        <v>444</v>
      </c>
      <c r="B76" s="28" t="s">
        <v>445</v>
      </c>
      <c r="C76" s="25" t="s">
        <v>41</v>
      </c>
      <c r="D76" s="28" t="s">
        <v>255</v>
      </c>
      <c r="E76" s="25" t="s">
        <v>41</v>
      </c>
      <c r="F76" s="25" t="s">
        <v>443</v>
      </c>
      <c r="G76" s="25" t="s">
        <v>447</v>
      </c>
      <c r="H76" s="76">
        <v>410242.53</v>
      </c>
      <c r="I76" s="76">
        <v>374826.52</v>
      </c>
      <c r="J76" s="76">
        <v>32432.94</v>
      </c>
      <c r="K76" s="76">
        <v>594826.52</v>
      </c>
      <c r="L76" s="76">
        <v>296330.21</v>
      </c>
      <c r="M76" s="25" t="s">
        <v>447</v>
      </c>
      <c r="N76" s="76">
        <v>67848.95</v>
      </c>
      <c r="O76" s="22">
        <f t="shared" si="1"/>
        <v>67848.95</v>
      </c>
    </row>
    <row r="77" s="22" customFormat="1" ht="15" customHeight="1" spans="1:15">
      <c r="A77" s="29" t="s">
        <v>444</v>
      </c>
      <c r="B77" s="32" t="s">
        <v>445</v>
      </c>
      <c r="C77" s="29" t="s">
        <v>41</v>
      </c>
      <c r="D77" s="32" t="s">
        <v>256</v>
      </c>
      <c r="E77" s="29" t="s">
        <v>41</v>
      </c>
      <c r="F77" s="29" t="s">
        <v>443</v>
      </c>
      <c r="G77" s="29" t="s">
        <v>447</v>
      </c>
      <c r="H77" s="77">
        <v>194633.37</v>
      </c>
      <c r="I77" s="77">
        <v>2206463.53</v>
      </c>
      <c r="J77" s="77">
        <v>2016447.95</v>
      </c>
      <c r="K77" s="77">
        <v>6906463.53</v>
      </c>
      <c r="L77" s="77">
        <v>2016447.95</v>
      </c>
      <c r="M77" s="29" t="s">
        <v>447</v>
      </c>
      <c r="N77" s="77">
        <v>4617.79</v>
      </c>
      <c r="O77" s="22">
        <f t="shared" si="1"/>
        <v>4617.79</v>
      </c>
    </row>
    <row r="78" s="22" customFormat="1" ht="15" customHeight="1" spans="1:15">
      <c r="A78" s="25" t="s">
        <v>444</v>
      </c>
      <c r="B78" s="28" t="s">
        <v>445</v>
      </c>
      <c r="C78" s="25" t="s">
        <v>41</v>
      </c>
      <c r="D78" s="28" t="s">
        <v>534</v>
      </c>
      <c r="E78" s="25" t="s">
        <v>41</v>
      </c>
      <c r="F78" s="25" t="s">
        <v>443</v>
      </c>
      <c r="G78" s="25" t="s">
        <v>489</v>
      </c>
      <c r="H78" s="76">
        <v>0</v>
      </c>
      <c r="I78" s="76">
        <v>0</v>
      </c>
      <c r="J78" s="76">
        <v>0</v>
      </c>
      <c r="K78" s="76">
        <v>82524</v>
      </c>
      <c r="L78" s="76">
        <v>0</v>
      </c>
      <c r="M78" s="25" t="s">
        <v>489</v>
      </c>
      <c r="N78" s="76">
        <v>0</v>
      </c>
      <c r="O78" s="22">
        <f t="shared" si="1"/>
        <v>0</v>
      </c>
    </row>
    <row r="79" s="22" customFormat="1" ht="15" customHeight="1" spans="1:15">
      <c r="A79" s="29" t="s">
        <v>444</v>
      </c>
      <c r="B79" s="32" t="s">
        <v>445</v>
      </c>
      <c r="C79" s="29" t="s">
        <v>41</v>
      </c>
      <c r="D79" s="32" t="s">
        <v>455</v>
      </c>
      <c r="E79" s="29" t="s">
        <v>41</v>
      </c>
      <c r="F79" s="29" t="s">
        <v>443</v>
      </c>
      <c r="G79" s="29" t="s">
        <v>447</v>
      </c>
      <c r="H79" s="77">
        <v>241042</v>
      </c>
      <c r="I79" s="77">
        <v>241042</v>
      </c>
      <c r="J79" s="77">
        <v>0</v>
      </c>
      <c r="K79" s="77">
        <v>241042</v>
      </c>
      <c r="L79" s="77">
        <v>0</v>
      </c>
      <c r="M79" s="29" t="s">
        <v>489</v>
      </c>
      <c r="N79" s="77">
        <v>0</v>
      </c>
      <c r="O79" s="22">
        <f t="shared" si="1"/>
        <v>0</v>
      </c>
    </row>
    <row r="80" s="22" customFormat="1" ht="15" customHeight="1" spans="1:15">
      <c r="A80" s="25" t="s">
        <v>444</v>
      </c>
      <c r="B80" s="28" t="s">
        <v>445</v>
      </c>
      <c r="C80" s="25" t="s">
        <v>41</v>
      </c>
      <c r="D80" s="28" t="s">
        <v>456</v>
      </c>
      <c r="E80" s="25" t="s">
        <v>41</v>
      </c>
      <c r="F80" s="25" t="s">
        <v>443</v>
      </c>
      <c r="G80" s="25" t="s">
        <v>447</v>
      </c>
      <c r="H80" s="76">
        <v>115723.23</v>
      </c>
      <c r="I80" s="76">
        <v>0</v>
      </c>
      <c r="J80" s="76">
        <v>0</v>
      </c>
      <c r="K80" s="76">
        <v>200000</v>
      </c>
      <c r="L80" s="76">
        <v>0</v>
      </c>
      <c r="M80" s="25" t="s">
        <v>447</v>
      </c>
      <c r="N80" s="76">
        <v>115723.23</v>
      </c>
      <c r="O80" s="22">
        <f t="shared" si="1"/>
        <v>115723.23</v>
      </c>
    </row>
    <row r="81" s="22" customFormat="1" ht="15" customHeight="1" spans="1:15">
      <c r="A81" s="29" t="s">
        <v>444</v>
      </c>
      <c r="B81" s="32" t="s">
        <v>445</v>
      </c>
      <c r="C81" s="29" t="s">
        <v>41</v>
      </c>
      <c r="D81" s="32" t="s">
        <v>457</v>
      </c>
      <c r="E81" s="29" t="s">
        <v>41</v>
      </c>
      <c r="F81" s="29" t="s">
        <v>443</v>
      </c>
      <c r="G81" s="29" t="s">
        <v>447</v>
      </c>
      <c r="H81" s="77">
        <v>1400</v>
      </c>
      <c r="I81" s="77">
        <v>0</v>
      </c>
      <c r="J81" s="77">
        <v>0</v>
      </c>
      <c r="K81" s="77">
        <v>0</v>
      </c>
      <c r="L81" s="77">
        <v>0</v>
      </c>
      <c r="M81" s="29" t="s">
        <v>447</v>
      </c>
      <c r="N81" s="77">
        <v>1400</v>
      </c>
      <c r="O81" s="22">
        <f t="shared" si="1"/>
        <v>1400</v>
      </c>
    </row>
    <row r="82" s="22" customFormat="1" ht="15" customHeight="1" spans="1:15">
      <c r="A82" s="25" t="s">
        <v>444</v>
      </c>
      <c r="B82" s="28" t="s">
        <v>445</v>
      </c>
      <c r="C82" s="25" t="s">
        <v>41</v>
      </c>
      <c r="D82" s="28" t="s">
        <v>458</v>
      </c>
      <c r="E82" s="25" t="s">
        <v>41</v>
      </c>
      <c r="F82" s="25" t="s">
        <v>443</v>
      </c>
      <c r="G82" s="25" t="s">
        <v>447</v>
      </c>
      <c r="H82" s="76">
        <v>5600</v>
      </c>
      <c r="I82" s="76">
        <v>0</v>
      </c>
      <c r="J82" s="76">
        <v>0</v>
      </c>
      <c r="K82" s="76">
        <v>0</v>
      </c>
      <c r="L82" s="76">
        <v>0</v>
      </c>
      <c r="M82" s="25" t="s">
        <v>447</v>
      </c>
      <c r="N82" s="76">
        <v>5600</v>
      </c>
      <c r="O82" s="22">
        <f t="shared" si="1"/>
        <v>5600</v>
      </c>
    </row>
    <row r="83" s="22" customFormat="1" ht="15" customHeight="1" spans="1:15">
      <c r="A83" s="29" t="s">
        <v>444</v>
      </c>
      <c r="B83" s="32" t="s">
        <v>445</v>
      </c>
      <c r="C83" s="29" t="s">
        <v>41</v>
      </c>
      <c r="D83" s="32" t="s">
        <v>459</v>
      </c>
      <c r="E83" s="29" t="s">
        <v>41</v>
      </c>
      <c r="F83" s="29" t="s">
        <v>443</v>
      </c>
      <c r="G83" s="29" t="s">
        <v>447</v>
      </c>
      <c r="H83" s="77">
        <v>6250</v>
      </c>
      <c r="I83" s="77">
        <v>0</v>
      </c>
      <c r="J83" s="77">
        <v>0</v>
      </c>
      <c r="K83" s="77">
        <v>0</v>
      </c>
      <c r="L83" s="77">
        <v>0</v>
      </c>
      <c r="M83" s="29" t="s">
        <v>447</v>
      </c>
      <c r="N83" s="77">
        <v>6250</v>
      </c>
      <c r="O83" s="22">
        <f t="shared" si="1"/>
        <v>6250</v>
      </c>
    </row>
    <row r="84" s="22" customFormat="1" ht="15" customHeight="1" spans="1:15">
      <c r="A84" s="25" t="s">
        <v>444</v>
      </c>
      <c r="B84" s="28" t="s">
        <v>445</v>
      </c>
      <c r="C84" s="25" t="s">
        <v>41</v>
      </c>
      <c r="D84" s="28" t="s">
        <v>535</v>
      </c>
      <c r="E84" s="25" t="s">
        <v>41</v>
      </c>
      <c r="F84" s="25" t="s">
        <v>443</v>
      </c>
      <c r="G84" s="25" t="s">
        <v>489</v>
      </c>
      <c r="H84" s="76">
        <v>0</v>
      </c>
      <c r="I84" s="76">
        <v>0</v>
      </c>
      <c r="J84" s="76">
        <v>0</v>
      </c>
      <c r="K84" s="76">
        <v>0</v>
      </c>
      <c r="L84" s="76">
        <v>0</v>
      </c>
      <c r="M84" s="25" t="s">
        <v>489</v>
      </c>
      <c r="N84" s="76">
        <v>0</v>
      </c>
      <c r="O84" s="22">
        <f t="shared" si="1"/>
        <v>0</v>
      </c>
    </row>
    <row r="85" s="22" customFormat="1" ht="15" customHeight="1" spans="1:15">
      <c r="A85" s="29" t="s">
        <v>444</v>
      </c>
      <c r="B85" s="32" t="s">
        <v>445</v>
      </c>
      <c r="C85" s="29" t="s">
        <v>41</v>
      </c>
      <c r="D85" s="32" t="s">
        <v>460</v>
      </c>
      <c r="E85" s="29" t="s">
        <v>41</v>
      </c>
      <c r="F85" s="29" t="s">
        <v>443</v>
      </c>
      <c r="G85" s="29" t="s">
        <v>447</v>
      </c>
      <c r="H85" s="77">
        <v>12000</v>
      </c>
      <c r="I85" s="77">
        <v>0</v>
      </c>
      <c r="J85" s="77">
        <v>0</v>
      </c>
      <c r="K85" s="77">
        <v>0</v>
      </c>
      <c r="L85" s="77">
        <v>0</v>
      </c>
      <c r="M85" s="29" t="s">
        <v>447</v>
      </c>
      <c r="N85" s="77">
        <v>12000</v>
      </c>
      <c r="O85" s="22">
        <f t="shared" si="1"/>
        <v>12000</v>
      </c>
    </row>
    <row r="86" s="22" customFormat="1" ht="15" customHeight="1" spans="1:15">
      <c r="A86" s="25" t="s">
        <v>444</v>
      </c>
      <c r="B86" s="28" t="s">
        <v>445</v>
      </c>
      <c r="C86" s="25" t="s">
        <v>41</v>
      </c>
      <c r="D86" s="28" t="s">
        <v>536</v>
      </c>
      <c r="E86" s="25" t="s">
        <v>41</v>
      </c>
      <c r="F86" s="25" t="s">
        <v>443</v>
      </c>
      <c r="G86" s="25" t="s">
        <v>489</v>
      </c>
      <c r="H86" s="76">
        <v>0</v>
      </c>
      <c r="I86" s="76">
        <v>0</v>
      </c>
      <c r="J86" s="76">
        <v>0</v>
      </c>
      <c r="K86" s="76">
        <v>0</v>
      </c>
      <c r="L86" s="76">
        <v>0</v>
      </c>
      <c r="M86" s="25" t="s">
        <v>489</v>
      </c>
      <c r="N86" s="76">
        <v>0</v>
      </c>
      <c r="O86" s="22">
        <f t="shared" si="1"/>
        <v>0</v>
      </c>
    </row>
    <row r="87" s="22" customFormat="1" ht="15" customHeight="1" spans="1:15">
      <c r="A87" s="29" t="s">
        <v>444</v>
      </c>
      <c r="B87" s="32" t="s">
        <v>445</v>
      </c>
      <c r="C87" s="29" t="s">
        <v>41</v>
      </c>
      <c r="D87" s="32" t="s">
        <v>413</v>
      </c>
      <c r="E87" s="29" t="s">
        <v>41</v>
      </c>
      <c r="F87" s="29" t="s">
        <v>443</v>
      </c>
      <c r="G87" s="29" t="s">
        <v>489</v>
      </c>
      <c r="H87" s="77">
        <v>0</v>
      </c>
      <c r="I87" s="77">
        <v>0</v>
      </c>
      <c r="J87" s="77">
        <v>0</v>
      </c>
      <c r="K87" s="77">
        <v>0</v>
      </c>
      <c r="L87" s="77">
        <v>0</v>
      </c>
      <c r="M87" s="29" t="s">
        <v>489</v>
      </c>
      <c r="N87" s="77">
        <v>0</v>
      </c>
      <c r="O87" s="22">
        <f t="shared" si="1"/>
        <v>0</v>
      </c>
    </row>
    <row r="88" s="22" customFormat="1" ht="15" customHeight="1" spans="1:15">
      <c r="A88" s="25" t="s">
        <v>444</v>
      </c>
      <c r="B88" s="28" t="s">
        <v>445</v>
      </c>
      <c r="C88" s="25" t="s">
        <v>41</v>
      </c>
      <c r="D88" s="28" t="s">
        <v>537</v>
      </c>
      <c r="E88" s="25" t="s">
        <v>41</v>
      </c>
      <c r="F88" s="25" t="s">
        <v>443</v>
      </c>
      <c r="G88" s="25" t="s">
        <v>489</v>
      </c>
      <c r="H88" s="76">
        <v>0</v>
      </c>
      <c r="I88" s="76">
        <v>0</v>
      </c>
      <c r="J88" s="76">
        <v>0</v>
      </c>
      <c r="K88" s="76">
        <v>0</v>
      </c>
      <c r="L88" s="76">
        <v>0</v>
      </c>
      <c r="M88" s="25" t="s">
        <v>489</v>
      </c>
      <c r="N88" s="76">
        <v>0</v>
      </c>
      <c r="O88" s="22">
        <f t="shared" si="1"/>
        <v>0</v>
      </c>
    </row>
    <row r="89" s="22" customFormat="1" ht="15" customHeight="1" spans="1:15">
      <c r="A89" s="29" t="s">
        <v>444</v>
      </c>
      <c r="B89" s="32" t="s">
        <v>445</v>
      </c>
      <c r="C89" s="29" t="s">
        <v>41</v>
      </c>
      <c r="D89" s="32" t="s">
        <v>538</v>
      </c>
      <c r="E89" s="29" t="s">
        <v>41</v>
      </c>
      <c r="F89" s="29" t="s">
        <v>443</v>
      </c>
      <c r="G89" s="29" t="s">
        <v>489</v>
      </c>
      <c r="H89" s="77">
        <v>0</v>
      </c>
      <c r="I89" s="77">
        <v>0</v>
      </c>
      <c r="J89" s="77">
        <v>0</v>
      </c>
      <c r="K89" s="77">
        <v>0</v>
      </c>
      <c r="L89" s="77">
        <v>0</v>
      </c>
      <c r="M89" s="29" t="s">
        <v>489</v>
      </c>
      <c r="N89" s="77">
        <v>0</v>
      </c>
      <c r="O89" s="22">
        <f t="shared" si="1"/>
        <v>0</v>
      </c>
    </row>
    <row r="90" s="22" customFormat="1" ht="15" customHeight="1" spans="1:15">
      <c r="A90" s="25" t="s">
        <v>444</v>
      </c>
      <c r="B90" s="28" t="s">
        <v>445</v>
      </c>
      <c r="C90" s="25" t="s">
        <v>41</v>
      </c>
      <c r="D90" s="28" t="s">
        <v>416</v>
      </c>
      <c r="E90" s="25" t="s">
        <v>41</v>
      </c>
      <c r="F90" s="25" t="s">
        <v>443</v>
      </c>
      <c r="G90" s="25" t="s">
        <v>489</v>
      </c>
      <c r="H90" s="76">
        <v>0</v>
      </c>
      <c r="I90" s="76">
        <v>0</v>
      </c>
      <c r="J90" s="76">
        <v>0</v>
      </c>
      <c r="K90" s="76">
        <v>0</v>
      </c>
      <c r="L90" s="76">
        <v>18532</v>
      </c>
      <c r="M90" s="25" t="s">
        <v>489</v>
      </c>
      <c r="N90" s="76">
        <v>0</v>
      </c>
      <c r="O90" s="22">
        <f t="shared" si="1"/>
        <v>0</v>
      </c>
    </row>
    <row r="91" s="22" customFormat="1" ht="15" customHeight="1" spans="1:15">
      <c r="A91" s="29" t="s">
        <v>444</v>
      </c>
      <c r="B91" s="32" t="s">
        <v>445</v>
      </c>
      <c r="C91" s="29" t="s">
        <v>41</v>
      </c>
      <c r="D91" s="32" t="s">
        <v>461</v>
      </c>
      <c r="E91" s="29" t="s">
        <v>41</v>
      </c>
      <c r="F91" s="29" t="s">
        <v>443</v>
      </c>
      <c r="G91" s="29" t="s">
        <v>447</v>
      </c>
      <c r="H91" s="77">
        <v>9600</v>
      </c>
      <c r="I91" s="77">
        <v>0</v>
      </c>
      <c r="J91" s="77">
        <v>0</v>
      </c>
      <c r="K91" s="77">
        <v>0</v>
      </c>
      <c r="L91" s="77">
        <v>0</v>
      </c>
      <c r="M91" s="29" t="s">
        <v>447</v>
      </c>
      <c r="N91" s="77">
        <v>9600</v>
      </c>
      <c r="O91" s="22">
        <f t="shared" si="1"/>
        <v>9600</v>
      </c>
    </row>
    <row r="92" s="22" customFormat="1" ht="15" customHeight="1" spans="1:15">
      <c r="A92" s="25" t="s">
        <v>444</v>
      </c>
      <c r="B92" s="28" t="s">
        <v>445</v>
      </c>
      <c r="C92" s="25" t="s">
        <v>41</v>
      </c>
      <c r="D92" s="28" t="s">
        <v>539</v>
      </c>
      <c r="E92" s="25" t="s">
        <v>41</v>
      </c>
      <c r="F92" s="25" t="s">
        <v>443</v>
      </c>
      <c r="G92" s="25" t="s">
        <v>489</v>
      </c>
      <c r="H92" s="76">
        <v>0</v>
      </c>
      <c r="I92" s="76">
        <v>0</v>
      </c>
      <c r="J92" s="76">
        <v>0</v>
      </c>
      <c r="K92" s="76">
        <v>0</v>
      </c>
      <c r="L92" s="76">
        <v>0</v>
      </c>
      <c r="M92" s="25" t="s">
        <v>489</v>
      </c>
      <c r="N92" s="76">
        <v>0</v>
      </c>
      <c r="O92" s="22">
        <f t="shared" si="1"/>
        <v>0</v>
      </c>
    </row>
    <row r="93" s="22" customFormat="1" ht="15" customHeight="1" spans="1:15">
      <c r="A93" s="29" t="s">
        <v>444</v>
      </c>
      <c r="B93" s="32" t="s">
        <v>445</v>
      </c>
      <c r="C93" s="29" t="s">
        <v>41</v>
      </c>
      <c r="D93" s="32" t="s">
        <v>462</v>
      </c>
      <c r="E93" s="29" t="s">
        <v>41</v>
      </c>
      <c r="F93" s="29" t="s">
        <v>443</v>
      </c>
      <c r="G93" s="29" t="s">
        <v>453</v>
      </c>
      <c r="H93" s="77">
        <v>15365.76</v>
      </c>
      <c r="I93" s="77">
        <v>0</v>
      </c>
      <c r="J93" s="77">
        <v>0</v>
      </c>
      <c r="K93" s="77">
        <v>0</v>
      </c>
      <c r="L93" s="77">
        <v>0</v>
      </c>
      <c r="M93" s="29" t="s">
        <v>453</v>
      </c>
      <c r="N93" s="77">
        <v>15365.76</v>
      </c>
      <c r="O93" s="22">
        <f t="shared" si="1"/>
        <v>-15365.76</v>
      </c>
    </row>
    <row r="94" s="22" customFormat="1" ht="15" customHeight="1" spans="1:15">
      <c r="A94" s="25" t="s">
        <v>444</v>
      </c>
      <c r="B94" s="28" t="s">
        <v>445</v>
      </c>
      <c r="C94" s="25" t="s">
        <v>41</v>
      </c>
      <c r="D94" s="28" t="s">
        <v>463</v>
      </c>
      <c r="E94" s="25" t="s">
        <v>41</v>
      </c>
      <c r="F94" s="25" t="s">
        <v>443</v>
      </c>
      <c r="G94" s="25" t="s">
        <v>447</v>
      </c>
      <c r="H94" s="76">
        <v>2200</v>
      </c>
      <c r="I94" s="76">
        <v>0</v>
      </c>
      <c r="J94" s="76">
        <v>0</v>
      </c>
      <c r="K94" s="76">
        <v>0</v>
      </c>
      <c r="L94" s="76">
        <v>0</v>
      </c>
      <c r="M94" s="25" t="s">
        <v>447</v>
      </c>
      <c r="N94" s="76">
        <v>2200</v>
      </c>
      <c r="O94" s="22">
        <f t="shared" si="1"/>
        <v>2200</v>
      </c>
    </row>
    <row r="95" s="22" customFormat="1" ht="15" customHeight="1" spans="1:15">
      <c r="A95" s="29" t="s">
        <v>444</v>
      </c>
      <c r="B95" s="32" t="s">
        <v>445</v>
      </c>
      <c r="C95" s="29" t="s">
        <v>41</v>
      </c>
      <c r="D95" s="32" t="s">
        <v>464</v>
      </c>
      <c r="E95" s="29" t="s">
        <v>41</v>
      </c>
      <c r="F95" s="29" t="s">
        <v>443</v>
      </c>
      <c r="G95" s="29" t="s">
        <v>447</v>
      </c>
      <c r="H95" s="77">
        <v>6340</v>
      </c>
      <c r="I95" s="77">
        <v>0</v>
      </c>
      <c r="J95" s="77">
        <v>0</v>
      </c>
      <c r="K95" s="77">
        <v>0</v>
      </c>
      <c r="L95" s="77">
        <v>0</v>
      </c>
      <c r="M95" s="29" t="s">
        <v>447</v>
      </c>
      <c r="N95" s="77">
        <v>6340</v>
      </c>
      <c r="O95" s="22">
        <f t="shared" si="1"/>
        <v>6340</v>
      </c>
    </row>
    <row r="96" s="22" customFormat="1" ht="15" customHeight="1" spans="1:15">
      <c r="A96" s="25" t="s">
        <v>444</v>
      </c>
      <c r="B96" s="28" t="s">
        <v>445</v>
      </c>
      <c r="C96" s="25" t="s">
        <v>41</v>
      </c>
      <c r="D96" s="28" t="s">
        <v>465</v>
      </c>
      <c r="E96" s="25" t="s">
        <v>41</v>
      </c>
      <c r="F96" s="25" t="s">
        <v>443</v>
      </c>
      <c r="G96" s="25" t="s">
        <v>447</v>
      </c>
      <c r="H96" s="76">
        <v>30585</v>
      </c>
      <c r="I96" s="76">
        <v>0</v>
      </c>
      <c r="J96" s="76">
        <v>0</v>
      </c>
      <c r="K96" s="76">
        <v>0</v>
      </c>
      <c r="L96" s="76">
        <v>0</v>
      </c>
      <c r="M96" s="25" t="s">
        <v>447</v>
      </c>
      <c r="N96" s="76">
        <v>30585</v>
      </c>
      <c r="O96" s="22">
        <f t="shared" si="1"/>
        <v>30585</v>
      </c>
    </row>
    <row r="97" s="22" customFormat="1" ht="15" customHeight="1" spans="1:15">
      <c r="A97" s="29" t="s">
        <v>444</v>
      </c>
      <c r="B97" s="32" t="s">
        <v>445</v>
      </c>
      <c r="C97" s="29" t="s">
        <v>41</v>
      </c>
      <c r="D97" s="32" t="s">
        <v>257</v>
      </c>
      <c r="E97" s="29" t="s">
        <v>41</v>
      </c>
      <c r="F97" s="29" t="s">
        <v>443</v>
      </c>
      <c r="G97" s="29" t="s">
        <v>453</v>
      </c>
      <c r="H97" s="77">
        <v>162416.47</v>
      </c>
      <c r="I97" s="77">
        <v>125755.44</v>
      </c>
      <c r="J97" s="77">
        <v>0</v>
      </c>
      <c r="K97" s="77">
        <v>288131.92</v>
      </c>
      <c r="L97" s="77">
        <v>224472.24</v>
      </c>
      <c r="M97" s="29" t="s">
        <v>453</v>
      </c>
      <c r="N97" s="77">
        <v>288171.91</v>
      </c>
      <c r="O97" s="22">
        <f t="shared" si="1"/>
        <v>-288171.91</v>
      </c>
    </row>
    <row r="98" s="22" customFormat="1" ht="15" customHeight="1" spans="1:15">
      <c r="A98" s="25" t="s">
        <v>444</v>
      </c>
      <c r="B98" s="28" t="s">
        <v>445</v>
      </c>
      <c r="C98" s="25" t="s">
        <v>41</v>
      </c>
      <c r="D98" s="28" t="s">
        <v>540</v>
      </c>
      <c r="E98" s="25" t="s">
        <v>41</v>
      </c>
      <c r="F98" s="25" t="s">
        <v>443</v>
      </c>
      <c r="G98" s="25" t="s">
        <v>489</v>
      </c>
      <c r="H98" s="76">
        <v>0</v>
      </c>
      <c r="I98" s="76">
        <v>0</v>
      </c>
      <c r="J98" s="76">
        <v>0</v>
      </c>
      <c r="K98" s="76">
        <v>0</v>
      </c>
      <c r="L98" s="76">
        <v>0</v>
      </c>
      <c r="M98" s="25" t="s">
        <v>489</v>
      </c>
      <c r="N98" s="76">
        <v>0</v>
      </c>
      <c r="O98" s="22">
        <f t="shared" si="1"/>
        <v>0</v>
      </c>
    </row>
    <row r="99" s="22" customFormat="1" ht="15" customHeight="1" spans="1:15">
      <c r="A99" s="29" t="s">
        <v>444</v>
      </c>
      <c r="B99" s="32" t="s">
        <v>445</v>
      </c>
      <c r="C99" s="29" t="s">
        <v>41</v>
      </c>
      <c r="D99" s="32" t="s">
        <v>541</v>
      </c>
      <c r="E99" s="29" t="s">
        <v>41</v>
      </c>
      <c r="F99" s="29" t="s">
        <v>443</v>
      </c>
      <c r="G99" s="29" t="s">
        <v>489</v>
      </c>
      <c r="H99" s="77">
        <v>0</v>
      </c>
      <c r="I99" s="77">
        <v>0</v>
      </c>
      <c r="J99" s="77">
        <v>0</v>
      </c>
      <c r="K99" s="77">
        <v>0</v>
      </c>
      <c r="L99" s="77">
        <v>0</v>
      </c>
      <c r="M99" s="29" t="s">
        <v>489</v>
      </c>
      <c r="N99" s="77">
        <v>0</v>
      </c>
      <c r="O99" s="22">
        <f t="shared" si="1"/>
        <v>0</v>
      </c>
    </row>
    <row r="100" s="22" customFormat="1" ht="15" customHeight="1" spans="1:15">
      <c r="A100" s="25" t="s">
        <v>444</v>
      </c>
      <c r="B100" s="28" t="s">
        <v>445</v>
      </c>
      <c r="C100" s="25" t="s">
        <v>41</v>
      </c>
      <c r="D100" s="28" t="s">
        <v>542</v>
      </c>
      <c r="E100" s="25" t="s">
        <v>41</v>
      </c>
      <c r="F100" s="25" t="s">
        <v>443</v>
      </c>
      <c r="G100" s="25" t="s">
        <v>489</v>
      </c>
      <c r="H100" s="76">
        <v>0</v>
      </c>
      <c r="I100" s="76">
        <v>0</v>
      </c>
      <c r="J100" s="76">
        <v>0</v>
      </c>
      <c r="K100" s="76">
        <v>0</v>
      </c>
      <c r="L100" s="76">
        <v>0</v>
      </c>
      <c r="M100" s="25" t="s">
        <v>489</v>
      </c>
      <c r="N100" s="76">
        <v>0</v>
      </c>
      <c r="O100" s="22">
        <f t="shared" si="1"/>
        <v>0</v>
      </c>
    </row>
    <row r="101" s="22" customFormat="1" ht="15" customHeight="1" spans="1:15">
      <c r="A101" s="29" t="s">
        <v>444</v>
      </c>
      <c r="B101" s="32" t="s">
        <v>445</v>
      </c>
      <c r="C101" s="29" t="s">
        <v>41</v>
      </c>
      <c r="D101" s="32" t="s">
        <v>543</v>
      </c>
      <c r="E101" s="29" t="s">
        <v>41</v>
      </c>
      <c r="F101" s="29" t="s">
        <v>443</v>
      </c>
      <c r="G101" s="29" t="s">
        <v>489</v>
      </c>
      <c r="H101" s="77">
        <v>0</v>
      </c>
      <c r="I101" s="77">
        <v>0</v>
      </c>
      <c r="J101" s="77">
        <v>0</v>
      </c>
      <c r="K101" s="77">
        <v>0</v>
      </c>
      <c r="L101" s="77">
        <v>0</v>
      </c>
      <c r="M101" s="29" t="s">
        <v>489</v>
      </c>
      <c r="N101" s="77">
        <v>0</v>
      </c>
      <c r="O101" s="22">
        <f t="shared" si="1"/>
        <v>0</v>
      </c>
    </row>
    <row r="102" s="22" customFormat="1" ht="15" customHeight="1" spans="1:15">
      <c r="A102" s="25" t="s">
        <v>444</v>
      </c>
      <c r="B102" s="28" t="s">
        <v>445</v>
      </c>
      <c r="C102" s="25" t="s">
        <v>41</v>
      </c>
      <c r="D102" s="28" t="s">
        <v>278</v>
      </c>
      <c r="E102" s="25" t="s">
        <v>41</v>
      </c>
      <c r="F102" s="25" t="s">
        <v>443</v>
      </c>
      <c r="G102" s="25" t="s">
        <v>447</v>
      </c>
      <c r="H102" s="76">
        <v>10558.72</v>
      </c>
      <c r="I102" s="76">
        <v>10558.72</v>
      </c>
      <c r="J102" s="76">
        <v>0</v>
      </c>
      <c r="K102" s="76">
        <v>35635.68</v>
      </c>
      <c r="L102" s="76">
        <v>10558.72</v>
      </c>
      <c r="M102" s="25" t="s">
        <v>489</v>
      </c>
      <c r="N102" s="76">
        <v>0</v>
      </c>
      <c r="O102" s="22">
        <f t="shared" si="1"/>
        <v>0</v>
      </c>
    </row>
    <row r="103" s="22" customFormat="1" ht="15" customHeight="1" spans="1:15">
      <c r="A103" s="29" t="s">
        <v>444</v>
      </c>
      <c r="B103" s="32" t="s">
        <v>445</v>
      </c>
      <c r="C103" s="29" t="s">
        <v>41</v>
      </c>
      <c r="D103" s="32" t="s">
        <v>412</v>
      </c>
      <c r="E103" s="29" t="s">
        <v>41</v>
      </c>
      <c r="F103" s="29" t="s">
        <v>443</v>
      </c>
      <c r="G103" s="29" t="s">
        <v>447</v>
      </c>
      <c r="H103" s="77">
        <v>10750.82</v>
      </c>
      <c r="I103" s="77">
        <v>10750.82</v>
      </c>
      <c r="J103" s="77">
        <v>0</v>
      </c>
      <c r="K103" s="77">
        <v>15083.24</v>
      </c>
      <c r="L103" s="77">
        <v>7541.62</v>
      </c>
      <c r="M103" s="29" t="s">
        <v>489</v>
      </c>
      <c r="N103" s="77">
        <v>0</v>
      </c>
      <c r="O103" s="22">
        <f t="shared" si="1"/>
        <v>0</v>
      </c>
    </row>
    <row r="104" s="22" customFormat="1" ht="15" customHeight="1" spans="1:15">
      <c r="A104" s="25" t="s">
        <v>444</v>
      </c>
      <c r="B104" s="28" t="s">
        <v>445</v>
      </c>
      <c r="C104" s="25" t="s">
        <v>41</v>
      </c>
      <c r="D104" s="28" t="s">
        <v>258</v>
      </c>
      <c r="E104" s="25" t="s">
        <v>41</v>
      </c>
      <c r="F104" s="25" t="s">
        <v>443</v>
      </c>
      <c r="G104" s="25" t="s">
        <v>447</v>
      </c>
      <c r="H104" s="76">
        <v>301598.94</v>
      </c>
      <c r="I104" s="76">
        <v>184697.24</v>
      </c>
      <c r="J104" s="76">
        <v>142974.79</v>
      </c>
      <c r="K104" s="76">
        <v>738753.22</v>
      </c>
      <c r="L104" s="76">
        <v>259876.49</v>
      </c>
      <c r="M104" s="25" t="s">
        <v>447</v>
      </c>
      <c r="N104" s="76">
        <v>259876.49</v>
      </c>
      <c r="O104" s="22">
        <f t="shared" si="1"/>
        <v>259876.49</v>
      </c>
    </row>
    <row r="105" s="22" customFormat="1" ht="15" customHeight="1" spans="1:15">
      <c r="A105" s="29" t="s">
        <v>444</v>
      </c>
      <c r="B105" s="32" t="s">
        <v>445</v>
      </c>
      <c r="C105" s="29" t="s">
        <v>41</v>
      </c>
      <c r="D105" s="32" t="s">
        <v>259</v>
      </c>
      <c r="E105" s="29" t="s">
        <v>41</v>
      </c>
      <c r="F105" s="29" t="s">
        <v>443</v>
      </c>
      <c r="G105" s="29" t="s">
        <v>447</v>
      </c>
      <c r="H105" s="77">
        <v>795117.72</v>
      </c>
      <c r="I105" s="77">
        <v>307713.69</v>
      </c>
      <c r="J105" s="77">
        <v>31448.35</v>
      </c>
      <c r="K105" s="77">
        <v>785749.59</v>
      </c>
      <c r="L105" s="77">
        <v>518852.38</v>
      </c>
      <c r="M105" s="29" t="s">
        <v>447</v>
      </c>
      <c r="N105" s="77">
        <v>518852.38</v>
      </c>
      <c r="O105" s="22">
        <f t="shared" si="1"/>
        <v>518852.38</v>
      </c>
    </row>
    <row r="106" s="22" customFormat="1" ht="15" customHeight="1" spans="1:15">
      <c r="A106" s="25" t="s">
        <v>444</v>
      </c>
      <c r="B106" s="28" t="s">
        <v>445</v>
      </c>
      <c r="C106" s="25" t="s">
        <v>41</v>
      </c>
      <c r="D106" s="28" t="s">
        <v>299</v>
      </c>
      <c r="E106" s="25" t="s">
        <v>41</v>
      </c>
      <c r="F106" s="25" t="s">
        <v>443</v>
      </c>
      <c r="G106" s="25" t="s">
        <v>447</v>
      </c>
      <c r="H106" s="76">
        <v>534393.68</v>
      </c>
      <c r="I106" s="76">
        <v>0</v>
      </c>
      <c r="J106" s="76">
        <v>207651.85</v>
      </c>
      <c r="K106" s="76">
        <v>287434.81</v>
      </c>
      <c r="L106" s="76">
        <v>742045.91</v>
      </c>
      <c r="M106" s="25" t="s">
        <v>447</v>
      </c>
      <c r="N106" s="76">
        <v>742045.53</v>
      </c>
      <c r="O106" s="22">
        <f t="shared" si="1"/>
        <v>742045.53</v>
      </c>
    </row>
    <row r="107" s="22" customFormat="1" ht="15" customHeight="1" spans="1:15">
      <c r="A107" s="29" t="s">
        <v>444</v>
      </c>
      <c r="B107" s="32" t="s">
        <v>445</v>
      </c>
      <c r="C107" s="29" t="s">
        <v>41</v>
      </c>
      <c r="D107" s="32" t="s">
        <v>544</v>
      </c>
      <c r="E107" s="29" t="s">
        <v>41</v>
      </c>
      <c r="F107" s="29" t="s">
        <v>443</v>
      </c>
      <c r="G107" s="29" t="s">
        <v>489</v>
      </c>
      <c r="H107" s="77">
        <v>0</v>
      </c>
      <c r="I107" s="77">
        <v>0</v>
      </c>
      <c r="J107" s="77">
        <v>0</v>
      </c>
      <c r="K107" s="77">
        <v>0</v>
      </c>
      <c r="L107" s="77">
        <v>0</v>
      </c>
      <c r="M107" s="29" t="s">
        <v>489</v>
      </c>
      <c r="N107" s="77">
        <v>0</v>
      </c>
      <c r="O107" s="22">
        <f t="shared" si="1"/>
        <v>0</v>
      </c>
    </row>
    <row r="108" s="22" customFormat="1" ht="15" customHeight="1" spans="1:15">
      <c r="A108" s="25" t="s">
        <v>444</v>
      </c>
      <c r="B108" s="28" t="s">
        <v>445</v>
      </c>
      <c r="C108" s="25" t="s">
        <v>41</v>
      </c>
      <c r="D108" s="28" t="s">
        <v>415</v>
      </c>
      <c r="E108" s="25" t="s">
        <v>41</v>
      </c>
      <c r="F108" s="25" t="s">
        <v>443</v>
      </c>
      <c r="G108" s="25" t="s">
        <v>453</v>
      </c>
      <c r="H108" s="76">
        <v>46646.4</v>
      </c>
      <c r="I108" s="76">
        <v>0</v>
      </c>
      <c r="J108" s="76">
        <v>46646.4</v>
      </c>
      <c r="K108" s="76">
        <v>0</v>
      </c>
      <c r="L108" s="76">
        <v>0</v>
      </c>
      <c r="M108" s="25" t="s">
        <v>489</v>
      </c>
      <c r="N108" s="76">
        <v>0</v>
      </c>
      <c r="O108" s="22">
        <f t="shared" si="1"/>
        <v>0</v>
      </c>
    </row>
    <row r="109" s="22" customFormat="1" ht="15" customHeight="1" spans="1:15">
      <c r="A109" s="29" t="s">
        <v>444</v>
      </c>
      <c r="B109" s="32" t="s">
        <v>445</v>
      </c>
      <c r="C109" s="29" t="s">
        <v>41</v>
      </c>
      <c r="D109" s="32" t="s">
        <v>260</v>
      </c>
      <c r="E109" s="29" t="s">
        <v>41</v>
      </c>
      <c r="F109" s="29" t="s">
        <v>443</v>
      </c>
      <c r="G109" s="29" t="s">
        <v>447</v>
      </c>
      <c r="H109" s="77">
        <v>460906.1</v>
      </c>
      <c r="I109" s="77">
        <v>233239.92</v>
      </c>
      <c r="J109" s="77">
        <v>55632.58</v>
      </c>
      <c r="K109" s="77">
        <v>523706.75</v>
      </c>
      <c r="L109" s="77">
        <v>283298.76</v>
      </c>
      <c r="M109" s="29" t="s">
        <v>447</v>
      </c>
      <c r="N109" s="77">
        <v>283298.76</v>
      </c>
      <c r="O109" s="22">
        <f t="shared" si="1"/>
        <v>283298.76</v>
      </c>
    </row>
    <row r="110" s="22" customFormat="1" ht="15" customHeight="1" spans="1:15">
      <c r="A110" s="25" t="s">
        <v>444</v>
      </c>
      <c r="B110" s="28" t="s">
        <v>445</v>
      </c>
      <c r="C110" s="25" t="s">
        <v>41</v>
      </c>
      <c r="D110" s="28" t="s">
        <v>545</v>
      </c>
      <c r="E110" s="25" t="s">
        <v>41</v>
      </c>
      <c r="F110" s="25" t="s">
        <v>443</v>
      </c>
      <c r="G110" s="25" t="s">
        <v>489</v>
      </c>
      <c r="H110" s="76">
        <v>0</v>
      </c>
      <c r="I110" s="76">
        <v>0</v>
      </c>
      <c r="J110" s="76">
        <v>0</v>
      </c>
      <c r="K110" s="76">
        <v>0</v>
      </c>
      <c r="L110" s="76">
        <v>0</v>
      </c>
      <c r="M110" s="25" t="s">
        <v>489</v>
      </c>
      <c r="N110" s="76">
        <v>0</v>
      </c>
      <c r="O110" s="22">
        <f t="shared" si="1"/>
        <v>0</v>
      </c>
    </row>
    <row r="111" s="22" customFormat="1" ht="15" customHeight="1" spans="1:15">
      <c r="A111" s="29" t="s">
        <v>444</v>
      </c>
      <c r="B111" s="32" t="s">
        <v>445</v>
      </c>
      <c r="C111" s="29" t="s">
        <v>41</v>
      </c>
      <c r="D111" s="32" t="s">
        <v>466</v>
      </c>
      <c r="E111" s="29" t="s">
        <v>41</v>
      </c>
      <c r="F111" s="29" t="s">
        <v>443</v>
      </c>
      <c r="G111" s="29" t="s">
        <v>447</v>
      </c>
      <c r="H111" s="77">
        <v>1508.81</v>
      </c>
      <c r="I111" s="77">
        <v>0</v>
      </c>
      <c r="J111" s="77">
        <v>0</v>
      </c>
      <c r="K111" s="77">
        <v>0</v>
      </c>
      <c r="L111" s="77">
        <v>0</v>
      </c>
      <c r="M111" s="29" t="s">
        <v>447</v>
      </c>
      <c r="N111" s="77">
        <v>1508.81</v>
      </c>
      <c r="O111" s="22">
        <f t="shared" si="1"/>
        <v>1508.81</v>
      </c>
    </row>
    <row r="112" s="22" customFormat="1" ht="15" customHeight="1" spans="1:15">
      <c r="A112" s="25" t="s">
        <v>444</v>
      </c>
      <c r="B112" s="28" t="s">
        <v>445</v>
      </c>
      <c r="C112" s="25" t="s">
        <v>41</v>
      </c>
      <c r="D112" s="28" t="s">
        <v>467</v>
      </c>
      <c r="E112" s="25" t="s">
        <v>41</v>
      </c>
      <c r="F112" s="25" t="s">
        <v>443</v>
      </c>
      <c r="G112" s="25" t="s">
        <v>447</v>
      </c>
      <c r="H112" s="76">
        <v>19684</v>
      </c>
      <c r="I112" s="76">
        <v>0</v>
      </c>
      <c r="J112" s="76">
        <v>0</v>
      </c>
      <c r="K112" s="76">
        <v>0</v>
      </c>
      <c r="L112" s="76">
        <v>0</v>
      </c>
      <c r="M112" s="25" t="s">
        <v>447</v>
      </c>
      <c r="N112" s="76">
        <v>19684</v>
      </c>
      <c r="O112" s="22">
        <f t="shared" si="1"/>
        <v>19684</v>
      </c>
    </row>
    <row r="113" s="22" customFormat="1" ht="15" customHeight="1" spans="1:15">
      <c r="A113" s="29" t="s">
        <v>444</v>
      </c>
      <c r="B113" s="32" t="s">
        <v>445</v>
      </c>
      <c r="C113" s="29" t="s">
        <v>41</v>
      </c>
      <c r="D113" s="32" t="s">
        <v>306</v>
      </c>
      <c r="E113" s="29" t="s">
        <v>41</v>
      </c>
      <c r="F113" s="29" t="s">
        <v>443</v>
      </c>
      <c r="G113" s="29" t="s">
        <v>447</v>
      </c>
      <c r="H113" s="77">
        <v>92265.63</v>
      </c>
      <c r="I113" s="77">
        <v>7299.8</v>
      </c>
      <c r="J113" s="77">
        <v>0</v>
      </c>
      <c r="K113" s="77">
        <v>40093.53</v>
      </c>
      <c r="L113" s="77">
        <v>84965.83</v>
      </c>
      <c r="M113" s="29" t="s">
        <v>447</v>
      </c>
      <c r="N113" s="77">
        <v>84965.83</v>
      </c>
      <c r="O113" s="22">
        <f t="shared" si="1"/>
        <v>84965.83</v>
      </c>
    </row>
    <row r="114" s="22" customFormat="1" ht="15" customHeight="1" spans="1:15">
      <c r="A114" s="25" t="s">
        <v>444</v>
      </c>
      <c r="B114" s="28" t="s">
        <v>445</v>
      </c>
      <c r="C114" s="25" t="s">
        <v>41</v>
      </c>
      <c r="D114" s="28" t="s">
        <v>468</v>
      </c>
      <c r="E114" s="25" t="s">
        <v>41</v>
      </c>
      <c r="F114" s="25" t="s">
        <v>443</v>
      </c>
      <c r="G114" s="25" t="s">
        <v>447</v>
      </c>
      <c r="H114" s="76">
        <v>23.19</v>
      </c>
      <c r="I114" s="76">
        <v>0</v>
      </c>
      <c r="J114" s="76">
        <v>0</v>
      </c>
      <c r="K114" s="76">
        <v>0</v>
      </c>
      <c r="L114" s="76">
        <v>0</v>
      </c>
      <c r="M114" s="25" t="s">
        <v>447</v>
      </c>
      <c r="N114" s="76">
        <v>23.19</v>
      </c>
      <c r="O114" s="22">
        <f t="shared" si="1"/>
        <v>23.19</v>
      </c>
    </row>
    <row r="115" s="22" customFormat="1" ht="15" customHeight="1" spans="1:15">
      <c r="A115" s="29" t="s">
        <v>444</v>
      </c>
      <c r="B115" s="32" t="s">
        <v>445</v>
      </c>
      <c r="C115" s="29" t="s">
        <v>41</v>
      </c>
      <c r="D115" s="32" t="s">
        <v>469</v>
      </c>
      <c r="E115" s="29" t="s">
        <v>41</v>
      </c>
      <c r="F115" s="29" t="s">
        <v>443</v>
      </c>
      <c r="G115" s="29" t="s">
        <v>447</v>
      </c>
      <c r="H115" s="77">
        <v>5878.26</v>
      </c>
      <c r="I115" s="77">
        <v>0</v>
      </c>
      <c r="J115" s="77">
        <v>0</v>
      </c>
      <c r="K115" s="77">
        <v>0</v>
      </c>
      <c r="L115" s="77">
        <v>0</v>
      </c>
      <c r="M115" s="29" t="s">
        <v>447</v>
      </c>
      <c r="N115" s="77">
        <v>5878.26</v>
      </c>
      <c r="O115" s="22">
        <f t="shared" si="1"/>
        <v>5878.26</v>
      </c>
    </row>
    <row r="116" s="22" customFormat="1" ht="15" customHeight="1" spans="1:15">
      <c r="A116" s="25" t="s">
        <v>444</v>
      </c>
      <c r="B116" s="28" t="s">
        <v>445</v>
      </c>
      <c r="C116" s="25" t="s">
        <v>41</v>
      </c>
      <c r="D116" s="28" t="s">
        <v>546</v>
      </c>
      <c r="E116" s="25" t="s">
        <v>41</v>
      </c>
      <c r="F116" s="25" t="s">
        <v>443</v>
      </c>
      <c r="G116" s="25" t="s">
        <v>489</v>
      </c>
      <c r="H116" s="76">
        <v>0</v>
      </c>
      <c r="I116" s="76">
        <v>0</v>
      </c>
      <c r="J116" s="76">
        <v>0</v>
      </c>
      <c r="K116" s="76">
        <v>0</v>
      </c>
      <c r="L116" s="76">
        <v>0</v>
      </c>
      <c r="M116" s="25" t="s">
        <v>489</v>
      </c>
      <c r="N116" s="76">
        <v>0</v>
      </c>
      <c r="O116" s="22">
        <f t="shared" si="1"/>
        <v>0</v>
      </c>
    </row>
    <row r="117" s="22" customFormat="1" ht="15" customHeight="1" spans="1:15">
      <c r="A117" s="29" t="s">
        <v>444</v>
      </c>
      <c r="B117" s="32" t="s">
        <v>445</v>
      </c>
      <c r="C117" s="29" t="s">
        <v>41</v>
      </c>
      <c r="D117" s="32" t="s">
        <v>547</v>
      </c>
      <c r="E117" s="29" t="s">
        <v>41</v>
      </c>
      <c r="F117" s="29" t="s">
        <v>443</v>
      </c>
      <c r="G117" s="29" t="s">
        <v>489</v>
      </c>
      <c r="H117" s="77">
        <v>0</v>
      </c>
      <c r="I117" s="77">
        <v>0</v>
      </c>
      <c r="J117" s="77">
        <v>0</v>
      </c>
      <c r="K117" s="77">
        <v>0</v>
      </c>
      <c r="L117" s="77">
        <v>0</v>
      </c>
      <c r="M117" s="29" t="s">
        <v>489</v>
      </c>
      <c r="N117" s="77">
        <v>0</v>
      </c>
      <c r="O117" s="22">
        <f t="shared" si="1"/>
        <v>0</v>
      </c>
    </row>
    <row r="118" s="22" customFormat="1" ht="15" customHeight="1" spans="1:15">
      <c r="A118" s="25" t="s">
        <v>444</v>
      </c>
      <c r="B118" s="28" t="s">
        <v>445</v>
      </c>
      <c r="C118" s="25" t="s">
        <v>41</v>
      </c>
      <c r="D118" s="28" t="s">
        <v>470</v>
      </c>
      <c r="E118" s="25" t="s">
        <v>41</v>
      </c>
      <c r="F118" s="25" t="s">
        <v>443</v>
      </c>
      <c r="G118" s="25" t="s">
        <v>447</v>
      </c>
      <c r="H118" s="76">
        <v>65450</v>
      </c>
      <c r="I118" s="76">
        <v>0</v>
      </c>
      <c r="J118" s="76">
        <v>0</v>
      </c>
      <c r="K118" s="76">
        <v>0</v>
      </c>
      <c r="L118" s="76">
        <v>0</v>
      </c>
      <c r="M118" s="25" t="s">
        <v>447</v>
      </c>
      <c r="N118" s="76">
        <v>65450</v>
      </c>
      <c r="O118" s="22">
        <f t="shared" si="1"/>
        <v>65450</v>
      </c>
    </row>
    <row r="119" s="22" customFormat="1" ht="15" customHeight="1" spans="1:15">
      <c r="A119" s="29" t="s">
        <v>444</v>
      </c>
      <c r="B119" s="32" t="s">
        <v>445</v>
      </c>
      <c r="C119" s="29" t="s">
        <v>41</v>
      </c>
      <c r="D119" s="32" t="s">
        <v>548</v>
      </c>
      <c r="E119" s="29" t="s">
        <v>41</v>
      </c>
      <c r="F119" s="29" t="s">
        <v>443</v>
      </c>
      <c r="G119" s="29" t="s">
        <v>489</v>
      </c>
      <c r="H119" s="77">
        <v>0</v>
      </c>
      <c r="I119" s="77">
        <v>0</v>
      </c>
      <c r="J119" s="77">
        <v>0</v>
      </c>
      <c r="K119" s="77">
        <v>0</v>
      </c>
      <c r="L119" s="77">
        <v>0</v>
      </c>
      <c r="M119" s="29" t="s">
        <v>489</v>
      </c>
      <c r="N119" s="77">
        <v>0</v>
      </c>
      <c r="O119" s="22">
        <f t="shared" si="1"/>
        <v>0</v>
      </c>
    </row>
    <row r="120" s="22" customFormat="1" ht="15" customHeight="1" spans="1:15">
      <c r="A120" s="25" t="s">
        <v>444</v>
      </c>
      <c r="B120" s="28" t="s">
        <v>445</v>
      </c>
      <c r="C120" s="25" t="s">
        <v>41</v>
      </c>
      <c r="D120" s="28" t="s">
        <v>471</v>
      </c>
      <c r="E120" s="25" t="s">
        <v>41</v>
      </c>
      <c r="F120" s="25" t="s">
        <v>443</v>
      </c>
      <c r="G120" s="25" t="s">
        <v>447</v>
      </c>
      <c r="H120" s="76">
        <v>61614.37</v>
      </c>
      <c r="I120" s="76">
        <v>0</v>
      </c>
      <c r="J120" s="76">
        <v>0</v>
      </c>
      <c r="K120" s="76">
        <v>0</v>
      </c>
      <c r="L120" s="76">
        <v>0</v>
      </c>
      <c r="M120" s="25" t="s">
        <v>447</v>
      </c>
      <c r="N120" s="76">
        <v>61614.37</v>
      </c>
      <c r="O120" s="22">
        <f t="shared" si="1"/>
        <v>61614.37</v>
      </c>
    </row>
    <row r="121" s="22" customFormat="1" ht="15" customHeight="1" spans="1:15">
      <c r="A121" s="29" t="s">
        <v>444</v>
      </c>
      <c r="B121" s="32" t="s">
        <v>445</v>
      </c>
      <c r="C121" s="29" t="s">
        <v>41</v>
      </c>
      <c r="D121" s="32" t="s">
        <v>549</v>
      </c>
      <c r="E121" s="29" t="s">
        <v>41</v>
      </c>
      <c r="F121" s="29" t="s">
        <v>443</v>
      </c>
      <c r="G121" s="29" t="s">
        <v>489</v>
      </c>
      <c r="H121" s="77">
        <v>0</v>
      </c>
      <c r="I121" s="77">
        <v>0</v>
      </c>
      <c r="J121" s="77">
        <v>0</v>
      </c>
      <c r="K121" s="77">
        <v>0</v>
      </c>
      <c r="L121" s="77">
        <v>0</v>
      </c>
      <c r="M121" s="29" t="s">
        <v>489</v>
      </c>
      <c r="N121" s="77">
        <v>0</v>
      </c>
      <c r="O121" s="22">
        <f t="shared" si="1"/>
        <v>0</v>
      </c>
    </row>
    <row r="122" s="22" customFormat="1" ht="15" customHeight="1" spans="1:15">
      <c r="A122" s="25" t="s">
        <v>444</v>
      </c>
      <c r="B122" s="28" t="s">
        <v>445</v>
      </c>
      <c r="C122" s="25" t="s">
        <v>41</v>
      </c>
      <c r="D122" s="28" t="s">
        <v>261</v>
      </c>
      <c r="E122" s="25" t="s">
        <v>41</v>
      </c>
      <c r="F122" s="25" t="s">
        <v>443</v>
      </c>
      <c r="G122" s="25" t="s">
        <v>447</v>
      </c>
      <c r="H122" s="76">
        <v>403596.61</v>
      </c>
      <c r="I122" s="76">
        <v>200000</v>
      </c>
      <c r="J122" s="76">
        <v>373979</v>
      </c>
      <c r="K122" s="76">
        <v>900000</v>
      </c>
      <c r="L122" s="76">
        <v>373979</v>
      </c>
      <c r="M122" s="25" t="s">
        <v>447</v>
      </c>
      <c r="N122" s="76">
        <v>577575.61</v>
      </c>
      <c r="O122" s="22">
        <f t="shared" si="1"/>
        <v>577575.61</v>
      </c>
    </row>
    <row r="123" s="22" customFormat="1" ht="15" customHeight="1" spans="1:15">
      <c r="A123" s="29" t="s">
        <v>444</v>
      </c>
      <c r="B123" s="32" t="s">
        <v>445</v>
      </c>
      <c r="C123" s="29" t="s">
        <v>41</v>
      </c>
      <c r="D123" s="32" t="s">
        <v>550</v>
      </c>
      <c r="E123" s="29" t="s">
        <v>41</v>
      </c>
      <c r="F123" s="29" t="s">
        <v>443</v>
      </c>
      <c r="G123" s="29" t="s">
        <v>489</v>
      </c>
      <c r="H123" s="77">
        <v>0</v>
      </c>
      <c r="I123" s="77">
        <v>0</v>
      </c>
      <c r="J123" s="77">
        <v>0</v>
      </c>
      <c r="K123" s="77">
        <v>0</v>
      </c>
      <c r="L123" s="77">
        <v>0</v>
      </c>
      <c r="M123" s="29" t="s">
        <v>489</v>
      </c>
      <c r="N123" s="77">
        <v>0</v>
      </c>
      <c r="O123" s="22">
        <f t="shared" si="1"/>
        <v>0</v>
      </c>
    </row>
    <row r="124" s="22" customFormat="1" ht="15" customHeight="1" spans="1:15">
      <c r="A124" s="25" t="s">
        <v>444</v>
      </c>
      <c r="B124" s="28" t="s">
        <v>445</v>
      </c>
      <c r="C124" s="25" t="s">
        <v>41</v>
      </c>
      <c r="D124" s="28" t="s">
        <v>472</v>
      </c>
      <c r="E124" s="25" t="s">
        <v>41</v>
      </c>
      <c r="F124" s="25" t="s">
        <v>443</v>
      </c>
      <c r="G124" s="25" t="s">
        <v>447</v>
      </c>
      <c r="H124" s="76">
        <v>474</v>
      </c>
      <c r="I124" s="76">
        <v>0</v>
      </c>
      <c r="J124" s="76">
        <v>0</v>
      </c>
      <c r="K124" s="76">
        <v>0</v>
      </c>
      <c r="L124" s="76">
        <v>0</v>
      </c>
      <c r="M124" s="25" t="s">
        <v>447</v>
      </c>
      <c r="N124" s="76">
        <v>474</v>
      </c>
      <c r="O124" s="22">
        <f t="shared" si="1"/>
        <v>474</v>
      </c>
    </row>
    <row r="125" s="22" customFormat="1" ht="15" customHeight="1" spans="1:15">
      <c r="A125" s="29" t="s">
        <v>444</v>
      </c>
      <c r="B125" s="32" t="s">
        <v>445</v>
      </c>
      <c r="C125" s="29" t="s">
        <v>41</v>
      </c>
      <c r="D125" s="32" t="s">
        <v>262</v>
      </c>
      <c r="E125" s="29" t="s">
        <v>41</v>
      </c>
      <c r="F125" s="29" t="s">
        <v>443</v>
      </c>
      <c r="G125" s="29" t="s">
        <v>447</v>
      </c>
      <c r="H125" s="77">
        <v>572439</v>
      </c>
      <c r="I125" s="77">
        <v>100000</v>
      </c>
      <c r="J125" s="77">
        <v>0</v>
      </c>
      <c r="K125" s="77">
        <v>900000</v>
      </c>
      <c r="L125" s="77">
        <v>211574.1</v>
      </c>
      <c r="M125" s="29" t="s">
        <v>447</v>
      </c>
      <c r="N125" s="77">
        <v>472439</v>
      </c>
      <c r="O125" s="22">
        <f t="shared" si="1"/>
        <v>472439</v>
      </c>
    </row>
    <row r="126" s="22" customFormat="1" ht="15" customHeight="1" spans="1:15">
      <c r="A126" s="25" t="s">
        <v>444</v>
      </c>
      <c r="B126" s="28" t="s">
        <v>445</v>
      </c>
      <c r="C126" s="25" t="s">
        <v>41</v>
      </c>
      <c r="D126" s="28" t="s">
        <v>551</v>
      </c>
      <c r="E126" s="25" t="s">
        <v>41</v>
      </c>
      <c r="F126" s="25" t="s">
        <v>443</v>
      </c>
      <c r="G126" s="25" t="s">
        <v>489</v>
      </c>
      <c r="H126" s="76">
        <v>0</v>
      </c>
      <c r="I126" s="76">
        <v>0</v>
      </c>
      <c r="J126" s="76">
        <v>0</v>
      </c>
      <c r="K126" s="76">
        <v>0</v>
      </c>
      <c r="L126" s="76">
        <v>0</v>
      </c>
      <c r="M126" s="25" t="s">
        <v>489</v>
      </c>
      <c r="N126" s="76">
        <v>0</v>
      </c>
      <c r="O126" s="22">
        <f t="shared" si="1"/>
        <v>0</v>
      </c>
    </row>
    <row r="127" s="22" customFormat="1" ht="15" customHeight="1" spans="1:15">
      <c r="A127" s="29" t="s">
        <v>444</v>
      </c>
      <c r="B127" s="32" t="s">
        <v>445</v>
      </c>
      <c r="C127" s="29" t="s">
        <v>41</v>
      </c>
      <c r="D127" s="32" t="s">
        <v>263</v>
      </c>
      <c r="E127" s="29" t="s">
        <v>41</v>
      </c>
      <c r="F127" s="29" t="s">
        <v>443</v>
      </c>
      <c r="G127" s="29" t="s">
        <v>447</v>
      </c>
      <c r="H127" s="77">
        <v>384533.47</v>
      </c>
      <c r="I127" s="77">
        <v>80186.36</v>
      </c>
      <c r="J127" s="77">
        <v>101200.14</v>
      </c>
      <c r="K127" s="77">
        <v>270186.36</v>
      </c>
      <c r="L127" s="77">
        <v>405547.25</v>
      </c>
      <c r="M127" s="29" t="s">
        <v>447</v>
      </c>
      <c r="N127" s="77">
        <v>405547.25</v>
      </c>
      <c r="O127" s="22">
        <f t="shared" si="1"/>
        <v>405547.25</v>
      </c>
    </row>
    <row r="128" s="22" customFormat="1" ht="15" customHeight="1" spans="1:15">
      <c r="A128" s="25" t="s">
        <v>444</v>
      </c>
      <c r="B128" s="28" t="s">
        <v>445</v>
      </c>
      <c r="C128" s="25" t="s">
        <v>41</v>
      </c>
      <c r="D128" s="28" t="s">
        <v>473</v>
      </c>
      <c r="E128" s="25" t="s">
        <v>41</v>
      </c>
      <c r="F128" s="25" t="s">
        <v>443</v>
      </c>
      <c r="G128" s="25" t="s">
        <v>447</v>
      </c>
      <c r="H128" s="76">
        <v>13000</v>
      </c>
      <c r="I128" s="76">
        <v>0</v>
      </c>
      <c r="J128" s="76">
        <v>0</v>
      </c>
      <c r="K128" s="76">
        <v>0</v>
      </c>
      <c r="L128" s="76">
        <v>0</v>
      </c>
      <c r="M128" s="25" t="s">
        <v>447</v>
      </c>
      <c r="N128" s="76">
        <v>13000</v>
      </c>
      <c r="O128" s="22">
        <f t="shared" si="1"/>
        <v>13000</v>
      </c>
    </row>
    <row r="129" s="22" customFormat="1" ht="15" customHeight="1" spans="1:15">
      <c r="A129" s="29" t="s">
        <v>444</v>
      </c>
      <c r="B129" s="32" t="s">
        <v>445</v>
      </c>
      <c r="C129" s="29" t="s">
        <v>41</v>
      </c>
      <c r="D129" s="32" t="s">
        <v>552</v>
      </c>
      <c r="E129" s="29" t="s">
        <v>41</v>
      </c>
      <c r="F129" s="29" t="s">
        <v>443</v>
      </c>
      <c r="G129" s="29" t="s">
        <v>489</v>
      </c>
      <c r="H129" s="77">
        <v>0</v>
      </c>
      <c r="I129" s="77">
        <v>0</v>
      </c>
      <c r="J129" s="77">
        <v>0</v>
      </c>
      <c r="K129" s="77">
        <v>0</v>
      </c>
      <c r="L129" s="77">
        <v>0</v>
      </c>
      <c r="M129" s="29" t="s">
        <v>489</v>
      </c>
      <c r="N129" s="77">
        <v>0</v>
      </c>
      <c r="O129" s="22">
        <f t="shared" si="1"/>
        <v>0</v>
      </c>
    </row>
    <row r="130" s="22" customFormat="1" ht="15" customHeight="1" spans="1:15">
      <c r="A130" s="25" t="s">
        <v>444</v>
      </c>
      <c r="B130" s="28" t="s">
        <v>445</v>
      </c>
      <c r="C130" s="25" t="s">
        <v>41</v>
      </c>
      <c r="D130" s="28" t="s">
        <v>553</v>
      </c>
      <c r="E130" s="25" t="s">
        <v>41</v>
      </c>
      <c r="F130" s="25" t="s">
        <v>443</v>
      </c>
      <c r="G130" s="25" t="s">
        <v>489</v>
      </c>
      <c r="H130" s="76">
        <v>0</v>
      </c>
      <c r="I130" s="76">
        <v>0</v>
      </c>
      <c r="J130" s="76">
        <v>0</v>
      </c>
      <c r="K130" s="76">
        <v>0</v>
      </c>
      <c r="L130" s="76">
        <v>0</v>
      </c>
      <c r="M130" s="25" t="s">
        <v>489</v>
      </c>
      <c r="N130" s="76">
        <v>0</v>
      </c>
      <c r="O130" s="22">
        <f t="shared" si="1"/>
        <v>0</v>
      </c>
    </row>
    <row r="131" s="22" customFormat="1" ht="15" customHeight="1" spans="1:15">
      <c r="A131" s="29" t="s">
        <v>444</v>
      </c>
      <c r="B131" s="32" t="s">
        <v>445</v>
      </c>
      <c r="C131" s="29" t="s">
        <v>41</v>
      </c>
      <c r="D131" s="32" t="s">
        <v>474</v>
      </c>
      <c r="E131" s="29" t="s">
        <v>41</v>
      </c>
      <c r="F131" s="29" t="s">
        <v>443</v>
      </c>
      <c r="G131" s="29" t="s">
        <v>447</v>
      </c>
      <c r="H131" s="77">
        <v>117.55</v>
      </c>
      <c r="I131" s="77">
        <v>0</v>
      </c>
      <c r="J131" s="77">
        <v>0</v>
      </c>
      <c r="K131" s="77">
        <v>0</v>
      </c>
      <c r="L131" s="77">
        <v>0</v>
      </c>
      <c r="M131" s="29" t="s">
        <v>447</v>
      </c>
      <c r="N131" s="77">
        <v>117.55</v>
      </c>
      <c r="O131" s="22">
        <f t="shared" si="1"/>
        <v>117.55</v>
      </c>
    </row>
    <row r="132" s="22" customFormat="1" ht="15" customHeight="1" spans="1:15">
      <c r="A132" s="25" t="s">
        <v>444</v>
      </c>
      <c r="B132" s="28" t="s">
        <v>445</v>
      </c>
      <c r="C132" s="25" t="s">
        <v>41</v>
      </c>
      <c r="D132" s="28" t="s">
        <v>554</v>
      </c>
      <c r="E132" s="25" t="s">
        <v>41</v>
      </c>
      <c r="F132" s="25" t="s">
        <v>443</v>
      </c>
      <c r="G132" s="25" t="s">
        <v>489</v>
      </c>
      <c r="H132" s="76">
        <v>0</v>
      </c>
      <c r="I132" s="76">
        <v>0</v>
      </c>
      <c r="J132" s="76">
        <v>0</v>
      </c>
      <c r="K132" s="76">
        <v>0</v>
      </c>
      <c r="L132" s="76">
        <v>0</v>
      </c>
      <c r="M132" s="25" t="s">
        <v>489</v>
      </c>
      <c r="N132" s="76">
        <v>0</v>
      </c>
      <c r="O132" s="22">
        <f t="shared" si="1"/>
        <v>0</v>
      </c>
    </row>
    <row r="133" s="22" customFormat="1" ht="15" customHeight="1" spans="1:15">
      <c r="A133" s="29" t="s">
        <v>444</v>
      </c>
      <c r="B133" s="32" t="s">
        <v>445</v>
      </c>
      <c r="C133" s="29" t="s">
        <v>41</v>
      </c>
      <c r="D133" s="32" t="s">
        <v>475</v>
      </c>
      <c r="E133" s="29" t="s">
        <v>41</v>
      </c>
      <c r="F133" s="29" t="s">
        <v>443</v>
      </c>
      <c r="G133" s="29" t="s">
        <v>447</v>
      </c>
      <c r="H133" s="77">
        <v>32648.8</v>
      </c>
      <c r="I133" s="77">
        <v>0</v>
      </c>
      <c r="J133" s="77">
        <v>0</v>
      </c>
      <c r="K133" s="77">
        <v>0</v>
      </c>
      <c r="L133" s="77">
        <v>0</v>
      </c>
      <c r="M133" s="29" t="s">
        <v>447</v>
      </c>
      <c r="N133" s="77">
        <v>32648.8</v>
      </c>
      <c r="O133" s="22">
        <f t="shared" ref="O133:O196" si="2">IF(M133="贷",N133,-N133)</f>
        <v>32648.8</v>
      </c>
    </row>
    <row r="134" s="22" customFormat="1" ht="15" customHeight="1" spans="1:15">
      <c r="A134" s="25" t="s">
        <v>444</v>
      </c>
      <c r="B134" s="28" t="s">
        <v>445</v>
      </c>
      <c r="C134" s="25" t="s">
        <v>41</v>
      </c>
      <c r="D134" s="28" t="s">
        <v>555</v>
      </c>
      <c r="E134" s="25" t="s">
        <v>41</v>
      </c>
      <c r="F134" s="25" t="s">
        <v>443</v>
      </c>
      <c r="G134" s="25" t="s">
        <v>489</v>
      </c>
      <c r="H134" s="76">
        <v>0</v>
      </c>
      <c r="I134" s="76">
        <v>0</v>
      </c>
      <c r="J134" s="76">
        <v>0</v>
      </c>
      <c r="K134" s="76">
        <v>0</v>
      </c>
      <c r="L134" s="76">
        <v>0</v>
      </c>
      <c r="M134" s="25" t="s">
        <v>489</v>
      </c>
      <c r="N134" s="76">
        <v>0</v>
      </c>
      <c r="O134" s="22">
        <f t="shared" si="2"/>
        <v>0</v>
      </c>
    </row>
    <row r="135" s="22" customFormat="1" ht="15" customHeight="1" spans="1:15">
      <c r="A135" s="29" t="s">
        <v>444</v>
      </c>
      <c r="B135" s="32" t="s">
        <v>445</v>
      </c>
      <c r="C135" s="29" t="s">
        <v>41</v>
      </c>
      <c r="D135" s="32" t="s">
        <v>476</v>
      </c>
      <c r="E135" s="29" t="s">
        <v>41</v>
      </c>
      <c r="F135" s="29" t="s">
        <v>443</v>
      </c>
      <c r="G135" s="29" t="s">
        <v>447</v>
      </c>
      <c r="H135" s="77">
        <v>10486.2</v>
      </c>
      <c r="I135" s="77">
        <v>0</v>
      </c>
      <c r="J135" s="77">
        <v>0</v>
      </c>
      <c r="K135" s="77">
        <v>0</v>
      </c>
      <c r="L135" s="77">
        <v>0</v>
      </c>
      <c r="M135" s="29" t="s">
        <v>447</v>
      </c>
      <c r="N135" s="77">
        <v>10486.2</v>
      </c>
      <c r="O135" s="22">
        <f t="shared" si="2"/>
        <v>10486.2</v>
      </c>
    </row>
    <row r="136" s="22" customFormat="1" ht="15" customHeight="1" spans="1:15">
      <c r="A136" s="25" t="s">
        <v>444</v>
      </c>
      <c r="B136" s="28" t="s">
        <v>445</v>
      </c>
      <c r="C136" s="25" t="s">
        <v>41</v>
      </c>
      <c r="D136" s="28" t="s">
        <v>477</v>
      </c>
      <c r="E136" s="25" t="s">
        <v>41</v>
      </c>
      <c r="F136" s="25" t="s">
        <v>443</v>
      </c>
      <c r="G136" s="25" t="s">
        <v>447</v>
      </c>
      <c r="H136" s="76">
        <v>3730</v>
      </c>
      <c r="I136" s="76">
        <v>0</v>
      </c>
      <c r="J136" s="76">
        <v>0</v>
      </c>
      <c r="K136" s="76">
        <v>0</v>
      </c>
      <c r="L136" s="76">
        <v>0</v>
      </c>
      <c r="M136" s="25" t="s">
        <v>447</v>
      </c>
      <c r="N136" s="76">
        <v>3730</v>
      </c>
      <c r="O136" s="22">
        <f t="shared" si="2"/>
        <v>3730</v>
      </c>
    </row>
    <row r="137" s="22" customFormat="1" ht="15" customHeight="1" spans="1:15">
      <c r="A137" s="29" t="s">
        <v>444</v>
      </c>
      <c r="B137" s="32" t="s">
        <v>445</v>
      </c>
      <c r="C137" s="29" t="s">
        <v>41</v>
      </c>
      <c r="D137" s="32" t="s">
        <v>556</v>
      </c>
      <c r="E137" s="29" t="s">
        <v>41</v>
      </c>
      <c r="F137" s="29" t="s">
        <v>443</v>
      </c>
      <c r="G137" s="29" t="s">
        <v>489</v>
      </c>
      <c r="H137" s="77">
        <v>0</v>
      </c>
      <c r="I137" s="77">
        <v>0</v>
      </c>
      <c r="J137" s="77">
        <v>0</v>
      </c>
      <c r="K137" s="77">
        <v>0</v>
      </c>
      <c r="L137" s="77">
        <v>0</v>
      </c>
      <c r="M137" s="29" t="s">
        <v>489</v>
      </c>
      <c r="N137" s="77">
        <v>0</v>
      </c>
      <c r="O137" s="22">
        <f t="shared" si="2"/>
        <v>0</v>
      </c>
    </row>
    <row r="138" s="22" customFormat="1" ht="15" customHeight="1" spans="1:15">
      <c r="A138" s="25" t="s">
        <v>444</v>
      </c>
      <c r="B138" s="28" t="s">
        <v>445</v>
      </c>
      <c r="C138" s="25" t="s">
        <v>41</v>
      </c>
      <c r="D138" s="28" t="s">
        <v>264</v>
      </c>
      <c r="E138" s="25" t="s">
        <v>41</v>
      </c>
      <c r="F138" s="25" t="s">
        <v>443</v>
      </c>
      <c r="G138" s="25" t="s">
        <v>447</v>
      </c>
      <c r="H138" s="76">
        <v>2775259.37</v>
      </c>
      <c r="I138" s="76">
        <v>1000000</v>
      </c>
      <c r="J138" s="76">
        <v>373082.59</v>
      </c>
      <c r="K138" s="76">
        <v>2700000</v>
      </c>
      <c r="L138" s="76">
        <v>1834279.46</v>
      </c>
      <c r="M138" s="25" t="s">
        <v>447</v>
      </c>
      <c r="N138" s="76">
        <v>2148341.96</v>
      </c>
      <c r="O138" s="22">
        <f t="shared" si="2"/>
        <v>2148341.96</v>
      </c>
    </row>
    <row r="139" s="22" customFormat="1" ht="15" customHeight="1" spans="1:15">
      <c r="A139" s="29" t="s">
        <v>444</v>
      </c>
      <c r="B139" s="32" t="s">
        <v>445</v>
      </c>
      <c r="C139" s="29" t="s">
        <v>41</v>
      </c>
      <c r="D139" s="32" t="s">
        <v>265</v>
      </c>
      <c r="E139" s="29" t="s">
        <v>41</v>
      </c>
      <c r="F139" s="29" t="s">
        <v>443</v>
      </c>
      <c r="G139" s="29" t="s">
        <v>447</v>
      </c>
      <c r="H139" s="77">
        <v>3794380.21</v>
      </c>
      <c r="I139" s="77">
        <v>1008929.29</v>
      </c>
      <c r="J139" s="77">
        <v>775251.12</v>
      </c>
      <c r="K139" s="77">
        <v>3588929.29</v>
      </c>
      <c r="L139" s="77">
        <v>3560702.04</v>
      </c>
      <c r="M139" s="29" t="s">
        <v>447</v>
      </c>
      <c r="N139" s="77">
        <v>3560702.04</v>
      </c>
      <c r="O139" s="22">
        <f t="shared" si="2"/>
        <v>3560702.04</v>
      </c>
    </row>
    <row r="140" s="22" customFormat="1" ht="15" customHeight="1" spans="1:15">
      <c r="A140" s="25" t="s">
        <v>444</v>
      </c>
      <c r="B140" s="28" t="s">
        <v>445</v>
      </c>
      <c r="C140" s="25" t="s">
        <v>41</v>
      </c>
      <c r="D140" s="28" t="s">
        <v>557</v>
      </c>
      <c r="E140" s="25" t="s">
        <v>41</v>
      </c>
      <c r="F140" s="25" t="s">
        <v>443</v>
      </c>
      <c r="G140" s="25" t="s">
        <v>489</v>
      </c>
      <c r="H140" s="76">
        <v>0</v>
      </c>
      <c r="I140" s="76">
        <v>0</v>
      </c>
      <c r="J140" s="76">
        <v>0</v>
      </c>
      <c r="K140" s="76">
        <v>0</v>
      </c>
      <c r="L140" s="76">
        <v>0</v>
      </c>
      <c r="M140" s="25" t="s">
        <v>489</v>
      </c>
      <c r="N140" s="76">
        <v>0</v>
      </c>
      <c r="O140" s="22">
        <f t="shared" si="2"/>
        <v>0</v>
      </c>
    </row>
    <row r="141" s="22" customFormat="1" ht="15" customHeight="1" spans="1:15">
      <c r="A141" s="29" t="s">
        <v>444</v>
      </c>
      <c r="B141" s="32" t="s">
        <v>445</v>
      </c>
      <c r="C141" s="29" t="s">
        <v>41</v>
      </c>
      <c r="D141" s="32" t="s">
        <v>558</v>
      </c>
      <c r="E141" s="29" t="s">
        <v>41</v>
      </c>
      <c r="F141" s="29" t="s">
        <v>443</v>
      </c>
      <c r="G141" s="29" t="s">
        <v>489</v>
      </c>
      <c r="H141" s="77">
        <v>0</v>
      </c>
      <c r="I141" s="77">
        <v>0</v>
      </c>
      <c r="J141" s="77">
        <v>0</v>
      </c>
      <c r="K141" s="77">
        <v>0</v>
      </c>
      <c r="L141" s="77">
        <v>0</v>
      </c>
      <c r="M141" s="29" t="s">
        <v>489</v>
      </c>
      <c r="N141" s="77">
        <v>0</v>
      </c>
      <c r="O141" s="22">
        <f t="shared" si="2"/>
        <v>0</v>
      </c>
    </row>
    <row r="142" s="22" customFormat="1" ht="15" customHeight="1" spans="1:15">
      <c r="A142" s="25" t="s">
        <v>444</v>
      </c>
      <c r="B142" s="28" t="s">
        <v>445</v>
      </c>
      <c r="C142" s="25" t="s">
        <v>41</v>
      </c>
      <c r="D142" s="28" t="s">
        <v>267</v>
      </c>
      <c r="E142" s="25" t="s">
        <v>41</v>
      </c>
      <c r="F142" s="25" t="s">
        <v>443</v>
      </c>
      <c r="G142" s="25" t="s">
        <v>447</v>
      </c>
      <c r="H142" s="76">
        <v>32371.63</v>
      </c>
      <c r="I142" s="76">
        <v>12930.65</v>
      </c>
      <c r="J142" s="76">
        <v>6000.3</v>
      </c>
      <c r="K142" s="76">
        <v>41623.1</v>
      </c>
      <c r="L142" s="76">
        <v>25441.28</v>
      </c>
      <c r="M142" s="25" t="s">
        <v>447</v>
      </c>
      <c r="N142" s="76">
        <v>25441.28</v>
      </c>
      <c r="O142" s="22">
        <f t="shared" si="2"/>
        <v>25441.28</v>
      </c>
    </row>
    <row r="143" s="22" customFormat="1" ht="15" customHeight="1" spans="1:15">
      <c r="A143" s="29" t="s">
        <v>444</v>
      </c>
      <c r="B143" s="32" t="s">
        <v>445</v>
      </c>
      <c r="C143" s="29" t="s">
        <v>41</v>
      </c>
      <c r="D143" s="32" t="s">
        <v>268</v>
      </c>
      <c r="E143" s="29" t="s">
        <v>41</v>
      </c>
      <c r="F143" s="29" t="s">
        <v>443</v>
      </c>
      <c r="G143" s="29" t="s">
        <v>447</v>
      </c>
      <c r="H143" s="77">
        <v>50125</v>
      </c>
      <c r="I143" s="77">
        <v>25062.5</v>
      </c>
      <c r="J143" s="77">
        <v>0</v>
      </c>
      <c r="K143" s="77">
        <v>32987.81</v>
      </c>
      <c r="L143" s="77">
        <v>25062.5</v>
      </c>
      <c r="M143" s="29" t="s">
        <v>447</v>
      </c>
      <c r="N143" s="77">
        <v>25062.5</v>
      </c>
      <c r="O143" s="22">
        <f t="shared" si="2"/>
        <v>25062.5</v>
      </c>
    </row>
    <row r="144" s="22" customFormat="1" ht="15" customHeight="1" spans="1:15">
      <c r="A144" s="25" t="s">
        <v>444</v>
      </c>
      <c r="B144" s="28" t="s">
        <v>445</v>
      </c>
      <c r="C144" s="25" t="s">
        <v>41</v>
      </c>
      <c r="D144" s="28" t="s">
        <v>478</v>
      </c>
      <c r="E144" s="25" t="s">
        <v>41</v>
      </c>
      <c r="F144" s="25" t="s">
        <v>443</v>
      </c>
      <c r="G144" s="25" t="s">
        <v>447</v>
      </c>
      <c r="H144" s="76">
        <v>3629.95</v>
      </c>
      <c r="I144" s="76">
        <v>0</v>
      </c>
      <c r="J144" s="76">
        <v>0</v>
      </c>
      <c r="K144" s="76">
        <v>0</v>
      </c>
      <c r="L144" s="76">
        <v>0</v>
      </c>
      <c r="M144" s="25" t="s">
        <v>447</v>
      </c>
      <c r="N144" s="76">
        <v>3629.95</v>
      </c>
      <c r="O144" s="22">
        <f t="shared" si="2"/>
        <v>3629.95</v>
      </c>
    </row>
    <row r="145" s="22" customFormat="1" ht="15" customHeight="1" spans="1:15">
      <c r="A145" s="29" t="s">
        <v>444</v>
      </c>
      <c r="B145" s="32" t="s">
        <v>445</v>
      </c>
      <c r="C145" s="29" t="s">
        <v>41</v>
      </c>
      <c r="D145" s="32" t="s">
        <v>559</v>
      </c>
      <c r="E145" s="29" t="s">
        <v>41</v>
      </c>
      <c r="F145" s="29" t="s">
        <v>443</v>
      </c>
      <c r="G145" s="29" t="s">
        <v>489</v>
      </c>
      <c r="H145" s="77">
        <v>0</v>
      </c>
      <c r="I145" s="77">
        <v>0</v>
      </c>
      <c r="J145" s="77">
        <v>0</v>
      </c>
      <c r="K145" s="77">
        <v>0</v>
      </c>
      <c r="L145" s="77">
        <v>0</v>
      </c>
      <c r="M145" s="29" t="s">
        <v>489</v>
      </c>
      <c r="N145" s="77">
        <v>0</v>
      </c>
      <c r="O145" s="22">
        <f t="shared" si="2"/>
        <v>0</v>
      </c>
    </row>
    <row r="146" s="22" customFormat="1" ht="15" customHeight="1" spans="1:15">
      <c r="A146" s="25" t="s">
        <v>444</v>
      </c>
      <c r="B146" s="28" t="s">
        <v>445</v>
      </c>
      <c r="C146" s="25" t="s">
        <v>41</v>
      </c>
      <c r="D146" s="28" t="s">
        <v>479</v>
      </c>
      <c r="E146" s="25" t="s">
        <v>41</v>
      </c>
      <c r="F146" s="25" t="s">
        <v>443</v>
      </c>
      <c r="G146" s="25" t="s">
        <v>447</v>
      </c>
      <c r="H146" s="76">
        <v>949</v>
      </c>
      <c r="I146" s="76">
        <v>0</v>
      </c>
      <c r="J146" s="76">
        <v>0</v>
      </c>
      <c r="K146" s="76">
        <v>0</v>
      </c>
      <c r="L146" s="76">
        <v>0</v>
      </c>
      <c r="M146" s="25" t="s">
        <v>447</v>
      </c>
      <c r="N146" s="76">
        <v>949</v>
      </c>
      <c r="O146" s="22">
        <f t="shared" si="2"/>
        <v>949</v>
      </c>
    </row>
    <row r="147" s="22" customFormat="1" ht="15" customHeight="1" spans="1:15">
      <c r="A147" s="29" t="s">
        <v>444</v>
      </c>
      <c r="B147" s="32" t="s">
        <v>445</v>
      </c>
      <c r="C147" s="29" t="s">
        <v>41</v>
      </c>
      <c r="D147" s="32" t="s">
        <v>560</v>
      </c>
      <c r="E147" s="29" t="s">
        <v>41</v>
      </c>
      <c r="F147" s="29" t="s">
        <v>443</v>
      </c>
      <c r="G147" s="29" t="s">
        <v>489</v>
      </c>
      <c r="H147" s="77">
        <v>0</v>
      </c>
      <c r="I147" s="77">
        <v>0</v>
      </c>
      <c r="J147" s="77">
        <v>0</v>
      </c>
      <c r="K147" s="77">
        <v>0</v>
      </c>
      <c r="L147" s="77">
        <v>0</v>
      </c>
      <c r="M147" s="29" t="s">
        <v>489</v>
      </c>
      <c r="N147" s="77">
        <v>0</v>
      </c>
      <c r="O147" s="22">
        <f t="shared" si="2"/>
        <v>0</v>
      </c>
    </row>
    <row r="148" s="22" customFormat="1" ht="15" customHeight="1" spans="1:15">
      <c r="A148" s="25" t="s">
        <v>444</v>
      </c>
      <c r="B148" s="28" t="s">
        <v>445</v>
      </c>
      <c r="C148" s="25" t="s">
        <v>41</v>
      </c>
      <c r="D148" s="28" t="s">
        <v>561</v>
      </c>
      <c r="E148" s="25" t="s">
        <v>41</v>
      </c>
      <c r="F148" s="25" t="s">
        <v>443</v>
      </c>
      <c r="G148" s="25" t="s">
        <v>489</v>
      </c>
      <c r="H148" s="76">
        <v>0</v>
      </c>
      <c r="I148" s="76">
        <v>0</v>
      </c>
      <c r="J148" s="76">
        <v>0</v>
      </c>
      <c r="K148" s="76">
        <v>0</v>
      </c>
      <c r="L148" s="76">
        <v>0</v>
      </c>
      <c r="M148" s="25" t="s">
        <v>489</v>
      </c>
      <c r="N148" s="76">
        <v>0</v>
      </c>
      <c r="O148" s="22">
        <f t="shared" si="2"/>
        <v>0</v>
      </c>
    </row>
    <row r="149" s="22" customFormat="1" ht="15" customHeight="1" spans="1:15">
      <c r="A149" s="29" t="s">
        <v>444</v>
      </c>
      <c r="B149" s="32" t="s">
        <v>445</v>
      </c>
      <c r="C149" s="29" t="s">
        <v>41</v>
      </c>
      <c r="D149" s="32" t="s">
        <v>480</v>
      </c>
      <c r="E149" s="29" t="s">
        <v>41</v>
      </c>
      <c r="F149" s="29" t="s">
        <v>443</v>
      </c>
      <c r="G149" s="29" t="s">
        <v>447</v>
      </c>
      <c r="H149" s="77">
        <v>497.5</v>
      </c>
      <c r="I149" s="77">
        <v>0</v>
      </c>
      <c r="J149" s="77">
        <v>0</v>
      </c>
      <c r="K149" s="77">
        <v>0</v>
      </c>
      <c r="L149" s="77">
        <v>0</v>
      </c>
      <c r="M149" s="29" t="s">
        <v>447</v>
      </c>
      <c r="N149" s="77">
        <v>497.5</v>
      </c>
      <c r="O149" s="22">
        <f t="shared" si="2"/>
        <v>497.5</v>
      </c>
    </row>
    <row r="150" s="22" customFormat="1" ht="15" customHeight="1" spans="1:15">
      <c r="A150" s="25" t="s">
        <v>444</v>
      </c>
      <c r="B150" s="28" t="s">
        <v>445</v>
      </c>
      <c r="C150" s="25" t="s">
        <v>41</v>
      </c>
      <c r="D150" s="28" t="s">
        <v>406</v>
      </c>
      <c r="E150" s="25" t="s">
        <v>41</v>
      </c>
      <c r="F150" s="25" t="s">
        <v>443</v>
      </c>
      <c r="G150" s="25" t="s">
        <v>447</v>
      </c>
      <c r="H150" s="76">
        <v>2621.52</v>
      </c>
      <c r="I150" s="76">
        <v>0</v>
      </c>
      <c r="J150" s="76">
        <v>0</v>
      </c>
      <c r="K150" s="76">
        <v>0</v>
      </c>
      <c r="L150" s="76">
        <v>0</v>
      </c>
      <c r="M150" s="25" t="s">
        <v>447</v>
      </c>
      <c r="N150" s="76">
        <v>2621.52</v>
      </c>
      <c r="O150" s="22">
        <f t="shared" si="2"/>
        <v>2621.52</v>
      </c>
    </row>
    <row r="151" s="22" customFormat="1" ht="15" customHeight="1" spans="1:15">
      <c r="A151" s="29" t="s">
        <v>444</v>
      </c>
      <c r="B151" s="32" t="s">
        <v>445</v>
      </c>
      <c r="C151" s="29" t="s">
        <v>41</v>
      </c>
      <c r="D151" s="32" t="s">
        <v>407</v>
      </c>
      <c r="E151" s="29" t="s">
        <v>41</v>
      </c>
      <c r="F151" s="29" t="s">
        <v>443</v>
      </c>
      <c r="G151" s="29" t="s">
        <v>447</v>
      </c>
      <c r="H151" s="77">
        <v>54943.1</v>
      </c>
      <c r="I151" s="77">
        <v>0</v>
      </c>
      <c r="J151" s="77">
        <v>0</v>
      </c>
      <c r="K151" s="77">
        <v>0</v>
      </c>
      <c r="L151" s="77">
        <v>0</v>
      </c>
      <c r="M151" s="29" t="s">
        <v>447</v>
      </c>
      <c r="N151" s="77">
        <v>54943.1</v>
      </c>
      <c r="O151" s="22">
        <f t="shared" si="2"/>
        <v>54943.1</v>
      </c>
    </row>
    <row r="152" s="22" customFormat="1" ht="15" customHeight="1" spans="1:15">
      <c r="A152" s="25" t="s">
        <v>444</v>
      </c>
      <c r="B152" s="28" t="s">
        <v>445</v>
      </c>
      <c r="C152" s="25" t="s">
        <v>41</v>
      </c>
      <c r="D152" s="28" t="s">
        <v>562</v>
      </c>
      <c r="E152" s="25" t="s">
        <v>41</v>
      </c>
      <c r="F152" s="25" t="s">
        <v>443</v>
      </c>
      <c r="G152" s="25" t="s">
        <v>489</v>
      </c>
      <c r="H152" s="76">
        <v>0</v>
      </c>
      <c r="I152" s="76">
        <v>0</v>
      </c>
      <c r="J152" s="76">
        <v>0</v>
      </c>
      <c r="K152" s="76">
        <v>0</v>
      </c>
      <c r="L152" s="76">
        <v>0</v>
      </c>
      <c r="M152" s="25" t="s">
        <v>489</v>
      </c>
      <c r="N152" s="76">
        <v>0</v>
      </c>
      <c r="O152" s="22">
        <f t="shared" si="2"/>
        <v>0</v>
      </c>
    </row>
    <row r="153" s="22" customFormat="1" ht="15" customHeight="1" spans="1:15">
      <c r="A153" s="29" t="s">
        <v>444</v>
      </c>
      <c r="B153" s="32" t="s">
        <v>445</v>
      </c>
      <c r="C153" s="29" t="s">
        <v>41</v>
      </c>
      <c r="D153" s="32" t="s">
        <v>563</v>
      </c>
      <c r="E153" s="29" t="s">
        <v>41</v>
      </c>
      <c r="F153" s="29" t="s">
        <v>443</v>
      </c>
      <c r="G153" s="29" t="s">
        <v>489</v>
      </c>
      <c r="H153" s="77">
        <v>0</v>
      </c>
      <c r="I153" s="77">
        <v>0</v>
      </c>
      <c r="J153" s="77">
        <v>0</v>
      </c>
      <c r="K153" s="77">
        <v>0</v>
      </c>
      <c r="L153" s="77">
        <v>0</v>
      </c>
      <c r="M153" s="29" t="s">
        <v>489</v>
      </c>
      <c r="N153" s="77">
        <v>0</v>
      </c>
      <c r="O153" s="22">
        <f t="shared" si="2"/>
        <v>0</v>
      </c>
    </row>
    <row r="154" s="22" customFormat="1" ht="15" customHeight="1" spans="1:15">
      <c r="A154" s="25" t="s">
        <v>444</v>
      </c>
      <c r="B154" s="28" t="s">
        <v>445</v>
      </c>
      <c r="C154" s="25" t="s">
        <v>41</v>
      </c>
      <c r="D154" s="28" t="s">
        <v>481</v>
      </c>
      <c r="E154" s="25" t="s">
        <v>41</v>
      </c>
      <c r="F154" s="25" t="s">
        <v>443</v>
      </c>
      <c r="G154" s="25" t="s">
        <v>447</v>
      </c>
      <c r="H154" s="76">
        <v>760</v>
      </c>
      <c r="I154" s="76">
        <v>0</v>
      </c>
      <c r="J154" s="76">
        <v>0</v>
      </c>
      <c r="K154" s="76">
        <v>0</v>
      </c>
      <c r="L154" s="76">
        <v>0</v>
      </c>
      <c r="M154" s="25" t="s">
        <v>447</v>
      </c>
      <c r="N154" s="76">
        <v>760</v>
      </c>
      <c r="O154" s="22">
        <f t="shared" si="2"/>
        <v>760</v>
      </c>
    </row>
    <row r="155" s="22" customFormat="1" ht="15" customHeight="1" spans="1:15">
      <c r="A155" s="29" t="s">
        <v>444</v>
      </c>
      <c r="B155" s="32" t="s">
        <v>445</v>
      </c>
      <c r="C155" s="29" t="s">
        <v>41</v>
      </c>
      <c r="D155" s="32" t="s">
        <v>564</v>
      </c>
      <c r="E155" s="29" t="s">
        <v>41</v>
      </c>
      <c r="F155" s="29" t="s">
        <v>443</v>
      </c>
      <c r="G155" s="29" t="s">
        <v>489</v>
      </c>
      <c r="H155" s="77">
        <v>0</v>
      </c>
      <c r="I155" s="77">
        <v>0</v>
      </c>
      <c r="J155" s="77">
        <v>0</v>
      </c>
      <c r="K155" s="77">
        <v>0</v>
      </c>
      <c r="L155" s="77">
        <v>0</v>
      </c>
      <c r="M155" s="29" t="s">
        <v>489</v>
      </c>
      <c r="N155" s="77">
        <v>0</v>
      </c>
      <c r="O155" s="22">
        <f t="shared" si="2"/>
        <v>0</v>
      </c>
    </row>
    <row r="156" s="22" customFormat="1" ht="15" customHeight="1" spans="1:15">
      <c r="A156" s="25" t="s">
        <v>444</v>
      </c>
      <c r="B156" s="28" t="s">
        <v>445</v>
      </c>
      <c r="C156" s="25" t="s">
        <v>41</v>
      </c>
      <c r="D156" s="28" t="s">
        <v>300</v>
      </c>
      <c r="E156" s="25" t="s">
        <v>41</v>
      </c>
      <c r="F156" s="25" t="s">
        <v>443</v>
      </c>
      <c r="G156" s="25" t="s">
        <v>447</v>
      </c>
      <c r="H156" s="76">
        <v>435702.11</v>
      </c>
      <c r="I156" s="76">
        <v>2008.12</v>
      </c>
      <c r="J156" s="76">
        <v>18852.92</v>
      </c>
      <c r="K156" s="76">
        <v>380378.99</v>
      </c>
      <c r="L156" s="76">
        <v>304997.69</v>
      </c>
      <c r="M156" s="25" t="s">
        <v>447</v>
      </c>
      <c r="N156" s="76">
        <v>452546.91</v>
      </c>
      <c r="O156" s="22">
        <f t="shared" si="2"/>
        <v>452546.91</v>
      </c>
    </row>
    <row r="157" s="22" customFormat="1" ht="15" customHeight="1" spans="1:15">
      <c r="A157" s="29" t="s">
        <v>444</v>
      </c>
      <c r="B157" s="32" t="s">
        <v>445</v>
      </c>
      <c r="C157" s="29" t="s">
        <v>41</v>
      </c>
      <c r="D157" s="32" t="s">
        <v>482</v>
      </c>
      <c r="E157" s="29" t="s">
        <v>41</v>
      </c>
      <c r="F157" s="29" t="s">
        <v>443</v>
      </c>
      <c r="G157" s="29" t="s">
        <v>447</v>
      </c>
      <c r="H157" s="77">
        <v>15050.16</v>
      </c>
      <c r="I157" s="77">
        <v>0</v>
      </c>
      <c r="J157" s="77">
        <v>0</v>
      </c>
      <c r="K157" s="77">
        <v>0</v>
      </c>
      <c r="L157" s="77">
        <v>0</v>
      </c>
      <c r="M157" s="29" t="s">
        <v>447</v>
      </c>
      <c r="N157" s="77">
        <v>15050.16</v>
      </c>
      <c r="O157" s="22">
        <f t="shared" si="2"/>
        <v>15050.16</v>
      </c>
    </row>
    <row r="158" s="22" customFormat="1" ht="15" customHeight="1" spans="1:15">
      <c r="A158" s="25" t="s">
        <v>444</v>
      </c>
      <c r="B158" s="28" t="s">
        <v>445</v>
      </c>
      <c r="C158" s="25" t="s">
        <v>41</v>
      </c>
      <c r="D158" s="28" t="s">
        <v>565</v>
      </c>
      <c r="E158" s="25" t="s">
        <v>41</v>
      </c>
      <c r="F158" s="25" t="s">
        <v>443</v>
      </c>
      <c r="G158" s="25" t="s">
        <v>489</v>
      </c>
      <c r="H158" s="76">
        <v>0</v>
      </c>
      <c r="I158" s="76">
        <v>0</v>
      </c>
      <c r="J158" s="76">
        <v>0</v>
      </c>
      <c r="K158" s="76">
        <v>0</v>
      </c>
      <c r="L158" s="76">
        <v>0</v>
      </c>
      <c r="M158" s="25" t="s">
        <v>489</v>
      </c>
      <c r="N158" s="76">
        <v>0</v>
      </c>
      <c r="O158" s="22">
        <f t="shared" si="2"/>
        <v>0</v>
      </c>
    </row>
    <row r="159" s="22" customFormat="1" ht="15" customHeight="1" spans="1:15">
      <c r="A159" s="29" t="s">
        <v>444</v>
      </c>
      <c r="B159" s="32" t="s">
        <v>445</v>
      </c>
      <c r="C159" s="29" t="s">
        <v>41</v>
      </c>
      <c r="D159" s="32" t="s">
        <v>566</v>
      </c>
      <c r="E159" s="29" t="s">
        <v>41</v>
      </c>
      <c r="F159" s="29" t="s">
        <v>443</v>
      </c>
      <c r="G159" s="29" t="s">
        <v>489</v>
      </c>
      <c r="H159" s="77">
        <v>0</v>
      </c>
      <c r="I159" s="77">
        <v>0</v>
      </c>
      <c r="J159" s="77">
        <v>0</v>
      </c>
      <c r="K159" s="77">
        <v>0</v>
      </c>
      <c r="L159" s="77">
        <v>0</v>
      </c>
      <c r="M159" s="29" t="s">
        <v>489</v>
      </c>
      <c r="N159" s="77">
        <v>0</v>
      </c>
      <c r="O159" s="22">
        <f t="shared" si="2"/>
        <v>0</v>
      </c>
    </row>
    <row r="160" s="22" customFormat="1" ht="15" customHeight="1" spans="1:15">
      <c r="A160" s="25" t="s">
        <v>444</v>
      </c>
      <c r="B160" s="28" t="s">
        <v>445</v>
      </c>
      <c r="C160" s="25" t="s">
        <v>41</v>
      </c>
      <c r="D160" s="28" t="s">
        <v>567</v>
      </c>
      <c r="E160" s="25" t="s">
        <v>41</v>
      </c>
      <c r="F160" s="25" t="s">
        <v>443</v>
      </c>
      <c r="G160" s="25" t="s">
        <v>489</v>
      </c>
      <c r="H160" s="76">
        <v>0</v>
      </c>
      <c r="I160" s="76">
        <v>0</v>
      </c>
      <c r="J160" s="76">
        <v>0</v>
      </c>
      <c r="K160" s="76">
        <v>0</v>
      </c>
      <c r="L160" s="76">
        <v>0</v>
      </c>
      <c r="M160" s="25" t="s">
        <v>489</v>
      </c>
      <c r="N160" s="76">
        <v>0</v>
      </c>
      <c r="O160" s="22">
        <f t="shared" si="2"/>
        <v>0</v>
      </c>
    </row>
    <row r="161" s="22" customFormat="1" ht="15" customHeight="1" spans="1:15">
      <c r="A161" s="29" t="s">
        <v>444</v>
      </c>
      <c r="B161" s="32" t="s">
        <v>445</v>
      </c>
      <c r="C161" s="29" t="s">
        <v>41</v>
      </c>
      <c r="D161" s="32" t="s">
        <v>568</v>
      </c>
      <c r="E161" s="29" t="s">
        <v>41</v>
      </c>
      <c r="F161" s="29" t="s">
        <v>484</v>
      </c>
      <c r="G161" s="29" t="s">
        <v>489</v>
      </c>
      <c r="H161" s="77">
        <v>0</v>
      </c>
      <c r="I161" s="77">
        <v>0</v>
      </c>
      <c r="J161" s="77">
        <v>0</v>
      </c>
      <c r="K161" s="77">
        <v>0</v>
      </c>
      <c r="L161" s="77">
        <v>0</v>
      </c>
      <c r="M161" s="29" t="s">
        <v>489</v>
      </c>
      <c r="N161" s="77">
        <v>0</v>
      </c>
      <c r="O161" s="22">
        <f t="shared" si="2"/>
        <v>0</v>
      </c>
    </row>
    <row r="162" s="22" customFormat="1" ht="15" customHeight="1" spans="1:15">
      <c r="A162" s="25" t="s">
        <v>444</v>
      </c>
      <c r="B162" s="28" t="s">
        <v>445</v>
      </c>
      <c r="C162" s="25" t="s">
        <v>41</v>
      </c>
      <c r="D162" s="28" t="s">
        <v>483</v>
      </c>
      <c r="E162" s="25" t="s">
        <v>41</v>
      </c>
      <c r="F162" s="25" t="s">
        <v>484</v>
      </c>
      <c r="G162" s="25" t="s">
        <v>453</v>
      </c>
      <c r="H162" s="76">
        <v>566</v>
      </c>
      <c r="I162" s="76">
        <v>0</v>
      </c>
      <c r="J162" s="76">
        <v>0</v>
      </c>
      <c r="K162" s="76">
        <v>0</v>
      </c>
      <c r="L162" s="76">
        <v>0</v>
      </c>
      <c r="M162" s="25" t="s">
        <v>453</v>
      </c>
      <c r="N162" s="76">
        <v>566</v>
      </c>
      <c r="O162" s="22">
        <f t="shared" si="2"/>
        <v>-566</v>
      </c>
    </row>
    <row r="163" s="22" customFormat="1" ht="15" customHeight="1" spans="1:15">
      <c r="A163" s="29" t="s">
        <v>444</v>
      </c>
      <c r="B163" s="32" t="s">
        <v>445</v>
      </c>
      <c r="C163" s="29" t="s">
        <v>41</v>
      </c>
      <c r="D163" s="32" t="s">
        <v>569</v>
      </c>
      <c r="E163" s="29" t="s">
        <v>41</v>
      </c>
      <c r="F163" s="29" t="s">
        <v>443</v>
      </c>
      <c r="G163" s="29" t="s">
        <v>489</v>
      </c>
      <c r="H163" s="77">
        <v>0</v>
      </c>
      <c r="I163" s="77">
        <v>0</v>
      </c>
      <c r="J163" s="77">
        <v>0</v>
      </c>
      <c r="K163" s="77">
        <v>0</v>
      </c>
      <c r="L163" s="77">
        <v>0</v>
      </c>
      <c r="M163" s="29" t="s">
        <v>489</v>
      </c>
      <c r="N163" s="77">
        <v>0</v>
      </c>
      <c r="O163" s="22">
        <f t="shared" si="2"/>
        <v>0</v>
      </c>
    </row>
    <row r="164" s="22" customFormat="1" ht="15" customHeight="1" spans="1:15">
      <c r="A164" s="25" t="s">
        <v>444</v>
      </c>
      <c r="B164" s="28" t="s">
        <v>445</v>
      </c>
      <c r="C164" s="25" t="s">
        <v>41</v>
      </c>
      <c r="D164" s="28" t="s">
        <v>285</v>
      </c>
      <c r="E164" s="25" t="s">
        <v>41</v>
      </c>
      <c r="F164" s="25" t="s">
        <v>484</v>
      </c>
      <c r="G164" s="25" t="s">
        <v>447</v>
      </c>
      <c r="H164" s="76">
        <v>124125.98</v>
      </c>
      <c r="I164" s="76">
        <v>55661.54</v>
      </c>
      <c r="J164" s="76">
        <v>7503.2</v>
      </c>
      <c r="K164" s="76">
        <v>55661.54</v>
      </c>
      <c r="L164" s="76">
        <v>75967.64</v>
      </c>
      <c r="M164" s="25" t="s">
        <v>447</v>
      </c>
      <c r="N164" s="76">
        <v>75967.64</v>
      </c>
      <c r="O164" s="22">
        <f t="shared" si="2"/>
        <v>75967.64</v>
      </c>
    </row>
    <row r="165" s="22" customFormat="1" ht="15" customHeight="1" spans="1:15">
      <c r="A165" s="29" t="s">
        <v>444</v>
      </c>
      <c r="B165" s="32" t="s">
        <v>445</v>
      </c>
      <c r="C165" s="29" t="s">
        <v>41</v>
      </c>
      <c r="D165" s="32" t="s">
        <v>485</v>
      </c>
      <c r="E165" s="29" t="s">
        <v>41</v>
      </c>
      <c r="F165" s="29" t="s">
        <v>443</v>
      </c>
      <c r="G165" s="29" t="s">
        <v>447</v>
      </c>
      <c r="H165" s="77">
        <v>7961.51</v>
      </c>
      <c r="I165" s="77">
        <v>0</v>
      </c>
      <c r="J165" s="77">
        <v>0</v>
      </c>
      <c r="K165" s="77">
        <v>0</v>
      </c>
      <c r="L165" s="77">
        <v>0</v>
      </c>
      <c r="M165" s="29" t="s">
        <v>447</v>
      </c>
      <c r="N165" s="77">
        <v>7961.51</v>
      </c>
      <c r="O165" s="22">
        <f t="shared" si="2"/>
        <v>7961.51</v>
      </c>
    </row>
    <row r="166" s="22" customFormat="1" ht="15" customHeight="1" spans="1:15">
      <c r="A166" s="25" t="s">
        <v>444</v>
      </c>
      <c r="B166" s="28" t="s">
        <v>445</v>
      </c>
      <c r="C166" s="25" t="s">
        <v>41</v>
      </c>
      <c r="D166" s="28" t="s">
        <v>570</v>
      </c>
      <c r="E166" s="25" t="s">
        <v>41</v>
      </c>
      <c r="F166" s="25" t="s">
        <v>443</v>
      </c>
      <c r="G166" s="25" t="s">
        <v>489</v>
      </c>
      <c r="H166" s="76">
        <v>0</v>
      </c>
      <c r="I166" s="76">
        <v>0</v>
      </c>
      <c r="J166" s="76">
        <v>0</v>
      </c>
      <c r="K166" s="76">
        <v>0</v>
      </c>
      <c r="L166" s="76">
        <v>0</v>
      </c>
      <c r="M166" s="25" t="s">
        <v>489</v>
      </c>
      <c r="N166" s="76">
        <v>0</v>
      </c>
      <c r="O166" s="22">
        <f t="shared" si="2"/>
        <v>0</v>
      </c>
    </row>
    <row r="167" s="22" customFormat="1" ht="15" customHeight="1" spans="1:15">
      <c r="A167" s="29" t="s">
        <v>444</v>
      </c>
      <c r="B167" s="32" t="s">
        <v>445</v>
      </c>
      <c r="C167" s="29" t="s">
        <v>41</v>
      </c>
      <c r="D167" s="32" t="s">
        <v>301</v>
      </c>
      <c r="E167" s="29" t="s">
        <v>41</v>
      </c>
      <c r="F167" s="29" t="s">
        <v>443</v>
      </c>
      <c r="G167" s="29" t="s">
        <v>447</v>
      </c>
      <c r="H167" s="77">
        <v>141610.15</v>
      </c>
      <c r="I167" s="77">
        <v>0</v>
      </c>
      <c r="J167" s="77">
        <v>-138241.93</v>
      </c>
      <c r="K167" s="77">
        <v>0</v>
      </c>
      <c r="L167" s="77">
        <v>-89049.54</v>
      </c>
      <c r="M167" s="29" t="s">
        <v>447</v>
      </c>
      <c r="N167" s="77">
        <v>3368.22</v>
      </c>
      <c r="O167" s="22">
        <f t="shared" si="2"/>
        <v>3368.22</v>
      </c>
    </row>
    <row r="168" s="22" customFormat="1" ht="15" customHeight="1" spans="1:15">
      <c r="A168" s="25" t="s">
        <v>444</v>
      </c>
      <c r="B168" s="28" t="s">
        <v>445</v>
      </c>
      <c r="C168" s="25" t="s">
        <v>41</v>
      </c>
      <c r="D168" s="28" t="s">
        <v>269</v>
      </c>
      <c r="E168" s="25" t="s">
        <v>41</v>
      </c>
      <c r="F168" s="25" t="s">
        <v>443</v>
      </c>
      <c r="G168" s="25" t="s">
        <v>453</v>
      </c>
      <c r="H168" s="76">
        <v>10623.91</v>
      </c>
      <c r="I168" s="76">
        <v>0</v>
      </c>
      <c r="J168" s="76">
        <v>0</v>
      </c>
      <c r="K168" s="76">
        <v>0</v>
      </c>
      <c r="L168" s="76">
        <v>47235.2</v>
      </c>
      <c r="M168" s="25" t="s">
        <v>453</v>
      </c>
      <c r="N168" s="76">
        <v>10623.91</v>
      </c>
      <c r="O168" s="22">
        <f t="shared" si="2"/>
        <v>-10623.91</v>
      </c>
    </row>
    <row r="169" s="22" customFormat="1" ht="15" customHeight="1" spans="1:15">
      <c r="A169" s="29" t="s">
        <v>444</v>
      </c>
      <c r="B169" s="32" t="s">
        <v>445</v>
      </c>
      <c r="C169" s="29" t="s">
        <v>41</v>
      </c>
      <c r="D169" s="32" t="s">
        <v>571</v>
      </c>
      <c r="E169" s="29" t="s">
        <v>41</v>
      </c>
      <c r="F169" s="29" t="s">
        <v>443</v>
      </c>
      <c r="G169" s="29" t="s">
        <v>489</v>
      </c>
      <c r="H169" s="77">
        <v>0</v>
      </c>
      <c r="I169" s="77">
        <v>0</v>
      </c>
      <c r="J169" s="77">
        <v>0</v>
      </c>
      <c r="K169" s="77">
        <v>0</v>
      </c>
      <c r="L169" s="77">
        <v>0</v>
      </c>
      <c r="M169" s="29" t="s">
        <v>489</v>
      </c>
      <c r="N169" s="77">
        <v>0</v>
      </c>
      <c r="O169" s="22">
        <f t="shared" si="2"/>
        <v>0</v>
      </c>
    </row>
    <row r="170" s="22" customFormat="1" ht="15" customHeight="1" spans="1:15">
      <c r="A170" s="25" t="s">
        <v>444</v>
      </c>
      <c r="B170" s="28" t="s">
        <v>445</v>
      </c>
      <c r="C170" s="25" t="s">
        <v>41</v>
      </c>
      <c r="D170" s="28" t="s">
        <v>270</v>
      </c>
      <c r="E170" s="25" t="s">
        <v>41</v>
      </c>
      <c r="F170" s="25" t="s">
        <v>443</v>
      </c>
      <c r="G170" s="25" t="s">
        <v>447</v>
      </c>
      <c r="H170" s="76">
        <v>36813.73</v>
      </c>
      <c r="I170" s="76">
        <v>15992.33</v>
      </c>
      <c r="J170" s="76">
        <v>4024.8</v>
      </c>
      <c r="K170" s="76">
        <v>41992.33</v>
      </c>
      <c r="L170" s="76">
        <v>24846.2</v>
      </c>
      <c r="M170" s="25" t="s">
        <v>447</v>
      </c>
      <c r="N170" s="76">
        <v>24846.2</v>
      </c>
      <c r="O170" s="22">
        <f t="shared" si="2"/>
        <v>24846.2</v>
      </c>
    </row>
    <row r="171" s="22" customFormat="1" ht="15" customHeight="1" spans="1:15">
      <c r="A171" s="29" t="s">
        <v>444</v>
      </c>
      <c r="B171" s="32" t="s">
        <v>445</v>
      </c>
      <c r="C171" s="29" t="s">
        <v>41</v>
      </c>
      <c r="D171" s="32" t="s">
        <v>271</v>
      </c>
      <c r="E171" s="29" t="s">
        <v>41</v>
      </c>
      <c r="F171" s="29" t="s">
        <v>443</v>
      </c>
      <c r="G171" s="29" t="s">
        <v>447</v>
      </c>
      <c r="H171" s="77">
        <v>22774.59</v>
      </c>
      <c r="I171" s="77">
        <v>0</v>
      </c>
      <c r="J171" s="77">
        <v>0</v>
      </c>
      <c r="K171" s="77">
        <v>0</v>
      </c>
      <c r="L171" s="77">
        <v>0</v>
      </c>
      <c r="M171" s="29" t="s">
        <v>447</v>
      </c>
      <c r="N171" s="77">
        <v>22774.59</v>
      </c>
      <c r="O171" s="22">
        <f t="shared" si="2"/>
        <v>22774.59</v>
      </c>
    </row>
    <row r="172" s="22" customFormat="1" ht="15" customHeight="1" spans="1:15">
      <c r="A172" s="25" t="s">
        <v>444</v>
      </c>
      <c r="B172" s="28" t="s">
        <v>445</v>
      </c>
      <c r="C172" s="25" t="s">
        <v>41</v>
      </c>
      <c r="D172" s="28" t="s">
        <v>272</v>
      </c>
      <c r="E172" s="25" t="s">
        <v>41</v>
      </c>
      <c r="F172" s="25" t="s">
        <v>443</v>
      </c>
      <c r="G172" s="25" t="s">
        <v>447</v>
      </c>
      <c r="H172" s="76">
        <v>408622.83</v>
      </c>
      <c r="I172" s="76">
        <v>150000</v>
      </c>
      <c r="J172" s="76">
        <v>59100.25</v>
      </c>
      <c r="K172" s="76">
        <v>550000</v>
      </c>
      <c r="L172" s="76">
        <v>314960.12</v>
      </c>
      <c r="M172" s="25" t="s">
        <v>447</v>
      </c>
      <c r="N172" s="76">
        <v>317723.08</v>
      </c>
      <c r="O172" s="22">
        <f t="shared" si="2"/>
        <v>317723.08</v>
      </c>
    </row>
    <row r="173" s="22" customFormat="1" ht="15" customHeight="1" spans="1:15">
      <c r="A173" s="29" t="s">
        <v>444</v>
      </c>
      <c r="B173" s="32" t="s">
        <v>445</v>
      </c>
      <c r="C173" s="29" t="s">
        <v>41</v>
      </c>
      <c r="D173" s="32" t="s">
        <v>572</v>
      </c>
      <c r="E173" s="29" t="s">
        <v>41</v>
      </c>
      <c r="F173" s="29" t="s">
        <v>443</v>
      </c>
      <c r="G173" s="29" t="s">
        <v>489</v>
      </c>
      <c r="H173" s="77">
        <v>0</v>
      </c>
      <c r="I173" s="77">
        <v>0</v>
      </c>
      <c r="J173" s="77">
        <v>0</v>
      </c>
      <c r="K173" s="77">
        <v>0</v>
      </c>
      <c r="L173" s="77">
        <v>0</v>
      </c>
      <c r="M173" s="29" t="s">
        <v>489</v>
      </c>
      <c r="N173" s="77">
        <v>0</v>
      </c>
      <c r="O173" s="22">
        <f t="shared" si="2"/>
        <v>0</v>
      </c>
    </row>
    <row r="174" s="22" customFormat="1" ht="15" customHeight="1" spans="1:15">
      <c r="A174" s="25" t="s">
        <v>444</v>
      </c>
      <c r="B174" s="28" t="s">
        <v>445</v>
      </c>
      <c r="C174" s="25" t="s">
        <v>41</v>
      </c>
      <c r="D174" s="28" t="s">
        <v>573</v>
      </c>
      <c r="E174" s="25" t="s">
        <v>41</v>
      </c>
      <c r="F174" s="25" t="s">
        <v>443</v>
      </c>
      <c r="G174" s="25" t="s">
        <v>489</v>
      </c>
      <c r="H174" s="76">
        <v>0</v>
      </c>
      <c r="I174" s="76">
        <v>0</v>
      </c>
      <c r="J174" s="76">
        <v>0</v>
      </c>
      <c r="K174" s="76">
        <v>0</v>
      </c>
      <c r="L174" s="76">
        <v>0</v>
      </c>
      <c r="M174" s="25" t="s">
        <v>489</v>
      </c>
      <c r="N174" s="76">
        <v>0</v>
      </c>
      <c r="O174" s="22">
        <f t="shared" si="2"/>
        <v>0</v>
      </c>
    </row>
    <row r="175" s="22" customFormat="1" ht="15" customHeight="1" spans="1:15">
      <c r="A175" s="29" t="s">
        <v>444</v>
      </c>
      <c r="B175" s="32" t="s">
        <v>445</v>
      </c>
      <c r="C175" s="29" t="s">
        <v>41</v>
      </c>
      <c r="D175" s="32" t="s">
        <v>273</v>
      </c>
      <c r="E175" s="29" t="s">
        <v>41</v>
      </c>
      <c r="F175" s="29" t="s">
        <v>443</v>
      </c>
      <c r="G175" s="29" t="s">
        <v>447</v>
      </c>
      <c r="H175" s="77">
        <v>13613.57</v>
      </c>
      <c r="I175" s="77">
        <v>13613.57</v>
      </c>
      <c r="J175" s="77">
        <v>21652.61</v>
      </c>
      <c r="K175" s="77">
        <v>31764.98</v>
      </c>
      <c r="L175" s="77">
        <v>21652.61</v>
      </c>
      <c r="M175" s="29" t="s">
        <v>447</v>
      </c>
      <c r="N175" s="77">
        <v>21652.61</v>
      </c>
      <c r="O175" s="22">
        <f t="shared" si="2"/>
        <v>21652.61</v>
      </c>
    </row>
    <row r="176" s="22" customFormat="1" ht="15" customHeight="1" spans="1:15">
      <c r="A176" s="25" t="s">
        <v>444</v>
      </c>
      <c r="B176" s="28" t="s">
        <v>445</v>
      </c>
      <c r="C176" s="25" t="s">
        <v>41</v>
      </c>
      <c r="D176" s="28" t="s">
        <v>574</v>
      </c>
      <c r="E176" s="25" t="s">
        <v>41</v>
      </c>
      <c r="F176" s="25" t="s">
        <v>443</v>
      </c>
      <c r="G176" s="25" t="s">
        <v>489</v>
      </c>
      <c r="H176" s="76">
        <v>0</v>
      </c>
      <c r="I176" s="76">
        <v>0</v>
      </c>
      <c r="J176" s="76">
        <v>0</v>
      </c>
      <c r="K176" s="76">
        <v>0</v>
      </c>
      <c r="L176" s="76">
        <v>0</v>
      </c>
      <c r="M176" s="25" t="s">
        <v>489</v>
      </c>
      <c r="N176" s="76">
        <v>0</v>
      </c>
      <c r="O176" s="22">
        <f t="shared" si="2"/>
        <v>0</v>
      </c>
    </row>
    <row r="177" s="22" customFormat="1" ht="15" customHeight="1" spans="1:15">
      <c r="A177" s="29" t="s">
        <v>444</v>
      </c>
      <c r="B177" s="32" t="s">
        <v>445</v>
      </c>
      <c r="C177" s="29" t="s">
        <v>41</v>
      </c>
      <c r="D177" s="32" t="s">
        <v>302</v>
      </c>
      <c r="E177" s="29" t="s">
        <v>41</v>
      </c>
      <c r="F177" s="29" t="s">
        <v>443</v>
      </c>
      <c r="G177" s="29" t="s">
        <v>447</v>
      </c>
      <c r="H177" s="77">
        <v>221893.67</v>
      </c>
      <c r="I177" s="77">
        <v>100000</v>
      </c>
      <c r="J177" s="77">
        <v>678</v>
      </c>
      <c r="K177" s="77">
        <v>200000</v>
      </c>
      <c r="L177" s="77">
        <v>34893.27</v>
      </c>
      <c r="M177" s="29" t="s">
        <v>447</v>
      </c>
      <c r="N177" s="77">
        <v>122571.67</v>
      </c>
      <c r="O177" s="22">
        <f t="shared" si="2"/>
        <v>122571.67</v>
      </c>
    </row>
    <row r="178" s="22" customFormat="1" ht="15" customHeight="1" spans="1:15">
      <c r="A178" s="25" t="s">
        <v>444</v>
      </c>
      <c r="B178" s="28" t="s">
        <v>445</v>
      </c>
      <c r="C178" s="25" t="s">
        <v>41</v>
      </c>
      <c r="D178" s="28" t="s">
        <v>575</v>
      </c>
      <c r="E178" s="25" t="s">
        <v>41</v>
      </c>
      <c r="F178" s="25" t="s">
        <v>443</v>
      </c>
      <c r="G178" s="25" t="s">
        <v>489</v>
      </c>
      <c r="H178" s="76">
        <v>0</v>
      </c>
      <c r="I178" s="76">
        <v>0</v>
      </c>
      <c r="J178" s="76">
        <v>0</v>
      </c>
      <c r="K178" s="76">
        <v>0</v>
      </c>
      <c r="L178" s="76">
        <v>0</v>
      </c>
      <c r="M178" s="25" t="s">
        <v>489</v>
      </c>
      <c r="N178" s="76">
        <v>0</v>
      </c>
      <c r="O178" s="22">
        <f t="shared" si="2"/>
        <v>0</v>
      </c>
    </row>
    <row r="179" s="22" customFormat="1" ht="15" customHeight="1" spans="1:15">
      <c r="A179" s="29" t="s">
        <v>444</v>
      </c>
      <c r="B179" s="32" t="s">
        <v>445</v>
      </c>
      <c r="C179" s="29" t="s">
        <v>41</v>
      </c>
      <c r="D179" s="32" t="s">
        <v>576</v>
      </c>
      <c r="E179" s="29" t="s">
        <v>41</v>
      </c>
      <c r="F179" s="29" t="s">
        <v>443</v>
      </c>
      <c r="G179" s="29" t="s">
        <v>489</v>
      </c>
      <c r="H179" s="77">
        <v>0</v>
      </c>
      <c r="I179" s="77">
        <v>0</v>
      </c>
      <c r="J179" s="77">
        <v>0</v>
      </c>
      <c r="K179" s="77">
        <v>0</v>
      </c>
      <c r="L179" s="77">
        <v>0</v>
      </c>
      <c r="M179" s="29" t="s">
        <v>489</v>
      </c>
      <c r="N179" s="77">
        <v>0</v>
      </c>
      <c r="O179" s="22">
        <f t="shared" si="2"/>
        <v>0</v>
      </c>
    </row>
    <row r="180" s="22" customFormat="1" ht="15" customHeight="1" spans="1:15">
      <c r="A180" s="25" t="s">
        <v>444</v>
      </c>
      <c r="B180" s="28" t="s">
        <v>445</v>
      </c>
      <c r="C180" s="25" t="s">
        <v>41</v>
      </c>
      <c r="D180" s="28" t="s">
        <v>577</v>
      </c>
      <c r="E180" s="25" t="s">
        <v>41</v>
      </c>
      <c r="F180" s="25" t="s">
        <v>443</v>
      </c>
      <c r="G180" s="25" t="s">
        <v>489</v>
      </c>
      <c r="H180" s="76">
        <v>0</v>
      </c>
      <c r="I180" s="76">
        <v>0</v>
      </c>
      <c r="J180" s="76">
        <v>0</v>
      </c>
      <c r="K180" s="76">
        <v>0</v>
      </c>
      <c r="L180" s="76">
        <v>0</v>
      </c>
      <c r="M180" s="25" t="s">
        <v>489</v>
      </c>
      <c r="N180" s="76">
        <v>0</v>
      </c>
      <c r="O180" s="22">
        <f t="shared" si="2"/>
        <v>0</v>
      </c>
    </row>
    <row r="181" s="22" customFormat="1" ht="15" customHeight="1" spans="1:15">
      <c r="A181" s="29" t="s">
        <v>444</v>
      </c>
      <c r="B181" s="32" t="s">
        <v>445</v>
      </c>
      <c r="C181" s="29" t="s">
        <v>41</v>
      </c>
      <c r="D181" s="32" t="s">
        <v>303</v>
      </c>
      <c r="E181" s="29" t="s">
        <v>41</v>
      </c>
      <c r="F181" s="29" t="s">
        <v>443</v>
      </c>
      <c r="G181" s="29" t="s">
        <v>447</v>
      </c>
      <c r="H181" s="77">
        <v>394240</v>
      </c>
      <c r="I181" s="77">
        <v>394240</v>
      </c>
      <c r="J181" s="77">
        <v>0</v>
      </c>
      <c r="K181" s="77">
        <v>660864.5</v>
      </c>
      <c r="L181" s="77">
        <v>394240</v>
      </c>
      <c r="M181" s="29" t="s">
        <v>489</v>
      </c>
      <c r="N181" s="77">
        <v>0</v>
      </c>
      <c r="O181" s="22">
        <f t="shared" si="2"/>
        <v>0</v>
      </c>
    </row>
    <row r="182" s="22" customFormat="1" ht="15" customHeight="1" spans="1:15">
      <c r="A182" s="25" t="s">
        <v>444</v>
      </c>
      <c r="B182" s="28" t="s">
        <v>445</v>
      </c>
      <c r="C182" s="25" t="s">
        <v>41</v>
      </c>
      <c r="D182" s="28" t="s">
        <v>274</v>
      </c>
      <c r="E182" s="25" t="s">
        <v>41</v>
      </c>
      <c r="F182" s="25" t="s">
        <v>443</v>
      </c>
      <c r="G182" s="25" t="s">
        <v>447</v>
      </c>
      <c r="H182" s="76">
        <v>232164.57</v>
      </c>
      <c r="I182" s="76">
        <v>0</v>
      </c>
      <c r="J182" s="76">
        <v>48300.51</v>
      </c>
      <c r="K182" s="76">
        <v>150000</v>
      </c>
      <c r="L182" s="76">
        <v>106560.14</v>
      </c>
      <c r="M182" s="25" t="s">
        <v>447</v>
      </c>
      <c r="N182" s="76">
        <v>280465.08</v>
      </c>
      <c r="O182" s="22">
        <f t="shared" si="2"/>
        <v>280465.08</v>
      </c>
    </row>
    <row r="183" s="22" customFormat="1" ht="15" customHeight="1" spans="1:15">
      <c r="A183" s="29" t="s">
        <v>444</v>
      </c>
      <c r="B183" s="32" t="s">
        <v>445</v>
      </c>
      <c r="C183" s="29" t="s">
        <v>41</v>
      </c>
      <c r="D183" s="32" t="s">
        <v>486</v>
      </c>
      <c r="E183" s="29" t="s">
        <v>41</v>
      </c>
      <c r="F183" s="29" t="s">
        <v>443</v>
      </c>
      <c r="G183" s="29" t="s">
        <v>453</v>
      </c>
      <c r="H183" s="77">
        <v>27216</v>
      </c>
      <c r="I183" s="77">
        <v>0</v>
      </c>
      <c r="J183" s="77">
        <v>0</v>
      </c>
      <c r="K183" s="77">
        <v>0</v>
      </c>
      <c r="L183" s="77">
        <v>0</v>
      </c>
      <c r="M183" s="29" t="s">
        <v>453</v>
      </c>
      <c r="N183" s="77">
        <v>27216</v>
      </c>
      <c r="O183" s="22">
        <f t="shared" si="2"/>
        <v>-27216</v>
      </c>
    </row>
    <row r="184" s="22" customFormat="1" ht="15" customHeight="1" spans="1:15">
      <c r="A184" s="25" t="s">
        <v>444</v>
      </c>
      <c r="B184" s="28" t="s">
        <v>445</v>
      </c>
      <c r="C184" s="25" t="s">
        <v>41</v>
      </c>
      <c r="D184" s="28" t="s">
        <v>578</v>
      </c>
      <c r="E184" s="25" t="s">
        <v>41</v>
      </c>
      <c r="F184" s="25" t="s">
        <v>443</v>
      </c>
      <c r="G184" s="25" t="s">
        <v>489</v>
      </c>
      <c r="H184" s="76">
        <v>0</v>
      </c>
      <c r="I184" s="76">
        <v>0</v>
      </c>
      <c r="J184" s="76">
        <v>0</v>
      </c>
      <c r="K184" s="76">
        <v>0</v>
      </c>
      <c r="L184" s="76">
        <v>0</v>
      </c>
      <c r="M184" s="25" t="s">
        <v>489</v>
      </c>
      <c r="N184" s="76">
        <v>0</v>
      </c>
      <c r="O184" s="22">
        <f t="shared" si="2"/>
        <v>0</v>
      </c>
    </row>
    <row r="185" s="22" customFormat="1" ht="15" customHeight="1" spans="1:15">
      <c r="A185" s="29" t="s">
        <v>444</v>
      </c>
      <c r="B185" s="32" t="s">
        <v>445</v>
      </c>
      <c r="C185" s="29" t="s">
        <v>41</v>
      </c>
      <c r="D185" s="32" t="s">
        <v>579</v>
      </c>
      <c r="E185" s="29" t="s">
        <v>41</v>
      </c>
      <c r="F185" s="29" t="s">
        <v>443</v>
      </c>
      <c r="G185" s="29" t="s">
        <v>453</v>
      </c>
      <c r="H185" s="77">
        <v>22780.8</v>
      </c>
      <c r="I185" s="77">
        <v>0</v>
      </c>
      <c r="J185" s="77">
        <v>22780.8</v>
      </c>
      <c r="K185" s="77">
        <v>0</v>
      </c>
      <c r="L185" s="77">
        <v>22780.8</v>
      </c>
      <c r="M185" s="29" t="s">
        <v>489</v>
      </c>
      <c r="N185" s="77">
        <v>0</v>
      </c>
      <c r="O185" s="22">
        <f t="shared" si="2"/>
        <v>0</v>
      </c>
    </row>
    <row r="186" s="22" customFormat="1" ht="15" customHeight="1" spans="1:15">
      <c r="A186" s="25" t="s">
        <v>444</v>
      </c>
      <c r="B186" s="28" t="s">
        <v>445</v>
      </c>
      <c r="C186" s="25" t="s">
        <v>41</v>
      </c>
      <c r="D186" s="28" t="s">
        <v>275</v>
      </c>
      <c r="E186" s="25" t="s">
        <v>41</v>
      </c>
      <c r="F186" s="25" t="s">
        <v>443</v>
      </c>
      <c r="G186" s="25" t="s">
        <v>447</v>
      </c>
      <c r="H186" s="76">
        <v>19212.65</v>
      </c>
      <c r="I186" s="76">
        <v>8179.64</v>
      </c>
      <c r="J186" s="76">
        <v>0</v>
      </c>
      <c r="K186" s="76">
        <v>42385.12</v>
      </c>
      <c r="L186" s="76">
        <v>11033.01</v>
      </c>
      <c r="M186" s="25" t="s">
        <v>447</v>
      </c>
      <c r="N186" s="76">
        <v>11033.01</v>
      </c>
      <c r="O186" s="22">
        <f t="shared" si="2"/>
        <v>11033.01</v>
      </c>
    </row>
    <row r="187" s="22" customFormat="1" ht="15" customHeight="1" spans="1:15">
      <c r="A187" s="29" t="s">
        <v>444</v>
      </c>
      <c r="B187" s="32" t="s">
        <v>445</v>
      </c>
      <c r="C187" s="29" t="s">
        <v>41</v>
      </c>
      <c r="D187" s="32" t="s">
        <v>281</v>
      </c>
      <c r="E187" s="29" t="s">
        <v>41</v>
      </c>
      <c r="F187" s="29" t="s">
        <v>443</v>
      </c>
      <c r="G187" s="29" t="s">
        <v>447</v>
      </c>
      <c r="H187" s="77">
        <v>28728</v>
      </c>
      <c r="I187" s="77">
        <v>28728</v>
      </c>
      <c r="J187" s="77">
        <v>9576</v>
      </c>
      <c r="K187" s="77">
        <v>45144</v>
      </c>
      <c r="L187" s="77">
        <v>19152</v>
      </c>
      <c r="M187" s="29" t="s">
        <v>447</v>
      </c>
      <c r="N187" s="77">
        <v>9576</v>
      </c>
      <c r="O187" s="22">
        <f t="shared" si="2"/>
        <v>9576</v>
      </c>
    </row>
    <row r="188" s="22" customFormat="1" ht="15" customHeight="1" spans="1:15">
      <c r="A188" s="25" t="s">
        <v>444</v>
      </c>
      <c r="B188" s="28" t="s">
        <v>445</v>
      </c>
      <c r="C188" s="25" t="s">
        <v>41</v>
      </c>
      <c r="D188" s="28" t="s">
        <v>580</v>
      </c>
      <c r="E188" s="25" t="s">
        <v>41</v>
      </c>
      <c r="F188" s="25" t="s">
        <v>443</v>
      </c>
      <c r="G188" s="25" t="s">
        <v>489</v>
      </c>
      <c r="H188" s="76">
        <v>0</v>
      </c>
      <c r="I188" s="76">
        <v>0</v>
      </c>
      <c r="J188" s="76">
        <v>0</v>
      </c>
      <c r="K188" s="76">
        <v>0</v>
      </c>
      <c r="L188" s="76">
        <v>0</v>
      </c>
      <c r="M188" s="25" t="s">
        <v>489</v>
      </c>
      <c r="N188" s="76">
        <v>0</v>
      </c>
      <c r="O188" s="22">
        <f t="shared" si="2"/>
        <v>0</v>
      </c>
    </row>
    <row r="189" s="22" customFormat="1" ht="15" customHeight="1" spans="1:15">
      <c r="A189" s="29" t="s">
        <v>444</v>
      </c>
      <c r="B189" s="32" t="s">
        <v>445</v>
      </c>
      <c r="C189" s="29" t="s">
        <v>41</v>
      </c>
      <c r="D189" s="32" t="s">
        <v>581</v>
      </c>
      <c r="E189" s="29" t="s">
        <v>41</v>
      </c>
      <c r="F189" s="29" t="s">
        <v>443</v>
      </c>
      <c r="G189" s="29" t="s">
        <v>489</v>
      </c>
      <c r="H189" s="77">
        <v>0</v>
      </c>
      <c r="I189" s="77">
        <v>0</v>
      </c>
      <c r="J189" s="77">
        <v>0</v>
      </c>
      <c r="K189" s="77">
        <v>0</v>
      </c>
      <c r="L189" s="77">
        <v>0</v>
      </c>
      <c r="M189" s="29" t="s">
        <v>489</v>
      </c>
      <c r="N189" s="77">
        <v>0</v>
      </c>
      <c r="O189" s="22">
        <f t="shared" si="2"/>
        <v>0</v>
      </c>
    </row>
    <row r="190" s="22" customFormat="1" ht="15" customHeight="1" spans="1:15">
      <c r="A190" s="25" t="s">
        <v>444</v>
      </c>
      <c r="B190" s="28" t="s">
        <v>445</v>
      </c>
      <c r="C190" s="25" t="s">
        <v>41</v>
      </c>
      <c r="D190" s="28" t="s">
        <v>408</v>
      </c>
      <c r="E190" s="25" t="s">
        <v>41</v>
      </c>
      <c r="F190" s="25" t="s">
        <v>443</v>
      </c>
      <c r="G190" s="25" t="s">
        <v>447</v>
      </c>
      <c r="H190" s="76">
        <v>14278.43</v>
      </c>
      <c r="I190" s="76">
        <v>14278.43</v>
      </c>
      <c r="J190" s="76">
        <v>0</v>
      </c>
      <c r="K190" s="76">
        <v>14278.43</v>
      </c>
      <c r="L190" s="76">
        <v>0</v>
      </c>
      <c r="M190" s="25" t="s">
        <v>489</v>
      </c>
      <c r="N190" s="76">
        <v>0</v>
      </c>
      <c r="O190" s="22">
        <f t="shared" si="2"/>
        <v>0</v>
      </c>
    </row>
    <row r="191" s="22" customFormat="1" ht="15" customHeight="1" spans="1:15">
      <c r="A191" s="29" t="s">
        <v>444</v>
      </c>
      <c r="B191" s="32" t="s">
        <v>445</v>
      </c>
      <c r="C191" s="29" t="s">
        <v>41</v>
      </c>
      <c r="D191" s="32" t="s">
        <v>284</v>
      </c>
      <c r="E191" s="29" t="s">
        <v>41</v>
      </c>
      <c r="F191" s="29" t="s">
        <v>443</v>
      </c>
      <c r="G191" s="29" t="s">
        <v>447</v>
      </c>
      <c r="H191" s="77">
        <v>90106.85</v>
      </c>
      <c r="I191" s="77">
        <v>1850.69</v>
      </c>
      <c r="J191" s="77">
        <v>27403.71</v>
      </c>
      <c r="K191" s="77">
        <v>1850.69</v>
      </c>
      <c r="L191" s="77">
        <v>115659.87</v>
      </c>
      <c r="M191" s="29" t="s">
        <v>447</v>
      </c>
      <c r="N191" s="77">
        <v>115659.87</v>
      </c>
      <c r="O191" s="22">
        <f t="shared" si="2"/>
        <v>115659.87</v>
      </c>
    </row>
    <row r="192" s="22" customFormat="1" ht="15" customHeight="1" spans="1:15">
      <c r="A192" s="25" t="s">
        <v>444</v>
      </c>
      <c r="B192" s="28" t="s">
        <v>445</v>
      </c>
      <c r="C192" s="25" t="s">
        <v>41</v>
      </c>
      <c r="D192" s="28" t="s">
        <v>582</v>
      </c>
      <c r="E192" s="25" t="s">
        <v>41</v>
      </c>
      <c r="F192" s="25" t="s">
        <v>443</v>
      </c>
      <c r="G192" s="25" t="s">
        <v>489</v>
      </c>
      <c r="H192" s="76">
        <v>0</v>
      </c>
      <c r="I192" s="76">
        <v>0</v>
      </c>
      <c r="J192" s="76">
        <v>0</v>
      </c>
      <c r="K192" s="76">
        <v>0</v>
      </c>
      <c r="L192" s="76">
        <v>0</v>
      </c>
      <c r="M192" s="25" t="s">
        <v>489</v>
      </c>
      <c r="N192" s="76">
        <v>0</v>
      </c>
      <c r="O192" s="22">
        <f t="shared" si="2"/>
        <v>0</v>
      </c>
    </row>
    <row r="193" s="22" customFormat="1" ht="15" customHeight="1" spans="1:15">
      <c r="A193" s="29" t="s">
        <v>444</v>
      </c>
      <c r="B193" s="32" t="s">
        <v>445</v>
      </c>
      <c r="C193" s="29" t="s">
        <v>41</v>
      </c>
      <c r="D193" s="32" t="s">
        <v>487</v>
      </c>
      <c r="E193" s="29" t="s">
        <v>41</v>
      </c>
      <c r="F193" s="29" t="s">
        <v>443</v>
      </c>
      <c r="G193" s="29" t="s">
        <v>447</v>
      </c>
      <c r="H193" s="77">
        <v>20</v>
      </c>
      <c r="I193" s="77">
        <v>0</v>
      </c>
      <c r="J193" s="77">
        <v>0</v>
      </c>
      <c r="K193" s="77">
        <v>0</v>
      </c>
      <c r="L193" s="77">
        <v>0</v>
      </c>
      <c r="M193" s="29" t="s">
        <v>447</v>
      </c>
      <c r="N193" s="77">
        <v>20</v>
      </c>
      <c r="O193" s="22">
        <f t="shared" si="2"/>
        <v>20</v>
      </c>
    </row>
    <row r="194" s="22" customFormat="1" ht="15" customHeight="1" spans="1:15">
      <c r="A194" s="25" t="s">
        <v>444</v>
      </c>
      <c r="B194" s="28" t="s">
        <v>445</v>
      </c>
      <c r="C194" s="25" t="s">
        <v>41</v>
      </c>
      <c r="D194" s="28" t="s">
        <v>276</v>
      </c>
      <c r="E194" s="25" t="s">
        <v>41</v>
      </c>
      <c r="F194" s="25" t="s">
        <v>443</v>
      </c>
      <c r="G194" s="25" t="s">
        <v>447</v>
      </c>
      <c r="H194" s="76">
        <v>38188.24</v>
      </c>
      <c r="I194" s="76">
        <v>0</v>
      </c>
      <c r="J194" s="76">
        <v>0</v>
      </c>
      <c r="K194" s="76">
        <v>0</v>
      </c>
      <c r="L194" s="76">
        <v>0</v>
      </c>
      <c r="M194" s="25" t="s">
        <v>447</v>
      </c>
      <c r="N194" s="76">
        <v>38188.24</v>
      </c>
      <c r="O194" s="22">
        <f t="shared" si="2"/>
        <v>38188.24</v>
      </c>
    </row>
    <row r="195" s="22" customFormat="1" ht="15" customHeight="1" spans="1:15">
      <c r="A195" s="29" t="s">
        <v>444</v>
      </c>
      <c r="B195" s="32" t="s">
        <v>445</v>
      </c>
      <c r="C195" s="29" t="s">
        <v>41</v>
      </c>
      <c r="D195" s="32" t="s">
        <v>583</v>
      </c>
      <c r="E195" s="29" t="s">
        <v>41</v>
      </c>
      <c r="F195" s="29" t="s">
        <v>443</v>
      </c>
      <c r="G195" s="29" t="s">
        <v>489</v>
      </c>
      <c r="H195" s="77">
        <v>0</v>
      </c>
      <c r="I195" s="77">
        <v>0</v>
      </c>
      <c r="J195" s="77">
        <v>0</v>
      </c>
      <c r="K195" s="77">
        <v>0</v>
      </c>
      <c r="L195" s="77">
        <v>0</v>
      </c>
      <c r="M195" s="29" t="s">
        <v>489</v>
      </c>
      <c r="N195" s="77">
        <v>0</v>
      </c>
      <c r="O195" s="22">
        <f t="shared" si="2"/>
        <v>0</v>
      </c>
    </row>
    <row r="196" s="22" customFormat="1" ht="15" customHeight="1" spans="1:15">
      <c r="A196" s="25" t="s">
        <v>444</v>
      </c>
      <c r="B196" s="28" t="s">
        <v>445</v>
      </c>
      <c r="C196" s="25" t="s">
        <v>41</v>
      </c>
      <c r="D196" s="28" t="s">
        <v>584</v>
      </c>
      <c r="E196" s="25" t="s">
        <v>41</v>
      </c>
      <c r="F196" s="25" t="s">
        <v>443</v>
      </c>
      <c r="G196" s="25" t="s">
        <v>489</v>
      </c>
      <c r="H196" s="76">
        <v>0</v>
      </c>
      <c r="I196" s="76">
        <v>0</v>
      </c>
      <c r="J196" s="76">
        <v>0</v>
      </c>
      <c r="K196" s="76">
        <v>0</v>
      </c>
      <c r="L196" s="76">
        <v>0</v>
      </c>
      <c r="M196" s="25" t="s">
        <v>489</v>
      </c>
      <c r="N196" s="76">
        <v>0</v>
      </c>
      <c r="O196" s="22">
        <f t="shared" si="2"/>
        <v>0</v>
      </c>
    </row>
    <row r="197" s="22" customFormat="1" ht="15" customHeight="1" spans="1:15">
      <c r="A197" s="29" t="s">
        <v>444</v>
      </c>
      <c r="B197" s="32" t="s">
        <v>445</v>
      </c>
      <c r="C197" s="29" t="s">
        <v>41</v>
      </c>
      <c r="D197" s="32" t="s">
        <v>585</v>
      </c>
      <c r="E197" s="29" t="s">
        <v>41</v>
      </c>
      <c r="F197" s="29" t="s">
        <v>443</v>
      </c>
      <c r="G197" s="29" t="s">
        <v>489</v>
      </c>
      <c r="H197" s="77">
        <v>0</v>
      </c>
      <c r="I197" s="77">
        <v>0</v>
      </c>
      <c r="J197" s="77">
        <v>0</v>
      </c>
      <c r="K197" s="77">
        <v>0</v>
      </c>
      <c r="L197" s="77">
        <v>0</v>
      </c>
      <c r="M197" s="29" t="s">
        <v>489</v>
      </c>
      <c r="N197" s="77">
        <v>0</v>
      </c>
      <c r="O197" s="22">
        <f t="shared" ref="O197:O239" si="3">IF(M197="贷",N197,-N197)</f>
        <v>0</v>
      </c>
    </row>
    <row r="198" s="22" customFormat="1" ht="15" customHeight="1" spans="1:15">
      <c r="A198" s="25" t="s">
        <v>444</v>
      </c>
      <c r="B198" s="28" t="s">
        <v>445</v>
      </c>
      <c r="C198" s="25" t="s">
        <v>41</v>
      </c>
      <c r="D198" s="28" t="s">
        <v>586</v>
      </c>
      <c r="E198" s="25" t="s">
        <v>41</v>
      </c>
      <c r="F198" s="25" t="s">
        <v>443</v>
      </c>
      <c r="G198" s="25" t="s">
        <v>489</v>
      </c>
      <c r="H198" s="76">
        <v>0</v>
      </c>
      <c r="I198" s="76">
        <v>0</v>
      </c>
      <c r="J198" s="76">
        <v>0</v>
      </c>
      <c r="K198" s="76">
        <v>0</v>
      </c>
      <c r="L198" s="76">
        <v>0</v>
      </c>
      <c r="M198" s="25" t="s">
        <v>489</v>
      </c>
      <c r="N198" s="76">
        <v>0</v>
      </c>
      <c r="O198" s="22">
        <f t="shared" si="3"/>
        <v>0</v>
      </c>
    </row>
    <row r="199" s="22" customFormat="1" ht="15" customHeight="1" spans="1:15">
      <c r="A199" s="29" t="s">
        <v>444</v>
      </c>
      <c r="B199" s="32" t="s">
        <v>445</v>
      </c>
      <c r="C199" s="29" t="s">
        <v>41</v>
      </c>
      <c r="D199" s="32" t="s">
        <v>587</v>
      </c>
      <c r="E199" s="29" t="s">
        <v>41</v>
      </c>
      <c r="F199" s="29" t="s">
        <v>443</v>
      </c>
      <c r="G199" s="29" t="s">
        <v>489</v>
      </c>
      <c r="H199" s="77">
        <v>0</v>
      </c>
      <c r="I199" s="77">
        <v>0</v>
      </c>
      <c r="J199" s="77">
        <v>0</v>
      </c>
      <c r="K199" s="77">
        <v>0</v>
      </c>
      <c r="L199" s="77">
        <v>0</v>
      </c>
      <c r="M199" s="29" t="s">
        <v>489</v>
      </c>
      <c r="N199" s="77">
        <v>0</v>
      </c>
      <c r="O199" s="22">
        <f t="shared" si="3"/>
        <v>0</v>
      </c>
    </row>
    <row r="200" s="22" customFormat="1" ht="15" customHeight="1" spans="1:15">
      <c r="A200" s="25" t="s">
        <v>444</v>
      </c>
      <c r="B200" s="28" t="s">
        <v>445</v>
      </c>
      <c r="C200" s="25" t="s">
        <v>41</v>
      </c>
      <c r="D200" s="28" t="s">
        <v>588</v>
      </c>
      <c r="E200" s="25" t="s">
        <v>41</v>
      </c>
      <c r="F200" s="25" t="s">
        <v>443</v>
      </c>
      <c r="G200" s="25" t="s">
        <v>489</v>
      </c>
      <c r="H200" s="76">
        <v>0</v>
      </c>
      <c r="I200" s="76">
        <v>0</v>
      </c>
      <c r="J200" s="76">
        <v>0</v>
      </c>
      <c r="K200" s="76">
        <v>0</v>
      </c>
      <c r="L200" s="76">
        <v>0</v>
      </c>
      <c r="M200" s="25" t="s">
        <v>489</v>
      </c>
      <c r="N200" s="76">
        <v>0</v>
      </c>
      <c r="O200" s="22">
        <f t="shared" si="3"/>
        <v>0</v>
      </c>
    </row>
    <row r="201" s="22" customFormat="1" ht="15" customHeight="1" spans="1:15">
      <c r="A201" s="29" t="s">
        <v>444</v>
      </c>
      <c r="B201" s="32" t="s">
        <v>445</v>
      </c>
      <c r="C201" s="29" t="s">
        <v>41</v>
      </c>
      <c r="D201" s="32" t="s">
        <v>277</v>
      </c>
      <c r="E201" s="29" t="s">
        <v>41</v>
      </c>
      <c r="F201" s="29" t="s">
        <v>443</v>
      </c>
      <c r="G201" s="29" t="s">
        <v>447</v>
      </c>
      <c r="H201" s="77">
        <v>983536.47</v>
      </c>
      <c r="I201" s="77">
        <v>983536.47</v>
      </c>
      <c r="J201" s="77">
        <v>0</v>
      </c>
      <c r="K201" s="77">
        <v>2877264.73</v>
      </c>
      <c r="L201" s="77">
        <v>1497030.22</v>
      </c>
      <c r="M201" s="29" t="s">
        <v>489</v>
      </c>
      <c r="N201" s="77">
        <v>0</v>
      </c>
      <c r="O201" s="22">
        <f t="shared" si="3"/>
        <v>0</v>
      </c>
    </row>
    <row r="202" s="22" customFormat="1" ht="15" customHeight="1" spans="1:15">
      <c r="A202" s="25" t="s">
        <v>444</v>
      </c>
      <c r="B202" s="28" t="s">
        <v>445</v>
      </c>
      <c r="C202" s="25" t="s">
        <v>41</v>
      </c>
      <c r="D202" s="28" t="s">
        <v>589</v>
      </c>
      <c r="E202" s="25" t="s">
        <v>41</v>
      </c>
      <c r="F202" s="25" t="s">
        <v>443</v>
      </c>
      <c r="G202" s="25" t="s">
        <v>489</v>
      </c>
      <c r="H202" s="76">
        <v>0</v>
      </c>
      <c r="I202" s="76">
        <v>0</v>
      </c>
      <c r="J202" s="76">
        <v>0</v>
      </c>
      <c r="K202" s="76">
        <v>0</v>
      </c>
      <c r="L202" s="76">
        <v>0</v>
      </c>
      <c r="M202" s="25" t="s">
        <v>489</v>
      </c>
      <c r="N202" s="76">
        <v>0</v>
      </c>
      <c r="O202" s="22">
        <f t="shared" si="3"/>
        <v>0</v>
      </c>
    </row>
    <row r="203" s="22" customFormat="1" ht="15" customHeight="1" spans="1:15">
      <c r="A203" s="29" t="s">
        <v>444</v>
      </c>
      <c r="B203" s="32" t="s">
        <v>445</v>
      </c>
      <c r="C203" s="29" t="s">
        <v>41</v>
      </c>
      <c r="D203" s="32" t="s">
        <v>590</v>
      </c>
      <c r="E203" s="29" t="s">
        <v>41</v>
      </c>
      <c r="F203" s="29" t="s">
        <v>443</v>
      </c>
      <c r="G203" s="29" t="s">
        <v>489</v>
      </c>
      <c r="H203" s="77">
        <v>0</v>
      </c>
      <c r="I203" s="77">
        <v>0</v>
      </c>
      <c r="J203" s="77">
        <v>0</v>
      </c>
      <c r="K203" s="77">
        <v>0</v>
      </c>
      <c r="L203" s="77">
        <v>0</v>
      </c>
      <c r="M203" s="29" t="s">
        <v>489</v>
      </c>
      <c r="N203" s="77">
        <v>0</v>
      </c>
      <c r="O203" s="22">
        <f t="shared" si="3"/>
        <v>0</v>
      </c>
    </row>
    <row r="204" s="22" customFormat="1" ht="15" customHeight="1" spans="1:15">
      <c r="A204" s="25" t="s">
        <v>444</v>
      </c>
      <c r="B204" s="28" t="s">
        <v>445</v>
      </c>
      <c r="C204" s="25" t="s">
        <v>41</v>
      </c>
      <c r="D204" s="28" t="s">
        <v>591</v>
      </c>
      <c r="E204" s="25" t="s">
        <v>41</v>
      </c>
      <c r="F204" s="25" t="s">
        <v>443</v>
      </c>
      <c r="G204" s="25" t="s">
        <v>489</v>
      </c>
      <c r="H204" s="76">
        <v>0</v>
      </c>
      <c r="I204" s="76">
        <v>0</v>
      </c>
      <c r="J204" s="76">
        <v>0</v>
      </c>
      <c r="K204" s="76">
        <v>0</v>
      </c>
      <c r="L204" s="76">
        <v>0</v>
      </c>
      <c r="M204" s="25" t="s">
        <v>489</v>
      </c>
      <c r="N204" s="76">
        <v>0</v>
      </c>
      <c r="O204" s="22">
        <f t="shared" si="3"/>
        <v>0</v>
      </c>
    </row>
    <row r="205" s="22" customFormat="1" ht="15" customHeight="1" spans="1:15">
      <c r="A205" s="29" t="s">
        <v>444</v>
      </c>
      <c r="B205" s="32" t="s">
        <v>445</v>
      </c>
      <c r="C205" s="29" t="s">
        <v>41</v>
      </c>
      <c r="D205" s="32" t="s">
        <v>592</v>
      </c>
      <c r="E205" s="29" t="s">
        <v>41</v>
      </c>
      <c r="F205" s="29" t="s">
        <v>443</v>
      </c>
      <c r="G205" s="29" t="s">
        <v>489</v>
      </c>
      <c r="H205" s="77">
        <v>0</v>
      </c>
      <c r="I205" s="77">
        <v>0</v>
      </c>
      <c r="J205" s="77">
        <v>0</v>
      </c>
      <c r="K205" s="77">
        <v>0</v>
      </c>
      <c r="L205" s="77">
        <v>0</v>
      </c>
      <c r="M205" s="29" t="s">
        <v>489</v>
      </c>
      <c r="N205" s="77">
        <v>0</v>
      </c>
      <c r="O205" s="22">
        <f t="shared" si="3"/>
        <v>0</v>
      </c>
    </row>
    <row r="206" s="22" customFormat="1" ht="15" customHeight="1" spans="1:15">
      <c r="A206" s="25" t="s">
        <v>444</v>
      </c>
      <c r="B206" s="28" t="s">
        <v>445</v>
      </c>
      <c r="C206" s="25" t="s">
        <v>41</v>
      </c>
      <c r="D206" s="28" t="s">
        <v>304</v>
      </c>
      <c r="E206" s="25" t="s">
        <v>41</v>
      </c>
      <c r="F206" s="25" t="s">
        <v>443</v>
      </c>
      <c r="G206" s="25" t="s">
        <v>447</v>
      </c>
      <c r="H206" s="76">
        <v>31814.02</v>
      </c>
      <c r="I206" s="76">
        <v>31814.02</v>
      </c>
      <c r="J206" s="76">
        <v>0</v>
      </c>
      <c r="K206" s="76">
        <v>31814.02</v>
      </c>
      <c r="L206" s="76">
        <v>0</v>
      </c>
      <c r="M206" s="25" t="s">
        <v>489</v>
      </c>
      <c r="N206" s="76">
        <v>0</v>
      </c>
      <c r="O206" s="22">
        <f t="shared" si="3"/>
        <v>0</v>
      </c>
    </row>
    <row r="207" s="22" customFormat="1" ht="15" customHeight="1" spans="1:15">
      <c r="A207" s="29" t="s">
        <v>444</v>
      </c>
      <c r="B207" s="32" t="s">
        <v>445</v>
      </c>
      <c r="C207" s="29" t="s">
        <v>41</v>
      </c>
      <c r="D207" s="32" t="s">
        <v>488</v>
      </c>
      <c r="E207" s="29" t="s">
        <v>41</v>
      </c>
      <c r="F207" s="29" t="s">
        <v>443</v>
      </c>
      <c r="G207" s="29" t="s">
        <v>447</v>
      </c>
      <c r="H207" s="77">
        <v>2927</v>
      </c>
      <c r="I207" s="77">
        <v>0</v>
      </c>
      <c r="J207" s="77">
        <v>0</v>
      </c>
      <c r="K207" s="77">
        <v>0</v>
      </c>
      <c r="L207" s="77">
        <v>0</v>
      </c>
      <c r="M207" s="29" t="s">
        <v>447</v>
      </c>
      <c r="N207" s="77">
        <v>2927</v>
      </c>
      <c r="O207" s="22">
        <f t="shared" si="3"/>
        <v>2927</v>
      </c>
    </row>
    <row r="208" s="22" customFormat="1" ht="15" customHeight="1" spans="1:15">
      <c r="A208" s="25" t="s">
        <v>444</v>
      </c>
      <c r="B208" s="28" t="s">
        <v>445</v>
      </c>
      <c r="C208" s="25" t="s">
        <v>41</v>
      </c>
      <c r="D208" s="28" t="s">
        <v>418</v>
      </c>
      <c r="E208" s="25" t="s">
        <v>41</v>
      </c>
      <c r="F208" s="25" t="s">
        <v>443</v>
      </c>
      <c r="G208" s="25" t="s">
        <v>447</v>
      </c>
      <c r="H208" s="76">
        <v>79817.67</v>
      </c>
      <c r="I208" s="76">
        <v>0</v>
      </c>
      <c r="J208" s="76">
        <v>0</v>
      </c>
      <c r="K208" s="76">
        <v>0</v>
      </c>
      <c r="L208" s="76">
        <v>79817.67</v>
      </c>
      <c r="M208" s="25" t="s">
        <v>447</v>
      </c>
      <c r="N208" s="76">
        <v>79817.67</v>
      </c>
      <c r="O208" s="22">
        <f t="shared" si="3"/>
        <v>79817.67</v>
      </c>
    </row>
    <row r="209" s="22" customFormat="1" ht="15" customHeight="1" spans="1:15">
      <c r="A209" s="29" t="s">
        <v>444</v>
      </c>
      <c r="B209" s="32" t="s">
        <v>445</v>
      </c>
      <c r="C209" s="29" t="s">
        <v>41</v>
      </c>
      <c r="D209" s="32" t="s">
        <v>593</v>
      </c>
      <c r="E209" s="29" t="s">
        <v>41</v>
      </c>
      <c r="F209" s="29" t="s">
        <v>443</v>
      </c>
      <c r="G209" s="29" t="s">
        <v>489</v>
      </c>
      <c r="H209" s="77">
        <v>0</v>
      </c>
      <c r="I209" s="77">
        <v>0</v>
      </c>
      <c r="J209" s="77">
        <v>0</v>
      </c>
      <c r="K209" s="77">
        <v>0</v>
      </c>
      <c r="L209" s="77">
        <v>0</v>
      </c>
      <c r="M209" s="29" t="s">
        <v>489</v>
      </c>
      <c r="N209" s="77">
        <v>0</v>
      </c>
      <c r="O209" s="22">
        <f t="shared" si="3"/>
        <v>0</v>
      </c>
    </row>
    <row r="210" s="22" customFormat="1" ht="15" customHeight="1" spans="1:15">
      <c r="A210" s="25" t="s">
        <v>444</v>
      </c>
      <c r="B210" s="28" t="s">
        <v>445</v>
      </c>
      <c r="C210" s="25" t="s">
        <v>41</v>
      </c>
      <c r="D210" s="28" t="s">
        <v>314</v>
      </c>
      <c r="E210" s="25" t="s">
        <v>41</v>
      </c>
      <c r="F210" s="25" t="s">
        <v>443</v>
      </c>
      <c r="G210" s="25" t="s">
        <v>447</v>
      </c>
      <c r="H210" s="76">
        <v>143468.88</v>
      </c>
      <c r="I210" s="76">
        <v>67333.03</v>
      </c>
      <c r="J210" s="76">
        <v>0</v>
      </c>
      <c r="K210" s="76">
        <v>67333.03</v>
      </c>
      <c r="L210" s="76">
        <v>76135.85</v>
      </c>
      <c r="M210" s="25" t="s">
        <v>447</v>
      </c>
      <c r="N210" s="76">
        <v>76135.85</v>
      </c>
      <c r="O210" s="22">
        <f t="shared" si="3"/>
        <v>76135.85</v>
      </c>
    </row>
    <row r="211" s="22" customFormat="1" ht="15" customHeight="1" spans="1:15">
      <c r="A211" s="29" t="s">
        <v>444</v>
      </c>
      <c r="B211" s="32" t="s">
        <v>445</v>
      </c>
      <c r="C211" s="29" t="s">
        <v>41</v>
      </c>
      <c r="D211" s="32" t="s">
        <v>317</v>
      </c>
      <c r="E211" s="29" t="s">
        <v>41</v>
      </c>
      <c r="F211" s="29" t="s">
        <v>443</v>
      </c>
      <c r="G211" s="29" t="s">
        <v>447</v>
      </c>
      <c r="H211" s="77">
        <v>119235.69</v>
      </c>
      <c r="I211" s="77">
        <v>0</v>
      </c>
      <c r="J211" s="77">
        <v>106878.23</v>
      </c>
      <c r="K211" s="77">
        <v>0</v>
      </c>
      <c r="L211" s="77">
        <v>226113.92</v>
      </c>
      <c r="M211" s="29" t="s">
        <v>447</v>
      </c>
      <c r="N211" s="77">
        <v>226113.92</v>
      </c>
      <c r="O211" s="22">
        <f t="shared" si="3"/>
        <v>226113.92</v>
      </c>
    </row>
    <row r="212" s="22" customFormat="1" ht="15" customHeight="1" spans="1:15">
      <c r="A212" s="25" t="s">
        <v>444</v>
      </c>
      <c r="B212" s="28" t="s">
        <v>445</v>
      </c>
      <c r="C212" s="25" t="s">
        <v>41</v>
      </c>
      <c r="D212" s="28" t="s">
        <v>282</v>
      </c>
      <c r="E212" s="25" t="s">
        <v>41</v>
      </c>
      <c r="F212" s="25" t="s">
        <v>443</v>
      </c>
      <c r="G212" s="25" t="s">
        <v>447</v>
      </c>
      <c r="H212" s="76">
        <v>140518</v>
      </c>
      <c r="I212" s="76">
        <v>85600</v>
      </c>
      <c r="J212" s="76">
        <v>34578</v>
      </c>
      <c r="K212" s="76">
        <v>85600</v>
      </c>
      <c r="L212" s="76">
        <v>89496</v>
      </c>
      <c r="M212" s="25" t="s">
        <v>447</v>
      </c>
      <c r="N212" s="76">
        <v>89496</v>
      </c>
      <c r="O212" s="22">
        <f t="shared" si="3"/>
        <v>89496</v>
      </c>
    </row>
    <row r="213" s="22" customFormat="1" ht="15" customHeight="1" spans="1:15">
      <c r="A213" s="29" t="s">
        <v>444</v>
      </c>
      <c r="B213" s="32" t="s">
        <v>445</v>
      </c>
      <c r="C213" s="29" t="s">
        <v>41</v>
      </c>
      <c r="D213" s="32" t="s">
        <v>307</v>
      </c>
      <c r="E213" s="29" t="s">
        <v>41</v>
      </c>
      <c r="F213" s="29" t="s">
        <v>443</v>
      </c>
      <c r="G213" s="29" t="s">
        <v>447</v>
      </c>
      <c r="H213" s="77">
        <v>29590.85</v>
      </c>
      <c r="I213" s="77">
        <v>16264.26</v>
      </c>
      <c r="J213" s="77">
        <v>0</v>
      </c>
      <c r="K213" s="77">
        <v>28636.63</v>
      </c>
      <c r="L213" s="77">
        <v>13326.59</v>
      </c>
      <c r="M213" s="29" t="s">
        <v>447</v>
      </c>
      <c r="N213" s="77">
        <v>13326.59</v>
      </c>
      <c r="O213" s="22">
        <f t="shared" si="3"/>
        <v>13326.59</v>
      </c>
    </row>
    <row r="214" s="22" customFormat="1" ht="15" customHeight="1" spans="1:15">
      <c r="A214" s="25" t="s">
        <v>444</v>
      </c>
      <c r="B214" s="28" t="s">
        <v>445</v>
      </c>
      <c r="C214" s="25" t="s">
        <v>41</v>
      </c>
      <c r="D214" s="28" t="s">
        <v>594</v>
      </c>
      <c r="E214" s="25" t="s">
        <v>41</v>
      </c>
      <c r="F214" s="25" t="s">
        <v>443</v>
      </c>
      <c r="G214" s="25" t="s">
        <v>489</v>
      </c>
      <c r="H214" s="76">
        <v>0</v>
      </c>
      <c r="I214" s="76">
        <v>0</v>
      </c>
      <c r="J214" s="76">
        <v>0</v>
      </c>
      <c r="K214" s="76">
        <v>0</v>
      </c>
      <c r="L214" s="76">
        <v>0</v>
      </c>
      <c r="M214" s="25" t="s">
        <v>489</v>
      </c>
      <c r="N214" s="76">
        <v>0</v>
      </c>
      <c r="O214" s="22">
        <f t="shared" si="3"/>
        <v>0</v>
      </c>
    </row>
    <row r="215" s="22" customFormat="1" ht="15" customHeight="1" spans="1:15">
      <c r="A215" s="29" t="s">
        <v>444</v>
      </c>
      <c r="B215" s="32" t="s">
        <v>445</v>
      </c>
      <c r="C215" s="29" t="s">
        <v>41</v>
      </c>
      <c r="D215" s="32" t="s">
        <v>305</v>
      </c>
      <c r="E215" s="29" t="s">
        <v>41</v>
      </c>
      <c r="F215" s="29" t="s">
        <v>443</v>
      </c>
      <c r="G215" s="29" t="s">
        <v>447</v>
      </c>
      <c r="H215" s="77">
        <v>4135.8</v>
      </c>
      <c r="I215" s="77">
        <v>0</v>
      </c>
      <c r="J215" s="77">
        <v>3847.65</v>
      </c>
      <c r="K215" s="77">
        <v>7491.9</v>
      </c>
      <c r="L215" s="77">
        <v>7983.45</v>
      </c>
      <c r="M215" s="29" t="s">
        <v>447</v>
      </c>
      <c r="N215" s="77">
        <v>7983.45</v>
      </c>
      <c r="O215" s="22">
        <f t="shared" si="3"/>
        <v>7983.45</v>
      </c>
    </row>
    <row r="216" s="22" customFormat="1" ht="15" customHeight="1" spans="1:15">
      <c r="A216" s="25" t="s">
        <v>444</v>
      </c>
      <c r="B216" s="28" t="s">
        <v>445</v>
      </c>
      <c r="C216" s="25" t="s">
        <v>41</v>
      </c>
      <c r="D216" s="28" t="s">
        <v>409</v>
      </c>
      <c r="E216" s="25" t="s">
        <v>41</v>
      </c>
      <c r="F216" s="25" t="s">
        <v>443</v>
      </c>
      <c r="G216" s="25" t="s">
        <v>447</v>
      </c>
      <c r="H216" s="76">
        <v>24590.72</v>
      </c>
      <c r="I216" s="76">
        <v>24590.72</v>
      </c>
      <c r="J216" s="76">
        <v>0</v>
      </c>
      <c r="K216" s="76">
        <v>74590.72</v>
      </c>
      <c r="L216" s="76">
        <v>0</v>
      </c>
      <c r="M216" s="25" t="s">
        <v>489</v>
      </c>
      <c r="N216" s="76">
        <v>0</v>
      </c>
      <c r="O216" s="22">
        <f t="shared" si="3"/>
        <v>0</v>
      </c>
    </row>
    <row r="217" s="22" customFormat="1" ht="15" customHeight="1" spans="1:15">
      <c r="A217" s="29" t="s">
        <v>444</v>
      </c>
      <c r="B217" s="32" t="s">
        <v>445</v>
      </c>
      <c r="C217" s="29" t="s">
        <v>41</v>
      </c>
      <c r="D217" s="32" t="s">
        <v>308</v>
      </c>
      <c r="E217" s="29" t="s">
        <v>41</v>
      </c>
      <c r="F217" s="29" t="s">
        <v>443</v>
      </c>
      <c r="G217" s="29" t="s">
        <v>447</v>
      </c>
      <c r="H217" s="77">
        <v>29587.92</v>
      </c>
      <c r="I217" s="77">
        <v>22943.52</v>
      </c>
      <c r="J217" s="77">
        <v>3478.14</v>
      </c>
      <c r="K217" s="77">
        <v>39859.62</v>
      </c>
      <c r="L217" s="77">
        <v>10122.54</v>
      </c>
      <c r="M217" s="29" t="s">
        <v>447</v>
      </c>
      <c r="N217" s="77">
        <v>10122.54</v>
      </c>
      <c r="O217" s="22">
        <f t="shared" si="3"/>
        <v>10122.54</v>
      </c>
    </row>
    <row r="218" s="22" customFormat="1" ht="15" customHeight="1" spans="1:15">
      <c r="A218" s="25" t="s">
        <v>444</v>
      </c>
      <c r="B218" s="28" t="s">
        <v>445</v>
      </c>
      <c r="C218" s="25" t="s">
        <v>41</v>
      </c>
      <c r="D218" s="28" t="s">
        <v>321</v>
      </c>
      <c r="E218" s="25" t="s">
        <v>41</v>
      </c>
      <c r="F218" s="25" t="s">
        <v>443</v>
      </c>
      <c r="G218" s="25" t="s">
        <v>489</v>
      </c>
      <c r="H218" s="76">
        <v>0</v>
      </c>
      <c r="I218" s="76">
        <v>0</v>
      </c>
      <c r="J218" s="76">
        <v>2623.12</v>
      </c>
      <c r="K218" s="76">
        <v>0</v>
      </c>
      <c r="L218" s="76">
        <v>2623.12</v>
      </c>
      <c r="M218" s="25" t="s">
        <v>447</v>
      </c>
      <c r="N218" s="76">
        <v>2623.12</v>
      </c>
      <c r="O218" s="22">
        <f t="shared" si="3"/>
        <v>2623.12</v>
      </c>
    </row>
    <row r="219" s="22" customFormat="1" ht="15" customHeight="1" spans="1:15">
      <c r="A219" s="29" t="s">
        <v>444</v>
      </c>
      <c r="B219" s="32" t="s">
        <v>445</v>
      </c>
      <c r="C219" s="29" t="s">
        <v>41</v>
      </c>
      <c r="D219" s="32" t="s">
        <v>309</v>
      </c>
      <c r="E219" s="29" t="s">
        <v>41</v>
      </c>
      <c r="F219" s="29" t="s">
        <v>443</v>
      </c>
      <c r="G219" s="29" t="s">
        <v>447</v>
      </c>
      <c r="H219" s="77">
        <v>3245.36</v>
      </c>
      <c r="I219" s="77">
        <v>3245.36</v>
      </c>
      <c r="J219" s="77">
        <v>0</v>
      </c>
      <c r="K219" s="77">
        <v>9736.08</v>
      </c>
      <c r="L219" s="77">
        <v>0</v>
      </c>
      <c r="M219" s="29" t="s">
        <v>489</v>
      </c>
      <c r="N219" s="77">
        <v>0</v>
      </c>
      <c r="O219" s="22">
        <f t="shared" si="3"/>
        <v>0</v>
      </c>
    </row>
    <row r="220" s="22" customFormat="1" ht="15" customHeight="1" spans="1:15">
      <c r="A220" s="25" t="s">
        <v>444</v>
      </c>
      <c r="B220" s="28" t="s">
        <v>445</v>
      </c>
      <c r="C220" s="25" t="s">
        <v>41</v>
      </c>
      <c r="D220" s="28" t="s">
        <v>595</v>
      </c>
      <c r="E220" s="25" t="s">
        <v>41</v>
      </c>
      <c r="F220" s="25" t="s">
        <v>443</v>
      </c>
      <c r="G220" s="25" t="s">
        <v>489</v>
      </c>
      <c r="H220" s="76">
        <v>0</v>
      </c>
      <c r="I220" s="76">
        <v>0</v>
      </c>
      <c r="J220" s="76">
        <v>0</v>
      </c>
      <c r="K220" s="76">
        <v>0</v>
      </c>
      <c r="L220" s="76">
        <v>0</v>
      </c>
      <c r="M220" s="25" t="s">
        <v>489</v>
      </c>
      <c r="N220" s="76">
        <v>0</v>
      </c>
      <c r="O220" s="22">
        <f t="shared" si="3"/>
        <v>0</v>
      </c>
    </row>
    <row r="221" s="22" customFormat="1" ht="15" customHeight="1" spans="1:15">
      <c r="A221" s="29" t="s">
        <v>444</v>
      </c>
      <c r="B221" s="32" t="s">
        <v>445</v>
      </c>
      <c r="C221" s="29" t="s">
        <v>41</v>
      </c>
      <c r="D221" s="32" t="s">
        <v>286</v>
      </c>
      <c r="E221" s="29" t="s">
        <v>41</v>
      </c>
      <c r="F221" s="29" t="s">
        <v>443</v>
      </c>
      <c r="G221" s="29" t="s">
        <v>447</v>
      </c>
      <c r="H221" s="77">
        <v>40135.34</v>
      </c>
      <c r="I221" s="77">
        <v>0</v>
      </c>
      <c r="J221" s="77">
        <v>65445.65</v>
      </c>
      <c r="K221" s="77">
        <v>0</v>
      </c>
      <c r="L221" s="77">
        <v>105580.99</v>
      </c>
      <c r="M221" s="29" t="s">
        <v>447</v>
      </c>
      <c r="N221" s="77">
        <v>105580.99</v>
      </c>
      <c r="O221" s="22">
        <f t="shared" si="3"/>
        <v>105580.99</v>
      </c>
    </row>
    <row r="222" s="22" customFormat="1" ht="15" customHeight="1" spans="1:15">
      <c r="A222" s="25" t="s">
        <v>444</v>
      </c>
      <c r="B222" s="28" t="s">
        <v>445</v>
      </c>
      <c r="C222" s="25" t="s">
        <v>41</v>
      </c>
      <c r="D222" s="28" t="s">
        <v>313</v>
      </c>
      <c r="E222" s="25" t="s">
        <v>41</v>
      </c>
      <c r="F222" s="25" t="s">
        <v>443</v>
      </c>
      <c r="G222" s="25" t="s">
        <v>447</v>
      </c>
      <c r="H222" s="76">
        <v>51058.12</v>
      </c>
      <c r="I222" s="76">
        <v>3986.84</v>
      </c>
      <c r="J222" s="76">
        <v>0</v>
      </c>
      <c r="K222" s="76">
        <v>3986.84</v>
      </c>
      <c r="L222" s="76">
        <v>47071.28</v>
      </c>
      <c r="M222" s="25" t="s">
        <v>447</v>
      </c>
      <c r="N222" s="76">
        <v>47071.28</v>
      </c>
      <c r="O222" s="22">
        <f t="shared" si="3"/>
        <v>47071.28</v>
      </c>
    </row>
    <row r="223" s="22" customFormat="1" ht="15" customHeight="1" spans="1:15">
      <c r="A223" s="29" t="s">
        <v>444</v>
      </c>
      <c r="B223" s="32" t="s">
        <v>445</v>
      </c>
      <c r="C223" s="29" t="s">
        <v>41</v>
      </c>
      <c r="D223" s="32" t="s">
        <v>315</v>
      </c>
      <c r="E223" s="29" t="s">
        <v>41</v>
      </c>
      <c r="F223" s="29" t="s">
        <v>443</v>
      </c>
      <c r="G223" s="29" t="s">
        <v>447</v>
      </c>
      <c r="H223" s="77">
        <v>3305.25</v>
      </c>
      <c r="I223" s="77">
        <v>3305.25</v>
      </c>
      <c r="J223" s="77">
        <v>0</v>
      </c>
      <c r="K223" s="77">
        <v>3305.25</v>
      </c>
      <c r="L223" s="77">
        <v>3305.25</v>
      </c>
      <c r="M223" s="29" t="s">
        <v>489</v>
      </c>
      <c r="N223" s="77">
        <v>0</v>
      </c>
      <c r="O223" s="22">
        <f t="shared" si="3"/>
        <v>0</v>
      </c>
    </row>
    <row r="224" s="22" customFormat="1" ht="15" customHeight="1" spans="1:15">
      <c r="A224" s="25" t="s">
        <v>444</v>
      </c>
      <c r="B224" s="28" t="s">
        <v>445</v>
      </c>
      <c r="C224" s="25" t="s">
        <v>41</v>
      </c>
      <c r="D224" s="28" t="s">
        <v>596</v>
      </c>
      <c r="E224" s="25" t="s">
        <v>41</v>
      </c>
      <c r="F224" s="25" t="s">
        <v>443</v>
      </c>
      <c r="G224" s="25" t="s">
        <v>489</v>
      </c>
      <c r="H224" s="76">
        <v>0</v>
      </c>
      <c r="I224" s="76">
        <v>0</v>
      </c>
      <c r="J224" s="76">
        <v>0</v>
      </c>
      <c r="K224" s="76">
        <v>0</v>
      </c>
      <c r="L224" s="76">
        <v>0</v>
      </c>
      <c r="M224" s="25" t="s">
        <v>489</v>
      </c>
      <c r="N224" s="76">
        <v>0</v>
      </c>
      <c r="O224" s="22">
        <f t="shared" si="3"/>
        <v>0</v>
      </c>
    </row>
    <row r="225" s="22" customFormat="1" ht="15" customHeight="1" spans="1:15">
      <c r="A225" s="29" t="s">
        <v>444</v>
      </c>
      <c r="B225" s="32" t="s">
        <v>445</v>
      </c>
      <c r="C225" s="29" t="s">
        <v>41</v>
      </c>
      <c r="D225" s="32" t="s">
        <v>380</v>
      </c>
      <c r="E225" s="29" t="s">
        <v>41</v>
      </c>
      <c r="F225" s="29" t="s">
        <v>443</v>
      </c>
      <c r="G225" s="29" t="s">
        <v>447</v>
      </c>
      <c r="H225" s="77">
        <v>7000</v>
      </c>
      <c r="I225" s="77">
        <v>60000</v>
      </c>
      <c r="J225" s="77">
        <v>68000</v>
      </c>
      <c r="K225" s="77">
        <v>60000</v>
      </c>
      <c r="L225" s="77">
        <v>34000</v>
      </c>
      <c r="M225" s="29" t="s">
        <v>447</v>
      </c>
      <c r="N225" s="77">
        <v>15000</v>
      </c>
      <c r="O225" s="22">
        <f t="shared" si="3"/>
        <v>15000</v>
      </c>
    </row>
    <row r="226" s="22" customFormat="1" ht="15" customHeight="1" spans="1:15">
      <c r="A226" s="25" t="s">
        <v>444</v>
      </c>
      <c r="B226" s="28" t="s">
        <v>445</v>
      </c>
      <c r="C226" s="25" t="s">
        <v>41</v>
      </c>
      <c r="D226" s="28" t="s">
        <v>290</v>
      </c>
      <c r="E226" s="25" t="s">
        <v>41</v>
      </c>
      <c r="F226" s="25" t="s">
        <v>443</v>
      </c>
      <c r="G226" s="25" t="s">
        <v>489</v>
      </c>
      <c r="H226" s="76">
        <v>0</v>
      </c>
      <c r="I226" s="76">
        <v>0</v>
      </c>
      <c r="J226" s="76">
        <v>11270.6</v>
      </c>
      <c r="K226" s="76">
        <v>0</v>
      </c>
      <c r="L226" s="76">
        <v>11270.6</v>
      </c>
      <c r="M226" s="25" t="s">
        <v>447</v>
      </c>
      <c r="N226" s="76">
        <v>11270.6</v>
      </c>
      <c r="O226" s="22">
        <f t="shared" si="3"/>
        <v>11270.6</v>
      </c>
    </row>
    <row r="227" s="22" customFormat="1" ht="15" customHeight="1" spans="1:15">
      <c r="A227" s="29" t="s">
        <v>444</v>
      </c>
      <c r="B227" s="32" t="s">
        <v>445</v>
      </c>
      <c r="C227" s="29" t="s">
        <v>41</v>
      </c>
      <c r="D227" s="32" t="s">
        <v>319</v>
      </c>
      <c r="E227" s="29" t="s">
        <v>41</v>
      </c>
      <c r="F227" s="29" t="s">
        <v>443</v>
      </c>
      <c r="G227" s="29" t="s">
        <v>447</v>
      </c>
      <c r="H227" s="77">
        <v>5720.63</v>
      </c>
      <c r="I227" s="77">
        <v>0</v>
      </c>
      <c r="J227" s="77">
        <v>0</v>
      </c>
      <c r="K227" s="77">
        <v>0</v>
      </c>
      <c r="L227" s="77">
        <v>5720.63</v>
      </c>
      <c r="M227" s="29" t="s">
        <v>447</v>
      </c>
      <c r="N227" s="77">
        <v>5720.63</v>
      </c>
      <c r="O227" s="22">
        <f t="shared" si="3"/>
        <v>5720.63</v>
      </c>
    </row>
    <row r="228" s="22" customFormat="1" ht="15" customHeight="1" spans="1:15">
      <c r="A228" s="25" t="s">
        <v>444</v>
      </c>
      <c r="B228" s="28" t="s">
        <v>445</v>
      </c>
      <c r="C228" s="25" t="s">
        <v>41</v>
      </c>
      <c r="D228" s="28" t="s">
        <v>316</v>
      </c>
      <c r="E228" s="25" t="s">
        <v>41</v>
      </c>
      <c r="F228" s="25" t="s">
        <v>443</v>
      </c>
      <c r="G228" s="25" t="s">
        <v>447</v>
      </c>
      <c r="H228" s="76">
        <v>7760.42</v>
      </c>
      <c r="I228" s="76">
        <v>0</v>
      </c>
      <c r="J228" s="76">
        <v>13262.36</v>
      </c>
      <c r="K228" s="76">
        <v>0</v>
      </c>
      <c r="L228" s="76">
        <v>21022.78</v>
      </c>
      <c r="M228" s="25" t="s">
        <v>447</v>
      </c>
      <c r="N228" s="76">
        <v>21022.78</v>
      </c>
      <c r="O228" s="22">
        <f t="shared" si="3"/>
        <v>21022.78</v>
      </c>
    </row>
    <row r="229" s="22" customFormat="1" ht="15" customHeight="1" spans="1:15">
      <c r="A229" s="29" t="s">
        <v>444</v>
      </c>
      <c r="B229" s="32" t="s">
        <v>445</v>
      </c>
      <c r="C229" s="29" t="s">
        <v>41</v>
      </c>
      <c r="D229" s="32" t="s">
        <v>289</v>
      </c>
      <c r="E229" s="29" t="s">
        <v>41</v>
      </c>
      <c r="F229" s="29" t="s">
        <v>443</v>
      </c>
      <c r="G229" s="29" t="s">
        <v>447</v>
      </c>
      <c r="H229" s="77">
        <v>4069.44</v>
      </c>
      <c r="I229" s="77">
        <v>0</v>
      </c>
      <c r="J229" s="77">
        <v>3670.46</v>
      </c>
      <c r="K229" s="77">
        <v>0</v>
      </c>
      <c r="L229" s="77">
        <v>7739.9</v>
      </c>
      <c r="M229" s="29" t="s">
        <v>447</v>
      </c>
      <c r="N229" s="77">
        <v>7739.9</v>
      </c>
      <c r="O229" s="22">
        <f t="shared" si="3"/>
        <v>7739.9</v>
      </c>
    </row>
    <row r="230" s="22" customFormat="1" ht="15" customHeight="1" spans="1:15">
      <c r="A230" s="25" t="s">
        <v>444</v>
      </c>
      <c r="B230" s="28" t="s">
        <v>445</v>
      </c>
      <c r="C230" s="25" t="s">
        <v>41</v>
      </c>
      <c r="D230" s="28" t="s">
        <v>410</v>
      </c>
      <c r="E230" s="25" t="s">
        <v>41</v>
      </c>
      <c r="F230" s="25" t="s">
        <v>443</v>
      </c>
      <c r="G230" s="25" t="s">
        <v>447</v>
      </c>
      <c r="H230" s="76">
        <v>34880</v>
      </c>
      <c r="I230" s="76">
        <v>34880</v>
      </c>
      <c r="J230" s="76">
        <v>0</v>
      </c>
      <c r="K230" s="76">
        <v>94880</v>
      </c>
      <c r="L230" s="76">
        <v>0</v>
      </c>
      <c r="M230" s="25" t="s">
        <v>489</v>
      </c>
      <c r="N230" s="76">
        <v>0</v>
      </c>
      <c r="O230" s="22">
        <f t="shared" si="3"/>
        <v>0</v>
      </c>
    </row>
    <row r="231" s="22" customFormat="1" ht="15" customHeight="1" spans="1:15">
      <c r="A231" s="29" t="s">
        <v>444</v>
      </c>
      <c r="B231" s="32" t="s">
        <v>445</v>
      </c>
      <c r="C231" s="29" t="s">
        <v>41</v>
      </c>
      <c r="D231" s="32" t="s">
        <v>597</v>
      </c>
      <c r="E231" s="29" t="s">
        <v>41</v>
      </c>
      <c r="F231" s="29" t="s">
        <v>443</v>
      </c>
      <c r="G231" s="29" t="s">
        <v>453</v>
      </c>
      <c r="H231" s="77">
        <v>1039.6</v>
      </c>
      <c r="I231" s="77">
        <v>0</v>
      </c>
      <c r="J231" s="77">
        <v>1039.6</v>
      </c>
      <c r="K231" s="77">
        <v>0</v>
      </c>
      <c r="L231" s="77">
        <v>0</v>
      </c>
      <c r="M231" s="29" t="s">
        <v>489</v>
      </c>
      <c r="N231" s="77">
        <v>0</v>
      </c>
      <c r="O231" s="22">
        <f t="shared" si="3"/>
        <v>0</v>
      </c>
    </row>
    <row r="232" s="22" customFormat="1" ht="15" customHeight="1" spans="1:15">
      <c r="A232" s="25" t="s">
        <v>444</v>
      </c>
      <c r="B232" s="28" t="s">
        <v>445</v>
      </c>
      <c r="C232" s="25" t="s">
        <v>41</v>
      </c>
      <c r="D232" s="28" t="s">
        <v>598</v>
      </c>
      <c r="E232" s="25" t="s">
        <v>41</v>
      </c>
      <c r="F232" s="25" t="s">
        <v>443</v>
      </c>
      <c r="G232" s="25" t="s">
        <v>489</v>
      </c>
      <c r="H232" s="76">
        <v>0</v>
      </c>
      <c r="I232" s="76">
        <v>0</v>
      </c>
      <c r="J232" s="76">
        <v>0</v>
      </c>
      <c r="K232" s="76">
        <v>0</v>
      </c>
      <c r="L232" s="76">
        <v>0</v>
      </c>
      <c r="M232" s="25" t="s">
        <v>489</v>
      </c>
      <c r="N232" s="76">
        <v>0</v>
      </c>
      <c r="O232" s="22">
        <f t="shared" si="3"/>
        <v>0</v>
      </c>
    </row>
    <row r="233" s="22" customFormat="1" ht="15" customHeight="1" spans="1:15">
      <c r="A233" s="29" t="s">
        <v>444</v>
      </c>
      <c r="B233" s="32" t="s">
        <v>445</v>
      </c>
      <c r="C233" s="29" t="s">
        <v>41</v>
      </c>
      <c r="D233" s="32" t="s">
        <v>411</v>
      </c>
      <c r="E233" s="29" t="s">
        <v>41</v>
      </c>
      <c r="F233" s="29" t="s">
        <v>443</v>
      </c>
      <c r="G233" s="29" t="s">
        <v>489</v>
      </c>
      <c r="H233" s="77">
        <v>0</v>
      </c>
      <c r="I233" s="77">
        <v>0</v>
      </c>
      <c r="J233" s="77">
        <v>0</v>
      </c>
      <c r="K233" s="77">
        <v>39034.81</v>
      </c>
      <c r="L233" s="77">
        <v>0</v>
      </c>
      <c r="M233" s="29" t="s">
        <v>489</v>
      </c>
      <c r="N233" s="77">
        <v>0</v>
      </c>
      <c r="O233" s="22">
        <f t="shared" si="3"/>
        <v>0</v>
      </c>
    </row>
    <row r="234" s="22" customFormat="1" ht="15" customHeight="1" spans="1:15">
      <c r="A234" s="25" t="s">
        <v>444</v>
      </c>
      <c r="B234" s="28" t="s">
        <v>445</v>
      </c>
      <c r="C234" s="25" t="s">
        <v>41</v>
      </c>
      <c r="D234" s="28" t="s">
        <v>320</v>
      </c>
      <c r="E234" s="25" t="s">
        <v>41</v>
      </c>
      <c r="F234" s="25" t="s">
        <v>443</v>
      </c>
      <c r="G234" s="25" t="s">
        <v>489</v>
      </c>
      <c r="H234" s="76">
        <v>0</v>
      </c>
      <c r="I234" s="76">
        <v>0</v>
      </c>
      <c r="J234" s="76">
        <v>76877.75</v>
      </c>
      <c r="K234" s="76">
        <v>0</v>
      </c>
      <c r="L234" s="76">
        <v>76877.75</v>
      </c>
      <c r="M234" s="25" t="s">
        <v>447</v>
      </c>
      <c r="N234" s="76">
        <v>76877.75</v>
      </c>
      <c r="O234" s="22">
        <f t="shared" si="3"/>
        <v>76877.75</v>
      </c>
    </row>
    <row r="235" s="22" customFormat="1" ht="15" customHeight="1" spans="1:15">
      <c r="A235" s="29" t="s">
        <v>444</v>
      </c>
      <c r="B235" s="32" t="s">
        <v>445</v>
      </c>
      <c r="C235" s="29" t="s">
        <v>41</v>
      </c>
      <c r="D235" s="32" t="s">
        <v>288</v>
      </c>
      <c r="E235" s="29" t="s">
        <v>41</v>
      </c>
      <c r="F235" s="29" t="s">
        <v>443</v>
      </c>
      <c r="G235" s="29" t="s">
        <v>447</v>
      </c>
      <c r="H235" s="77">
        <v>28170.9</v>
      </c>
      <c r="I235" s="77">
        <v>0</v>
      </c>
      <c r="J235" s="77">
        <v>11460.46</v>
      </c>
      <c r="K235" s="77">
        <v>0</v>
      </c>
      <c r="L235" s="77">
        <v>39631.36</v>
      </c>
      <c r="M235" s="29" t="s">
        <v>447</v>
      </c>
      <c r="N235" s="77">
        <v>39631.36</v>
      </c>
      <c r="O235" s="22">
        <f t="shared" si="3"/>
        <v>39631.36</v>
      </c>
    </row>
    <row r="236" s="22" customFormat="1" ht="15" customHeight="1" spans="1:15">
      <c r="A236" s="25" t="s">
        <v>444</v>
      </c>
      <c r="B236" s="28" t="s">
        <v>445</v>
      </c>
      <c r="C236" s="25" t="s">
        <v>41</v>
      </c>
      <c r="D236" s="28" t="s">
        <v>287</v>
      </c>
      <c r="E236" s="25" t="s">
        <v>41</v>
      </c>
      <c r="F236" s="25" t="s">
        <v>443</v>
      </c>
      <c r="G236" s="25" t="s">
        <v>447</v>
      </c>
      <c r="H236" s="76">
        <v>55019.85</v>
      </c>
      <c r="I236" s="76">
        <v>0</v>
      </c>
      <c r="J236" s="76">
        <v>0</v>
      </c>
      <c r="K236" s="76">
        <v>0</v>
      </c>
      <c r="L236" s="76">
        <v>55019.85</v>
      </c>
      <c r="M236" s="25" t="s">
        <v>447</v>
      </c>
      <c r="N236" s="76">
        <v>55019.85</v>
      </c>
      <c r="O236" s="22">
        <f t="shared" si="3"/>
        <v>55019.85</v>
      </c>
    </row>
    <row r="237" s="22" customFormat="1" ht="15" customHeight="1" spans="1:15">
      <c r="A237" s="29" t="s">
        <v>444</v>
      </c>
      <c r="B237" s="32" t="s">
        <v>445</v>
      </c>
      <c r="C237" s="29" t="s">
        <v>41</v>
      </c>
      <c r="D237" s="32" t="s">
        <v>240</v>
      </c>
      <c r="E237" s="29" t="s">
        <v>41</v>
      </c>
      <c r="F237" s="29" t="s">
        <v>443</v>
      </c>
      <c r="G237" s="29" t="s">
        <v>447</v>
      </c>
      <c r="H237" s="77">
        <v>183523.86</v>
      </c>
      <c r="I237" s="77">
        <v>33696.72</v>
      </c>
      <c r="J237" s="77">
        <v>0</v>
      </c>
      <c r="K237" s="77">
        <v>58696.72</v>
      </c>
      <c r="L237" s="77">
        <v>149827.14</v>
      </c>
      <c r="M237" s="29" t="s">
        <v>447</v>
      </c>
      <c r="N237" s="77">
        <v>149827.14</v>
      </c>
      <c r="O237" s="22">
        <f t="shared" si="3"/>
        <v>149827.14</v>
      </c>
    </row>
    <row r="238" s="22" customFormat="1" ht="15" customHeight="1" spans="1:15">
      <c r="A238" s="25" t="s">
        <v>444</v>
      </c>
      <c r="B238" s="28" t="s">
        <v>445</v>
      </c>
      <c r="C238" s="25" t="s">
        <v>41</v>
      </c>
      <c r="D238" s="28" t="s">
        <v>318</v>
      </c>
      <c r="E238" s="25" t="s">
        <v>41</v>
      </c>
      <c r="F238" s="25" t="s">
        <v>443</v>
      </c>
      <c r="G238" s="25" t="s">
        <v>447</v>
      </c>
      <c r="H238" s="76">
        <v>120063.06</v>
      </c>
      <c r="I238" s="76">
        <v>0</v>
      </c>
      <c r="J238" s="76">
        <v>23061.04</v>
      </c>
      <c r="K238" s="76">
        <v>0</v>
      </c>
      <c r="L238" s="76">
        <v>143124.1</v>
      </c>
      <c r="M238" s="25" t="s">
        <v>447</v>
      </c>
      <c r="N238" s="76">
        <v>143124.1</v>
      </c>
      <c r="O238" s="22">
        <f t="shared" si="3"/>
        <v>143124.1</v>
      </c>
    </row>
    <row r="239" s="22" customFormat="1" ht="15" customHeight="1" spans="1:15">
      <c r="A239" s="29" t="s">
        <v>490</v>
      </c>
      <c r="B239" s="32" t="s">
        <v>491</v>
      </c>
      <c r="C239" s="29" t="s">
        <v>41</v>
      </c>
      <c r="D239" s="32" t="s">
        <v>41</v>
      </c>
      <c r="E239" s="29" t="s">
        <v>492</v>
      </c>
      <c r="F239" s="29" t="s">
        <v>443</v>
      </c>
      <c r="G239" s="29" t="s">
        <v>453</v>
      </c>
      <c r="H239" s="77">
        <v>35898858.48</v>
      </c>
      <c r="I239" s="77">
        <v>0</v>
      </c>
      <c r="J239" s="77">
        <v>0</v>
      </c>
      <c r="K239" s="77">
        <v>0</v>
      </c>
      <c r="L239" s="77">
        <v>0</v>
      </c>
      <c r="M239" s="29" t="s">
        <v>453</v>
      </c>
      <c r="N239" s="77">
        <v>35898858.48</v>
      </c>
      <c r="O239" s="22">
        <f t="shared" si="3"/>
        <v>-35898858.48</v>
      </c>
    </row>
  </sheetData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/>
  <dimension ref="A1:P236"/>
  <sheetViews>
    <sheetView workbookViewId="0">
      <pane xSplit="28725" topLeftCell="Q1" activePane="topLeft"/>
      <selection activeCell="D14" sqref="D14"/>
      <selection pane="topRight"/>
    </sheetView>
  </sheetViews>
  <sheetFormatPr defaultColWidth="8" defaultRowHeight="12.75"/>
  <cols>
    <col min="1" max="1" width="7.75" style="22" customWidth="1"/>
    <col min="2" max="2" width="15.75" style="22" customWidth="1"/>
    <col min="3" max="3" width="9.375" style="22" customWidth="1"/>
    <col min="4" max="4" width="23.125" style="22" customWidth="1"/>
    <col min="5" max="6" width="7.75" style="22" customWidth="1"/>
    <col min="7" max="7" width="8.125" style="22" customWidth="1"/>
    <col min="8" max="8" width="10.75" style="22" customWidth="1"/>
    <col min="9" max="10" width="12.375" style="22" customWidth="1"/>
    <col min="11" max="12" width="10.875" style="22" customWidth="1"/>
    <col min="13" max="13" width="8.125" style="22" customWidth="1"/>
    <col min="14" max="14" width="10.75" style="22" customWidth="1"/>
    <col min="15" max="15" width="12.25" style="22"/>
    <col min="16" max="16" width="26.875" style="22" customWidth="1"/>
    <col min="17" max="16384" width="8" style="22"/>
  </cols>
  <sheetData>
    <row r="1" s="22" customFormat="1" spans="1:14">
      <c r="A1" s="23" t="s">
        <v>429</v>
      </c>
      <c r="B1" s="23" t="s">
        <v>430</v>
      </c>
      <c r="C1" s="23" t="s">
        <v>431</v>
      </c>
      <c r="D1" s="23" t="s">
        <v>432</v>
      </c>
      <c r="E1" s="23" t="s">
        <v>433</v>
      </c>
      <c r="F1" s="23" t="s">
        <v>434</v>
      </c>
      <c r="G1" s="23" t="s">
        <v>435</v>
      </c>
      <c r="H1" s="24" t="s">
        <v>436</v>
      </c>
      <c r="I1" s="24" t="s">
        <v>437</v>
      </c>
      <c r="J1" s="24" t="s">
        <v>438</v>
      </c>
      <c r="K1" s="24" t="s">
        <v>439</v>
      </c>
      <c r="L1" s="24" t="s">
        <v>440</v>
      </c>
      <c r="M1" s="23" t="s">
        <v>435</v>
      </c>
      <c r="N1" s="24" t="s">
        <v>441</v>
      </c>
    </row>
    <row r="2" s="22" customFormat="1" ht="15" customHeight="1" spans="1:14">
      <c r="A2" s="25" t="s">
        <v>41</v>
      </c>
      <c r="B2" s="28" t="s">
        <v>41</v>
      </c>
      <c r="C2" s="25" t="s">
        <v>41</v>
      </c>
      <c r="D2" s="28" t="s">
        <v>41</v>
      </c>
      <c r="E2" s="25" t="s">
        <v>41</v>
      </c>
      <c r="F2" s="25" t="s">
        <v>443</v>
      </c>
      <c r="G2" s="25" t="s">
        <v>41</v>
      </c>
      <c r="H2" s="76">
        <v>-23310323.12</v>
      </c>
      <c r="I2" s="76">
        <v>10279040.22</v>
      </c>
      <c r="J2" s="76">
        <v>14728231.31</v>
      </c>
      <c r="K2" s="76">
        <v>48785377.3</v>
      </c>
      <c r="L2" s="76">
        <v>46710594.79</v>
      </c>
      <c r="M2" s="25" t="s">
        <v>41</v>
      </c>
      <c r="N2" s="76">
        <v>-27759514.21</v>
      </c>
    </row>
    <row r="3" s="22" customFormat="1" ht="15" customHeight="1" spans="1:14">
      <c r="A3" s="29" t="s">
        <v>444</v>
      </c>
      <c r="B3" s="32" t="s">
        <v>445</v>
      </c>
      <c r="C3" s="29" t="s">
        <v>41</v>
      </c>
      <c r="D3" s="32" t="s">
        <v>41</v>
      </c>
      <c r="E3" s="29" t="s">
        <v>492</v>
      </c>
      <c r="F3" s="29" t="s">
        <v>443</v>
      </c>
      <c r="G3" s="29" t="s">
        <v>447</v>
      </c>
      <c r="H3" s="77">
        <v>0</v>
      </c>
      <c r="I3" s="77">
        <v>2921719.83</v>
      </c>
      <c r="J3" s="77">
        <v>2921719.83</v>
      </c>
      <c r="K3" s="77">
        <v>8904866</v>
      </c>
      <c r="L3" s="77">
        <v>8904866</v>
      </c>
      <c r="M3" s="29" t="s">
        <v>447</v>
      </c>
      <c r="N3" s="77">
        <v>0</v>
      </c>
    </row>
    <row r="4" s="22" customFormat="1" ht="15" customHeight="1" spans="1:16">
      <c r="A4" s="25" t="s">
        <v>444</v>
      </c>
      <c r="B4" s="28" t="s">
        <v>445</v>
      </c>
      <c r="C4" s="25" t="s">
        <v>41</v>
      </c>
      <c r="D4" s="28" t="s">
        <v>493</v>
      </c>
      <c r="E4" s="25" t="s">
        <v>41</v>
      </c>
      <c r="F4" s="25" t="s">
        <v>443</v>
      </c>
      <c r="G4" s="25" t="s">
        <v>489</v>
      </c>
      <c r="H4" s="76">
        <v>0</v>
      </c>
      <c r="I4" s="76">
        <v>0</v>
      </c>
      <c r="J4" s="76">
        <v>0</v>
      </c>
      <c r="K4" s="76">
        <v>0</v>
      </c>
      <c r="L4" s="76">
        <v>0</v>
      </c>
      <c r="M4" s="25" t="s">
        <v>489</v>
      </c>
      <c r="N4" s="76">
        <v>0</v>
      </c>
      <c r="O4" s="22">
        <f t="shared" ref="O4:O67" si="0">IF(M4="贷",N4,-N4)</f>
        <v>0</v>
      </c>
      <c r="P4" s="22" t="e">
        <f>_xlfn.XLOOKUP(D4,'4月份计划'!A:A,'4月份计划'!A:A)</f>
        <v>#N/A</v>
      </c>
    </row>
    <row r="5" s="22" customFormat="1" ht="15" customHeight="1" spans="1:16">
      <c r="A5" s="25" t="s">
        <v>444</v>
      </c>
      <c r="B5" s="28" t="s">
        <v>445</v>
      </c>
      <c r="C5" s="25" t="s">
        <v>41</v>
      </c>
      <c r="D5" s="28" t="s">
        <v>414</v>
      </c>
      <c r="E5" s="25" t="s">
        <v>41</v>
      </c>
      <c r="F5" s="25" t="s">
        <v>443</v>
      </c>
      <c r="G5" s="25" t="s">
        <v>489</v>
      </c>
      <c r="H5" s="76">
        <v>0</v>
      </c>
      <c r="I5" s="76">
        <v>0</v>
      </c>
      <c r="J5" s="76">
        <v>0</v>
      </c>
      <c r="K5" s="76">
        <v>0</v>
      </c>
      <c r="L5" s="76">
        <v>0</v>
      </c>
      <c r="M5" s="25" t="s">
        <v>489</v>
      </c>
      <c r="N5" s="76">
        <v>0</v>
      </c>
      <c r="O5" s="22">
        <f t="shared" si="0"/>
        <v>0</v>
      </c>
      <c r="P5" s="22" t="e">
        <f>_xlfn.XLOOKUP(D5,'4月份计划'!A:A,'4月份计划'!A:A)</f>
        <v>#N/A</v>
      </c>
    </row>
    <row r="6" s="22" customFormat="1" ht="15" customHeight="1" spans="1:16">
      <c r="A6" s="29" t="s">
        <v>444</v>
      </c>
      <c r="B6" s="32" t="s">
        <v>445</v>
      </c>
      <c r="C6" s="29" t="s">
        <v>41</v>
      </c>
      <c r="D6" s="32" t="s">
        <v>448</v>
      </c>
      <c r="E6" s="29" t="s">
        <v>41</v>
      </c>
      <c r="F6" s="29" t="s">
        <v>443</v>
      </c>
      <c r="G6" s="29" t="s">
        <v>447</v>
      </c>
      <c r="H6" s="77">
        <v>80.3</v>
      </c>
      <c r="I6" s="77">
        <v>0</v>
      </c>
      <c r="J6" s="77">
        <v>0</v>
      </c>
      <c r="K6" s="77">
        <v>0</v>
      </c>
      <c r="L6" s="77">
        <v>0</v>
      </c>
      <c r="M6" s="29" t="s">
        <v>447</v>
      </c>
      <c r="N6" s="77">
        <v>80.3</v>
      </c>
      <c r="O6" s="22">
        <f t="shared" si="0"/>
        <v>80.3</v>
      </c>
      <c r="P6" s="22" t="e">
        <f>_xlfn.XLOOKUP(D6,'4月份计划'!A:A,'4月份计划'!A:A)</f>
        <v>#N/A</v>
      </c>
    </row>
    <row r="7" s="22" customFormat="1" ht="15" customHeight="1" spans="1:16">
      <c r="A7" s="25" t="s">
        <v>444</v>
      </c>
      <c r="B7" s="28" t="s">
        <v>445</v>
      </c>
      <c r="C7" s="25" t="s">
        <v>41</v>
      </c>
      <c r="D7" s="28" t="s">
        <v>494</v>
      </c>
      <c r="E7" s="25" t="s">
        <v>41</v>
      </c>
      <c r="F7" s="25" t="s">
        <v>443</v>
      </c>
      <c r="G7" s="25" t="s">
        <v>489</v>
      </c>
      <c r="H7" s="76">
        <v>0</v>
      </c>
      <c r="I7" s="76">
        <v>0</v>
      </c>
      <c r="J7" s="76">
        <v>0</v>
      </c>
      <c r="K7" s="76">
        <v>0</v>
      </c>
      <c r="L7" s="76">
        <v>0</v>
      </c>
      <c r="M7" s="25" t="s">
        <v>489</v>
      </c>
      <c r="N7" s="76">
        <v>0</v>
      </c>
      <c r="O7" s="22">
        <f t="shared" si="0"/>
        <v>0</v>
      </c>
      <c r="P7" s="22" t="e">
        <f>_xlfn.XLOOKUP(D7,'4月份计划'!A:A,'4月份计划'!A:A)</f>
        <v>#N/A</v>
      </c>
    </row>
    <row r="8" s="22" customFormat="1" ht="15" customHeight="1" spans="1:16">
      <c r="A8" s="29" t="s">
        <v>444</v>
      </c>
      <c r="B8" s="32" t="s">
        <v>445</v>
      </c>
      <c r="C8" s="29" t="s">
        <v>41</v>
      </c>
      <c r="D8" s="32" t="s">
        <v>495</v>
      </c>
      <c r="E8" s="29" t="s">
        <v>41</v>
      </c>
      <c r="F8" s="29" t="s">
        <v>443</v>
      </c>
      <c r="G8" s="29" t="s">
        <v>489</v>
      </c>
      <c r="H8" s="77">
        <v>0</v>
      </c>
      <c r="I8" s="77">
        <v>0</v>
      </c>
      <c r="J8" s="77">
        <v>0</v>
      </c>
      <c r="K8" s="77">
        <v>0</v>
      </c>
      <c r="L8" s="77">
        <v>0</v>
      </c>
      <c r="M8" s="29" t="s">
        <v>489</v>
      </c>
      <c r="N8" s="77">
        <v>0</v>
      </c>
      <c r="O8" s="22">
        <f t="shared" si="0"/>
        <v>0</v>
      </c>
      <c r="P8" s="22" t="e">
        <f>_xlfn.XLOOKUP(D8,'4月份计划'!A:A,'4月份计划'!A:A)</f>
        <v>#N/A</v>
      </c>
    </row>
    <row r="9" s="22" customFormat="1" ht="15" customHeight="1" spans="1:16">
      <c r="A9" s="25" t="s">
        <v>444</v>
      </c>
      <c r="B9" s="28" t="s">
        <v>445</v>
      </c>
      <c r="C9" s="25" t="s">
        <v>41</v>
      </c>
      <c r="D9" s="28" t="s">
        <v>449</v>
      </c>
      <c r="E9" s="25" t="s">
        <v>41</v>
      </c>
      <c r="F9" s="25" t="s">
        <v>443</v>
      </c>
      <c r="G9" s="25" t="s">
        <v>447</v>
      </c>
      <c r="H9" s="76">
        <v>23367.17</v>
      </c>
      <c r="I9" s="76">
        <v>0</v>
      </c>
      <c r="J9" s="76">
        <v>0</v>
      </c>
      <c r="K9" s="76">
        <v>0</v>
      </c>
      <c r="L9" s="76">
        <v>0</v>
      </c>
      <c r="M9" s="25" t="s">
        <v>447</v>
      </c>
      <c r="N9" s="76">
        <v>23367.17</v>
      </c>
      <c r="O9" s="22">
        <f t="shared" si="0"/>
        <v>23367.17</v>
      </c>
      <c r="P9" s="22" t="e">
        <f>_xlfn.XLOOKUP(D9,'4月份计划'!A:A,'4月份计划'!A:A)</f>
        <v>#N/A</v>
      </c>
    </row>
    <row r="10" s="22" customFormat="1" ht="15" customHeight="1" spans="1:16">
      <c r="A10" s="29" t="s">
        <v>444</v>
      </c>
      <c r="B10" s="32" t="s">
        <v>445</v>
      </c>
      <c r="C10" s="29" t="s">
        <v>41</v>
      </c>
      <c r="D10" s="32" t="s">
        <v>450</v>
      </c>
      <c r="E10" s="29" t="s">
        <v>41</v>
      </c>
      <c r="F10" s="29" t="s">
        <v>443</v>
      </c>
      <c r="G10" s="29" t="s">
        <v>447</v>
      </c>
      <c r="H10" s="77">
        <v>9685.4</v>
      </c>
      <c r="I10" s="77">
        <v>0</v>
      </c>
      <c r="J10" s="77">
        <v>0</v>
      </c>
      <c r="K10" s="77">
        <v>0</v>
      </c>
      <c r="L10" s="77">
        <v>0</v>
      </c>
      <c r="M10" s="29" t="s">
        <v>447</v>
      </c>
      <c r="N10" s="77">
        <v>9685.4</v>
      </c>
      <c r="O10" s="22">
        <f t="shared" si="0"/>
        <v>9685.4</v>
      </c>
      <c r="P10" s="22" t="e">
        <f>_xlfn.XLOOKUP(D10,'4月份计划'!A:A,'4月份计划'!A:A)</f>
        <v>#N/A</v>
      </c>
    </row>
    <row r="11" s="22" customFormat="1" ht="15" customHeight="1" spans="1:16">
      <c r="A11" s="25" t="s">
        <v>444</v>
      </c>
      <c r="B11" s="28" t="s">
        <v>445</v>
      </c>
      <c r="C11" s="25" t="s">
        <v>41</v>
      </c>
      <c r="D11" s="28" t="s">
        <v>241</v>
      </c>
      <c r="E11" s="25" t="s">
        <v>41</v>
      </c>
      <c r="F11" s="25" t="s">
        <v>443</v>
      </c>
      <c r="G11" s="25" t="s">
        <v>447</v>
      </c>
      <c r="H11" s="76">
        <v>143976.22</v>
      </c>
      <c r="I11" s="76">
        <v>100000</v>
      </c>
      <c r="J11" s="76">
        <v>0</v>
      </c>
      <c r="K11" s="76">
        <v>522419.7</v>
      </c>
      <c r="L11" s="76">
        <v>143976.22</v>
      </c>
      <c r="M11" s="25" t="s">
        <v>447</v>
      </c>
      <c r="N11" s="76">
        <v>43976.22</v>
      </c>
      <c r="O11" s="22">
        <f t="shared" si="0"/>
        <v>43976.22</v>
      </c>
      <c r="P11" s="22" t="str">
        <f>_xlfn.XLOOKUP(D11,'4月份计划'!A:A,'4月份计划'!A:A)</f>
        <v>天津琪安科技有限公司</v>
      </c>
    </row>
    <row r="12" s="22" customFormat="1" ht="15" customHeight="1" spans="1:16">
      <c r="A12" s="29" t="s">
        <v>444</v>
      </c>
      <c r="B12" s="32" t="s">
        <v>445</v>
      </c>
      <c r="C12" s="29" t="s">
        <v>41</v>
      </c>
      <c r="D12" s="32" t="s">
        <v>242</v>
      </c>
      <c r="E12" s="29" t="s">
        <v>41</v>
      </c>
      <c r="F12" s="29" t="s">
        <v>443</v>
      </c>
      <c r="G12" s="29" t="s">
        <v>447</v>
      </c>
      <c r="H12" s="77">
        <v>121529.63</v>
      </c>
      <c r="I12" s="77">
        <v>50000</v>
      </c>
      <c r="J12" s="77">
        <v>24472.28</v>
      </c>
      <c r="K12" s="77">
        <v>239588.75</v>
      </c>
      <c r="L12" s="77">
        <v>146001.91</v>
      </c>
      <c r="M12" s="29" t="s">
        <v>447</v>
      </c>
      <c r="N12" s="77">
        <v>96001.91</v>
      </c>
      <c r="O12" s="22">
        <f t="shared" si="0"/>
        <v>96001.91</v>
      </c>
      <c r="P12" s="22" t="str">
        <f>_xlfn.XLOOKUP(D12,'4月份计划'!A:A,'4月份计划'!A:A)</f>
        <v>黄骅市广亿汽车部件有限公司</v>
      </c>
    </row>
    <row r="13" s="22" customFormat="1" ht="15" customHeight="1" spans="1:16">
      <c r="A13" s="25" t="s">
        <v>444</v>
      </c>
      <c r="B13" s="28" t="s">
        <v>445</v>
      </c>
      <c r="C13" s="25" t="s">
        <v>41</v>
      </c>
      <c r="D13" s="28" t="s">
        <v>496</v>
      </c>
      <c r="E13" s="25" t="s">
        <v>41</v>
      </c>
      <c r="F13" s="25" t="s">
        <v>443</v>
      </c>
      <c r="G13" s="25" t="s">
        <v>489</v>
      </c>
      <c r="H13" s="76">
        <v>0</v>
      </c>
      <c r="I13" s="76">
        <v>0</v>
      </c>
      <c r="J13" s="76">
        <v>0</v>
      </c>
      <c r="K13" s="76">
        <v>0</v>
      </c>
      <c r="L13" s="76">
        <v>0</v>
      </c>
      <c r="M13" s="25" t="s">
        <v>489</v>
      </c>
      <c r="N13" s="76">
        <v>0</v>
      </c>
      <c r="O13" s="22">
        <f t="shared" si="0"/>
        <v>0</v>
      </c>
      <c r="P13" s="22" t="e">
        <f>_xlfn.XLOOKUP(D13,'4月份计划'!A:A,'4月份计划'!A:A)</f>
        <v>#N/A</v>
      </c>
    </row>
    <row r="14" s="22" customFormat="1" ht="15" customHeight="1" spans="1:16">
      <c r="A14" s="29" t="s">
        <v>444</v>
      </c>
      <c r="B14" s="32" t="s">
        <v>445</v>
      </c>
      <c r="C14" s="29" t="s">
        <v>41</v>
      </c>
      <c r="D14" s="32" t="s">
        <v>243</v>
      </c>
      <c r="E14" s="29" t="s">
        <v>41</v>
      </c>
      <c r="F14" s="29" t="s">
        <v>443</v>
      </c>
      <c r="G14" s="29" t="s">
        <v>447</v>
      </c>
      <c r="H14" s="77">
        <v>50890.86</v>
      </c>
      <c r="I14" s="77">
        <v>16908.28</v>
      </c>
      <c r="J14" s="77">
        <v>27519.66</v>
      </c>
      <c r="K14" s="77">
        <v>127350.41</v>
      </c>
      <c r="L14" s="77">
        <v>78410.52</v>
      </c>
      <c r="M14" s="29" t="s">
        <v>447</v>
      </c>
      <c r="N14" s="77">
        <v>61502.24</v>
      </c>
      <c r="O14" s="22">
        <f t="shared" si="0"/>
        <v>61502.24</v>
      </c>
      <c r="P14" s="22" t="str">
        <f>_xlfn.XLOOKUP(D14,'4月份计划'!A:A,'4月份计划'!A:A)</f>
        <v>霸州市自强汽车零部件厂</v>
      </c>
    </row>
    <row r="15" s="22" customFormat="1" ht="15" customHeight="1" spans="1:16">
      <c r="A15" s="25" t="s">
        <v>444</v>
      </c>
      <c r="B15" s="28" t="s">
        <v>445</v>
      </c>
      <c r="C15" s="25" t="s">
        <v>41</v>
      </c>
      <c r="D15" s="28" t="s">
        <v>297</v>
      </c>
      <c r="E15" s="25" t="s">
        <v>41</v>
      </c>
      <c r="F15" s="25" t="s">
        <v>443</v>
      </c>
      <c r="G15" s="25" t="s">
        <v>453</v>
      </c>
      <c r="H15" s="76">
        <v>3667.98</v>
      </c>
      <c r="I15" s="76">
        <v>0</v>
      </c>
      <c r="J15" s="76">
        <v>17283.35</v>
      </c>
      <c r="K15" s="76">
        <v>50158.62</v>
      </c>
      <c r="L15" s="76">
        <v>17283.35</v>
      </c>
      <c r="M15" s="25" t="s">
        <v>447</v>
      </c>
      <c r="N15" s="76">
        <v>13615.37</v>
      </c>
      <c r="O15" s="22">
        <f t="shared" si="0"/>
        <v>13615.37</v>
      </c>
      <c r="P15" s="22" t="str">
        <f>_xlfn.XLOOKUP(D15,'4月份计划'!A:A,'4月份计划'!A:A)</f>
        <v>海兴中盛弹簧有限公司</v>
      </c>
    </row>
    <row r="16" s="22" customFormat="1" ht="15" customHeight="1" spans="1:16">
      <c r="A16" s="29" t="s">
        <v>444</v>
      </c>
      <c r="B16" s="32" t="s">
        <v>445</v>
      </c>
      <c r="C16" s="29" t="s">
        <v>41</v>
      </c>
      <c r="D16" s="32" t="s">
        <v>497</v>
      </c>
      <c r="E16" s="29" t="s">
        <v>41</v>
      </c>
      <c r="F16" s="29" t="s">
        <v>443</v>
      </c>
      <c r="G16" s="29" t="s">
        <v>489</v>
      </c>
      <c r="H16" s="77">
        <v>0</v>
      </c>
      <c r="I16" s="77">
        <v>0</v>
      </c>
      <c r="J16" s="77">
        <v>0</v>
      </c>
      <c r="K16" s="77">
        <v>0</v>
      </c>
      <c r="L16" s="77">
        <v>0</v>
      </c>
      <c r="M16" s="29" t="s">
        <v>489</v>
      </c>
      <c r="N16" s="77">
        <v>0</v>
      </c>
      <c r="O16" s="22">
        <f t="shared" si="0"/>
        <v>0</v>
      </c>
      <c r="P16" s="22" t="e">
        <f>_xlfn.XLOOKUP(D16,'4月份计划'!A:A,'4月份计划'!A:A)</f>
        <v>#N/A</v>
      </c>
    </row>
    <row r="17" s="22" customFormat="1" ht="15" customHeight="1" spans="1:16">
      <c r="A17" s="25" t="s">
        <v>444</v>
      </c>
      <c r="B17" s="28" t="s">
        <v>445</v>
      </c>
      <c r="C17" s="25" t="s">
        <v>41</v>
      </c>
      <c r="D17" s="28" t="s">
        <v>498</v>
      </c>
      <c r="E17" s="25" t="s">
        <v>41</v>
      </c>
      <c r="F17" s="25" t="s">
        <v>443</v>
      </c>
      <c r="G17" s="25" t="s">
        <v>489</v>
      </c>
      <c r="H17" s="76">
        <v>0</v>
      </c>
      <c r="I17" s="76">
        <v>0</v>
      </c>
      <c r="J17" s="76">
        <v>0</v>
      </c>
      <c r="K17" s="76">
        <v>0</v>
      </c>
      <c r="L17" s="76">
        <v>0</v>
      </c>
      <c r="M17" s="25" t="s">
        <v>489</v>
      </c>
      <c r="N17" s="76">
        <v>0</v>
      </c>
      <c r="O17" s="22">
        <f t="shared" si="0"/>
        <v>0</v>
      </c>
      <c r="P17" s="22" t="e">
        <f>_xlfn.XLOOKUP(D17,'4月份计划'!A:A,'4月份计划'!A:A)</f>
        <v>#N/A</v>
      </c>
    </row>
    <row r="18" s="22" customFormat="1" ht="15" customHeight="1" spans="1:16">
      <c r="A18" s="29" t="s">
        <v>444</v>
      </c>
      <c r="B18" s="32" t="s">
        <v>445</v>
      </c>
      <c r="C18" s="29" t="s">
        <v>41</v>
      </c>
      <c r="D18" s="32" t="s">
        <v>500</v>
      </c>
      <c r="E18" s="29" t="s">
        <v>41</v>
      </c>
      <c r="F18" s="29" t="s">
        <v>443</v>
      </c>
      <c r="G18" s="29" t="s">
        <v>489</v>
      </c>
      <c r="H18" s="77">
        <v>0</v>
      </c>
      <c r="I18" s="77">
        <v>0</v>
      </c>
      <c r="J18" s="77">
        <v>0</v>
      </c>
      <c r="K18" s="77">
        <v>0</v>
      </c>
      <c r="L18" s="77">
        <v>0</v>
      </c>
      <c r="M18" s="29" t="s">
        <v>489</v>
      </c>
      <c r="N18" s="77">
        <v>0</v>
      </c>
      <c r="O18" s="22">
        <f t="shared" si="0"/>
        <v>0</v>
      </c>
      <c r="P18" s="22" t="e">
        <f>_xlfn.XLOOKUP(D18,'4月份计划'!A:A,'4月份计划'!A:A)</f>
        <v>#N/A</v>
      </c>
    </row>
    <row r="19" s="22" customFormat="1" ht="15" customHeight="1" spans="1:16">
      <c r="A19" s="25" t="s">
        <v>444</v>
      </c>
      <c r="B19" s="28" t="s">
        <v>445</v>
      </c>
      <c r="C19" s="25" t="s">
        <v>41</v>
      </c>
      <c r="D19" s="28" t="s">
        <v>244</v>
      </c>
      <c r="E19" s="25" t="s">
        <v>41</v>
      </c>
      <c r="F19" s="25" t="s">
        <v>443</v>
      </c>
      <c r="G19" s="25" t="s">
        <v>447</v>
      </c>
      <c r="H19" s="76">
        <v>143842.56</v>
      </c>
      <c r="I19" s="76">
        <v>78601.67</v>
      </c>
      <c r="J19" s="76">
        <v>31410.61</v>
      </c>
      <c r="K19" s="76">
        <v>372055.59</v>
      </c>
      <c r="L19" s="76">
        <v>175253.17</v>
      </c>
      <c r="M19" s="25" t="s">
        <v>447</v>
      </c>
      <c r="N19" s="76">
        <v>96651.5</v>
      </c>
      <c r="O19" s="22">
        <f t="shared" si="0"/>
        <v>96651.5</v>
      </c>
      <c r="P19" s="22" t="str">
        <f>_xlfn.XLOOKUP(D19,'4月份计划'!A:A,'4月份计划'!A:A)</f>
        <v>沧州临港明康汽车配件有限公司</v>
      </c>
    </row>
    <row r="20" s="22" customFormat="1" ht="15" customHeight="1" spans="1:16">
      <c r="A20" s="29" t="s">
        <v>444</v>
      </c>
      <c r="B20" s="32" t="s">
        <v>445</v>
      </c>
      <c r="C20" s="29" t="s">
        <v>41</v>
      </c>
      <c r="D20" s="32" t="s">
        <v>245</v>
      </c>
      <c r="E20" s="29" t="s">
        <v>41</v>
      </c>
      <c r="F20" s="29" t="s">
        <v>443</v>
      </c>
      <c r="G20" s="29" t="s">
        <v>447</v>
      </c>
      <c r="H20" s="77">
        <v>137194.3</v>
      </c>
      <c r="I20" s="77">
        <v>71377.35</v>
      </c>
      <c r="J20" s="77">
        <v>38599.72</v>
      </c>
      <c r="K20" s="77">
        <v>299395</v>
      </c>
      <c r="L20" s="77">
        <v>175794.02</v>
      </c>
      <c r="M20" s="29" t="s">
        <v>447</v>
      </c>
      <c r="N20" s="77">
        <v>104416.67</v>
      </c>
      <c r="O20" s="22">
        <f t="shared" si="0"/>
        <v>104416.67</v>
      </c>
      <c r="P20" s="22" t="str">
        <f>_xlfn.XLOOKUP(D20,'4月份计划'!A:A,'4月份计划'!A:A)</f>
        <v>黄骅市建昌塑料制品有限公司</v>
      </c>
    </row>
    <row r="21" s="22" customFormat="1" ht="15" customHeight="1" spans="1:16">
      <c r="A21" s="25" t="s">
        <v>444</v>
      </c>
      <c r="B21" s="28" t="s">
        <v>445</v>
      </c>
      <c r="C21" s="25" t="s">
        <v>41</v>
      </c>
      <c r="D21" s="28" t="s">
        <v>283</v>
      </c>
      <c r="E21" s="25" t="s">
        <v>41</v>
      </c>
      <c r="F21" s="25" t="s">
        <v>443</v>
      </c>
      <c r="G21" s="25" t="s">
        <v>447</v>
      </c>
      <c r="H21" s="76">
        <v>20170.5</v>
      </c>
      <c r="I21" s="76">
        <v>8644.5</v>
      </c>
      <c r="J21" s="76">
        <v>0</v>
      </c>
      <c r="K21" s="76">
        <v>31696.26</v>
      </c>
      <c r="L21" s="76">
        <v>20170.5</v>
      </c>
      <c r="M21" s="25" t="s">
        <v>447</v>
      </c>
      <c r="N21" s="76">
        <v>11526</v>
      </c>
      <c r="O21" s="22">
        <f t="shared" si="0"/>
        <v>11526</v>
      </c>
      <c r="P21" s="22" t="str">
        <f>_xlfn.XLOOKUP(D21,'4月份计划'!A:A,'4月份计划'!A:A)</f>
        <v>黄骅市成卓汽车部件厂</v>
      </c>
    </row>
    <row r="22" s="22" customFormat="1" ht="15" customHeight="1" spans="1:16">
      <c r="A22" s="29" t="s">
        <v>444</v>
      </c>
      <c r="B22" s="32" t="s">
        <v>445</v>
      </c>
      <c r="C22" s="29" t="s">
        <v>41</v>
      </c>
      <c r="D22" s="32" t="s">
        <v>501</v>
      </c>
      <c r="E22" s="29" t="s">
        <v>41</v>
      </c>
      <c r="F22" s="29" t="s">
        <v>443</v>
      </c>
      <c r="G22" s="29" t="s">
        <v>489</v>
      </c>
      <c r="H22" s="77">
        <v>0</v>
      </c>
      <c r="I22" s="77">
        <v>0</v>
      </c>
      <c r="J22" s="77">
        <v>0</v>
      </c>
      <c r="K22" s="77">
        <v>0</v>
      </c>
      <c r="L22" s="77">
        <v>0</v>
      </c>
      <c r="M22" s="29" t="s">
        <v>489</v>
      </c>
      <c r="N22" s="77">
        <v>0</v>
      </c>
      <c r="O22" s="22">
        <f t="shared" si="0"/>
        <v>0</v>
      </c>
      <c r="P22" s="22" t="e">
        <f>_xlfn.XLOOKUP(D22,'4月份计划'!A:A,'4月份计划'!A:A)</f>
        <v>#N/A</v>
      </c>
    </row>
    <row r="23" s="22" customFormat="1" ht="15" customHeight="1" spans="1:16">
      <c r="A23" s="25" t="s">
        <v>444</v>
      </c>
      <c r="B23" s="28" t="s">
        <v>445</v>
      </c>
      <c r="C23" s="25" t="s">
        <v>41</v>
      </c>
      <c r="D23" s="28" t="s">
        <v>502</v>
      </c>
      <c r="E23" s="25" t="s">
        <v>41</v>
      </c>
      <c r="F23" s="25" t="s">
        <v>443</v>
      </c>
      <c r="G23" s="25" t="s">
        <v>489</v>
      </c>
      <c r="H23" s="76">
        <v>0</v>
      </c>
      <c r="I23" s="76">
        <v>0</v>
      </c>
      <c r="J23" s="76">
        <v>0</v>
      </c>
      <c r="K23" s="76">
        <v>0</v>
      </c>
      <c r="L23" s="76">
        <v>0</v>
      </c>
      <c r="M23" s="25" t="s">
        <v>489</v>
      </c>
      <c r="N23" s="76">
        <v>0</v>
      </c>
      <c r="O23" s="22">
        <f t="shared" si="0"/>
        <v>0</v>
      </c>
      <c r="P23" s="22" t="e">
        <f>_xlfn.XLOOKUP(D23,'4月份计划'!A:A,'4月份计划'!A:A)</f>
        <v>#N/A</v>
      </c>
    </row>
    <row r="24" s="22" customFormat="1" ht="15" customHeight="1" spans="1:16">
      <c r="A24" s="29" t="s">
        <v>444</v>
      </c>
      <c r="B24" s="32" t="s">
        <v>445</v>
      </c>
      <c r="C24" s="29" t="s">
        <v>41</v>
      </c>
      <c r="D24" s="32" t="s">
        <v>452</v>
      </c>
      <c r="E24" s="29" t="s">
        <v>41</v>
      </c>
      <c r="F24" s="29" t="s">
        <v>443</v>
      </c>
      <c r="G24" s="29" t="s">
        <v>447</v>
      </c>
      <c r="H24" s="77">
        <v>5200.09</v>
      </c>
      <c r="I24" s="77">
        <v>0</v>
      </c>
      <c r="J24" s="77">
        <v>0</v>
      </c>
      <c r="K24" s="77">
        <v>0</v>
      </c>
      <c r="L24" s="77">
        <v>0</v>
      </c>
      <c r="M24" s="29" t="s">
        <v>447</v>
      </c>
      <c r="N24" s="77">
        <v>5200.09</v>
      </c>
      <c r="O24" s="22">
        <f t="shared" si="0"/>
        <v>5200.09</v>
      </c>
      <c r="P24" s="22" t="e">
        <f>_xlfn.XLOOKUP(D24,'4月份计划'!A:A,'4月份计划'!A:A)</f>
        <v>#N/A</v>
      </c>
    </row>
    <row r="25" s="22" customFormat="1" ht="15" customHeight="1" spans="1:16">
      <c r="A25" s="25" t="s">
        <v>444</v>
      </c>
      <c r="B25" s="28" t="s">
        <v>445</v>
      </c>
      <c r="C25" s="25" t="s">
        <v>41</v>
      </c>
      <c r="D25" s="28" t="s">
        <v>312</v>
      </c>
      <c r="E25" s="25" t="s">
        <v>41</v>
      </c>
      <c r="F25" s="25" t="s">
        <v>443</v>
      </c>
      <c r="G25" s="25" t="s">
        <v>489</v>
      </c>
      <c r="H25" s="76">
        <v>0</v>
      </c>
      <c r="I25" s="76">
        <v>5705.37</v>
      </c>
      <c r="J25" s="76">
        <v>0</v>
      </c>
      <c r="K25" s="76">
        <v>9715.91</v>
      </c>
      <c r="L25" s="76">
        <v>0</v>
      </c>
      <c r="M25" s="25" t="s">
        <v>453</v>
      </c>
      <c r="N25" s="76">
        <v>5705.37</v>
      </c>
      <c r="O25" s="22">
        <f t="shared" si="0"/>
        <v>-5705.37</v>
      </c>
      <c r="P25" s="22" t="str">
        <f>_xlfn.XLOOKUP(D25,'4月份计划'!A:A,'4月份计划'!A:A)</f>
        <v>沧州旭兴五金制品有限公司</v>
      </c>
    </row>
    <row r="26" s="22" customFormat="1" ht="15" customHeight="1" spans="1:16">
      <c r="A26" s="29" t="s">
        <v>444</v>
      </c>
      <c r="B26" s="32" t="s">
        <v>445</v>
      </c>
      <c r="C26" s="29" t="s">
        <v>41</v>
      </c>
      <c r="D26" s="32" t="s">
        <v>503</v>
      </c>
      <c r="E26" s="29" t="s">
        <v>41</v>
      </c>
      <c r="F26" s="29" t="s">
        <v>443</v>
      </c>
      <c r="G26" s="29" t="s">
        <v>489</v>
      </c>
      <c r="H26" s="77">
        <v>0</v>
      </c>
      <c r="I26" s="77">
        <v>0</v>
      </c>
      <c r="J26" s="77">
        <v>0</v>
      </c>
      <c r="K26" s="77">
        <v>0</v>
      </c>
      <c r="L26" s="77">
        <v>0</v>
      </c>
      <c r="M26" s="29" t="s">
        <v>489</v>
      </c>
      <c r="N26" s="77">
        <v>0</v>
      </c>
      <c r="O26" s="22">
        <f t="shared" si="0"/>
        <v>0</v>
      </c>
      <c r="P26" s="22" t="e">
        <f>_xlfn.XLOOKUP(D26,'4月份计划'!A:A,'4月份计划'!A:A)</f>
        <v>#N/A</v>
      </c>
    </row>
    <row r="27" s="22" customFormat="1" ht="15" customHeight="1" spans="1:16">
      <c r="A27" s="25" t="s">
        <v>444</v>
      </c>
      <c r="B27" s="28" t="s">
        <v>445</v>
      </c>
      <c r="C27" s="25" t="s">
        <v>41</v>
      </c>
      <c r="D27" s="28" t="s">
        <v>280</v>
      </c>
      <c r="E27" s="25" t="s">
        <v>41</v>
      </c>
      <c r="F27" s="25" t="s">
        <v>443</v>
      </c>
      <c r="G27" s="25" t="s">
        <v>447</v>
      </c>
      <c r="H27" s="76">
        <v>56381.8</v>
      </c>
      <c r="I27" s="76">
        <v>36216.5</v>
      </c>
      <c r="J27" s="76">
        <v>18204.87</v>
      </c>
      <c r="K27" s="76">
        <v>168822</v>
      </c>
      <c r="L27" s="76">
        <v>74586.67</v>
      </c>
      <c r="M27" s="25" t="s">
        <v>447</v>
      </c>
      <c r="N27" s="76">
        <v>38370.17</v>
      </c>
      <c r="O27" s="22">
        <f t="shared" si="0"/>
        <v>38370.17</v>
      </c>
      <c r="P27" s="22" t="str">
        <f>_xlfn.XLOOKUP(D27,'4月份计划'!A:A,'4月份计划'!A:A)</f>
        <v>文安县德实汽车配件有限公司</v>
      </c>
    </row>
    <row r="28" s="22" customFormat="1" ht="15" customHeight="1" spans="1:16">
      <c r="A28" s="29" t="s">
        <v>444</v>
      </c>
      <c r="B28" s="32" t="s">
        <v>445</v>
      </c>
      <c r="C28" s="29" t="s">
        <v>41</v>
      </c>
      <c r="D28" s="32" t="s">
        <v>504</v>
      </c>
      <c r="E28" s="29" t="s">
        <v>41</v>
      </c>
      <c r="F28" s="29" t="s">
        <v>443</v>
      </c>
      <c r="G28" s="29" t="s">
        <v>489</v>
      </c>
      <c r="H28" s="77">
        <v>0</v>
      </c>
      <c r="I28" s="77">
        <v>0</v>
      </c>
      <c r="J28" s="77">
        <v>0</v>
      </c>
      <c r="K28" s="77">
        <v>0</v>
      </c>
      <c r="L28" s="77">
        <v>0</v>
      </c>
      <c r="M28" s="29" t="s">
        <v>489</v>
      </c>
      <c r="N28" s="77">
        <v>0</v>
      </c>
      <c r="O28" s="22">
        <f t="shared" si="0"/>
        <v>0</v>
      </c>
      <c r="P28" s="22" t="e">
        <f>_xlfn.XLOOKUP(D28,'4月份计划'!A:A,'4月份计划'!A:A)</f>
        <v>#N/A</v>
      </c>
    </row>
    <row r="29" s="22" customFormat="1" ht="15" customHeight="1" spans="1:16">
      <c r="A29" s="25" t="s">
        <v>444</v>
      </c>
      <c r="B29" s="28" t="s">
        <v>445</v>
      </c>
      <c r="C29" s="25" t="s">
        <v>41</v>
      </c>
      <c r="D29" s="28" t="s">
        <v>246</v>
      </c>
      <c r="E29" s="25" t="s">
        <v>41</v>
      </c>
      <c r="F29" s="25" t="s">
        <v>443</v>
      </c>
      <c r="G29" s="25" t="s">
        <v>447</v>
      </c>
      <c r="H29" s="76">
        <v>127771.79</v>
      </c>
      <c r="I29" s="76">
        <v>75095.26</v>
      </c>
      <c r="J29" s="76">
        <v>36215.25</v>
      </c>
      <c r="K29" s="76">
        <v>279030.41</v>
      </c>
      <c r="L29" s="76">
        <v>163987.04</v>
      </c>
      <c r="M29" s="25" t="s">
        <v>447</v>
      </c>
      <c r="N29" s="76">
        <v>88891.78</v>
      </c>
      <c r="O29" s="22">
        <f t="shared" si="0"/>
        <v>88891.78</v>
      </c>
      <c r="P29" s="22" t="str">
        <f>_xlfn.XLOOKUP(D29,'4月份计划'!A:A,'4月份计划'!A:A)</f>
        <v>廊坊市烁鑫汽车配件有限公司</v>
      </c>
    </row>
    <row r="30" s="22" customFormat="1" ht="15" customHeight="1" spans="1:16">
      <c r="A30" s="29" t="s">
        <v>444</v>
      </c>
      <c r="B30" s="32" t="s">
        <v>445</v>
      </c>
      <c r="C30" s="29" t="s">
        <v>41</v>
      </c>
      <c r="D30" s="32" t="s">
        <v>505</v>
      </c>
      <c r="E30" s="29" t="s">
        <v>41</v>
      </c>
      <c r="F30" s="29" t="s">
        <v>443</v>
      </c>
      <c r="G30" s="29" t="s">
        <v>489</v>
      </c>
      <c r="H30" s="77">
        <v>0</v>
      </c>
      <c r="I30" s="77">
        <v>0</v>
      </c>
      <c r="J30" s="77">
        <v>0</v>
      </c>
      <c r="K30" s="77">
        <v>0</v>
      </c>
      <c r="L30" s="77">
        <v>0</v>
      </c>
      <c r="M30" s="29" t="s">
        <v>489</v>
      </c>
      <c r="N30" s="77">
        <v>0</v>
      </c>
      <c r="O30" s="22">
        <f t="shared" si="0"/>
        <v>0</v>
      </c>
      <c r="P30" s="22" t="e">
        <f>_xlfn.XLOOKUP(D30,'4月份计划'!A:A,'4月份计划'!A:A)</f>
        <v>#N/A</v>
      </c>
    </row>
    <row r="31" s="22" customFormat="1" ht="15" customHeight="1" spans="1:16">
      <c r="A31" s="25" t="s">
        <v>444</v>
      </c>
      <c r="B31" s="28" t="s">
        <v>445</v>
      </c>
      <c r="C31" s="25" t="s">
        <v>41</v>
      </c>
      <c r="D31" s="28" t="s">
        <v>506</v>
      </c>
      <c r="E31" s="25" t="s">
        <v>41</v>
      </c>
      <c r="F31" s="25" t="s">
        <v>443</v>
      </c>
      <c r="G31" s="25" t="s">
        <v>489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25" t="s">
        <v>489</v>
      </c>
      <c r="N31" s="76">
        <v>0</v>
      </c>
      <c r="O31" s="22">
        <f t="shared" si="0"/>
        <v>0</v>
      </c>
      <c r="P31" s="22" t="e">
        <f>_xlfn.XLOOKUP(D31,'4月份计划'!A:A,'4月份计划'!A:A)</f>
        <v>#N/A</v>
      </c>
    </row>
    <row r="32" s="22" customFormat="1" ht="15" customHeight="1" spans="1:16">
      <c r="A32" s="29" t="s">
        <v>444</v>
      </c>
      <c r="B32" s="32" t="s">
        <v>445</v>
      </c>
      <c r="C32" s="29" t="s">
        <v>41</v>
      </c>
      <c r="D32" s="32" t="s">
        <v>507</v>
      </c>
      <c r="E32" s="29" t="s">
        <v>41</v>
      </c>
      <c r="F32" s="29" t="s">
        <v>443</v>
      </c>
      <c r="G32" s="29" t="s">
        <v>489</v>
      </c>
      <c r="H32" s="77">
        <v>0</v>
      </c>
      <c r="I32" s="77">
        <v>0</v>
      </c>
      <c r="J32" s="77">
        <v>0</v>
      </c>
      <c r="K32" s="77">
        <v>0</v>
      </c>
      <c r="L32" s="77">
        <v>0</v>
      </c>
      <c r="M32" s="29" t="s">
        <v>489</v>
      </c>
      <c r="N32" s="77">
        <v>0</v>
      </c>
      <c r="O32" s="22">
        <f t="shared" si="0"/>
        <v>0</v>
      </c>
      <c r="P32" s="22" t="e">
        <f>_xlfn.XLOOKUP(D32,'4月份计划'!A:A,'4月份计划'!A:A)</f>
        <v>#N/A</v>
      </c>
    </row>
    <row r="33" s="22" customFormat="1" ht="15" customHeight="1" spans="1:16">
      <c r="A33" s="25" t="s">
        <v>444</v>
      </c>
      <c r="B33" s="28" t="s">
        <v>445</v>
      </c>
      <c r="C33" s="25" t="s">
        <v>41</v>
      </c>
      <c r="D33" s="28" t="s">
        <v>508</v>
      </c>
      <c r="E33" s="25" t="s">
        <v>41</v>
      </c>
      <c r="F33" s="25" t="s">
        <v>443</v>
      </c>
      <c r="G33" s="25" t="s">
        <v>489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  <c r="M33" s="25" t="s">
        <v>489</v>
      </c>
      <c r="N33" s="76">
        <v>0</v>
      </c>
      <c r="O33" s="22">
        <f t="shared" si="0"/>
        <v>0</v>
      </c>
      <c r="P33" s="22" t="e">
        <f>_xlfn.XLOOKUP(D33,'4月份计划'!A:A,'4月份计划'!A:A)</f>
        <v>#N/A</v>
      </c>
    </row>
    <row r="34" s="22" customFormat="1" ht="15" customHeight="1" spans="1:16">
      <c r="A34" s="29" t="s">
        <v>444</v>
      </c>
      <c r="B34" s="32" t="s">
        <v>445</v>
      </c>
      <c r="C34" s="29" t="s">
        <v>41</v>
      </c>
      <c r="D34" s="32" t="s">
        <v>247</v>
      </c>
      <c r="E34" s="29" t="s">
        <v>41</v>
      </c>
      <c r="F34" s="29" t="s">
        <v>443</v>
      </c>
      <c r="G34" s="29" t="s">
        <v>447</v>
      </c>
      <c r="H34" s="77">
        <v>29435.59</v>
      </c>
      <c r="I34" s="77">
        <v>0</v>
      </c>
      <c r="J34" s="77">
        <v>0</v>
      </c>
      <c r="K34" s="77">
        <v>39977.88</v>
      </c>
      <c r="L34" s="77">
        <v>29435.59</v>
      </c>
      <c r="M34" s="29" t="s">
        <v>447</v>
      </c>
      <c r="N34" s="77">
        <v>29435.59</v>
      </c>
      <c r="O34" s="22">
        <f t="shared" si="0"/>
        <v>29435.59</v>
      </c>
      <c r="P34" s="22" t="str">
        <f>_xlfn.XLOOKUP(D34,'4月份计划'!A:A,'4月份计划'!A:A)</f>
        <v>黄骅市汇铭汽车部件有限公司</v>
      </c>
    </row>
    <row r="35" s="22" customFormat="1" ht="15" customHeight="1" spans="1:16">
      <c r="A35" s="25" t="s">
        <v>444</v>
      </c>
      <c r="B35" s="28" t="s">
        <v>445</v>
      </c>
      <c r="C35" s="25" t="s">
        <v>41</v>
      </c>
      <c r="D35" s="28" t="s">
        <v>509</v>
      </c>
      <c r="E35" s="25" t="s">
        <v>41</v>
      </c>
      <c r="F35" s="25" t="s">
        <v>443</v>
      </c>
      <c r="G35" s="25" t="s">
        <v>489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25" t="s">
        <v>489</v>
      </c>
      <c r="N35" s="76">
        <v>0</v>
      </c>
      <c r="O35" s="22">
        <f t="shared" si="0"/>
        <v>0</v>
      </c>
      <c r="P35" s="22" t="e">
        <f>_xlfn.XLOOKUP(D35,'4月份计划'!A:A,'4月份计划'!A:A)</f>
        <v>#N/A</v>
      </c>
    </row>
    <row r="36" s="22" customFormat="1" ht="15" customHeight="1" spans="1:16">
      <c r="A36" s="29" t="s">
        <v>444</v>
      </c>
      <c r="B36" s="32" t="s">
        <v>445</v>
      </c>
      <c r="C36" s="29" t="s">
        <v>41</v>
      </c>
      <c r="D36" s="32" t="s">
        <v>510</v>
      </c>
      <c r="E36" s="29" t="s">
        <v>41</v>
      </c>
      <c r="F36" s="29" t="s">
        <v>443</v>
      </c>
      <c r="G36" s="29" t="s">
        <v>489</v>
      </c>
      <c r="H36" s="77">
        <v>0</v>
      </c>
      <c r="I36" s="77">
        <v>0</v>
      </c>
      <c r="J36" s="77">
        <v>0</v>
      </c>
      <c r="K36" s="77">
        <v>0</v>
      </c>
      <c r="L36" s="77">
        <v>0</v>
      </c>
      <c r="M36" s="29" t="s">
        <v>489</v>
      </c>
      <c r="N36" s="77">
        <v>0</v>
      </c>
      <c r="O36" s="22">
        <f t="shared" si="0"/>
        <v>0</v>
      </c>
      <c r="P36" s="22" t="e">
        <f>_xlfn.XLOOKUP(D36,'4月份计划'!A:A,'4月份计划'!A:A)</f>
        <v>#N/A</v>
      </c>
    </row>
    <row r="37" s="22" customFormat="1" ht="15" customHeight="1" spans="1:16">
      <c r="A37" s="25" t="s">
        <v>444</v>
      </c>
      <c r="B37" s="28" t="s">
        <v>445</v>
      </c>
      <c r="C37" s="25" t="s">
        <v>41</v>
      </c>
      <c r="D37" s="28" t="s">
        <v>248</v>
      </c>
      <c r="E37" s="25" t="s">
        <v>41</v>
      </c>
      <c r="F37" s="25" t="s">
        <v>443</v>
      </c>
      <c r="G37" s="25" t="s">
        <v>447</v>
      </c>
      <c r="H37" s="76">
        <v>754195</v>
      </c>
      <c r="I37" s="76">
        <v>520134.48</v>
      </c>
      <c r="J37" s="76">
        <v>130033.62</v>
      </c>
      <c r="K37" s="76">
        <v>1378356.36</v>
      </c>
      <c r="L37" s="76">
        <v>884228.62</v>
      </c>
      <c r="M37" s="25" t="s">
        <v>447</v>
      </c>
      <c r="N37" s="76">
        <v>364094.14</v>
      </c>
      <c r="O37" s="22">
        <f t="shared" si="0"/>
        <v>364094.14</v>
      </c>
      <c r="P37" s="22" t="str">
        <f>_xlfn.XLOOKUP(D37,'4月份计划'!A:A,'4月份计划'!A:A)</f>
        <v>上海明芳汽车零件有限公司</v>
      </c>
    </row>
    <row r="38" s="22" customFormat="1" ht="15" customHeight="1" spans="1:16">
      <c r="A38" s="29" t="s">
        <v>444</v>
      </c>
      <c r="B38" s="32" t="s">
        <v>445</v>
      </c>
      <c r="C38" s="29" t="s">
        <v>41</v>
      </c>
      <c r="D38" s="32" t="s">
        <v>511</v>
      </c>
      <c r="E38" s="29" t="s">
        <v>41</v>
      </c>
      <c r="F38" s="29" t="s">
        <v>443</v>
      </c>
      <c r="G38" s="29" t="s">
        <v>489</v>
      </c>
      <c r="H38" s="77">
        <v>0</v>
      </c>
      <c r="I38" s="77">
        <v>0</v>
      </c>
      <c r="J38" s="77">
        <v>0</v>
      </c>
      <c r="K38" s="77">
        <v>0</v>
      </c>
      <c r="L38" s="77">
        <v>0</v>
      </c>
      <c r="M38" s="29" t="s">
        <v>489</v>
      </c>
      <c r="N38" s="77">
        <v>0</v>
      </c>
      <c r="O38" s="22">
        <f t="shared" si="0"/>
        <v>0</v>
      </c>
      <c r="P38" s="22" t="e">
        <f>_xlfn.XLOOKUP(D38,'4月份计划'!A:A,'4月份计划'!A:A)</f>
        <v>#N/A</v>
      </c>
    </row>
    <row r="39" s="22" customFormat="1" ht="15" customHeight="1" spans="1:16">
      <c r="A39" s="25" t="s">
        <v>444</v>
      </c>
      <c r="B39" s="28" t="s">
        <v>445</v>
      </c>
      <c r="C39" s="25" t="s">
        <v>41</v>
      </c>
      <c r="D39" s="28" t="s">
        <v>279</v>
      </c>
      <c r="E39" s="25" t="s">
        <v>41</v>
      </c>
      <c r="F39" s="25" t="s">
        <v>443</v>
      </c>
      <c r="G39" s="25" t="s">
        <v>447</v>
      </c>
      <c r="H39" s="76">
        <v>13932.9</v>
      </c>
      <c r="I39" s="76">
        <v>0</v>
      </c>
      <c r="J39" s="76">
        <v>0</v>
      </c>
      <c r="K39" s="76">
        <v>0</v>
      </c>
      <c r="L39" s="76">
        <v>0</v>
      </c>
      <c r="M39" s="25" t="s">
        <v>447</v>
      </c>
      <c r="N39" s="76">
        <v>13932.9</v>
      </c>
      <c r="O39" s="22">
        <f t="shared" si="0"/>
        <v>13932.9</v>
      </c>
      <c r="P39" s="22" t="str">
        <f>_xlfn.XLOOKUP(D39,'4月份计划'!A:A,'4月份计划'!A:A)</f>
        <v>上海秉直精密机械有限公司</v>
      </c>
    </row>
    <row r="40" s="22" customFormat="1" ht="15" customHeight="1" spans="1:16">
      <c r="A40" s="29" t="s">
        <v>444</v>
      </c>
      <c r="B40" s="32" t="s">
        <v>445</v>
      </c>
      <c r="C40" s="29" t="s">
        <v>41</v>
      </c>
      <c r="D40" s="32" t="s">
        <v>512</v>
      </c>
      <c r="E40" s="29" t="s">
        <v>41</v>
      </c>
      <c r="F40" s="29" t="s">
        <v>443</v>
      </c>
      <c r="G40" s="29" t="s">
        <v>489</v>
      </c>
      <c r="H40" s="77">
        <v>0</v>
      </c>
      <c r="I40" s="77">
        <v>0</v>
      </c>
      <c r="J40" s="77">
        <v>0</v>
      </c>
      <c r="K40" s="77">
        <v>0</v>
      </c>
      <c r="L40" s="77">
        <v>0</v>
      </c>
      <c r="M40" s="29" t="s">
        <v>489</v>
      </c>
      <c r="N40" s="77">
        <v>0</v>
      </c>
      <c r="O40" s="22">
        <f t="shared" si="0"/>
        <v>0</v>
      </c>
      <c r="P40" s="22" t="e">
        <f>_xlfn.XLOOKUP(D40,'4月份计划'!A:A,'4月份计划'!A:A)</f>
        <v>#N/A</v>
      </c>
    </row>
    <row r="41" s="22" customFormat="1" ht="15" customHeight="1" spans="1:16">
      <c r="A41" s="25" t="s">
        <v>444</v>
      </c>
      <c r="B41" s="28" t="s">
        <v>445</v>
      </c>
      <c r="C41" s="25" t="s">
        <v>41</v>
      </c>
      <c r="D41" s="28" t="s">
        <v>249</v>
      </c>
      <c r="E41" s="25" t="s">
        <v>41</v>
      </c>
      <c r="F41" s="25" t="s">
        <v>443</v>
      </c>
      <c r="G41" s="25" t="s">
        <v>447</v>
      </c>
      <c r="H41" s="76">
        <v>798238.4</v>
      </c>
      <c r="I41" s="76">
        <v>400000</v>
      </c>
      <c r="J41" s="76">
        <v>0</v>
      </c>
      <c r="K41" s="76">
        <v>1256363.68</v>
      </c>
      <c r="L41" s="76">
        <v>798238.4</v>
      </c>
      <c r="M41" s="25" t="s">
        <v>447</v>
      </c>
      <c r="N41" s="76">
        <v>398238.4</v>
      </c>
      <c r="O41" s="22">
        <f t="shared" si="0"/>
        <v>398238.4</v>
      </c>
      <c r="P41" s="22" t="str">
        <f>_xlfn.XLOOKUP(D41,'4月份计划'!A:A,'4月份计划'!A:A)</f>
        <v>江苏力乐汽车部件股份有限公司</v>
      </c>
    </row>
    <row r="42" s="22" customFormat="1" ht="15" customHeight="1" spans="1:16">
      <c r="A42" s="29" t="s">
        <v>444</v>
      </c>
      <c r="B42" s="32" t="s">
        <v>445</v>
      </c>
      <c r="C42" s="29" t="s">
        <v>41</v>
      </c>
      <c r="D42" s="32" t="s">
        <v>417</v>
      </c>
      <c r="E42" s="29" t="s">
        <v>41</v>
      </c>
      <c r="F42" s="29" t="s">
        <v>443</v>
      </c>
      <c r="G42" s="29" t="s">
        <v>447</v>
      </c>
      <c r="H42" s="77">
        <v>68352.16</v>
      </c>
      <c r="I42" s="77">
        <v>68352.16</v>
      </c>
      <c r="J42" s="77">
        <v>0</v>
      </c>
      <c r="K42" s="77">
        <v>69562.26</v>
      </c>
      <c r="L42" s="77">
        <v>68352.16</v>
      </c>
      <c r="M42" s="29" t="s">
        <v>489</v>
      </c>
      <c r="N42" s="77">
        <v>0</v>
      </c>
      <c r="O42" s="22">
        <f t="shared" si="0"/>
        <v>0</v>
      </c>
      <c r="P42" s="22" t="e">
        <f>_xlfn.XLOOKUP(D42,'4月份计划'!A:A,'4月份计划'!A:A)</f>
        <v>#N/A</v>
      </c>
    </row>
    <row r="43" s="22" customFormat="1" ht="15" customHeight="1" spans="1:16">
      <c r="A43" s="25" t="s">
        <v>444</v>
      </c>
      <c r="B43" s="28" t="s">
        <v>445</v>
      </c>
      <c r="C43" s="25" t="s">
        <v>41</v>
      </c>
      <c r="D43" s="28" t="s">
        <v>250</v>
      </c>
      <c r="E43" s="25" t="s">
        <v>41</v>
      </c>
      <c r="F43" s="25" t="s">
        <v>443</v>
      </c>
      <c r="G43" s="25" t="s">
        <v>447</v>
      </c>
      <c r="H43" s="76">
        <v>616653.59</v>
      </c>
      <c r="I43" s="76">
        <v>300000</v>
      </c>
      <c r="J43" s="76">
        <v>153087.15</v>
      </c>
      <c r="K43" s="76">
        <v>1203881.91</v>
      </c>
      <c r="L43" s="76">
        <v>769740.74</v>
      </c>
      <c r="M43" s="25" t="s">
        <v>447</v>
      </c>
      <c r="N43" s="76">
        <v>469740.74</v>
      </c>
      <c r="O43" s="22">
        <f t="shared" si="0"/>
        <v>469740.74</v>
      </c>
      <c r="P43" s="22" t="str">
        <f>_xlfn.XLOOKUP(D43,'4月份计划'!A:A,'4月份计划'!A:A)</f>
        <v>溧阳鑫岩汽车零部件有限公司</v>
      </c>
    </row>
    <row r="44" s="22" customFormat="1" ht="15" customHeight="1" spans="1:16">
      <c r="A44" s="29" t="s">
        <v>444</v>
      </c>
      <c r="B44" s="32" t="s">
        <v>445</v>
      </c>
      <c r="C44" s="29" t="s">
        <v>41</v>
      </c>
      <c r="D44" s="32" t="s">
        <v>311</v>
      </c>
      <c r="E44" s="29" t="s">
        <v>41</v>
      </c>
      <c r="F44" s="29" t="s">
        <v>443</v>
      </c>
      <c r="G44" s="29" t="s">
        <v>447</v>
      </c>
      <c r="H44" s="77">
        <v>266454.1</v>
      </c>
      <c r="I44" s="77">
        <v>88818.1</v>
      </c>
      <c r="J44" s="77">
        <v>146583.6</v>
      </c>
      <c r="K44" s="77">
        <v>88818.1</v>
      </c>
      <c r="L44" s="77">
        <v>413037.6</v>
      </c>
      <c r="M44" s="29" t="s">
        <v>447</v>
      </c>
      <c r="N44" s="77">
        <v>324219.6</v>
      </c>
      <c r="O44" s="22">
        <f t="shared" si="0"/>
        <v>324219.6</v>
      </c>
      <c r="P44" s="22" t="str">
        <f>_xlfn.XLOOKUP(D44,'4月份计划'!A:A,'4月份计划'!A:A)</f>
        <v>江苏全盛座舱技术股份有限公司</v>
      </c>
    </row>
    <row r="45" s="22" customFormat="1" ht="15" customHeight="1" spans="1:16">
      <c r="A45" s="25" t="s">
        <v>444</v>
      </c>
      <c r="B45" s="28" t="s">
        <v>445</v>
      </c>
      <c r="C45" s="25" t="s">
        <v>41</v>
      </c>
      <c r="D45" s="28" t="s">
        <v>513</v>
      </c>
      <c r="E45" s="25" t="s">
        <v>41</v>
      </c>
      <c r="F45" s="25" t="s">
        <v>443</v>
      </c>
      <c r="G45" s="25" t="s">
        <v>489</v>
      </c>
      <c r="H45" s="76">
        <v>0</v>
      </c>
      <c r="I45" s="76">
        <v>0</v>
      </c>
      <c r="J45" s="76">
        <v>0</v>
      </c>
      <c r="K45" s="76">
        <v>0</v>
      </c>
      <c r="L45" s="76">
        <v>0</v>
      </c>
      <c r="M45" s="25" t="s">
        <v>489</v>
      </c>
      <c r="N45" s="76">
        <v>0</v>
      </c>
      <c r="O45" s="22">
        <f t="shared" si="0"/>
        <v>0</v>
      </c>
      <c r="P45" s="22" t="e">
        <f>_xlfn.XLOOKUP(D45,'4月份计划'!A:A,'4月份计划'!A:A)</f>
        <v>#N/A</v>
      </c>
    </row>
    <row r="46" s="22" customFormat="1" ht="15" customHeight="1" spans="1:16">
      <c r="A46" s="29" t="s">
        <v>444</v>
      </c>
      <c r="B46" s="32" t="s">
        <v>445</v>
      </c>
      <c r="C46" s="29" t="s">
        <v>41</v>
      </c>
      <c r="D46" s="32" t="s">
        <v>514</v>
      </c>
      <c r="E46" s="29" t="s">
        <v>41</v>
      </c>
      <c r="F46" s="29" t="s">
        <v>443</v>
      </c>
      <c r="G46" s="29" t="s">
        <v>489</v>
      </c>
      <c r="H46" s="77">
        <v>0</v>
      </c>
      <c r="I46" s="77">
        <v>0</v>
      </c>
      <c r="J46" s="77">
        <v>0</v>
      </c>
      <c r="K46" s="77">
        <v>0</v>
      </c>
      <c r="L46" s="77">
        <v>0</v>
      </c>
      <c r="M46" s="29" t="s">
        <v>489</v>
      </c>
      <c r="N46" s="77">
        <v>0</v>
      </c>
      <c r="O46" s="22">
        <f t="shared" si="0"/>
        <v>0</v>
      </c>
      <c r="P46" s="22" t="e">
        <f>_xlfn.XLOOKUP(D46,'4月份计划'!A:A,'4月份计划'!A:A)</f>
        <v>#N/A</v>
      </c>
    </row>
    <row r="47" s="22" customFormat="1" ht="15" customHeight="1" spans="1:16">
      <c r="A47" s="25" t="s">
        <v>444</v>
      </c>
      <c r="B47" s="28" t="s">
        <v>445</v>
      </c>
      <c r="C47" s="25" t="s">
        <v>41</v>
      </c>
      <c r="D47" s="28" t="s">
        <v>310</v>
      </c>
      <c r="E47" s="25" t="s">
        <v>41</v>
      </c>
      <c r="F47" s="25" t="s">
        <v>443</v>
      </c>
      <c r="G47" s="25" t="s">
        <v>447</v>
      </c>
      <c r="H47" s="76">
        <v>44034.75</v>
      </c>
      <c r="I47" s="76">
        <v>0</v>
      </c>
      <c r="J47" s="76">
        <v>0</v>
      </c>
      <c r="K47" s="76">
        <v>18956.52</v>
      </c>
      <c r="L47" s="76">
        <v>44034.75</v>
      </c>
      <c r="M47" s="25" t="s">
        <v>447</v>
      </c>
      <c r="N47" s="76">
        <v>44034.75</v>
      </c>
      <c r="O47" s="22">
        <f t="shared" si="0"/>
        <v>44034.75</v>
      </c>
      <c r="P47" s="22" t="str">
        <f>_xlfn.XLOOKUP(D47,'4月份计划'!A:A,'4月份计划'!A:A)</f>
        <v>浙江松原汽车安全系统股份有限</v>
      </c>
    </row>
    <row r="48" s="22" customFormat="1" ht="15" customHeight="1" spans="1:16">
      <c r="A48" s="29" t="s">
        <v>444</v>
      </c>
      <c r="B48" s="32" t="s">
        <v>445</v>
      </c>
      <c r="C48" s="29" t="s">
        <v>41</v>
      </c>
      <c r="D48" s="32" t="s">
        <v>298</v>
      </c>
      <c r="E48" s="29" t="s">
        <v>41</v>
      </c>
      <c r="F48" s="29" t="s">
        <v>443</v>
      </c>
      <c r="G48" s="29" t="s">
        <v>447</v>
      </c>
      <c r="H48" s="77">
        <v>247081.28</v>
      </c>
      <c r="I48" s="77">
        <v>181993.28</v>
      </c>
      <c r="J48" s="77">
        <v>43392</v>
      </c>
      <c r="K48" s="77">
        <v>376678.72</v>
      </c>
      <c r="L48" s="77">
        <v>290473.28</v>
      </c>
      <c r="M48" s="29" t="s">
        <v>447</v>
      </c>
      <c r="N48" s="77">
        <v>108480</v>
      </c>
      <c r="O48" s="22">
        <f t="shared" si="0"/>
        <v>108480</v>
      </c>
      <c r="P48" s="22" t="str">
        <f>_xlfn.XLOOKUP(D48,'4月份计划'!A:A,'4月份计划'!A:A)</f>
        <v>浙江华悦汽车零部件股份有限公</v>
      </c>
    </row>
    <row r="49" s="22" customFormat="1" ht="15" customHeight="1" spans="1:16">
      <c r="A49" s="25" t="s">
        <v>444</v>
      </c>
      <c r="B49" s="28" t="s">
        <v>445</v>
      </c>
      <c r="C49" s="25" t="s">
        <v>41</v>
      </c>
      <c r="D49" s="28" t="s">
        <v>515</v>
      </c>
      <c r="E49" s="25" t="s">
        <v>41</v>
      </c>
      <c r="F49" s="25" t="s">
        <v>443</v>
      </c>
      <c r="G49" s="25" t="s">
        <v>489</v>
      </c>
      <c r="H49" s="76">
        <v>0</v>
      </c>
      <c r="I49" s="76">
        <v>0</v>
      </c>
      <c r="J49" s="76">
        <v>0</v>
      </c>
      <c r="K49" s="76">
        <v>0</v>
      </c>
      <c r="L49" s="76">
        <v>0</v>
      </c>
      <c r="M49" s="25" t="s">
        <v>489</v>
      </c>
      <c r="N49" s="76">
        <v>0</v>
      </c>
      <c r="O49" s="22">
        <f t="shared" si="0"/>
        <v>0</v>
      </c>
      <c r="P49" s="22" t="e">
        <f>_xlfn.XLOOKUP(D49,'4月份计划'!A:A,'4月份计划'!A:A)</f>
        <v>#N/A</v>
      </c>
    </row>
    <row r="50" s="22" customFormat="1" ht="15" customHeight="1" spans="1:16">
      <c r="A50" s="29" t="s">
        <v>444</v>
      </c>
      <c r="B50" s="32" t="s">
        <v>445</v>
      </c>
      <c r="C50" s="29" t="s">
        <v>41</v>
      </c>
      <c r="D50" s="32" t="s">
        <v>516</v>
      </c>
      <c r="E50" s="29" t="s">
        <v>41</v>
      </c>
      <c r="F50" s="29" t="s">
        <v>443</v>
      </c>
      <c r="G50" s="29" t="s">
        <v>489</v>
      </c>
      <c r="H50" s="77">
        <v>0</v>
      </c>
      <c r="I50" s="77">
        <v>0</v>
      </c>
      <c r="J50" s="77">
        <v>0</v>
      </c>
      <c r="K50" s="77">
        <v>0</v>
      </c>
      <c r="L50" s="77">
        <v>0</v>
      </c>
      <c r="M50" s="29" t="s">
        <v>489</v>
      </c>
      <c r="N50" s="77">
        <v>0</v>
      </c>
      <c r="O50" s="22">
        <f t="shared" si="0"/>
        <v>0</v>
      </c>
      <c r="P50" s="22" t="e">
        <f>_xlfn.XLOOKUP(D50,'4月份计划'!A:A,'4月份计划'!A:A)</f>
        <v>#N/A</v>
      </c>
    </row>
    <row r="51" s="22" customFormat="1" ht="15" customHeight="1" spans="1:16">
      <c r="A51" s="25" t="s">
        <v>444</v>
      </c>
      <c r="B51" s="28" t="s">
        <v>445</v>
      </c>
      <c r="C51" s="25" t="s">
        <v>41</v>
      </c>
      <c r="D51" s="28" t="s">
        <v>517</v>
      </c>
      <c r="E51" s="25" t="s">
        <v>41</v>
      </c>
      <c r="F51" s="25" t="s">
        <v>443</v>
      </c>
      <c r="G51" s="25" t="s">
        <v>489</v>
      </c>
      <c r="H51" s="76">
        <v>0</v>
      </c>
      <c r="I51" s="76">
        <v>0</v>
      </c>
      <c r="J51" s="76">
        <v>0</v>
      </c>
      <c r="K51" s="76">
        <v>0</v>
      </c>
      <c r="L51" s="76">
        <v>0</v>
      </c>
      <c r="M51" s="25" t="s">
        <v>489</v>
      </c>
      <c r="N51" s="76">
        <v>0</v>
      </c>
      <c r="O51" s="22">
        <f t="shared" si="0"/>
        <v>0</v>
      </c>
      <c r="P51" s="22" t="e">
        <f>_xlfn.XLOOKUP(D51,'4月份计划'!A:A,'4月份计划'!A:A)</f>
        <v>#N/A</v>
      </c>
    </row>
    <row r="52" s="22" customFormat="1" ht="15" customHeight="1" spans="1:16">
      <c r="A52" s="29" t="s">
        <v>444</v>
      </c>
      <c r="B52" s="32" t="s">
        <v>445</v>
      </c>
      <c r="C52" s="29" t="s">
        <v>41</v>
      </c>
      <c r="D52" s="32" t="s">
        <v>518</v>
      </c>
      <c r="E52" s="29" t="s">
        <v>41</v>
      </c>
      <c r="F52" s="29" t="s">
        <v>443</v>
      </c>
      <c r="G52" s="29" t="s">
        <v>489</v>
      </c>
      <c r="H52" s="77">
        <v>0</v>
      </c>
      <c r="I52" s="77">
        <v>0</v>
      </c>
      <c r="J52" s="77">
        <v>0</v>
      </c>
      <c r="K52" s="77">
        <v>0</v>
      </c>
      <c r="L52" s="77">
        <v>0</v>
      </c>
      <c r="M52" s="29" t="s">
        <v>489</v>
      </c>
      <c r="N52" s="77">
        <v>0</v>
      </c>
      <c r="O52" s="22">
        <f t="shared" si="0"/>
        <v>0</v>
      </c>
      <c r="P52" s="22" t="e">
        <f>_xlfn.XLOOKUP(D52,'4月份计划'!A:A,'4月份计划'!A:A)</f>
        <v>#N/A</v>
      </c>
    </row>
    <row r="53" s="22" customFormat="1" ht="15" customHeight="1" spans="1:16">
      <c r="A53" s="25" t="s">
        <v>444</v>
      </c>
      <c r="B53" s="28" t="s">
        <v>445</v>
      </c>
      <c r="C53" s="25" t="s">
        <v>41</v>
      </c>
      <c r="D53" s="28" t="s">
        <v>251</v>
      </c>
      <c r="E53" s="25" t="s">
        <v>41</v>
      </c>
      <c r="F53" s="25" t="s">
        <v>443</v>
      </c>
      <c r="G53" s="25" t="s">
        <v>447</v>
      </c>
      <c r="H53" s="76">
        <v>469589.13</v>
      </c>
      <c r="I53" s="76">
        <v>0</v>
      </c>
      <c r="J53" s="76">
        <v>858814</v>
      </c>
      <c r="K53" s="76">
        <v>815422.13</v>
      </c>
      <c r="L53" s="76">
        <v>1966035.13</v>
      </c>
      <c r="M53" s="25" t="s">
        <v>447</v>
      </c>
      <c r="N53" s="76">
        <v>1328403.13</v>
      </c>
      <c r="O53" s="22">
        <f t="shared" si="0"/>
        <v>1328403.13</v>
      </c>
      <c r="P53" s="22" t="str">
        <f>_xlfn.XLOOKUP(D53,'4月份计划'!A:A,'4月份计划'!A:A)</f>
        <v>厦门凯平化工有限公司</v>
      </c>
    </row>
    <row r="54" s="22" customFormat="1" ht="15" customHeight="1" spans="1:16">
      <c r="A54" s="29" t="s">
        <v>444</v>
      </c>
      <c r="B54" s="32" t="s">
        <v>445</v>
      </c>
      <c r="C54" s="29" t="s">
        <v>41</v>
      </c>
      <c r="D54" s="32" t="s">
        <v>519</v>
      </c>
      <c r="E54" s="29" t="s">
        <v>41</v>
      </c>
      <c r="F54" s="29" t="s">
        <v>443</v>
      </c>
      <c r="G54" s="29" t="s">
        <v>489</v>
      </c>
      <c r="H54" s="77">
        <v>0</v>
      </c>
      <c r="I54" s="77">
        <v>0</v>
      </c>
      <c r="J54" s="77">
        <v>0</v>
      </c>
      <c r="K54" s="77">
        <v>0</v>
      </c>
      <c r="L54" s="77">
        <v>0</v>
      </c>
      <c r="M54" s="29" t="s">
        <v>489</v>
      </c>
      <c r="N54" s="77">
        <v>0</v>
      </c>
      <c r="O54" s="22">
        <f t="shared" si="0"/>
        <v>0</v>
      </c>
      <c r="P54" s="22" t="e">
        <f>_xlfn.XLOOKUP(D54,'4月份计划'!A:A,'4月份计划'!A:A)</f>
        <v>#N/A</v>
      </c>
    </row>
    <row r="55" s="22" customFormat="1" ht="15" customHeight="1" spans="1:16">
      <c r="A55" s="25" t="s">
        <v>444</v>
      </c>
      <c r="B55" s="28" t="s">
        <v>445</v>
      </c>
      <c r="C55" s="25" t="s">
        <v>41</v>
      </c>
      <c r="D55" s="28" t="s">
        <v>520</v>
      </c>
      <c r="E55" s="25" t="s">
        <v>41</v>
      </c>
      <c r="F55" s="25" t="s">
        <v>443</v>
      </c>
      <c r="G55" s="25" t="s">
        <v>489</v>
      </c>
      <c r="H55" s="76">
        <v>0</v>
      </c>
      <c r="I55" s="76">
        <v>0</v>
      </c>
      <c r="J55" s="76">
        <v>0</v>
      </c>
      <c r="K55" s="76">
        <v>0</v>
      </c>
      <c r="L55" s="76">
        <v>0</v>
      </c>
      <c r="M55" s="25" t="s">
        <v>489</v>
      </c>
      <c r="N55" s="76">
        <v>0</v>
      </c>
      <c r="O55" s="22">
        <f t="shared" si="0"/>
        <v>0</v>
      </c>
      <c r="P55" s="22" t="e">
        <f>_xlfn.XLOOKUP(D55,'4月份计划'!A:A,'4月份计划'!A:A)</f>
        <v>#N/A</v>
      </c>
    </row>
    <row r="56" s="22" customFormat="1" ht="15" customHeight="1" spans="1:16">
      <c r="A56" s="29" t="s">
        <v>444</v>
      </c>
      <c r="B56" s="32" t="s">
        <v>445</v>
      </c>
      <c r="C56" s="29" t="s">
        <v>41</v>
      </c>
      <c r="D56" s="32" t="s">
        <v>521</v>
      </c>
      <c r="E56" s="29" t="s">
        <v>41</v>
      </c>
      <c r="F56" s="29" t="s">
        <v>443</v>
      </c>
      <c r="G56" s="29" t="s">
        <v>489</v>
      </c>
      <c r="H56" s="77">
        <v>0</v>
      </c>
      <c r="I56" s="77">
        <v>0</v>
      </c>
      <c r="J56" s="77">
        <v>0</v>
      </c>
      <c r="K56" s="77">
        <v>0</v>
      </c>
      <c r="L56" s="77">
        <v>0</v>
      </c>
      <c r="M56" s="29" t="s">
        <v>489</v>
      </c>
      <c r="N56" s="77">
        <v>0</v>
      </c>
      <c r="O56" s="22">
        <f t="shared" si="0"/>
        <v>0</v>
      </c>
      <c r="P56" s="22" t="e">
        <f>_xlfn.XLOOKUP(D56,'4月份计划'!A:A,'4月份计划'!A:A)</f>
        <v>#N/A</v>
      </c>
    </row>
    <row r="57" s="22" customFormat="1" ht="15" customHeight="1" spans="1:16">
      <c r="A57" s="25" t="s">
        <v>444</v>
      </c>
      <c r="B57" s="28" t="s">
        <v>445</v>
      </c>
      <c r="C57" s="25" t="s">
        <v>41</v>
      </c>
      <c r="D57" s="28" t="s">
        <v>252</v>
      </c>
      <c r="E57" s="25" t="s">
        <v>41</v>
      </c>
      <c r="F57" s="25" t="s">
        <v>443</v>
      </c>
      <c r="G57" s="25" t="s">
        <v>447</v>
      </c>
      <c r="H57" s="76">
        <v>136821.26</v>
      </c>
      <c r="I57" s="76">
        <v>82996.78</v>
      </c>
      <c r="J57" s="76">
        <v>43896.33</v>
      </c>
      <c r="K57" s="76">
        <v>489534.44</v>
      </c>
      <c r="L57" s="76">
        <v>180717.59</v>
      </c>
      <c r="M57" s="25" t="s">
        <v>447</v>
      </c>
      <c r="N57" s="76">
        <v>97720.81</v>
      </c>
      <c r="O57" s="22">
        <f t="shared" si="0"/>
        <v>97720.81</v>
      </c>
      <c r="P57" s="22" t="str">
        <f>_xlfn.XLOOKUP(D57,'4月份计划'!A:A,'4月份计划'!A:A)</f>
        <v>湖北伟士通汽车零件有限公司</v>
      </c>
    </row>
    <row r="58" s="22" customFormat="1" ht="15" customHeight="1" spans="1:16">
      <c r="A58" s="29" t="s">
        <v>444</v>
      </c>
      <c r="B58" s="32" t="s">
        <v>445</v>
      </c>
      <c r="C58" s="29" t="s">
        <v>41</v>
      </c>
      <c r="D58" s="32" t="s">
        <v>253</v>
      </c>
      <c r="E58" s="29" t="s">
        <v>41</v>
      </c>
      <c r="F58" s="29" t="s">
        <v>443</v>
      </c>
      <c r="G58" s="29" t="s">
        <v>447</v>
      </c>
      <c r="H58" s="77">
        <v>325053.25</v>
      </c>
      <c r="I58" s="77">
        <v>135456.27</v>
      </c>
      <c r="J58" s="77">
        <v>78372.55</v>
      </c>
      <c r="K58" s="77">
        <v>474220.47</v>
      </c>
      <c r="L58" s="77">
        <v>403425.8</v>
      </c>
      <c r="M58" s="29" t="s">
        <v>447</v>
      </c>
      <c r="N58" s="77">
        <v>267969.53</v>
      </c>
      <c r="O58" s="22">
        <f t="shared" si="0"/>
        <v>267969.53</v>
      </c>
      <c r="P58" s="22" t="str">
        <f>_xlfn.XLOOKUP(D58,'4月份计划'!A:A,'4月份计划'!A:A)</f>
        <v>衡阳县标准件厂株洲销售处</v>
      </c>
    </row>
    <row r="59" s="22" customFormat="1" ht="15" customHeight="1" spans="1:16">
      <c r="A59" s="25" t="s">
        <v>444</v>
      </c>
      <c r="B59" s="28" t="s">
        <v>445</v>
      </c>
      <c r="C59" s="25" t="s">
        <v>41</v>
      </c>
      <c r="D59" s="28" t="s">
        <v>254</v>
      </c>
      <c r="E59" s="25" t="s">
        <v>41</v>
      </c>
      <c r="F59" s="25" t="s">
        <v>443</v>
      </c>
      <c r="G59" s="25" t="s">
        <v>447</v>
      </c>
      <c r="H59" s="76">
        <v>782693.17</v>
      </c>
      <c r="I59" s="76">
        <v>550000</v>
      </c>
      <c r="J59" s="76">
        <v>459871.3</v>
      </c>
      <c r="K59" s="76">
        <v>1950000</v>
      </c>
      <c r="L59" s="76">
        <v>2045262.53</v>
      </c>
      <c r="M59" s="25" t="s">
        <v>447</v>
      </c>
      <c r="N59" s="76">
        <v>692564.47</v>
      </c>
      <c r="O59" s="22">
        <f t="shared" si="0"/>
        <v>692564.47</v>
      </c>
      <c r="P59" s="22" t="str">
        <f>_xlfn.XLOOKUP(D59,'4月份计划'!A:A,'4月份计划'!A:A)</f>
        <v>湖南凌天汽车零部件有限公司</v>
      </c>
    </row>
    <row r="60" s="22" customFormat="1" ht="15" customHeight="1" spans="1:16">
      <c r="A60" s="29" t="s">
        <v>444</v>
      </c>
      <c r="B60" s="32" t="s">
        <v>445</v>
      </c>
      <c r="C60" s="29" t="s">
        <v>41</v>
      </c>
      <c r="D60" s="32" t="s">
        <v>522</v>
      </c>
      <c r="E60" s="29" t="s">
        <v>41</v>
      </c>
      <c r="F60" s="29" t="s">
        <v>443</v>
      </c>
      <c r="G60" s="29" t="s">
        <v>489</v>
      </c>
      <c r="H60" s="77">
        <v>0</v>
      </c>
      <c r="I60" s="77">
        <v>0</v>
      </c>
      <c r="J60" s="77">
        <v>0</v>
      </c>
      <c r="K60" s="77">
        <v>0</v>
      </c>
      <c r="L60" s="77">
        <v>0</v>
      </c>
      <c r="M60" s="29" t="s">
        <v>489</v>
      </c>
      <c r="N60" s="77">
        <v>0</v>
      </c>
      <c r="O60" s="22">
        <f t="shared" si="0"/>
        <v>0</v>
      </c>
      <c r="P60" s="22" t="e">
        <f>_xlfn.XLOOKUP(D60,'4月份计划'!A:A,'4月份计划'!A:A)</f>
        <v>#N/A</v>
      </c>
    </row>
    <row r="61" s="22" customFormat="1" ht="15" customHeight="1" spans="1:16">
      <c r="A61" s="25" t="s">
        <v>444</v>
      </c>
      <c r="B61" s="28" t="s">
        <v>445</v>
      </c>
      <c r="C61" s="25" t="s">
        <v>41</v>
      </c>
      <c r="D61" s="28" t="s">
        <v>523</v>
      </c>
      <c r="E61" s="25" t="s">
        <v>41</v>
      </c>
      <c r="F61" s="25" t="s">
        <v>443</v>
      </c>
      <c r="G61" s="25" t="s">
        <v>489</v>
      </c>
      <c r="H61" s="76">
        <v>0</v>
      </c>
      <c r="I61" s="76">
        <v>0</v>
      </c>
      <c r="J61" s="76">
        <v>0</v>
      </c>
      <c r="K61" s="76">
        <v>0</v>
      </c>
      <c r="L61" s="76">
        <v>0</v>
      </c>
      <c r="M61" s="25" t="s">
        <v>489</v>
      </c>
      <c r="N61" s="76">
        <v>0</v>
      </c>
      <c r="O61" s="22">
        <f t="shared" si="0"/>
        <v>0</v>
      </c>
      <c r="P61" s="22" t="e">
        <f>_xlfn.XLOOKUP(D61,'4月份计划'!A:A,'4月份计划'!A:A)</f>
        <v>#N/A</v>
      </c>
    </row>
    <row r="62" s="22" customFormat="1" ht="15" customHeight="1" spans="1:16">
      <c r="A62" s="29" t="s">
        <v>444</v>
      </c>
      <c r="B62" s="32" t="s">
        <v>445</v>
      </c>
      <c r="C62" s="29" t="s">
        <v>41</v>
      </c>
      <c r="D62" s="32" t="s">
        <v>454</v>
      </c>
      <c r="E62" s="29" t="s">
        <v>41</v>
      </c>
      <c r="F62" s="29" t="s">
        <v>443</v>
      </c>
      <c r="G62" s="29" t="s">
        <v>447</v>
      </c>
      <c r="H62" s="77">
        <v>0.5</v>
      </c>
      <c r="I62" s="77">
        <v>0</v>
      </c>
      <c r="J62" s="77">
        <v>0</v>
      </c>
      <c r="K62" s="77">
        <v>101763.51</v>
      </c>
      <c r="L62" s="77">
        <v>0</v>
      </c>
      <c r="M62" s="29" t="s">
        <v>447</v>
      </c>
      <c r="N62" s="77">
        <v>0.5</v>
      </c>
      <c r="O62" s="22">
        <f t="shared" si="0"/>
        <v>0.5</v>
      </c>
      <c r="P62" s="22" t="e">
        <f>_xlfn.XLOOKUP(D62,'4月份计划'!A:A,'4月份计划'!A:A)</f>
        <v>#N/A</v>
      </c>
    </row>
    <row r="63" s="22" customFormat="1" ht="15" customHeight="1" spans="1:16">
      <c r="A63" s="25" t="s">
        <v>444</v>
      </c>
      <c r="B63" s="28" t="s">
        <v>445</v>
      </c>
      <c r="C63" s="25" t="s">
        <v>41</v>
      </c>
      <c r="D63" s="28" t="s">
        <v>524</v>
      </c>
      <c r="E63" s="25" t="s">
        <v>41</v>
      </c>
      <c r="F63" s="25" t="s">
        <v>443</v>
      </c>
      <c r="G63" s="25" t="s">
        <v>489</v>
      </c>
      <c r="H63" s="76">
        <v>0</v>
      </c>
      <c r="I63" s="76">
        <v>0</v>
      </c>
      <c r="J63" s="76">
        <v>0</v>
      </c>
      <c r="K63" s="76">
        <v>0</v>
      </c>
      <c r="L63" s="76">
        <v>0</v>
      </c>
      <c r="M63" s="25" t="s">
        <v>489</v>
      </c>
      <c r="N63" s="76">
        <v>0</v>
      </c>
      <c r="O63" s="22">
        <f t="shared" si="0"/>
        <v>0</v>
      </c>
      <c r="P63" s="22" t="e">
        <f>_xlfn.XLOOKUP(D63,'4月份计划'!A:A,'4月份计划'!A:A)</f>
        <v>#N/A</v>
      </c>
    </row>
    <row r="64" s="22" customFormat="1" ht="15" customHeight="1" spans="1:16">
      <c r="A64" s="29" t="s">
        <v>444</v>
      </c>
      <c r="B64" s="32" t="s">
        <v>445</v>
      </c>
      <c r="C64" s="29" t="s">
        <v>41</v>
      </c>
      <c r="D64" s="32" t="s">
        <v>525</v>
      </c>
      <c r="E64" s="29" t="s">
        <v>41</v>
      </c>
      <c r="F64" s="29" t="s">
        <v>443</v>
      </c>
      <c r="G64" s="29" t="s">
        <v>489</v>
      </c>
      <c r="H64" s="77">
        <v>0</v>
      </c>
      <c r="I64" s="77">
        <v>0</v>
      </c>
      <c r="J64" s="77">
        <v>0</v>
      </c>
      <c r="K64" s="77">
        <v>0</v>
      </c>
      <c r="L64" s="77">
        <v>0</v>
      </c>
      <c r="M64" s="29" t="s">
        <v>489</v>
      </c>
      <c r="N64" s="77">
        <v>0</v>
      </c>
      <c r="O64" s="22">
        <f t="shared" si="0"/>
        <v>0</v>
      </c>
      <c r="P64" s="22" t="e">
        <f>_xlfn.XLOOKUP(D64,'4月份计划'!A:A,'4月份计划'!A:A)</f>
        <v>#N/A</v>
      </c>
    </row>
    <row r="65" s="22" customFormat="1" ht="15" customHeight="1" spans="1:16">
      <c r="A65" s="25" t="s">
        <v>444</v>
      </c>
      <c r="B65" s="28" t="s">
        <v>445</v>
      </c>
      <c r="C65" s="25" t="s">
        <v>41</v>
      </c>
      <c r="D65" s="28" t="s">
        <v>526</v>
      </c>
      <c r="E65" s="25" t="s">
        <v>41</v>
      </c>
      <c r="F65" s="25" t="s">
        <v>443</v>
      </c>
      <c r="G65" s="25" t="s">
        <v>489</v>
      </c>
      <c r="H65" s="76">
        <v>0</v>
      </c>
      <c r="I65" s="76">
        <v>0</v>
      </c>
      <c r="J65" s="76">
        <v>0</v>
      </c>
      <c r="K65" s="76">
        <v>0</v>
      </c>
      <c r="L65" s="76">
        <v>0</v>
      </c>
      <c r="M65" s="25" t="s">
        <v>489</v>
      </c>
      <c r="N65" s="76">
        <v>0</v>
      </c>
      <c r="O65" s="22">
        <f t="shared" si="0"/>
        <v>0</v>
      </c>
      <c r="P65" s="22" t="e">
        <f>_xlfn.XLOOKUP(D65,'4月份计划'!A:A,'4月份计划'!A:A)</f>
        <v>#N/A</v>
      </c>
    </row>
    <row r="66" s="22" customFormat="1" ht="15" customHeight="1" spans="1:16">
      <c r="A66" s="29" t="s">
        <v>444</v>
      </c>
      <c r="B66" s="32" t="s">
        <v>445</v>
      </c>
      <c r="C66" s="29" t="s">
        <v>41</v>
      </c>
      <c r="D66" s="32" t="s">
        <v>527</v>
      </c>
      <c r="E66" s="29" t="s">
        <v>41</v>
      </c>
      <c r="F66" s="29" t="s">
        <v>443</v>
      </c>
      <c r="G66" s="29" t="s">
        <v>489</v>
      </c>
      <c r="H66" s="77">
        <v>0</v>
      </c>
      <c r="I66" s="77">
        <v>0</v>
      </c>
      <c r="J66" s="77">
        <v>0</v>
      </c>
      <c r="K66" s="77">
        <v>0</v>
      </c>
      <c r="L66" s="77">
        <v>0</v>
      </c>
      <c r="M66" s="29" t="s">
        <v>489</v>
      </c>
      <c r="N66" s="77">
        <v>0</v>
      </c>
      <c r="O66" s="22">
        <f t="shared" si="0"/>
        <v>0</v>
      </c>
      <c r="P66" s="22" t="e">
        <f>_xlfn.XLOOKUP(D66,'4月份计划'!A:A,'4月份计划'!A:A)</f>
        <v>#N/A</v>
      </c>
    </row>
    <row r="67" s="22" customFormat="1" ht="15" customHeight="1" spans="1:16">
      <c r="A67" s="25" t="s">
        <v>444</v>
      </c>
      <c r="B67" s="28" t="s">
        <v>445</v>
      </c>
      <c r="C67" s="25" t="s">
        <v>41</v>
      </c>
      <c r="D67" s="28" t="s">
        <v>528</v>
      </c>
      <c r="E67" s="25" t="s">
        <v>41</v>
      </c>
      <c r="F67" s="25" t="s">
        <v>443</v>
      </c>
      <c r="G67" s="25" t="s">
        <v>489</v>
      </c>
      <c r="H67" s="76">
        <v>0</v>
      </c>
      <c r="I67" s="76">
        <v>0</v>
      </c>
      <c r="J67" s="76">
        <v>0</v>
      </c>
      <c r="K67" s="76">
        <v>0</v>
      </c>
      <c r="L67" s="76">
        <v>0</v>
      </c>
      <c r="M67" s="25" t="s">
        <v>489</v>
      </c>
      <c r="N67" s="76">
        <v>0</v>
      </c>
      <c r="O67" s="22">
        <f t="shared" si="0"/>
        <v>0</v>
      </c>
      <c r="P67" s="22" t="e">
        <f>_xlfn.XLOOKUP(D67,'4月份计划'!A:A,'4月份计划'!A:A)</f>
        <v>#N/A</v>
      </c>
    </row>
    <row r="68" s="22" customFormat="1" ht="15" customHeight="1" spans="1:16">
      <c r="A68" s="29" t="s">
        <v>444</v>
      </c>
      <c r="B68" s="32" t="s">
        <v>445</v>
      </c>
      <c r="C68" s="29" t="s">
        <v>41</v>
      </c>
      <c r="D68" s="32" t="s">
        <v>529</v>
      </c>
      <c r="E68" s="29" t="s">
        <v>41</v>
      </c>
      <c r="F68" s="29" t="s">
        <v>443</v>
      </c>
      <c r="G68" s="29" t="s">
        <v>489</v>
      </c>
      <c r="H68" s="77">
        <v>0</v>
      </c>
      <c r="I68" s="77">
        <v>0</v>
      </c>
      <c r="J68" s="77">
        <v>0</v>
      </c>
      <c r="K68" s="77">
        <v>0</v>
      </c>
      <c r="L68" s="77">
        <v>0</v>
      </c>
      <c r="M68" s="29" t="s">
        <v>489</v>
      </c>
      <c r="N68" s="77">
        <v>0</v>
      </c>
      <c r="O68" s="22">
        <f t="shared" ref="O68:O131" si="1">IF(M68="贷",N68,-N68)</f>
        <v>0</v>
      </c>
      <c r="P68" s="22" t="e">
        <f>_xlfn.XLOOKUP(D68,'4月份计划'!A:A,'4月份计划'!A:A)</f>
        <v>#N/A</v>
      </c>
    </row>
    <row r="69" s="22" customFormat="1" ht="15" customHeight="1" spans="1:16">
      <c r="A69" s="25" t="s">
        <v>444</v>
      </c>
      <c r="B69" s="28" t="s">
        <v>445</v>
      </c>
      <c r="C69" s="25" t="s">
        <v>41</v>
      </c>
      <c r="D69" s="28" t="s">
        <v>530</v>
      </c>
      <c r="E69" s="25" t="s">
        <v>41</v>
      </c>
      <c r="F69" s="25" t="s">
        <v>443</v>
      </c>
      <c r="G69" s="25" t="s">
        <v>489</v>
      </c>
      <c r="H69" s="76">
        <v>0</v>
      </c>
      <c r="I69" s="76">
        <v>0</v>
      </c>
      <c r="J69" s="76">
        <v>0</v>
      </c>
      <c r="K69" s="76">
        <v>0</v>
      </c>
      <c r="L69" s="76">
        <v>0</v>
      </c>
      <c r="M69" s="25" t="s">
        <v>489</v>
      </c>
      <c r="N69" s="76">
        <v>0</v>
      </c>
      <c r="O69" s="22">
        <f t="shared" si="1"/>
        <v>0</v>
      </c>
      <c r="P69" s="22" t="e">
        <f>_xlfn.XLOOKUP(D69,'4月份计划'!A:A,'4月份计划'!A:A)</f>
        <v>#N/A</v>
      </c>
    </row>
    <row r="70" s="22" customFormat="1" ht="15" customHeight="1" spans="1:16">
      <c r="A70" s="29" t="s">
        <v>444</v>
      </c>
      <c r="B70" s="32" t="s">
        <v>445</v>
      </c>
      <c r="C70" s="29" t="s">
        <v>41</v>
      </c>
      <c r="D70" s="32" t="s">
        <v>531</v>
      </c>
      <c r="E70" s="29" t="s">
        <v>41</v>
      </c>
      <c r="F70" s="29" t="s">
        <v>443</v>
      </c>
      <c r="G70" s="29" t="s">
        <v>489</v>
      </c>
      <c r="H70" s="77">
        <v>0</v>
      </c>
      <c r="I70" s="77">
        <v>0</v>
      </c>
      <c r="J70" s="77">
        <v>0</v>
      </c>
      <c r="K70" s="77">
        <v>0</v>
      </c>
      <c r="L70" s="77">
        <v>0</v>
      </c>
      <c r="M70" s="29" t="s">
        <v>489</v>
      </c>
      <c r="N70" s="77">
        <v>0</v>
      </c>
      <c r="O70" s="22">
        <f t="shared" si="1"/>
        <v>0</v>
      </c>
      <c r="P70" s="22" t="e">
        <f>_xlfn.XLOOKUP(D70,'4月份计划'!A:A,'4月份计划'!A:A)</f>
        <v>#N/A</v>
      </c>
    </row>
    <row r="71" s="22" customFormat="1" ht="15" customHeight="1" spans="1:16">
      <c r="A71" s="25" t="s">
        <v>444</v>
      </c>
      <c r="B71" s="28" t="s">
        <v>445</v>
      </c>
      <c r="C71" s="25" t="s">
        <v>41</v>
      </c>
      <c r="D71" s="28" t="s">
        <v>532</v>
      </c>
      <c r="E71" s="25" t="s">
        <v>41</v>
      </c>
      <c r="F71" s="25" t="s">
        <v>443</v>
      </c>
      <c r="G71" s="25" t="s">
        <v>489</v>
      </c>
      <c r="H71" s="76">
        <v>0</v>
      </c>
      <c r="I71" s="76">
        <v>0</v>
      </c>
      <c r="J71" s="76">
        <v>0</v>
      </c>
      <c r="K71" s="76">
        <v>0</v>
      </c>
      <c r="L71" s="76">
        <v>0</v>
      </c>
      <c r="M71" s="25" t="s">
        <v>489</v>
      </c>
      <c r="N71" s="76">
        <v>0</v>
      </c>
      <c r="O71" s="22">
        <f t="shared" si="1"/>
        <v>0</v>
      </c>
      <c r="P71" s="22" t="e">
        <f>_xlfn.XLOOKUP(D71,'4月份计划'!A:A,'4月份计划'!A:A)</f>
        <v>#N/A</v>
      </c>
    </row>
    <row r="72" s="22" customFormat="1" ht="15" customHeight="1" spans="1:16">
      <c r="A72" s="29" t="s">
        <v>444</v>
      </c>
      <c r="B72" s="32" t="s">
        <v>445</v>
      </c>
      <c r="C72" s="29" t="s">
        <v>41</v>
      </c>
      <c r="D72" s="32" t="s">
        <v>533</v>
      </c>
      <c r="E72" s="29" t="s">
        <v>41</v>
      </c>
      <c r="F72" s="29" t="s">
        <v>443</v>
      </c>
      <c r="G72" s="29" t="s">
        <v>489</v>
      </c>
      <c r="H72" s="77">
        <v>0</v>
      </c>
      <c r="I72" s="77">
        <v>0</v>
      </c>
      <c r="J72" s="77">
        <v>0</v>
      </c>
      <c r="K72" s="77">
        <v>0</v>
      </c>
      <c r="L72" s="77">
        <v>0</v>
      </c>
      <c r="M72" s="29" t="s">
        <v>489</v>
      </c>
      <c r="N72" s="77">
        <v>0</v>
      </c>
      <c r="O72" s="22">
        <f t="shared" si="1"/>
        <v>0</v>
      </c>
      <c r="P72" s="22" t="e">
        <f>_xlfn.XLOOKUP(D72,'4月份计划'!A:A,'4月份计划'!A:A)</f>
        <v>#N/A</v>
      </c>
    </row>
    <row r="73" s="22" customFormat="1" ht="15" customHeight="1" spans="1:16">
      <c r="A73" s="25" t="s">
        <v>444</v>
      </c>
      <c r="B73" s="28" t="s">
        <v>445</v>
      </c>
      <c r="C73" s="25" t="s">
        <v>41</v>
      </c>
      <c r="D73" s="28" t="s">
        <v>255</v>
      </c>
      <c r="E73" s="25" t="s">
        <v>41</v>
      </c>
      <c r="F73" s="25" t="s">
        <v>443</v>
      </c>
      <c r="G73" s="25" t="s">
        <v>447</v>
      </c>
      <c r="H73" s="76">
        <v>67848.95</v>
      </c>
      <c r="I73" s="76">
        <v>0</v>
      </c>
      <c r="J73" s="76">
        <v>26370.67</v>
      </c>
      <c r="K73" s="76">
        <v>594826.52</v>
      </c>
      <c r="L73" s="76">
        <v>322700.88</v>
      </c>
      <c r="M73" s="25" t="s">
        <v>447</v>
      </c>
      <c r="N73" s="76">
        <v>94219.62</v>
      </c>
      <c r="O73" s="22">
        <f t="shared" si="1"/>
        <v>94219.62</v>
      </c>
      <c r="P73" s="22" t="str">
        <f>_xlfn.XLOOKUP(D73,'4月份计划'!A:A,'4月份计划'!A:A)</f>
        <v>重庆光大产业有限公司</v>
      </c>
    </row>
    <row r="74" s="22" customFormat="1" ht="15" customHeight="1" spans="1:16">
      <c r="A74" s="29" t="s">
        <v>444</v>
      </c>
      <c r="B74" s="32" t="s">
        <v>445</v>
      </c>
      <c r="C74" s="29" t="s">
        <v>41</v>
      </c>
      <c r="D74" s="32" t="s">
        <v>256</v>
      </c>
      <c r="E74" s="29" t="s">
        <v>41</v>
      </c>
      <c r="F74" s="29" t="s">
        <v>443</v>
      </c>
      <c r="G74" s="29" t="s">
        <v>447</v>
      </c>
      <c r="H74" s="77">
        <v>4617.79</v>
      </c>
      <c r="I74" s="77">
        <v>0</v>
      </c>
      <c r="J74" s="77">
        <v>2397570.52</v>
      </c>
      <c r="K74" s="77">
        <v>6906463.53</v>
      </c>
      <c r="L74" s="77">
        <v>4414018.47</v>
      </c>
      <c r="M74" s="29" t="s">
        <v>447</v>
      </c>
      <c r="N74" s="77">
        <v>2402188.31</v>
      </c>
      <c r="O74" s="22">
        <f t="shared" si="1"/>
        <v>2402188.31</v>
      </c>
      <c r="P74" s="22" t="str">
        <f>_xlfn.XLOOKUP(D74,'4月份计划'!A:A,'4月份计划'!A:A)</f>
        <v>湘乡简美工贸有限公司</v>
      </c>
    </row>
    <row r="75" s="22" customFormat="1" ht="15" customHeight="1" spans="1:16">
      <c r="A75" s="25" t="s">
        <v>444</v>
      </c>
      <c r="B75" s="28" t="s">
        <v>445</v>
      </c>
      <c r="C75" s="25" t="s">
        <v>41</v>
      </c>
      <c r="D75" s="28" t="s">
        <v>534</v>
      </c>
      <c r="E75" s="25" t="s">
        <v>41</v>
      </c>
      <c r="F75" s="25" t="s">
        <v>443</v>
      </c>
      <c r="G75" s="25" t="s">
        <v>489</v>
      </c>
      <c r="H75" s="76">
        <v>0</v>
      </c>
      <c r="I75" s="76">
        <v>0</v>
      </c>
      <c r="J75" s="76">
        <v>0</v>
      </c>
      <c r="K75" s="76">
        <v>82524</v>
      </c>
      <c r="L75" s="76">
        <v>0</v>
      </c>
      <c r="M75" s="25" t="s">
        <v>489</v>
      </c>
      <c r="N75" s="76">
        <v>0</v>
      </c>
      <c r="O75" s="22">
        <f t="shared" si="1"/>
        <v>0</v>
      </c>
      <c r="P75" s="22" t="e">
        <f>_xlfn.XLOOKUP(D75,'4月份计划'!A:A,'4月份计划'!A:A)</f>
        <v>#N/A</v>
      </c>
    </row>
    <row r="76" s="22" customFormat="1" ht="15" customHeight="1" spans="1:16">
      <c r="A76" s="29" t="s">
        <v>444</v>
      </c>
      <c r="B76" s="32" t="s">
        <v>445</v>
      </c>
      <c r="C76" s="29" t="s">
        <v>41</v>
      </c>
      <c r="D76" s="32" t="s">
        <v>455</v>
      </c>
      <c r="E76" s="29" t="s">
        <v>41</v>
      </c>
      <c r="F76" s="29" t="s">
        <v>443</v>
      </c>
      <c r="G76" s="29" t="s">
        <v>489</v>
      </c>
      <c r="H76" s="77">
        <v>0</v>
      </c>
      <c r="I76" s="77">
        <v>0</v>
      </c>
      <c r="J76" s="77">
        <v>0</v>
      </c>
      <c r="K76" s="77">
        <v>241042</v>
      </c>
      <c r="L76" s="77">
        <v>0</v>
      </c>
      <c r="M76" s="29" t="s">
        <v>489</v>
      </c>
      <c r="N76" s="77">
        <v>0</v>
      </c>
      <c r="O76" s="22">
        <f t="shared" si="1"/>
        <v>0</v>
      </c>
      <c r="P76" s="22" t="e">
        <f>_xlfn.XLOOKUP(D76,'4月份计划'!A:A,'4月份计划'!A:A)</f>
        <v>#N/A</v>
      </c>
    </row>
    <row r="77" s="22" customFormat="1" ht="15" customHeight="1" spans="1:16">
      <c r="A77" s="25" t="s">
        <v>444</v>
      </c>
      <c r="B77" s="28" t="s">
        <v>445</v>
      </c>
      <c r="C77" s="25" t="s">
        <v>41</v>
      </c>
      <c r="D77" s="28" t="s">
        <v>456</v>
      </c>
      <c r="E77" s="25" t="s">
        <v>41</v>
      </c>
      <c r="F77" s="25" t="s">
        <v>443</v>
      </c>
      <c r="G77" s="25" t="s">
        <v>447</v>
      </c>
      <c r="H77" s="76">
        <v>115723.23</v>
      </c>
      <c r="I77" s="76">
        <v>144500</v>
      </c>
      <c r="J77" s="76">
        <v>144500</v>
      </c>
      <c r="K77" s="76">
        <v>344500</v>
      </c>
      <c r="L77" s="76">
        <v>144500</v>
      </c>
      <c r="M77" s="25" t="s">
        <v>447</v>
      </c>
      <c r="N77" s="76">
        <v>115723.23</v>
      </c>
      <c r="O77" s="22">
        <f t="shared" si="1"/>
        <v>115723.23</v>
      </c>
      <c r="P77" s="22" t="e">
        <f>_xlfn.XLOOKUP(D77,'4月份计划'!A:A,'4月份计划'!A:A)</f>
        <v>#N/A</v>
      </c>
    </row>
    <row r="78" s="22" customFormat="1" ht="15" customHeight="1" spans="1:16">
      <c r="A78" s="29" t="s">
        <v>444</v>
      </c>
      <c r="B78" s="32" t="s">
        <v>445</v>
      </c>
      <c r="C78" s="29" t="s">
        <v>41</v>
      </c>
      <c r="D78" s="32" t="s">
        <v>457</v>
      </c>
      <c r="E78" s="29" t="s">
        <v>41</v>
      </c>
      <c r="F78" s="29" t="s">
        <v>443</v>
      </c>
      <c r="G78" s="29" t="s">
        <v>447</v>
      </c>
      <c r="H78" s="77">
        <v>1400</v>
      </c>
      <c r="I78" s="77">
        <v>0</v>
      </c>
      <c r="J78" s="77">
        <v>0</v>
      </c>
      <c r="K78" s="77">
        <v>0</v>
      </c>
      <c r="L78" s="77">
        <v>0</v>
      </c>
      <c r="M78" s="29" t="s">
        <v>447</v>
      </c>
      <c r="N78" s="77">
        <v>1400</v>
      </c>
      <c r="O78" s="22">
        <f t="shared" si="1"/>
        <v>1400</v>
      </c>
      <c r="P78" s="22" t="e">
        <f>_xlfn.XLOOKUP(D78,'4月份计划'!A:A,'4月份计划'!A:A)</f>
        <v>#N/A</v>
      </c>
    </row>
    <row r="79" s="22" customFormat="1" ht="15" customHeight="1" spans="1:16">
      <c r="A79" s="25" t="s">
        <v>444</v>
      </c>
      <c r="B79" s="28" t="s">
        <v>445</v>
      </c>
      <c r="C79" s="25" t="s">
        <v>41</v>
      </c>
      <c r="D79" s="28" t="s">
        <v>458</v>
      </c>
      <c r="E79" s="25" t="s">
        <v>41</v>
      </c>
      <c r="F79" s="25" t="s">
        <v>443</v>
      </c>
      <c r="G79" s="25" t="s">
        <v>447</v>
      </c>
      <c r="H79" s="76">
        <v>5600</v>
      </c>
      <c r="I79" s="76">
        <v>0</v>
      </c>
      <c r="J79" s="76">
        <v>0</v>
      </c>
      <c r="K79" s="76">
        <v>0</v>
      </c>
      <c r="L79" s="76">
        <v>0</v>
      </c>
      <c r="M79" s="25" t="s">
        <v>447</v>
      </c>
      <c r="N79" s="76">
        <v>5600</v>
      </c>
      <c r="O79" s="22">
        <f t="shared" si="1"/>
        <v>5600</v>
      </c>
      <c r="P79" s="22" t="e">
        <f>_xlfn.XLOOKUP(D79,'4月份计划'!A:A,'4月份计划'!A:A)</f>
        <v>#N/A</v>
      </c>
    </row>
    <row r="80" s="22" customFormat="1" ht="15" customHeight="1" spans="1:16">
      <c r="A80" s="29" t="s">
        <v>444</v>
      </c>
      <c r="B80" s="32" t="s">
        <v>445</v>
      </c>
      <c r="C80" s="29" t="s">
        <v>41</v>
      </c>
      <c r="D80" s="32" t="s">
        <v>459</v>
      </c>
      <c r="E80" s="29" t="s">
        <v>41</v>
      </c>
      <c r="F80" s="29" t="s">
        <v>443</v>
      </c>
      <c r="G80" s="29" t="s">
        <v>447</v>
      </c>
      <c r="H80" s="77">
        <v>6250</v>
      </c>
      <c r="I80" s="77">
        <v>0</v>
      </c>
      <c r="J80" s="77">
        <v>0</v>
      </c>
      <c r="K80" s="77">
        <v>0</v>
      </c>
      <c r="L80" s="77">
        <v>0</v>
      </c>
      <c r="M80" s="29" t="s">
        <v>447</v>
      </c>
      <c r="N80" s="77">
        <v>6250</v>
      </c>
      <c r="O80" s="22">
        <f t="shared" si="1"/>
        <v>6250</v>
      </c>
      <c r="P80" s="22" t="e">
        <f>_xlfn.XLOOKUP(D80,'4月份计划'!A:A,'4月份计划'!A:A)</f>
        <v>#N/A</v>
      </c>
    </row>
    <row r="81" s="22" customFormat="1" ht="15" customHeight="1" spans="1:16">
      <c r="A81" s="25" t="s">
        <v>444</v>
      </c>
      <c r="B81" s="28" t="s">
        <v>445</v>
      </c>
      <c r="C81" s="25" t="s">
        <v>41</v>
      </c>
      <c r="D81" s="28" t="s">
        <v>535</v>
      </c>
      <c r="E81" s="25" t="s">
        <v>41</v>
      </c>
      <c r="F81" s="25" t="s">
        <v>443</v>
      </c>
      <c r="G81" s="25" t="s">
        <v>489</v>
      </c>
      <c r="H81" s="76">
        <v>0</v>
      </c>
      <c r="I81" s="76">
        <v>0</v>
      </c>
      <c r="J81" s="76">
        <v>0</v>
      </c>
      <c r="K81" s="76">
        <v>0</v>
      </c>
      <c r="L81" s="76">
        <v>0</v>
      </c>
      <c r="M81" s="25" t="s">
        <v>489</v>
      </c>
      <c r="N81" s="76">
        <v>0</v>
      </c>
      <c r="O81" s="22">
        <f t="shared" si="1"/>
        <v>0</v>
      </c>
      <c r="P81" s="22" t="e">
        <f>_xlfn.XLOOKUP(D81,'4月份计划'!A:A,'4月份计划'!A:A)</f>
        <v>#N/A</v>
      </c>
    </row>
    <row r="82" s="22" customFormat="1" ht="15" customHeight="1" spans="1:16">
      <c r="A82" s="29" t="s">
        <v>444</v>
      </c>
      <c r="B82" s="32" t="s">
        <v>445</v>
      </c>
      <c r="C82" s="29" t="s">
        <v>41</v>
      </c>
      <c r="D82" s="32" t="s">
        <v>460</v>
      </c>
      <c r="E82" s="29" t="s">
        <v>41</v>
      </c>
      <c r="F82" s="29" t="s">
        <v>443</v>
      </c>
      <c r="G82" s="29" t="s">
        <v>447</v>
      </c>
      <c r="H82" s="77">
        <v>12000</v>
      </c>
      <c r="I82" s="77">
        <v>0</v>
      </c>
      <c r="J82" s="77">
        <v>0</v>
      </c>
      <c r="K82" s="77">
        <v>0</v>
      </c>
      <c r="L82" s="77">
        <v>0</v>
      </c>
      <c r="M82" s="29" t="s">
        <v>447</v>
      </c>
      <c r="N82" s="77">
        <v>12000</v>
      </c>
      <c r="O82" s="22">
        <f t="shared" si="1"/>
        <v>12000</v>
      </c>
      <c r="P82" s="22" t="e">
        <f>_xlfn.XLOOKUP(D82,'4月份计划'!A:A,'4月份计划'!A:A)</f>
        <v>#N/A</v>
      </c>
    </row>
    <row r="83" s="22" customFormat="1" ht="15" customHeight="1" spans="1:16">
      <c r="A83" s="25" t="s">
        <v>444</v>
      </c>
      <c r="B83" s="28" t="s">
        <v>445</v>
      </c>
      <c r="C83" s="25" t="s">
        <v>41</v>
      </c>
      <c r="D83" s="28" t="s">
        <v>536</v>
      </c>
      <c r="E83" s="25" t="s">
        <v>41</v>
      </c>
      <c r="F83" s="25" t="s">
        <v>443</v>
      </c>
      <c r="G83" s="25" t="s">
        <v>489</v>
      </c>
      <c r="H83" s="76">
        <v>0</v>
      </c>
      <c r="I83" s="76">
        <v>0</v>
      </c>
      <c r="J83" s="76">
        <v>0</v>
      </c>
      <c r="K83" s="76">
        <v>0</v>
      </c>
      <c r="L83" s="76">
        <v>0</v>
      </c>
      <c r="M83" s="25" t="s">
        <v>489</v>
      </c>
      <c r="N83" s="76">
        <v>0</v>
      </c>
      <c r="O83" s="22">
        <f t="shared" si="1"/>
        <v>0</v>
      </c>
      <c r="P83" s="22" t="e">
        <f>_xlfn.XLOOKUP(D83,'4月份计划'!A:A,'4月份计划'!A:A)</f>
        <v>#N/A</v>
      </c>
    </row>
    <row r="84" s="22" customFormat="1" ht="15" customHeight="1" spans="1:16">
      <c r="A84" s="29" t="s">
        <v>444</v>
      </c>
      <c r="B84" s="32" t="s">
        <v>445</v>
      </c>
      <c r="C84" s="29" t="s">
        <v>41</v>
      </c>
      <c r="D84" s="32" t="s">
        <v>413</v>
      </c>
      <c r="E84" s="29" t="s">
        <v>41</v>
      </c>
      <c r="F84" s="29" t="s">
        <v>443</v>
      </c>
      <c r="G84" s="29" t="s">
        <v>489</v>
      </c>
      <c r="H84" s="77">
        <v>0</v>
      </c>
      <c r="I84" s="77">
        <v>0</v>
      </c>
      <c r="J84" s="77">
        <v>0</v>
      </c>
      <c r="K84" s="77">
        <v>0</v>
      </c>
      <c r="L84" s="77">
        <v>0</v>
      </c>
      <c r="M84" s="29" t="s">
        <v>489</v>
      </c>
      <c r="N84" s="77">
        <v>0</v>
      </c>
      <c r="O84" s="22">
        <f t="shared" si="1"/>
        <v>0</v>
      </c>
      <c r="P84" s="22" t="e">
        <f>_xlfn.XLOOKUP(D84,'4月份计划'!A:A,'4月份计划'!A:A)</f>
        <v>#N/A</v>
      </c>
    </row>
    <row r="85" s="22" customFormat="1" ht="15" customHeight="1" spans="1:16">
      <c r="A85" s="25" t="s">
        <v>444</v>
      </c>
      <c r="B85" s="28" t="s">
        <v>445</v>
      </c>
      <c r="C85" s="25" t="s">
        <v>41</v>
      </c>
      <c r="D85" s="28" t="s">
        <v>537</v>
      </c>
      <c r="E85" s="25" t="s">
        <v>41</v>
      </c>
      <c r="F85" s="25" t="s">
        <v>443</v>
      </c>
      <c r="G85" s="25" t="s">
        <v>489</v>
      </c>
      <c r="H85" s="76">
        <v>0</v>
      </c>
      <c r="I85" s="76">
        <v>0</v>
      </c>
      <c r="J85" s="76">
        <v>0</v>
      </c>
      <c r="K85" s="76">
        <v>0</v>
      </c>
      <c r="L85" s="76">
        <v>0</v>
      </c>
      <c r="M85" s="25" t="s">
        <v>489</v>
      </c>
      <c r="N85" s="76">
        <v>0</v>
      </c>
      <c r="O85" s="22">
        <f t="shared" si="1"/>
        <v>0</v>
      </c>
      <c r="P85" s="22" t="e">
        <f>_xlfn.XLOOKUP(D85,'4月份计划'!A:A,'4月份计划'!A:A)</f>
        <v>#N/A</v>
      </c>
    </row>
    <row r="86" s="22" customFormat="1" ht="15" customHeight="1" spans="1:16">
      <c r="A86" s="29" t="s">
        <v>444</v>
      </c>
      <c r="B86" s="32" t="s">
        <v>445</v>
      </c>
      <c r="C86" s="29" t="s">
        <v>41</v>
      </c>
      <c r="D86" s="32" t="s">
        <v>538</v>
      </c>
      <c r="E86" s="29" t="s">
        <v>41</v>
      </c>
      <c r="F86" s="29" t="s">
        <v>443</v>
      </c>
      <c r="G86" s="29" t="s">
        <v>489</v>
      </c>
      <c r="H86" s="77">
        <v>0</v>
      </c>
      <c r="I86" s="77">
        <v>0</v>
      </c>
      <c r="J86" s="77">
        <v>0</v>
      </c>
      <c r="K86" s="77">
        <v>0</v>
      </c>
      <c r="L86" s="77">
        <v>0</v>
      </c>
      <c r="M86" s="29" t="s">
        <v>489</v>
      </c>
      <c r="N86" s="77">
        <v>0</v>
      </c>
      <c r="O86" s="22">
        <f t="shared" si="1"/>
        <v>0</v>
      </c>
      <c r="P86" s="22" t="e">
        <f>_xlfn.XLOOKUP(D86,'4月份计划'!A:A,'4月份计划'!A:A)</f>
        <v>#N/A</v>
      </c>
    </row>
    <row r="87" s="22" customFormat="1" ht="15" customHeight="1" spans="1:16">
      <c r="A87" s="25" t="s">
        <v>444</v>
      </c>
      <c r="B87" s="28" t="s">
        <v>445</v>
      </c>
      <c r="C87" s="25" t="s">
        <v>41</v>
      </c>
      <c r="D87" s="28" t="s">
        <v>416</v>
      </c>
      <c r="E87" s="25" t="s">
        <v>41</v>
      </c>
      <c r="F87" s="25" t="s">
        <v>443</v>
      </c>
      <c r="G87" s="25" t="s">
        <v>489</v>
      </c>
      <c r="H87" s="76">
        <v>0</v>
      </c>
      <c r="I87" s="76">
        <v>0</v>
      </c>
      <c r="J87" s="76">
        <v>0</v>
      </c>
      <c r="K87" s="76">
        <v>0</v>
      </c>
      <c r="L87" s="76">
        <v>18532</v>
      </c>
      <c r="M87" s="25" t="s">
        <v>489</v>
      </c>
      <c r="N87" s="76">
        <v>0</v>
      </c>
      <c r="O87" s="22">
        <f t="shared" si="1"/>
        <v>0</v>
      </c>
      <c r="P87" s="22" t="e">
        <f>_xlfn.XLOOKUP(D87,'4月份计划'!A:A,'4月份计划'!A:A)</f>
        <v>#N/A</v>
      </c>
    </row>
    <row r="88" s="22" customFormat="1" ht="15" customHeight="1" spans="1:16">
      <c r="A88" s="29" t="s">
        <v>444</v>
      </c>
      <c r="B88" s="32" t="s">
        <v>445</v>
      </c>
      <c r="C88" s="29" t="s">
        <v>41</v>
      </c>
      <c r="D88" s="32" t="s">
        <v>461</v>
      </c>
      <c r="E88" s="29" t="s">
        <v>41</v>
      </c>
      <c r="F88" s="29" t="s">
        <v>443</v>
      </c>
      <c r="G88" s="29" t="s">
        <v>447</v>
      </c>
      <c r="H88" s="77">
        <v>9600</v>
      </c>
      <c r="I88" s="77">
        <v>0</v>
      </c>
      <c r="J88" s="77">
        <v>0</v>
      </c>
      <c r="K88" s="77">
        <v>0</v>
      </c>
      <c r="L88" s="77">
        <v>0</v>
      </c>
      <c r="M88" s="29" t="s">
        <v>447</v>
      </c>
      <c r="N88" s="77">
        <v>9600</v>
      </c>
      <c r="O88" s="22">
        <f t="shared" si="1"/>
        <v>9600</v>
      </c>
      <c r="P88" s="22" t="e">
        <f>_xlfn.XLOOKUP(D88,'4月份计划'!A:A,'4月份计划'!A:A)</f>
        <v>#N/A</v>
      </c>
    </row>
    <row r="89" s="22" customFormat="1" ht="15" customHeight="1" spans="1:16">
      <c r="A89" s="25" t="s">
        <v>444</v>
      </c>
      <c r="B89" s="28" t="s">
        <v>445</v>
      </c>
      <c r="C89" s="25" t="s">
        <v>41</v>
      </c>
      <c r="D89" s="28" t="s">
        <v>539</v>
      </c>
      <c r="E89" s="25" t="s">
        <v>41</v>
      </c>
      <c r="F89" s="25" t="s">
        <v>443</v>
      </c>
      <c r="G89" s="25" t="s">
        <v>489</v>
      </c>
      <c r="H89" s="76">
        <v>0</v>
      </c>
      <c r="I89" s="76">
        <v>0</v>
      </c>
      <c r="J89" s="76">
        <v>0</v>
      </c>
      <c r="K89" s="76">
        <v>0</v>
      </c>
      <c r="L89" s="76">
        <v>0</v>
      </c>
      <c r="M89" s="25" t="s">
        <v>489</v>
      </c>
      <c r="N89" s="76">
        <v>0</v>
      </c>
      <c r="O89" s="22">
        <f t="shared" si="1"/>
        <v>0</v>
      </c>
      <c r="P89" s="22" t="e">
        <f>_xlfn.XLOOKUP(D89,'4月份计划'!A:A,'4月份计划'!A:A)</f>
        <v>#N/A</v>
      </c>
    </row>
    <row r="90" s="22" customFormat="1" ht="15" customHeight="1" spans="1:16">
      <c r="A90" s="29" t="s">
        <v>444</v>
      </c>
      <c r="B90" s="32" t="s">
        <v>445</v>
      </c>
      <c r="C90" s="29" t="s">
        <v>41</v>
      </c>
      <c r="D90" s="32" t="s">
        <v>462</v>
      </c>
      <c r="E90" s="29" t="s">
        <v>41</v>
      </c>
      <c r="F90" s="29" t="s">
        <v>443</v>
      </c>
      <c r="G90" s="29" t="s">
        <v>453</v>
      </c>
      <c r="H90" s="77">
        <v>15365.76</v>
      </c>
      <c r="I90" s="77">
        <v>0</v>
      </c>
      <c r="J90" s="77">
        <v>0</v>
      </c>
      <c r="K90" s="77">
        <v>0</v>
      </c>
      <c r="L90" s="77">
        <v>0</v>
      </c>
      <c r="M90" s="29" t="s">
        <v>453</v>
      </c>
      <c r="N90" s="77">
        <v>15365.76</v>
      </c>
      <c r="O90" s="22">
        <f t="shared" si="1"/>
        <v>-15365.76</v>
      </c>
      <c r="P90" s="22" t="e">
        <f>_xlfn.XLOOKUP(D90,'4月份计划'!A:A,'4月份计划'!A:A)</f>
        <v>#N/A</v>
      </c>
    </row>
    <row r="91" s="22" customFormat="1" ht="15" customHeight="1" spans="1:16">
      <c r="A91" s="25" t="s">
        <v>444</v>
      </c>
      <c r="B91" s="28" t="s">
        <v>445</v>
      </c>
      <c r="C91" s="25" t="s">
        <v>41</v>
      </c>
      <c r="D91" s="28" t="s">
        <v>463</v>
      </c>
      <c r="E91" s="25" t="s">
        <v>41</v>
      </c>
      <c r="F91" s="25" t="s">
        <v>443</v>
      </c>
      <c r="G91" s="25" t="s">
        <v>447</v>
      </c>
      <c r="H91" s="76">
        <v>2200</v>
      </c>
      <c r="I91" s="76">
        <v>0</v>
      </c>
      <c r="J91" s="76">
        <v>0</v>
      </c>
      <c r="K91" s="76">
        <v>0</v>
      </c>
      <c r="L91" s="76">
        <v>0</v>
      </c>
      <c r="M91" s="25" t="s">
        <v>447</v>
      </c>
      <c r="N91" s="76">
        <v>2200</v>
      </c>
      <c r="O91" s="22">
        <f t="shared" si="1"/>
        <v>2200</v>
      </c>
      <c r="P91" s="22" t="e">
        <f>_xlfn.XLOOKUP(D91,'4月份计划'!A:A,'4月份计划'!A:A)</f>
        <v>#N/A</v>
      </c>
    </row>
    <row r="92" s="22" customFormat="1" ht="15" customHeight="1" spans="1:16">
      <c r="A92" s="29" t="s">
        <v>444</v>
      </c>
      <c r="B92" s="32" t="s">
        <v>445</v>
      </c>
      <c r="C92" s="29" t="s">
        <v>41</v>
      </c>
      <c r="D92" s="32" t="s">
        <v>464</v>
      </c>
      <c r="E92" s="29" t="s">
        <v>41</v>
      </c>
      <c r="F92" s="29" t="s">
        <v>443</v>
      </c>
      <c r="G92" s="29" t="s">
        <v>447</v>
      </c>
      <c r="H92" s="77">
        <v>6340</v>
      </c>
      <c r="I92" s="77">
        <v>0</v>
      </c>
      <c r="J92" s="77">
        <v>0</v>
      </c>
      <c r="K92" s="77">
        <v>0</v>
      </c>
      <c r="L92" s="77">
        <v>0</v>
      </c>
      <c r="M92" s="29" t="s">
        <v>447</v>
      </c>
      <c r="N92" s="77">
        <v>6340</v>
      </c>
      <c r="O92" s="22">
        <f t="shared" si="1"/>
        <v>6340</v>
      </c>
      <c r="P92" s="22" t="e">
        <f>_xlfn.XLOOKUP(D92,'4月份计划'!A:A,'4月份计划'!A:A)</f>
        <v>#N/A</v>
      </c>
    </row>
    <row r="93" s="22" customFormat="1" ht="15" customHeight="1" spans="1:16">
      <c r="A93" s="25" t="s">
        <v>444</v>
      </c>
      <c r="B93" s="28" t="s">
        <v>445</v>
      </c>
      <c r="C93" s="25" t="s">
        <v>41</v>
      </c>
      <c r="D93" s="28" t="s">
        <v>465</v>
      </c>
      <c r="E93" s="25" t="s">
        <v>41</v>
      </c>
      <c r="F93" s="25" t="s">
        <v>443</v>
      </c>
      <c r="G93" s="25" t="s">
        <v>447</v>
      </c>
      <c r="H93" s="76">
        <v>30585</v>
      </c>
      <c r="I93" s="76">
        <v>0</v>
      </c>
      <c r="J93" s="76">
        <v>0</v>
      </c>
      <c r="K93" s="76">
        <v>0</v>
      </c>
      <c r="L93" s="76">
        <v>0</v>
      </c>
      <c r="M93" s="25" t="s">
        <v>447</v>
      </c>
      <c r="N93" s="76">
        <v>30585</v>
      </c>
      <c r="O93" s="22">
        <f t="shared" si="1"/>
        <v>30585</v>
      </c>
      <c r="P93" s="22" t="e">
        <f>_xlfn.XLOOKUP(D93,'4月份计划'!A:A,'4月份计划'!A:A)</f>
        <v>#N/A</v>
      </c>
    </row>
    <row r="94" s="22" customFormat="1" ht="15" customHeight="1" spans="1:16">
      <c r="A94" s="29" t="s">
        <v>444</v>
      </c>
      <c r="B94" s="32" t="s">
        <v>445</v>
      </c>
      <c r="C94" s="29" t="s">
        <v>41</v>
      </c>
      <c r="D94" s="32" t="s">
        <v>257</v>
      </c>
      <c r="E94" s="29" t="s">
        <v>41</v>
      </c>
      <c r="F94" s="29" t="s">
        <v>443</v>
      </c>
      <c r="G94" s="29" t="s">
        <v>453</v>
      </c>
      <c r="H94" s="77">
        <v>288171.91</v>
      </c>
      <c r="I94" s="77">
        <v>0</v>
      </c>
      <c r="J94" s="77">
        <v>0</v>
      </c>
      <c r="K94" s="77">
        <v>288131.92</v>
      </c>
      <c r="L94" s="77">
        <v>224472.24</v>
      </c>
      <c r="M94" s="29" t="s">
        <v>453</v>
      </c>
      <c r="N94" s="77">
        <v>288171.91</v>
      </c>
      <c r="O94" s="22">
        <f t="shared" si="1"/>
        <v>-288171.91</v>
      </c>
      <c r="P94" s="22" t="str">
        <f>_xlfn.XLOOKUP(D94,'4月份计划'!A:A,'4月份计划'!A:A)</f>
        <v>佛吉亚（无锡）座椅部件有限公</v>
      </c>
    </row>
    <row r="95" s="22" customFormat="1" ht="15" customHeight="1" spans="1:16">
      <c r="A95" s="25" t="s">
        <v>444</v>
      </c>
      <c r="B95" s="28" t="s">
        <v>445</v>
      </c>
      <c r="C95" s="25" t="s">
        <v>41</v>
      </c>
      <c r="D95" s="28" t="s">
        <v>540</v>
      </c>
      <c r="E95" s="25" t="s">
        <v>41</v>
      </c>
      <c r="F95" s="25" t="s">
        <v>443</v>
      </c>
      <c r="G95" s="25" t="s">
        <v>489</v>
      </c>
      <c r="H95" s="76">
        <v>0</v>
      </c>
      <c r="I95" s="76">
        <v>0</v>
      </c>
      <c r="J95" s="76">
        <v>0</v>
      </c>
      <c r="K95" s="76">
        <v>0</v>
      </c>
      <c r="L95" s="76">
        <v>0</v>
      </c>
      <c r="M95" s="25" t="s">
        <v>489</v>
      </c>
      <c r="N95" s="76">
        <v>0</v>
      </c>
      <c r="O95" s="22">
        <f t="shared" si="1"/>
        <v>0</v>
      </c>
      <c r="P95" s="22" t="e">
        <f>_xlfn.XLOOKUP(D95,'4月份计划'!A:A,'4月份计划'!A:A)</f>
        <v>#N/A</v>
      </c>
    </row>
    <row r="96" s="22" customFormat="1" ht="15" customHeight="1" spans="1:16">
      <c r="A96" s="25" t="s">
        <v>444</v>
      </c>
      <c r="B96" s="28" t="s">
        <v>445</v>
      </c>
      <c r="C96" s="25" t="s">
        <v>41</v>
      </c>
      <c r="D96" s="28" t="s">
        <v>542</v>
      </c>
      <c r="E96" s="25" t="s">
        <v>41</v>
      </c>
      <c r="F96" s="25" t="s">
        <v>443</v>
      </c>
      <c r="G96" s="25" t="s">
        <v>489</v>
      </c>
      <c r="H96" s="76">
        <v>0</v>
      </c>
      <c r="I96" s="76">
        <v>0</v>
      </c>
      <c r="J96" s="76">
        <v>0</v>
      </c>
      <c r="K96" s="76">
        <v>0</v>
      </c>
      <c r="L96" s="76">
        <v>0</v>
      </c>
      <c r="M96" s="25" t="s">
        <v>489</v>
      </c>
      <c r="N96" s="76">
        <v>0</v>
      </c>
      <c r="O96" s="22">
        <f t="shared" si="1"/>
        <v>0</v>
      </c>
      <c r="P96" s="22" t="e">
        <f>_xlfn.XLOOKUP(D96,'4月份计划'!A:A,'4月份计划'!A:A)</f>
        <v>#N/A</v>
      </c>
    </row>
    <row r="97" s="22" customFormat="1" ht="15" customHeight="1" spans="1:16">
      <c r="A97" s="29" t="s">
        <v>444</v>
      </c>
      <c r="B97" s="32" t="s">
        <v>445</v>
      </c>
      <c r="C97" s="29" t="s">
        <v>41</v>
      </c>
      <c r="D97" s="32" t="s">
        <v>543</v>
      </c>
      <c r="E97" s="29" t="s">
        <v>41</v>
      </c>
      <c r="F97" s="29" t="s">
        <v>443</v>
      </c>
      <c r="G97" s="29" t="s">
        <v>489</v>
      </c>
      <c r="H97" s="77">
        <v>0</v>
      </c>
      <c r="I97" s="77">
        <v>0</v>
      </c>
      <c r="J97" s="77">
        <v>0</v>
      </c>
      <c r="K97" s="77">
        <v>0</v>
      </c>
      <c r="L97" s="77">
        <v>0</v>
      </c>
      <c r="M97" s="29" t="s">
        <v>489</v>
      </c>
      <c r="N97" s="77">
        <v>0</v>
      </c>
      <c r="O97" s="22">
        <f t="shared" si="1"/>
        <v>0</v>
      </c>
      <c r="P97" s="22" t="e">
        <f>_xlfn.XLOOKUP(D97,'4月份计划'!A:A,'4月份计划'!A:A)</f>
        <v>#N/A</v>
      </c>
    </row>
    <row r="98" s="22" customFormat="1" ht="15" customHeight="1" spans="1:16">
      <c r="A98" s="25" t="s">
        <v>444</v>
      </c>
      <c r="B98" s="28" t="s">
        <v>445</v>
      </c>
      <c r="C98" s="25" t="s">
        <v>41</v>
      </c>
      <c r="D98" s="28" t="s">
        <v>278</v>
      </c>
      <c r="E98" s="25" t="s">
        <v>41</v>
      </c>
      <c r="F98" s="25" t="s">
        <v>443</v>
      </c>
      <c r="G98" s="25" t="s">
        <v>489</v>
      </c>
      <c r="H98" s="76">
        <v>0</v>
      </c>
      <c r="I98" s="76">
        <v>0</v>
      </c>
      <c r="J98" s="76">
        <v>5279.36</v>
      </c>
      <c r="K98" s="76">
        <v>35635.68</v>
      </c>
      <c r="L98" s="76">
        <v>15838.08</v>
      </c>
      <c r="M98" s="25" t="s">
        <v>447</v>
      </c>
      <c r="N98" s="76">
        <v>5279.36</v>
      </c>
      <c r="O98" s="22">
        <f t="shared" si="1"/>
        <v>5279.36</v>
      </c>
      <c r="P98" s="22" t="str">
        <f>_xlfn.XLOOKUP(D98,'4月份计划'!A:A,'4月份计划'!A:A)</f>
        <v>重庆渝融兴汽车配件有限公司</v>
      </c>
    </row>
    <row r="99" s="22" customFormat="1" ht="15" customHeight="1" spans="1:16">
      <c r="A99" s="29" t="s">
        <v>444</v>
      </c>
      <c r="B99" s="32" t="s">
        <v>445</v>
      </c>
      <c r="C99" s="29" t="s">
        <v>41</v>
      </c>
      <c r="D99" s="32" t="s">
        <v>412</v>
      </c>
      <c r="E99" s="29" t="s">
        <v>41</v>
      </c>
      <c r="F99" s="29" t="s">
        <v>443</v>
      </c>
      <c r="G99" s="29" t="s">
        <v>489</v>
      </c>
      <c r="H99" s="77">
        <v>0</v>
      </c>
      <c r="I99" s="77">
        <v>0</v>
      </c>
      <c r="J99" s="77">
        <v>0</v>
      </c>
      <c r="K99" s="77">
        <v>15083.24</v>
      </c>
      <c r="L99" s="77">
        <v>7541.62</v>
      </c>
      <c r="M99" s="29" t="s">
        <v>489</v>
      </c>
      <c r="N99" s="77">
        <v>0</v>
      </c>
      <c r="O99" s="22">
        <f t="shared" si="1"/>
        <v>0</v>
      </c>
      <c r="P99" s="22" t="e">
        <f>_xlfn.XLOOKUP(D99,'4月份计划'!A:A,'4月份计划'!A:A)</f>
        <v>#N/A</v>
      </c>
    </row>
    <row r="100" s="22" customFormat="1" ht="15" customHeight="1" spans="1:16">
      <c r="A100" s="25" t="s">
        <v>444</v>
      </c>
      <c r="B100" s="28" t="s">
        <v>445</v>
      </c>
      <c r="C100" s="25" t="s">
        <v>41</v>
      </c>
      <c r="D100" s="28" t="s">
        <v>258</v>
      </c>
      <c r="E100" s="25" t="s">
        <v>41</v>
      </c>
      <c r="F100" s="25" t="s">
        <v>443</v>
      </c>
      <c r="G100" s="25" t="s">
        <v>447</v>
      </c>
      <c r="H100" s="76">
        <v>259876.49</v>
      </c>
      <c r="I100" s="76">
        <v>61016.77</v>
      </c>
      <c r="J100" s="76">
        <v>151737.12</v>
      </c>
      <c r="K100" s="76">
        <v>799769.99</v>
      </c>
      <c r="L100" s="76">
        <v>411613.61</v>
      </c>
      <c r="M100" s="25" t="s">
        <v>447</v>
      </c>
      <c r="N100" s="76">
        <v>350596.84</v>
      </c>
      <c r="O100" s="22">
        <f t="shared" si="1"/>
        <v>350596.84</v>
      </c>
      <c r="P100" s="22" t="str">
        <f>_xlfn.XLOOKUP(D100,'4月份计划'!A:A,'4月份计划'!A:A)</f>
        <v>吉林省德邦汽车电子有限公司</v>
      </c>
    </row>
    <row r="101" s="22" customFormat="1" ht="15" customHeight="1" spans="1:16">
      <c r="A101" s="29" t="s">
        <v>444</v>
      </c>
      <c r="B101" s="32" t="s">
        <v>445</v>
      </c>
      <c r="C101" s="29" t="s">
        <v>41</v>
      </c>
      <c r="D101" s="32" t="s">
        <v>259</v>
      </c>
      <c r="E101" s="29" t="s">
        <v>41</v>
      </c>
      <c r="F101" s="29" t="s">
        <v>443</v>
      </c>
      <c r="G101" s="29" t="s">
        <v>447</v>
      </c>
      <c r="H101" s="77">
        <v>518852.38</v>
      </c>
      <c r="I101" s="77">
        <v>241642.59</v>
      </c>
      <c r="J101" s="77">
        <v>602040.01</v>
      </c>
      <c r="K101" s="77">
        <v>1027392.18</v>
      </c>
      <c r="L101" s="77">
        <v>1120892.39</v>
      </c>
      <c r="M101" s="29" t="s">
        <v>447</v>
      </c>
      <c r="N101" s="77">
        <v>879249.8</v>
      </c>
      <c r="O101" s="22">
        <f t="shared" si="1"/>
        <v>879249.8</v>
      </c>
      <c r="P101" s="22" t="str">
        <f>_xlfn.XLOOKUP(D101,'4月份计划'!A:A,'4月份计划'!A:A)</f>
        <v>吉林省方舟电子科技有限公司</v>
      </c>
    </row>
    <row r="102" s="22" customFormat="1" ht="15" customHeight="1" spans="1:16">
      <c r="A102" s="25" t="s">
        <v>444</v>
      </c>
      <c r="B102" s="28" t="s">
        <v>445</v>
      </c>
      <c r="C102" s="25" t="s">
        <v>41</v>
      </c>
      <c r="D102" s="28" t="s">
        <v>299</v>
      </c>
      <c r="E102" s="25" t="s">
        <v>41</v>
      </c>
      <c r="F102" s="25" t="s">
        <v>443</v>
      </c>
      <c r="G102" s="25" t="s">
        <v>447</v>
      </c>
      <c r="H102" s="76">
        <v>742045.53</v>
      </c>
      <c r="I102" s="76">
        <v>324795.29</v>
      </c>
      <c r="J102" s="76">
        <v>297960.15</v>
      </c>
      <c r="K102" s="76">
        <v>612230.1</v>
      </c>
      <c r="L102" s="76">
        <v>1040006.06</v>
      </c>
      <c r="M102" s="25" t="s">
        <v>447</v>
      </c>
      <c r="N102" s="76">
        <v>715210.39</v>
      </c>
      <c r="O102" s="22">
        <f t="shared" si="1"/>
        <v>715210.39</v>
      </c>
      <c r="P102" s="22" t="str">
        <f>_xlfn.XLOOKUP(D102,'4月份计划'!A:A,'4月份计划'!A:A)</f>
        <v>长春富维安道拓汽车金属零部件</v>
      </c>
    </row>
    <row r="103" s="22" customFormat="1" ht="15" customHeight="1" spans="1:16">
      <c r="A103" s="29" t="s">
        <v>444</v>
      </c>
      <c r="B103" s="32" t="s">
        <v>445</v>
      </c>
      <c r="C103" s="29" t="s">
        <v>41</v>
      </c>
      <c r="D103" s="32" t="s">
        <v>544</v>
      </c>
      <c r="E103" s="29" t="s">
        <v>41</v>
      </c>
      <c r="F103" s="29" t="s">
        <v>443</v>
      </c>
      <c r="G103" s="29" t="s">
        <v>489</v>
      </c>
      <c r="H103" s="77">
        <v>0</v>
      </c>
      <c r="I103" s="77">
        <v>0</v>
      </c>
      <c r="J103" s="77">
        <v>0</v>
      </c>
      <c r="K103" s="77">
        <v>0</v>
      </c>
      <c r="L103" s="77">
        <v>0</v>
      </c>
      <c r="M103" s="29" t="s">
        <v>489</v>
      </c>
      <c r="N103" s="77">
        <v>0</v>
      </c>
      <c r="O103" s="22">
        <f t="shared" si="1"/>
        <v>0</v>
      </c>
      <c r="P103" s="22" t="e">
        <f>_xlfn.XLOOKUP(D103,'4月份计划'!A:A,'4月份计划'!A:A)</f>
        <v>#N/A</v>
      </c>
    </row>
    <row r="104" s="22" customFormat="1" ht="15" customHeight="1" spans="1:16">
      <c r="A104" s="25" t="s">
        <v>444</v>
      </c>
      <c r="B104" s="28" t="s">
        <v>445</v>
      </c>
      <c r="C104" s="25" t="s">
        <v>41</v>
      </c>
      <c r="D104" s="28" t="s">
        <v>415</v>
      </c>
      <c r="E104" s="25" t="s">
        <v>41</v>
      </c>
      <c r="F104" s="25" t="s">
        <v>443</v>
      </c>
      <c r="G104" s="25" t="s">
        <v>489</v>
      </c>
      <c r="H104" s="76">
        <v>0</v>
      </c>
      <c r="I104" s="76">
        <v>0</v>
      </c>
      <c r="J104" s="76">
        <v>0</v>
      </c>
      <c r="K104" s="76">
        <v>0</v>
      </c>
      <c r="L104" s="76">
        <v>0</v>
      </c>
      <c r="M104" s="25" t="s">
        <v>489</v>
      </c>
      <c r="N104" s="76">
        <v>0</v>
      </c>
      <c r="O104" s="22">
        <f t="shared" si="1"/>
        <v>0</v>
      </c>
      <c r="P104" s="22" t="e">
        <f>_xlfn.XLOOKUP(D104,'4月份计划'!A:A,'4月份计划'!A:A)</f>
        <v>#N/A</v>
      </c>
    </row>
    <row r="105" s="22" customFormat="1" ht="15" customHeight="1" spans="1:16">
      <c r="A105" s="29" t="s">
        <v>444</v>
      </c>
      <c r="B105" s="32" t="s">
        <v>445</v>
      </c>
      <c r="C105" s="29" t="s">
        <v>41</v>
      </c>
      <c r="D105" s="32" t="s">
        <v>260</v>
      </c>
      <c r="E105" s="29" t="s">
        <v>41</v>
      </c>
      <c r="F105" s="29" t="s">
        <v>443</v>
      </c>
      <c r="G105" s="29" t="s">
        <v>447</v>
      </c>
      <c r="H105" s="77">
        <v>283298.76</v>
      </c>
      <c r="I105" s="77">
        <v>148360.26</v>
      </c>
      <c r="J105" s="77">
        <v>0</v>
      </c>
      <c r="K105" s="77">
        <v>672067.01</v>
      </c>
      <c r="L105" s="77">
        <v>283298.76</v>
      </c>
      <c r="M105" s="29" t="s">
        <v>447</v>
      </c>
      <c r="N105" s="77">
        <v>134938.5</v>
      </c>
      <c r="O105" s="22">
        <f t="shared" si="1"/>
        <v>134938.5</v>
      </c>
      <c r="P105" s="22" t="str">
        <f>_xlfn.XLOOKUP(D105,'4月份计划'!A:A,'4月份计划'!A:A)</f>
        <v>黄骅市雍丰塑料制品有限公司</v>
      </c>
    </row>
    <row r="106" s="22" customFormat="1" ht="15" customHeight="1" spans="1:16">
      <c r="A106" s="25" t="s">
        <v>444</v>
      </c>
      <c r="B106" s="28" t="s">
        <v>445</v>
      </c>
      <c r="C106" s="25" t="s">
        <v>41</v>
      </c>
      <c r="D106" s="28" t="s">
        <v>545</v>
      </c>
      <c r="E106" s="25" t="s">
        <v>41</v>
      </c>
      <c r="F106" s="25" t="s">
        <v>443</v>
      </c>
      <c r="G106" s="25" t="s">
        <v>489</v>
      </c>
      <c r="H106" s="76">
        <v>0</v>
      </c>
      <c r="I106" s="76">
        <v>0</v>
      </c>
      <c r="J106" s="76">
        <v>0</v>
      </c>
      <c r="K106" s="76">
        <v>0</v>
      </c>
      <c r="L106" s="76">
        <v>0</v>
      </c>
      <c r="M106" s="25" t="s">
        <v>489</v>
      </c>
      <c r="N106" s="76">
        <v>0</v>
      </c>
      <c r="O106" s="22">
        <f t="shared" si="1"/>
        <v>0</v>
      </c>
      <c r="P106" s="22" t="e">
        <f>_xlfn.XLOOKUP(D106,'4月份计划'!A:A,'4月份计划'!A:A)</f>
        <v>#N/A</v>
      </c>
    </row>
    <row r="107" s="22" customFormat="1" ht="15" customHeight="1" spans="1:16">
      <c r="A107" s="29" t="s">
        <v>444</v>
      </c>
      <c r="B107" s="32" t="s">
        <v>445</v>
      </c>
      <c r="C107" s="29" t="s">
        <v>41</v>
      </c>
      <c r="D107" s="32" t="s">
        <v>466</v>
      </c>
      <c r="E107" s="29" t="s">
        <v>41</v>
      </c>
      <c r="F107" s="29" t="s">
        <v>443</v>
      </c>
      <c r="G107" s="29" t="s">
        <v>447</v>
      </c>
      <c r="H107" s="77">
        <v>1508.81</v>
      </c>
      <c r="I107" s="77">
        <v>0</v>
      </c>
      <c r="J107" s="77">
        <v>0</v>
      </c>
      <c r="K107" s="77">
        <v>0</v>
      </c>
      <c r="L107" s="77">
        <v>0</v>
      </c>
      <c r="M107" s="29" t="s">
        <v>447</v>
      </c>
      <c r="N107" s="77">
        <v>1508.81</v>
      </c>
      <c r="O107" s="22">
        <f t="shared" si="1"/>
        <v>1508.81</v>
      </c>
      <c r="P107" s="22" t="e">
        <f>_xlfn.XLOOKUP(D107,'4月份计划'!A:A,'4月份计划'!A:A)</f>
        <v>#N/A</v>
      </c>
    </row>
    <row r="108" s="22" customFormat="1" ht="15" customHeight="1" spans="1:16">
      <c r="A108" s="25" t="s">
        <v>444</v>
      </c>
      <c r="B108" s="28" t="s">
        <v>445</v>
      </c>
      <c r="C108" s="25" t="s">
        <v>41</v>
      </c>
      <c r="D108" s="28" t="s">
        <v>467</v>
      </c>
      <c r="E108" s="25" t="s">
        <v>41</v>
      </c>
      <c r="F108" s="25" t="s">
        <v>443</v>
      </c>
      <c r="G108" s="25" t="s">
        <v>447</v>
      </c>
      <c r="H108" s="76">
        <v>19684</v>
      </c>
      <c r="I108" s="76">
        <v>0</v>
      </c>
      <c r="J108" s="76">
        <v>0</v>
      </c>
      <c r="K108" s="76">
        <v>0</v>
      </c>
      <c r="L108" s="76">
        <v>0</v>
      </c>
      <c r="M108" s="25" t="s">
        <v>447</v>
      </c>
      <c r="N108" s="76">
        <v>19684</v>
      </c>
      <c r="O108" s="22">
        <f t="shared" si="1"/>
        <v>19684</v>
      </c>
      <c r="P108" s="22" t="e">
        <f>_xlfn.XLOOKUP(D108,'4月份计划'!A:A,'4月份计划'!A:A)</f>
        <v>#N/A</v>
      </c>
    </row>
    <row r="109" s="22" customFormat="1" ht="15" customHeight="1" spans="1:16">
      <c r="A109" s="29" t="s">
        <v>444</v>
      </c>
      <c r="B109" s="32" t="s">
        <v>445</v>
      </c>
      <c r="C109" s="29" t="s">
        <v>41</v>
      </c>
      <c r="D109" s="32" t="s">
        <v>306</v>
      </c>
      <c r="E109" s="29" t="s">
        <v>41</v>
      </c>
      <c r="F109" s="29" t="s">
        <v>443</v>
      </c>
      <c r="G109" s="29" t="s">
        <v>447</v>
      </c>
      <c r="H109" s="77">
        <v>84965.83</v>
      </c>
      <c r="I109" s="77">
        <v>62470.92</v>
      </c>
      <c r="J109" s="77">
        <v>19210</v>
      </c>
      <c r="K109" s="77">
        <v>102564.45</v>
      </c>
      <c r="L109" s="77">
        <v>104175.83</v>
      </c>
      <c r="M109" s="29" t="s">
        <v>447</v>
      </c>
      <c r="N109" s="77">
        <v>41704.91</v>
      </c>
      <c r="O109" s="22">
        <f t="shared" si="1"/>
        <v>41704.91</v>
      </c>
      <c r="P109" s="22" t="str">
        <f>_xlfn.XLOOKUP(D109,'4月份计划'!A:A,'4月份计划'!A:A)</f>
        <v>江苏忠明祥和精工股份有限公司</v>
      </c>
    </row>
    <row r="110" s="22" customFormat="1" ht="15" customHeight="1" spans="1:16">
      <c r="A110" s="25" t="s">
        <v>444</v>
      </c>
      <c r="B110" s="28" t="s">
        <v>445</v>
      </c>
      <c r="C110" s="25" t="s">
        <v>41</v>
      </c>
      <c r="D110" s="28" t="s">
        <v>468</v>
      </c>
      <c r="E110" s="25" t="s">
        <v>41</v>
      </c>
      <c r="F110" s="25" t="s">
        <v>443</v>
      </c>
      <c r="G110" s="25" t="s">
        <v>447</v>
      </c>
      <c r="H110" s="76">
        <v>23.19</v>
      </c>
      <c r="I110" s="76">
        <v>0</v>
      </c>
      <c r="J110" s="76">
        <v>0</v>
      </c>
      <c r="K110" s="76">
        <v>0</v>
      </c>
      <c r="L110" s="76">
        <v>0</v>
      </c>
      <c r="M110" s="25" t="s">
        <v>447</v>
      </c>
      <c r="N110" s="76">
        <v>23.19</v>
      </c>
      <c r="O110" s="22">
        <f t="shared" si="1"/>
        <v>23.19</v>
      </c>
      <c r="P110" s="22" t="e">
        <f>_xlfn.XLOOKUP(D110,'4月份计划'!A:A,'4月份计划'!A:A)</f>
        <v>#N/A</v>
      </c>
    </row>
    <row r="111" s="22" customFormat="1" ht="15" customHeight="1" spans="1:16">
      <c r="A111" s="29" t="s">
        <v>444</v>
      </c>
      <c r="B111" s="32" t="s">
        <v>445</v>
      </c>
      <c r="C111" s="29" t="s">
        <v>41</v>
      </c>
      <c r="D111" s="32" t="s">
        <v>469</v>
      </c>
      <c r="E111" s="29" t="s">
        <v>41</v>
      </c>
      <c r="F111" s="29" t="s">
        <v>443</v>
      </c>
      <c r="G111" s="29" t="s">
        <v>447</v>
      </c>
      <c r="H111" s="77">
        <v>5878.26</v>
      </c>
      <c r="I111" s="77">
        <v>0</v>
      </c>
      <c r="J111" s="77">
        <v>0</v>
      </c>
      <c r="K111" s="77">
        <v>0</v>
      </c>
      <c r="L111" s="77">
        <v>0</v>
      </c>
      <c r="M111" s="29" t="s">
        <v>447</v>
      </c>
      <c r="N111" s="77">
        <v>5878.26</v>
      </c>
      <c r="O111" s="22">
        <f t="shared" si="1"/>
        <v>5878.26</v>
      </c>
      <c r="P111" s="22" t="e">
        <f>_xlfn.XLOOKUP(D111,'4月份计划'!A:A,'4月份计划'!A:A)</f>
        <v>#N/A</v>
      </c>
    </row>
    <row r="112" s="22" customFormat="1" ht="15" customHeight="1" spans="1:16">
      <c r="A112" s="25" t="s">
        <v>444</v>
      </c>
      <c r="B112" s="28" t="s">
        <v>445</v>
      </c>
      <c r="C112" s="25" t="s">
        <v>41</v>
      </c>
      <c r="D112" s="28" t="s">
        <v>546</v>
      </c>
      <c r="E112" s="25" t="s">
        <v>41</v>
      </c>
      <c r="F112" s="25" t="s">
        <v>443</v>
      </c>
      <c r="G112" s="25" t="s">
        <v>489</v>
      </c>
      <c r="H112" s="76">
        <v>0</v>
      </c>
      <c r="I112" s="76">
        <v>0</v>
      </c>
      <c r="J112" s="76">
        <v>0</v>
      </c>
      <c r="K112" s="76">
        <v>0</v>
      </c>
      <c r="L112" s="76">
        <v>0</v>
      </c>
      <c r="M112" s="25" t="s">
        <v>489</v>
      </c>
      <c r="N112" s="76">
        <v>0</v>
      </c>
      <c r="O112" s="22">
        <f t="shared" si="1"/>
        <v>0</v>
      </c>
      <c r="P112" s="22" t="e">
        <f>_xlfn.XLOOKUP(D112,'4月份计划'!A:A,'4月份计划'!A:A)</f>
        <v>#N/A</v>
      </c>
    </row>
    <row r="113" s="22" customFormat="1" ht="15" customHeight="1" spans="1:16">
      <c r="A113" s="29" t="s">
        <v>444</v>
      </c>
      <c r="B113" s="32" t="s">
        <v>445</v>
      </c>
      <c r="C113" s="29" t="s">
        <v>41</v>
      </c>
      <c r="D113" s="32" t="s">
        <v>547</v>
      </c>
      <c r="E113" s="29" t="s">
        <v>41</v>
      </c>
      <c r="F113" s="29" t="s">
        <v>443</v>
      </c>
      <c r="G113" s="29" t="s">
        <v>489</v>
      </c>
      <c r="H113" s="77">
        <v>0</v>
      </c>
      <c r="I113" s="77">
        <v>0</v>
      </c>
      <c r="J113" s="77">
        <v>0</v>
      </c>
      <c r="K113" s="77">
        <v>0</v>
      </c>
      <c r="L113" s="77">
        <v>0</v>
      </c>
      <c r="M113" s="29" t="s">
        <v>489</v>
      </c>
      <c r="N113" s="77">
        <v>0</v>
      </c>
      <c r="O113" s="22">
        <f t="shared" si="1"/>
        <v>0</v>
      </c>
      <c r="P113" s="22" t="e">
        <f>_xlfn.XLOOKUP(D113,'4月份计划'!A:A,'4月份计划'!A:A)</f>
        <v>#N/A</v>
      </c>
    </row>
    <row r="114" s="22" customFormat="1" ht="15" customHeight="1" spans="1:16">
      <c r="A114" s="25" t="s">
        <v>444</v>
      </c>
      <c r="B114" s="28" t="s">
        <v>445</v>
      </c>
      <c r="C114" s="25" t="s">
        <v>41</v>
      </c>
      <c r="D114" s="28" t="s">
        <v>470</v>
      </c>
      <c r="E114" s="25" t="s">
        <v>41</v>
      </c>
      <c r="F114" s="25" t="s">
        <v>443</v>
      </c>
      <c r="G114" s="25" t="s">
        <v>447</v>
      </c>
      <c r="H114" s="76">
        <v>65450</v>
      </c>
      <c r="I114" s="76">
        <v>0</v>
      </c>
      <c r="J114" s="76">
        <v>0</v>
      </c>
      <c r="K114" s="76">
        <v>0</v>
      </c>
      <c r="L114" s="76">
        <v>0</v>
      </c>
      <c r="M114" s="25" t="s">
        <v>447</v>
      </c>
      <c r="N114" s="76">
        <v>65450</v>
      </c>
      <c r="O114" s="22">
        <f t="shared" si="1"/>
        <v>65450</v>
      </c>
      <c r="P114" s="22" t="e">
        <f>_xlfn.XLOOKUP(D114,'4月份计划'!A:A,'4月份计划'!A:A)</f>
        <v>#N/A</v>
      </c>
    </row>
    <row r="115" s="22" customFormat="1" ht="15" customHeight="1" spans="1:16">
      <c r="A115" s="29" t="s">
        <v>444</v>
      </c>
      <c r="B115" s="32" t="s">
        <v>445</v>
      </c>
      <c r="C115" s="29" t="s">
        <v>41</v>
      </c>
      <c r="D115" s="32" t="s">
        <v>548</v>
      </c>
      <c r="E115" s="29" t="s">
        <v>41</v>
      </c>
      <c r="F115" s="29" t="s">
        <v>443</v>
      </c>
      <c r="G115" s="29" t="s">
        <v>489</v>
      </c>
      <c r="H115" s="77">
        <v>0</v>
      </c>
      <c r="I115" s="77">
        <v>0</v>
      </c>
      <c r="J115" s="77">
        <v>0</v>
      </c>
      <c r="K115" s="77">
        <v>0</v>
      </c>
      <c r="L115" s="77">
        <v>0</v>
      </c>
      <c r="M115" s="29" t="s">
        <v>489</v>
      </c>
      <c r="N115" s="77">
        <v>0</v>
      </c>
      <c r="O115" s="22">
        <f t="shared" si="1"/>
        <v>0</v>
      </c>
      <c r="P115" s="22" t="e">
        <f>_xlfn.XLOOKUP(D115,'4月份计划'!A:A,'4月份计划'!A:A)</f>
        <v>#N/A</v>
      </c>
    </row>
    <row r="116" s="22" customFormat="1" ht="15" customHeight="1" spans="1:16">
      <c r="A116" s="25" t="s">
        <v>444</v>
      </c>
      <c r="B116" s="28" t="s">
        <v>445</v>
      </c>
      <c r="C116" s="25" t="s">
        <v>41</v>
      </c>
      <c r="D116" s="28" t="s">
        <v>471</v>
      </c>
      <c r="E116" s="25" t="s">
        <v>41</v>
      </c>
      <c r="F116" s="25" t="s">
        <v>443</v>
      </c>
      <c r="G116" s="25" t="s">
        <v>447</v>
      </c>
      <c r="H116" s="76">
        <v>61614.37</v>
      </c>
      <c r="I116" s="76">
        <v>0</v>
      </c>
      <c r="J116" s="76">
        <v>0</v>
      </c>
      <c r="K116" s="76">
        <v>0</v>
      </c>
      <c r="L116" s="76">
        <v>0</v>
      </c>
      <c r="M116" s="25" t="s">
        <v>447</v>
      </c>
      <c r="N116" s="76">
        <v>61614.37</v>
      </c>
      <c r="O116" s="22">
        <f t="shared" si="1"/>
        <v>61614.37</v>
      </c>
      <c r="P116" s="22" t="e">
        <f>_xlfn.XLOOKUP(D116,'4月份计划'!A:A,'4月份计划'!A:A)</f>
        <v>#N/A</v>
      </c>
    </row>
    <row r="117" s="22" customFormat="1" ht="15" customHeight="1" spans="1:16">
      <c r="A117" s="29" t="s">
        <v>444</v>
      </c>
      <c r="B117" s="32" t="s">
        <v>445</v>
      </c>
      <c r="C117" s="29" t="s">
        <v>41</v>
      </c>
      <c r="D117" s="32" t="s">
        <v>549</v>
      </c>
      <c r="E117" s="29" t="s">
        <v>41</v>
      </c>
      <c r="F117" s="29" t="s">
        <v>443</v>
      </c>
      <c r="G117" s="29" t="s">
        <v>489</v>
      </c>
      <c r="H117" s="77">
        <v>0</v>
      </c>
      <c r="I117" s="77">
        <v>0</v>
      </c>
      <c r="J117" s="77">
        <v>0</v>
      </c>
      <c r="K117" s="77">
        <v>0</v>
      </c>
      <c r="L117" s="77">
        <v>0</v>
      </c>
      <c r="M117" s="29" t="s">
        <v>489</v>
      </c>
      <c r="N117" s="77">
        <v>0</v>
      </c>
      <c r="O117" s="22">
        <f t="shared" si="1"/>
        <v>0</v>
      </c>
      <c r="P117" s="22" t="e">
        <f>_xlfn.XLOOKUP(D117,'4月份计划'!A:A,'4月份计划'!A:A)</f>
        <v>#N/A</v>
      </c>
    </row>
    <row r="118" s="22" customFormat="1" ht="15" customHeight="1" spans="1:16">
      <c r="A118" s="25" t="s">
        <v>444</v>
      </c>
      <c r="B118" s="28" t="s">
        <v>445</v>
      </c>
      <c r="C118" s="25" t="s">
        <v>41</v>
      </c>
      <c r="D118" s="28" t="s">
        <v>261</v>
      </c>
      <c r="E118" s="25" t="s">
        <v>41</v>
      </c>
      <c r="F118" s="25" t="s">
        <v>443</v>
      </c>
      <c r="G118" s="25" t="s">
        <v>447</v>
      </c>
      <c r="H118" s="76">
        <v>577575.61</v>
      </c>
      <c r="I118" s="76">
        <v>100000</v>
      </c>
      <c r="J118" s="76">
        <v>0</v>
      </c>
      <c r="K118" s="76">
        <v>1000000</v>
      </c>
      <c r="L118" s="76">
        <v>373979</v>
      </c>
      <c r="M118" s="25" t="s">
        <v>447</v>
      </c>
      <c r="N118" s="76">
        <v>477575.61</v>
      </c>
      <c r="O118" s="22">
        <f t="shared" si="1"/>
        <v>477575.61</v>
      </c>
      <c r="P118" s="22" t="str">
        <f>_xlfn.XLOOKUP(D118,'4月份计划'!A:A,'4月份计划'!A:A)</f>
        <v>景德镇市乾立运输有限公司</v>
      </c>
    </row>
    <row r="119" s="22" customFormat="1" ht="15" customHeight="1" spans="1:16">
      <c r="A119" s="29" t="s">
        <v>444</v>
      </c>
      <c r="B119" s="32" t="s">
        <v>445</v>
      </c>
      <c r="C119" s="29" t="s">
        <v>41</v>
      </c>
      <c r="D119" s="32" t="s">
        <v>550</v>
      </c>
      <c r="E119" s="29" t="s">
        <v>41</v>
      </c>
      <c r="F119" s="29" t="s">
        <v>443</v>
      </c>
      <c r="G119" s="29" t="s">
        <v>489</v>
      </c>
      <c r="H119" s="77">
        <v>0</v>
      </c>
      <c r="I119" s="77">
        <v>0</v>
      </c>
      <c r="J119" s="77">
        <v>0</v>
      </c>
      <c r="K119" s="77">
        <v>0</v>
      </c>
      <c r="L119" s="77">
        <v>0</v>
      </c>
      <c r="M119" s="29" t="s">
        <v>489</v>
      </c>
      <c r="N119" s="77">
        <v>0</v>
      </c>
      <c r="O119" s="22">
        <f t="shared" si="1"/>
        <v>0</v>
      </c>
      <c r="P119" s="22" t="e">
        <f>_xlfn.XLOOKUP(D119,'4月份计划'!A:A,'4月份计划'!A:A)</f>
        <v>#N/A</v>
      </c>
    </row>
    <row r="120" s="22" customFormat="1" ht="15" customHeight="1" spans="1:16">
      <c r="A120" s="25" t="s">
        <v>444</v>
      </c>
      <c r="B120" s="28" t="s">
        <v>445</v>
      </c>
      <c r="C120" s="25" t="s">
        <v>41</v>
      </c>
      <c r="D120" s="28" t="s">
        <v>472</v>
      </c>
      <c r="E120" s="25" t="s">
        <v>41</v>
      </c>
      <c r="F120" s="25" t="s">
        <v>443</v>
      </c>
      <c r="G120" s="25" t="s">
        <v>447</v>
      </c>
      <c r="H120" s="76">
        <v>474</v>
      </c>
      <c r="I120" s="76">
        <v>0</v>
      </c>
      <c r="J120" s="76">
        <v>0</v>
      </c>
      <c r="K120" s="76">
        <v>0</v>
      </c>
      <c r="L120" s="76">
        <v>0</v>
      </c>
      <c r="M120" s="25" t="s">
        <v>447</v>
      </c>
      <c r="N120" s="76">
        <v>474</v>
      </c>
      <c r="O120" s="22">
        <f t="shared" si="1"/>
        <v>474</v>
      </c>
      <c r="P120" s="22" t="e">
        <f>_xlfn.XLOOKUP(D120,'4月份计划'!A:A,'4月份计划'!A:A)</f>
        <v>#N/A</v>
      </c>
    </row>
    <row r="121" s="22" customFormat="1" ht="15" customHeight="1" spans="1:16">
      <c r="A121" s="29" t="s">
        <v>444</v>
      </c>
      <c r="B121" s="32" t="s">
        <v>445</v>
      </c>
      <c r="C121" s="29" t="s">
        <v>41</v>
      </c>
      <c r="D121" s="32" t="s">
        <v>262</v>
      </c>
      <c r="E121" s="29" t="s">
        <v>41</v>
      </c>
      <c r="F121" s="29" t="s">
        <v>443</v>
      </c>
      <c r="G121" s="29" t="s">
        <v>447</v>
      </c>
      <c r="H121" s="77">
        <v>472439</v>
      </c>
      <c r="I121" s="77">
        <v>0</v>
      </c>
      <c r="J121" s="77">
        <v>0</v>
      </c>
      <c r="K121" s="77">
        <v>900000</v>
      </c>
      <c r="L121" s="77">
        <v>211574.1</v>
      </c>
      <c r="M121" s="29" t="s">
        <v>447</v>
      </c>
      <c r="N121" s="77">
        <v>472439</v>
      </c>
      <c r="O121" s="22">
        <f t="shared" si="1"/>
        <v>472439</v>
      </c>
      <c r="P121" s="22" t="str">
        <f>_xlfn.XLOOKUP(D121,'4月份计划'!A:A,'4月份计划'!A:A)</f>
        <v>景德镇市凯达汽车配件有限公司</v>
      </c>
    </row>
    <row r="122" s="22" customFormat="1" ht="15" customHeight="1" spans="1:16">
      <c r="A122" s="25" t="s">
        <v>444</v>
      </c>
      <c r="B122" s="28" t="s">
        <v>445</v>
      </c>
      <c r="C122" s="25" t="s">
        <v>41</v>
      </c>
      <c r="D122" s="28" t="s">
        <v>551</v>
      </c>
      <c r="E122" s="25" t="s">
        <v>41</v>
      </c>
      <c r="F122" s="25" t="s">
        <v>443</v>
      </c>
      <c r="G122" s="25" t="s">
        <v>489</v>
      </c>
      <c r="H122" s="76">
        <v>0</v>
      </c>
      <c r="I122" s="76">
        <v>0</v>
      </c>
      <c r="J122" s="76">
        <v>0</v>
      </c>
      <c r="K122" s="76">
        <v>0</v>
      </c>
      <c r="L122" s="76">
        <v>0</v>
      </c>
      <c r="M122" s="25" t="s">
        <v>489</v>
      </c>
      <c r="N122" s="76">
        <v>0</v>
      </c>
      <c r="O122" s="22">
        <f t="shared" si="1"/>
        <v>0</v>
      </c>
      <c r="P122" s="22" t="e">
        <f>_xlfn.XLOOKUP(D122,'4月份计划'!A:A,'4月份计划'!A:A)</f>
        <v>#N/A</v>
      </c>
    </row>
    <row r="123" s="22" customFormat="1" ht="15" customHeight="1" spans="1:16">
      <c r="A123" s="29" t="s">
        <v>444</v>
      </c>
      <c r="B123" s="32" t="s">
        <v>445</v>
      </c>
      <c r="C123" s="29" t="s">
        <v>41</v>
      </c>
      <c r="D123" s="32" t="s">
        <v>263</v>
      </c>
      <c r="E123" s="29" t="s">
        <v>41</v>
      </c>
      <c r="F123" s="29" t="s">
        <v>443</v>
      </c>
      <c r="G123" s="29" t="s">
        <v>447</v>
      </c>
      <c r="H123" s="77">
        <v>405547.25</v>
      </c>
      <c r="I123" s="77">
        <v>152879.45</v>
      </c>
      <c r="J123" s="77">
        <v>158743.09</v>
      </c>
      <c r="K123" s="77">
        <v>423065.81</v>
      </c>
      <c r="L123" s="77">
        <v>564290.34</v>
      </c>
      <c r="M123" s="29" t="s">
        <v>447</v>
      </c>
      <c r="N123" s="77">
        <v>411410.89</v>
      </c>
      <c r="O123" s="22">
        <f t="shared" si="1"/>
        <v>411410.89</v>
      </c>
      <c r="P123" s="22" t="str">
        <f>_xlfn.XLOOKUP(D123,'4月份计划'!A:A,'4月份计划'!A:A)</f>
        <v>武汉德锐隆科技有限公司</v>
      </c>
    </row>
    <row r="124" s="22" customFormat="1" ht="15" customHeight="1" spans="1:16">
      <c r="A124" s="25" t="s">
        <v>444</v>
      </c>
      <c r="B124" s="28" t="s">
        <v>445</v>
      </c>
      <c r="C124" s="25" t="s">
        <v>41</v>
      </c>
      <c r="D124" s="28" t="s">
        <v>473</v>
      </c>
      <c r="E124" s="25" t="s">
        <v>41</v>
      </c>
      <c r="F124" s="25" t="s">
        <v>443</v>
      </c>
      <c r="G124" s="25" t="s">
        <v>447</v>
      </c>
      <c r="H124" s="76">
        <v>13000</v>
      </c>
      <c r="I124" s="76">
        <v>0</v>
      </c>
      <c r="J124" s="76">
        <v>0</v>
      </c>
      <c r="K124" s="76">
        <v>0</v>
      </c>
      <c r="L124" s="76">
        <v>0</v>
      </c>
      <c r="M124" s="25" t="s">
        <v>447</v>
      </c>
      <c r="N124" s="76">
        <v>13000</v>
      </c>
      <c r="O124" s="22">
        <f t="shared" si="1"/>
        <v>13000</v>
      </c>
      <c r="P124" s="22" t="e">
        <f>_xlfn.XLOOKUP(D124,'4月份计划'!A:A,'4月份计划'!A:A)</f>
        <v>#N/A</v>
      </c>
    </row>
    <row r="125" s="22" customFormat="1" ht="15" customHeight="1" spans="1:16">
      <c r="A125" s="29" t="s">
        <v>444</v>
      </c>
      <c r="B125" s="32" t="s">
        <v>445</v>
      </c>
      <c r="C125" s="29" t="s">
        <v>41</v>
      </c>
      <c r="D125" s="32" t="s">
        <v>552</v>
      </c>
      <c r="E125" s="29" t="s">
        <v>41</v>
      </c>
      <c r="F125" s="29" t="s">
        <v>443</v>
      </c>
      <c r="G125" s="29" t="s">
        <v>489</v>
      </c>
      <c r="H125" s="77">
        <v>0</v>
      </c>
      <c r="I125" s="77">
        <v>0</v>
      </c>
      <c r="J125" s="77">
        <v>0</v>
      </c>
      <c r="K125" s="77">
        <v>0</v>
      </c>
      <c r="L125" s="77">
        <v>0</v>
      </c>
      <c r="M125" s="29" t="s">
        <v>489</v>
      </c>
      <c r="N125" s="77">
        <v>0</v>
      </c>
      <c r="O125" s="22">
        <f t="shared" si="1"/>
        <v>0</v>
      </c>
      <c r="P125" s="22" t="e">
        <f>_xlfn.XLOOKUP(D125,'4月份计划'!A:A,'4月份计划'!A:A)</f>
        <v>#N/A</v>
      </c>
    </row>
    <row r="126" s="22" customFormat="1" ht="15" customHeight="1" spans="1:16">
      <c r="A126" s="25" t="s">
        <v>444</v>
      </c>
      <c r="B126" s="28" t="s">
        <v>445</v>
      </c>
      <c r="C126" s="25" t="s">
        <v>41</v>
      </c>
      <c r="D126" s="28" t="s">
        <v>553</v>
      </c>
      <c r="E126" s="25" t="s">
        <v>41</v>
      </c>
      <c r="F126" s="25" t="s">
        <v>443</v>
      </c>
      <c r="G126" s="25" t="s">
        <v>489</v>
      </c>
      <c r="H126" s="76">
        <v>0</v>
      </c>
      <c r="I126" s="76">
        <v>0</v>
      </c>
      <c r="J126" s="76">
        <v>0</v>
      </c>
      <c r="K126" s="76">
        <v>0</v>
      </c>
      <c r="L126" s="76">
        <v>0</v>
      </c>
      <c r="M126" s="25" t="s">
        <v>489</v>
      </c>
      <c r="N126" s="76">
        <v>0</v>
      </c>
      <c r="O126" s="22">
        <f t="shared" si="1"/>
        <v>0</v>
      </c>
      <c r="P126" s="22" t="e">
        <f>_xlfn.XLOOKUP(D126,'4月份计划'!A:A,'4月份计划'!A:A)</f>
        <v>#N/A</v>
      </c>
    </row>
    <row r="127" s="22" customFormat="1" ht="15" customHeight="1" spans="1:16">
      <c r="A127" s="29" t="s">
        <v>444</v>
      </c>
      <c r="B127" s="32" t="s">
        <v>445</v>
      </c>
      <c r="C127" s="29" t="s">
        <v>41</v>
      </c>
      <c r="D127" s="32" t="s">
        <v>474</v>
      </c>
      <c r="E127" s="29" t="s">
        <v>41</v>
      </c>
      <c r="F127" s="29" t="s">
        <v>443</v>
      </c>
      <c r="G127" s="29" t="s">
        <v>447</v>
      </c>
      <c r="H127" s="77">
        <v>117.55</v>
      </c>
      <c r="I127" s="77">
        <v>0</v>
      </c>
      <c r="J127" s="77">
        <v>0</v>
      </c>
      <c r="K127" s="77">
        <v>0</v>
      </c>
      <c r="L127" s="77">
        <v>0</v>
      </c>
      <c r="M127" s="29" t="s">
        <v>447</v>
      </c>
      <c r="N127" s="77">
        <v>117.55</v>
      </c>
      <c r="O127" s="22">
        <f t="shared" si="1"/>
        <v>117.55</v>
      </c>
      <c r="P127" s="22" t="e">
        <f>_xlfn.XLOOKUP(D127,'4月份计划'!A:A,'4月份计划'!A:A)</f>
        <v>#N/A</v>
      </c>
    </row>
    <row r="128" s="22" customFormat="1" ht="15" customHeight="1" spans="1:16">
      <c r="A128" s="25" t="s">
        <v>444</v>
      </c>
      <c r="B128" s="28" t="s">
        <v>445</v>
      </c>
      <c r="C128" s="25" t="s">
        <v>41</v>
      </c>
      <c r="D128" s="28" t="s">
        <v>554</v>
      </c>
      <c r="E128" s="25" t="s">
        <v>41</v>
      </c>
      <c r="F128" s="25" t="s">
        <v>443</v>
      </c>
      <c r="G128" s="25" t="s">
        <v>489</v>
      </c>
      <c r="H128" s="76">
        <v>0</v>
      </c>
      <c r="I128" s="76">
        <v>0</v>
      </c>
      <c r="J128" s="76">
        <v>0</v>
      </c>
      <c r="K128" s="76">
        <v>0</v>
      </c>
      <c r="L128" s="76">
        <v>0</v>
      </c>
      <c r="M128" s="25" t="s">
        <v>489</v>
      </c>
      <c r="N128" s="76">
        <v>0</v>
      </c>
      <c r="O128" s="22">
        <f t="shared" si="1"/>
        <v>0</v>
      </c>
      <c r="P128" s="22" t="e">
        <f>_xlfn.XLOOKUP(D128,'4月份计划'!A:A,'4月份计划'!A:A)</f>
        <v>#N/A</v>
      </c>
    </row>
    <row r="129" s="22" customFormat="1" ht="15" customHeight="1" spans="1:16">
      <c r="A129" s="29" t="s">
        <v>444</v>
      </c>
      <c r="B129" s="32" t="s">
        <v>445</v>
      </c>
      <c r="C129" s="29" t="s">
        <v>41</v>
      </c>
      <c r="D129" s="32" t="s">
        <v>475</v>
      </c>
      <c r="E129" s="29" t="s">
        <v>41</v>
      </c>
      <c r="F129" s="29" t="s">
        <v>443</v>
      </c>
      <c r="G129" s="29" t="s">
        <v>447</v>
      </c>
      <c r="H129" s="77">
        <v>32648.8</v>
      </c>
      <c r="I129" s="77">
        <v>0</v>
      </c>
      <c r="J129" s="77">
        <v>0</v>
      </c>
      <c r="K129" s="77">
        <v>0</v>
      </c>
      <c r="L129" s="77">
        <v>0</v>
      </c>
      <c r="M129" s="29" t="s">
        <v>447</v>
      </c>
      <c r="N129" s="77">
        <v>32648.8</v>
      </c>
      <c r="O129" s="22">
        <f t="shared" si="1"/>
        <v>32648.8</v>
      </c>
      <c r="P129" s="22" t="e">
        <f>_xlfn.XLOOKUP(D129,'4月份计划'!A:A,'4月份计划'!A:A)</f>
        <v>#N/A</v>
      </c>
    </row>
    <row r="130" s="22" customFormat="1" ht="15" customHeight="1" spans="1:16">
      <c r="A130" s="25" t="s">
        <v>444</v>
      </c>
      <c r="B130" s="28" t="s">
        <v>445</v>
      </c>
      <c r="C130" s="25" t="s">
        <v>41</v>
      </c>
      <c r="D130" s="28" t="s">
        <v>555</v>
      </c>
      <c r="E130" s="25" t="s">
        <v>41</v>
      </c>
      <c r="F130" s="25" t="s">
        <v>443</v>
      </c>
      <c r="G130" s="25" t="s">
        <v>489</v>
      </c>
      <c r="H130" s="76">
        <v>0</v>
      </c>
      <c r="I130" s="76">
        <v>0</v>
      </c>
      <c r="J130" s="76">
        <v>0</v>
      </c>
      <c r="K130" s="76">
        <v>0</v>
      </c>
      <c r="L130" s="76">
        <v>0</v>
      </c>
      <c r="M130" s="25" t="s">
        <v>489</v>
      </c>
      <c r="N130" s="76">
        <v>0</v>
      </c>
      <c r="O130" s="22">
        <f t="shared" si="1"/>
        <v>0</v>
      </c>
      <c r="P130" s="22" t="e">
        <f>_xlfn.XLOOKUP(D130,'4月份计划'!A:A,'4月份计划'!A:A)</f>
        <v>#N/A</v>
      </c>
    </row>
    <row r="131" s="22" customFormat="1" ht="15" customHeight="1" spans="1:16">
      <c r="A131" s="29" t="s">
        <v>444</v>
      </c>
      <c r="B131" s="32" t="s">
        <v>445</v>
      </c>
      <c r="C131" s="29" t="s">
        <v>41</v>
      </c>
      <c r="D131" s="32" t="s">
        <v>476</v>
      </c>
      <c r="E131" s="29" t="s">
        <v>41</v>
      </c>
      <c r="F131" s="29" t="s">
        <v>443</v>
      </c>
      <c r="G131" s="29" t="s">
        <v>447</v>
      </c>
      <c r="H131" s="77">
        <v>10486.2</v>
      </c>
      <c r="I131" s="77">
        <v>0</v>
      </c>
      <c r="J131" s="77">
        <v>0</v>
      </c>
      <c r="K131" s="77">
        <v>0</v>
      </c>
      <c r="L131" s="77">
        <v>0</v>
      </c>
      <c r="M131" s="29" t="s">
        <v>447</v>
      </c>
      <c r="N131" s="77">
        <v>10486.2</v>
      </c>
      <c r="O131" s="22">
        <f t="shared" si="1"/>
        <v>10486.2</v>
      </c>
      <c r="P131" s="22" t="e">
        <f>_xlfn.XLOOKUP(D131,'4月份计划'!A:A,'4月份计划'!A:A)</f>
        <v>#N/A</v>
      </c>
    </row>
    <row r="132" s="22" customFormat="1" ht="15" customHeight="1" spans="1:16">
      <c r="A132" s="25" t="s">
        <v>444</v>
      </c>
      <c r="B132" s="28" t="s">
        <v>445</v>
      </c>
      <c r="C132" s="25" t="s">
        <v>41</v>
      </c>
      <c r="D132" s="28" t="s">
        <v>477</v>
      </c>
      <c r="E132" s="25" t="s">
        <v>41</v>
      </c>
      <c r="F132" s="25" t="s">
        <v>443</v>
      </c>
      <c r="G132" s="25" t="s">
        <v>447</v>
      </c>
      <c r="H132" s="76">
        <v>3730</v>
      </c>
      <c r="I132" s="76">
        <v>0</v>
      </c>
      <c r="J132" s="76">
        <v>0</v>
      </c>
      <c r="K132" s="76">
        <v>0</v>
      </c>
      <c r="L132" s="76">
        <v>0</v>
      </c>
      <c r="M132" s="25" t="s">
        <v>447</v>
      </c>
      <c r="N132" s="76">
        <v>3730</v>
      </c>
      <c r="O132" s="22">
        <f t="shared" ref="O132:O195" si="2">IF(M132="贷",N132,-N132)</f>
        <v>3730</v>
      </c>
      <c r="P132" s="22" t="e">
        <f>_xlfn.XLOOKUP(D132,'4月份计划'!A:A,'4月份计划'!A:A)</f>
        <v>#N/A</v>
      </c>
    </row>
    <row r="133" s="22" customFormat="1" ht="15" customHeight="1" spans="1:16">
      <c r="A133" s="29" t="s">
        <v>444</v>
      </c>
      <c r="B133" s="32" t="s">
        <v>445</v>
      </c>
      <c r="C133" s="29" t="s">
        <v>41</v>
      </c>
      <c r="D133" s="32" t="s">
        <v>556</v>
      </c>
      <c r="E133" s="29" t="s">
        <v>41</v>
      </c>
      <c r="F133" s="29" t="s">
        <v>443</v>
      </c>
      <c r="G133" s="29" t="s">
        <v>489</v>
      </c>
      <c r="H133" s="77">
        <v>0</v>
      </c>
      <c r="I133" s="77">
        <v>0</v>
      </c>
      <c r="J133" s="77">
        <v>0</v>
      </c>
      <c r="K133" s="77">
        <v>0</v>
      </c>
      <c r="L133" s="77">
        <v>0</v>
      </c>
      <c r="M133" s="29" t="s">
        <v>489</v>
      </c>
      <c r="N133" s="77">
        <v>0</v>
      </c>
      <c r="O133" s="22">
        <f t="shared" si="2"/>
        <v>0</v>
      </c>
      <c r="P133" s="22" t="e">
        <f>_xlfn.XLOOKUP(D133,'4月份计划'!A:A,'4月份计划'!A:A)</f>
        <v>#N/A</v>
      </c>
    </row>
    <row r="134" s="22" customFormat="1" ht="15" customHeight="1" spans="1:16">
      <c r="A134" s="25" t="s">
        <v>444</v>
      </c>
      <c r="B134" s="28" t="s">
        <v>445</v>
      </c>
      <c r="C134" s="25" t="s">
        <v>41</v>
      </c>
      <c r="D134" s="28" t="s">
        <v>264</v>
      </c>
      <c r="E134" s="25" t="s">
        <v>41</v>
      </c>
      <c r="F134" s="25" t="s">
        <v>443</v>
      </c>
      <c r="G134" s="25" t="s">
        <v>447</v>
      </c>
      <c r="H134" s="76">
        <v>2148341.96</v>
      </c>
      <c r="I134" s="76">
        <v>500000</v>
      </c>
      <c r="J134" s="76">
        <v>473708.12</v>
      </c>
      <c r="K134" s="76">
        <v>3200000</v>
      </c>
      <c r="L134" s="76">
        <v>2307987.58</v>
      </c>
      <c r="M134" s="25" t="s">
        <v>447</v>
      </c>
      <c r="N134" s="76">
        <v>2122050.08</v>
      </c>
      <c r="O134" s="22">
        <f t="shared" si="2"/>
        <v>2122050.08</v>
      </c>
      <c r="P134" s="22" t="str">
        <f>_xlfn.XLOOKUP(D134,'4月份计划'!A:A,'4月份计划'!A:A)</f>
        <v>湘潭湘和汽车零部件制造有限公</v>
      </c>
    </row>
    <row r="135" s="22" customFormat="1" ht="15" customHeight="1" spans="1:16">
      <c r="A135" s="29" t="s">
        <v>444</v>
      </c>
      <c r="B135" s="32" t="s">
        <v>445</v>
      </c>
      <c r="C135" s="29" t="s">
        <v>41</v>
      </c>
      <c r="D135" s="32" t="s">
        <v>265</v>
      </c>
      <c r="E135" s="29" t="s">
        <v>41</v>
      </c>
      <c r="F135" s="29" t="s">
        <v>443</v>
      </c>
      <c r="G135" s="29" t="s">
        <v>447</v>
      </c>
      <c r="H135" s="77">
        <v>3560702.04</v>
      </c>
      <c r="I135" s="77">
        <v>1700000</v>
      </c>
      <c r="J135" s="77">
        <v>1104886.22</v>
      </c>
      <c r="K135" s="77">
        <v>5288929.29</v>
      </c>
      <c r="L135" s="77">
        <v>4665588.26</v>
      </c>
      <c r="M135" s="29" t="s">
        <v>447</v>
      </c>
      <c r="N135" s="77">
        <v>2965588.26</v>
      </c>
      <c r="O135" s="22">
        <f t="shared" si="2"/>
        <v>2965588.26</v>
      </c>
      <c r="P135" s="22" t="str">
        <f>_xlfn.XLOOKUP(D135,'4月份计划'!A:A,'4月份计划'!A:A)</f>
        <v>湖南中道机械设备有限公司</v>
      </c>
    </row>
    <row r="136" s="22" customFormat="1" ht="15" customHeight="1" spans="1:16">
      <c r="A136" s="25" t="s">
        <v>444</v>
      </c>
      <c r="B136" s="28" t="s">
        <v>445</v>
      </c>
      <c r="C136" s="25" t="s">
        <v>41</v>
      </c>
      <c r="D136" s="28" t="s">
        <v>557</v>
      </c>
      <c r="E136" s="25" t="s">
        <v>41</v>
      </c>
      <c r="F136" s="25" t="s">
        <v>443</v>
      </c>
      <c r="G136" s="25" t="s">
        <v>489</v>
      </c>
      <c r="H136" s="76">
        <v>0</v>
      </c>
      <c r="I136" s="76">
        <v>0</v>
      </c>
      <c r="J136" s="76">
        <v>0</v>
      </c>
      <c r="K136" s="76">
        <v>0</v>
      </c>
      <c r="L136" s="76">
        <v>0</v>
      </c>
      <c r="M136" s="25" t="s">
        <v>489</v>
      </c>
      <c r="N136" s="76">
        <v>0</v>
      </c>
      <c r="O136" s="22">
        <f t="shared" si="2"/>
        <v>0</v>
      </c>
      <c r="P136" s="22" t="e">
        <f>_xlfn.XLOOKUP(D136,'4月份计划'!A:A,'4月份计划'!A:A)</f>
        <v>#N/A</v>
      </c>
    </row>
    <row r="137" s="22" customFormat="1" ht="15" customHeight="1" spans="1:16">
      <c r="A137" s="29" t="s">
        <v>444</v>
      </c>
      <c r="B137" s="32" t="s">
        <v>445</v>
      </c>
      <c r="C137" s="29" t="s">
        <v>41</v>
      </c>
      <c r="D137" s="32" t="s">
        <v>558</v>
      </c>
      <c r="E137" s="29" t="s">
        <v>41</v>
      </c>
      <c r="F137" s="29" t="s">
        <v>443</v>
      </c>
      <c r="G137" s="29" t="s">
        <v>489</v>
      </c>
      <c r="H137" s="77">
        <v>0</v>
      </c>
      <c r="I137" s="77">
        <v>0</v>
      </c>
      <c r="J137" s="77">
        <v>0</v>
      </c>
      <c r="K137" s="77">
        <v>0</v>
      </c>
      <c r="L137" s="77">
        <v>0</v>
      </c>
      <c r="M137" s="29" t="s">
        <v>489</v>
      </c>
      <c r="N137" s="77">
        <v>0</v>
      </c>
      <c r="O137" s="22">
        <f t="shared" si="2"/>
        <v>0</v>
      </c>
      <c r="P137" s="22" t="e">
        <f>_xlfn.XLOOKUP(D137,'4月份计划'!A:A,'4月份计划'!A:A)</f>
        <v>#N/A</v>
      </c>
    </row>
    <row r="138" s="22" customFormat="1" ht="15" customHeight="1" spans="1:16">
      <c r="A138" s="25" t="s">
        <v>444</v>
      </c>
      <c r="B138" s="28" t="s">
        <v>445</v>
      </c>
      <c r="C138" s="25" t="s">
        <v>41</v>
      </c>
      <c r="D138" s="28" t="s">
        <v>267</v>
      </c>
      <c r="E138" s="25" t="s">
        <v>41</v>
      </c>
      <c r="F138" s="25" t="s">
        <v>443</v>
      </c>
      <c r="G138" s="25" t="s">
        <v>447</v>
      </c>
      <c r="H138" s="76">
        <v>25441.28</v>
      </c>
      <c r="I138" s="76">
        <v>12540.63</v>
      </c>
      <c r="J138" s="76">
        <v>6960.35</v>
      </c>
      <c r="K138" s="76">
        <v>54163.73</v>
      </c>
      <c r="L138" s="76">
        <v>32401.63</v>
      </c>
      <c r="M138" s="25" t="s">
        <v>447</v>
      </c>
      <c r="N138" s="76">
        <v>19861</v>
      </c>
      <c r="O138" s="22">
        <f t="shared" si="2"/>
        <v>19861</v>
      </c>
      <c r="P138" s="22" t="str">
        <f>_xlfn.XLOOKUP(D138,'4月份计划'!A:A,'4月份计划'!A:A)</f>
        <v>湘潭市忠强气体有限公司</v>
      </c>
    </row>
    <row r="139" s="22" customFormat="1" ht="15" customHeight="1" spans="1:16">
      <c r="A139" s="29" t="s">
        <v>444</v>
      </c>
      <c r="B139" s="32" t="s">
        <v>445</v>
      </c>
      <c r="C139" s="29" t="s">
        <v>41</v>
      </c>
      <c r="D139" s="32" t="s">
        <v>268</v>
      </c>
      <c r="E139" s="29" t="s">
        <v>41</v>
      </c>
      <c r="F139" s="29" t="s">
        <v>443</v>
      </c>
      <c r="G139" s="29" t="s">
        <v>447</v>
      </c>
      <c r="H139" s="77">
        <v>25062.5</v>
      </c>
      <c r="I139" s="77">
        <v>0</v>
      </c>
      <c r="J139" s="77">
        <v>0</v>
      </c>
      <c r="K139" s="77">
        <v>32987.81</v>
      </c>
      <c r="L139" s="77">
        <v>25062.5</v>
      </c>
      <c r="M139" s="29" t="s">
        <v>447</v>
      </c>
      <c r="N139" s="77">
        <v>25062.5</v>
      </c>
      <c r="O139" s="22">
        <f t="shared" si="2"/>
        <v>25062.5</v>
      </c>
      <c r="P139" s="22" t="str">
        <f>_xlfn.XLOOKUP(D139,'4月份计划'!A:A,'4月份计划'!A:A)</f>
        <v>湖南驷马机械有限公司</v>
      </c>
    </row>
    <row r="140" s="22" customFormat="1" ht="15" customHeight="1" spans="1:16">
      <c r="A140" s="25" t="s">
        <v>444</v>
      </c>
      <c r="B140" s="28" t="s">
        <v>445</v>
      </c>
      <c r="C140" s="25" t="s">
        <v>41</v>
      </c>
      <c r="D140" s="28" t="s">
        <v>478</v>
      </c>
      <c r="E140" s="25" t="s">
        <v>41</v>
      </c>
      <c r="F140" s="25" t="s">
        <v>443</v>
      </c>
      <c r="G140" s="25" t="s">
        <v>447</v>
      </c>
      <c r="H140" s="76">
        <v>3629.95</v>
      </c>
      <c r="I140" s="76">
        <v>0</v>
      </c>
      <c r="J140" s="76">
        <v>0</v>
      </c>
      <c r="K140" s="76">
        <v>0</v>
      </c>
      <c r="L140" s="76">
        <v>0</v>
      </c>
      <c r="M140" s="25" t="s">
        <v>447</v>
      </c>
      <c r="N140" s="76">
        <v>3629.95</v>
      </c>
      <c r="O140" s="22">
        <f t="shared" si="2"/>
        <v>3629.95</v>
      </c>
      <c r="P140" s="22" t="e">
        <f>_xlfn.XLOOKUP(D140,'4月份计划'!A:A,'4月份计划'!A:A)</f>
        <v>#N/A</v>
      </c>
    </row>
    <row r="141" s="22" customFormat="1" ht="15" customHeight="1" spans="1:16">
      <c r="A141" s="29" t="s">
        <v>444</v>
      </c>
      <c r="B141" s="32" t="s">
        <v>445</v>
      </c>
      <c r="C141" s="29" t="s">
        <v>41</v>
      </c>
      <c r="D141" s="32" t="s">
        <v>559</v>
      </c>
      <c r="E141" s="29" t="s">
        <v>41</v>
      </c>
      <c r="F141" s="29" t="s">
        <v>443</v>
      </c>
      <c r="G141" s="29" t="s">
        <v>489</v>
      </c>
      <c r="H141" s="77">
        <v>0</v>
      </c>
      <c r="I141" s="77">
        <v>0</v>
      </c>
      <c r="J141" s="77">
        <v>0</v>
      </c>
      <c r="K141" s="77">
        <v>0</v>
      </c>
      <c r="L141" s="77">
        <v>0</v>
      </c>
      <c r="M141" s="29" t="s">
        <v>489</v>
      </c>
      <c r="N141" s="77">
        <v>0</v>
      </c>
      <c r="O141" s="22">
        <f t="shared" si="2"/>
        <v>0</v>
      </c>
      <c r="P141" s="22" t="e">
        <f>_xlfn.XLOOKUP(D141,'4月份计划'!A:A,'4月份计划'!A:A)</f>
        <v>#N/A</v>
      </c>
    </row>
    <row r="142" s="22" customFormat="1" ht="15" customHeight="1" spans="1:16">
      <c r="A142" s="25" t="s">
        <v>444</v>
      </c>
      <c r="B142" s="28" t="s">
        <v>445</v>
      </c>
      <c r="C142" s="25" t="s">
        <v>41</v>
      </c>
      <c r="D142" s="28" t="s">
        <v>479</v>
      </c>
      <c r="E142" s="25" t="s">
        <v>41</v>
      </c>
      <c r="F142" s="25" t="s">
        <v>443</v>
      </c>
      <c r="G142" s="25" t="s">
        <v>447</v>
      </c>
      <c r="H142" s="76">
        <v>949</v>
      </c>
      <c r="I142" s="76">
        <v>0</v>
      </c>
      <c r="J142" s="76">
        <v>0</v>
      </c>
      <c r="K142" s="76">
        <v>0</v>
      </c>
      <c r="L142" s="76">
        <v>0</v>
      </c>
      <c r="M142" s="25" t="s">
        <v>447</v>
      </c>
      <c r="N142" s="76">
        <v>949</v>
      </c>
      <c r="O142" s="22">
        <f t="shared" si="2"/>
        <v>949</v>
      </c>
      <c r="P142" s="22" t="e">
        <f>_xlfn.XLOOKUP(D142,'4月份计划'!A:A,'4月份计划'!A:A)</f>
        <v>#N/A</v>
      </c>
    </row>
    <row r="143" s="22" customFormat="1" ht="15" customHeight="1" spans="1:16">
      <c r="A143" s="29" t="s">
        <v>444</v>
      </c>
      <c r="B143" s="32" t="s">
        <v>445</v>
      </c>
      <c r="C143" s="29" t="s">
        <v>41</v>
      </c>
      <c r="D143" s="32" t="s">
        <v>560</v>
      </c>
      <c r="E143" s="29" t="s">
        <v>41</v>
      </c>
      <c r="F143" s="29" t="s">
        <v>443</v>
      </c>
      <c r="G143" s="29" t="s">
        <v>489</v>
      </c>
      <c r="H143" s="77">
        <v>0</v>
      </c>
      <c r="I143" s="77">
        <v>0</v>
      </c>
      <c r="J143" s="77">
        <v>0</v>
      </c>
      <c r="K143" s="77">
        <v>0</v>
      </c>
      <c r="L143" s="77">
        <v>0</v>
      </c>
      <c r="M143" s="29" t="s">
        <v>489</v>
      </c>
      <c r="N143" s="77">
        <v>0</v>
      </c>
      <c r="O143" s="22">
        <f t="shared" si="2"/>
        <v>0</v>
      </c>
      <c r="P143" s="22" t="e">
        <f>_xlfn.XLOOKUP(D143,'4月份计划'!A:A,'4月份计划'!A:A)</f>
        <v>#N/A</v>
      </c>
    </row>
    <row r="144" s="22" customFormat="1" ht="15" customHeight="1" spans="1:16">
      <c r="A144" s="25" t="s">
        <v>444</v>
      </c>
      <c r="B144" s="28" t="s">
        <v>445</v>
      </c>
      <c r="C144" s="25" t="s">
        <v>41</v>
      </c>
      <c r="D144" s="28" t="s">
        <v>561</v>
      </c>
      <c r="E144" s="25" t="s">
        <v>41</v>
      </c>
      <c r="F144" s="25" t="s">
        <v>443</v>
      </c>
      <c r="G144" s="25" t="s">
        <v>489</v>
      </c>
      <c r="H144" s="76">
        <v>0</v>
      </c>
      <c r="I144" s="76">
        <v>0</v>
      </c>
      <c r="J144" s="76">
        <v>0</v>
      </c>
      <c r="K144" s="76">
        <v>0</v>
      </c>
      <c r="L144" s="76">
        <v>0</v>
      </c>
      <c r="M144" s="25" t="s">
        <v>489</v>
      </c>
      <c r="N144" s="76">
        <v>0</v>
      </c>
      <c r="O144" s="22">
        <f t="shared" si="2"/>
        <v>0</v>
      </c>
      <c r="P144" s="22" t="e">
        <f>_xlfn.XLOOKUP(D144,'4月份计划'!A:A,'4月份计划'!A:A)</f>
        <v>#N/A</v>
      </c>
    </row>
    <row r="145" s="22" customFormat="1" ht="15" customHeight="1" spans="1:16">
      <c r="A145" s="29" t="s">
        <v>444</v>
      </c>
      <c r="B145" s="32" t="s">
        <v>445</v>
      </c>
      <c r="C145" s="29" t="s">
        <v>41</v>
      </c>
      <c r="D145" s="32" t="s">
        <v>480</v>
      </c>
      <c r="E145" s="29" t="s">
        <v>41</v>
      </c>
      <c r="F145" s="29" t="s">
        <v>443</v>
      </c>
      <c r="G145" s="29" t="s">
        <v>447</v>
      </c>
      <c r="H145" s="77">
        <v>497.5</v>
      </c>
      <c r="I145" s="77">
        <v>0</v>
      </c>
      <c r="J145" s="77">
        <v>0</v>
      </c>
      <c r="K145" s="77">
        <v>0</v>
      </c>
      <c r="L145" s="77">
        <v>0</v>
      </c>
      <c r="M145" s="29" t="s">
        <v>447</v>
      </c>
      <c r="N145" s="77">
        <v>497.5</v>
      </c>
      <c r="O145" s="22">
        <f t="shared" si="2"/>
        <v>497.5</v>
      </c>
      <c r="P145" s="22" t="e">
        <f>_xlfn.XLOOKUP(D145,'4月份计划'!A:A,'4月份计划'!A:A)</f>
        <v>#N/A</v>
      </c>
    </row>
    <row r="146" s="22" customFormat="1" ht="15" customHeight="1" spans="1:16">
      <c r="A146" s="25" t="s">
        <v>444</v>
      </c>
      <c r="B146" s="28" t="s">
        <v>445</v>
      </c>
      <c r="C146" s="25" t="s">
        <v>41</v>
      </c>
      <c r="D146" s="28" t="s">
        <v>406</v>
      </c>
      <c r="E146" s="25" t="s">
        <v>41</v>
      </c>
      <c r="F146" s="25" t="s">
        <v>443</v>
      </c>
      <c r="G146" s="25" t="s">
        <v>447</v>
      </c>
      <c r="H146" s="76">
        <v>2621.52</v>
      </c>
      <c r="I146" s="76">
        <v>0</v>
      </c>
      <c r="J146" s="76">
        <v>0</v>
      </c>
      <c r="K146" s="76">
        <v>0</v>
      </c>
      <c r="L146" s="76">
        <v>0</v>
      </c>
      <c r="M146" s="25" t="s">
        <v>447</v>
      </c>
      <c r="N146" s="76">
        <v>2621.52</v>
      </c>
      <c r="O146" s="22">
        <f t="shared" si="2"/>
        <v>2621.52</v>
      </c>
      <c r="P146" s="22" t="e">
        <f>_xlfn.XLOOKUP(D146,'4月份计划'!A:A,'4月份计划'!A:A)</f>
        <v>#N/A</v>
      </c>
    </row>
    <row r="147" s="22" customFormat="1" ht="15" customHeight="1" spans="1:16">
      <c r="A147" s="29" t="s">
        <v>444</v>
      </c>
      <c r="B147" s="32" t="s">
        <v>445</v>
      </c>
      <c r="C147" s="29" t="s">
        <v>41</v>
      </c>
      <c r="D147" s="32" t="s">
        <v>407</v>
      </c>
      <c r="E147" s="29" t="s">
        <v>41</v>
      </c>
      <c r="F147" s="29" t="s">
        <v>443</v>
      </c>
      <c r="G147" s="29" t="s">
        <v>447</v>
      </c>
      <c r="H147" s="77">
        <v>54943.1</v>
      </c>
      <c r="I147" s="77">
        <v>0</v>
      </c>
      <c r="J147" s="77">
        <v>0</v>
      </c>
      <c r="K147" s="77">
        <v>0</v>
      </c>
      <c r="L147" s="77">
        <v>0</v>
      </c>
      <c r="M147" s="29" t="s">
        <v>447</v>
      </c>
      <c r="N147" s="77">
        <v>54943.1</v>
      </c>
      <c r="O147" s="22">
        <f t="shared" si="2"/>
        <v>54943.1</v>
      </c>
      <c r="P147" s="22" t="e">
        <f>_xlfn.XLOOKUP(D147,'4月份计划'!A:A,'4月份计划'!A:A)</f>
        <v>#N/A</v>
      </c>
    </row>
    <row r="148" s="22" customFormat="1" ht="15" customHeight="1" spans="1:16">
      <c r="A148" s="25" t="s">
        <v>444</v>
      </c>
      <c r="B148" s="28" t="s">
        <v>445</v>
      </c>
      <c r="C148" s="25" t="s">
        <v>41</v>
      </c>
      <c r="D148" s="28" t="s">
        <v>562</v>
      </c>
      <c r="E148" s="25" t="s">
        <v>41</v>
      </c>
      <c r="F148" s="25" t="s">
        <v>443</v>
      </c>
      <c r="G148" s="25" t="s">
        <v>489</v>
      </c>
      <c r="H148" s="76">
        <v>0</v>
      </c>
      <c r="I148" s="76">
        <v>0</v>
      </c>
      <c r="J148" s="76">
        <v>0</v>
      </c>
      <c r="K148" s="76">
        <v>0</v>
      </c>
      <c r="L148" s="76">
        <v>0</v>
      </c>
      <c r="M148" s="25" t="s">
        <v>489</v>
      </c>
      <c r="N148" s="76">
        <v>0</v>
      </c>
      <c r="O148" s="22">
        <f t="shared" si="2"/>
        <v>0</v>
      </c>
      <c r="P148" s="22" t="e">
        <f>_xlfn.XLOOKUP(D148,'4月份计划'!A:A,'4月份计划'!A:A)</f>
        <v>#N/A</v>
      </c>
    </row>
    <row r="149" s="22" customFormat="1" ht="15" customHeight="1" spans="1:16">
      <c r="A149" s="29" t="s">
        <v>444</v>
      </c>
      <c r="B149" s="32" t="s">
        <v>445</v>
      </c>
      <c r="C149" s="29" t="s">
        <v>41</v>
      </c>
      <c r="D149" s="32" t="s">
        <v>563</v>
      </c>
      <c r="E149" s="29" t="s">
        <v>41</v>
      </c>
      <c r="F149" s="29" t="s">
        <v>443</v>
      </c>
      <c r="G149" s="29" t="s">
        <v>489</v>
      </c>
      <c r="H149" s="77">
        <v>0</v>
      </c>
      <c r="I149" s="77">
        <v>0</v>
      </c>
      <c r="J149" s="77">
        <v>0</v>
      </c>
      <c r="K149" s="77">
        <v>0</v>
      </c>
      <c r="L149" s="77">
        <v>0</v>
      </c>
      <c r="M149" s="29" t="s">
        <v>489</v>
      </c>
      <c r="N149" s="77">
        <v>0</v>
      </c>
      <c r="O149" s="22">
        <f t="shared" si="2"/>
        <v>0</v>
      </c>
      <c r="P149" s="22" t="e">
        <f>_xlfn.XLOOKUP(D149,'4月份计划'!A:A,'4月份计划'!A:A)</f>
        <v>#N/A</v>
      </c>
    </row>
    <row r="150" s="22" customFormat="1" ht="15" customHeight="1" spans="1:16">
      <c r="A150" s="25" t="s">
        <v>444</v>
      </c>
      <c r="B150" s="28" t="s">
        <v>445</v>
      </c>
      <c r="C150" s="25" t="s">
        <v>41</v>
      </c>
      <c r="D150" s="28" t="s">
        <v>481</v>
      </c>
      <c r="E150" s="25" t="s">
        <v>41</v>
      </c>
      <c r="F150" s="25" t="s">
        <v>443</v>
      </c>
      <c r="G150" s="25" t="s">
        <v>447</v>
      </c>
      <c r="H150" s="76">
        <v>760</v>
      </c>
      <c r="I150" s="76">
        <v>0</v>
      </c>
      <c r="J150" s="76">
        <v>0</v>
      </c>
      <c r="K150" s="76">
        <v>0</v>
      </c>
      <c r="L150" s="76">
        <v>0</v>
      </c>
      <c r="M150" s="25" t="s">
        <v>447</v>
      </c>
      <c r="N150" s="76">
        <v>760</v>
      </c>
      <c r="O150" s="22">
        <f t="shared" si="2"/>
        <v>760</v>
      </c>
      <c r="P150" s="22" t="e">
        <f>_xlfn.XLOOKUP(D150,'4月份计划'!A:A,'4月份计划'!A:A)</f>
        <v>#N/A</v>
      </c>
    </row>
    <row r="151" s="22" customFormat="1" ht="15" customHeight="1" spans="1:16">
      <c r="A151" s="29" t="s">
        <v>444</v>
      </c>
      <c r="B151" s="32" t="s">
        <v>445</v>
      </c>
      <c r="C151" s="29" t="s">
        <v>41</v>
      </c>
      <c r="D151" s="32" t="s">
        <v>564</v>
      </c>
      <c r="E151" s="29" t="s">
        <v>41</v>
      </c>
      <c r="F151" s="29" t="s">
        <v>443</v>
      </c>
      <c r="G151" s="29" t="s">
        <v>489</v>
      </c>
      <c r="H151" s="77">
        <v>0</v>
      </c>
      <c r="I151" s="77">
        <v>0</v>
      </c>
      <c r="J151" s="77">
        <v>0</v>
      </c>
      <c r="K151" s="77">
        <v>0</v>
      </c>
      <c r="L151" s="77">
        <v>0</v>
      </c>
      <c r="M151" s="29" t="s">
        <v>489</v>
      </c>
      <c r="N151" s="77">
        <v>0</v>
      </c>
      <c r="O151" s="22">
        <f t="shared" si="2"/>
        <v>0</v>
      </c>
      <c r="P151" s="22" t="e">
        <f>_xlfn.XLOOKUP(D151,'4月份计划'!A:A,'4月份计划'!A:A)</f>
        <v>#N/A</v>
      </c>
    </row>
    <row r="152" s="22" customFormat="1" ht="15" customHeight="1" spans="1:16">
      <c r="A152" s="25" t="s">
        <v>444</v>
      </c>
      <c r="B152" s="28" t="s">
        <v>445</v>
      </c>
      <c r="C152" s="25" t="s">
        <v>41</v>
      </c>
      <c r="D152" s="28" t="s">
        <v>300</v>
      </c>
      <c r="E152" s="25" t="s">
        <v>41</v>
      </c>
      <c r="F152" s="25" t="s">
        <v>443</v>
      </c>
      <c r="G152" s="25" t="s">
        <v>447</v>
      </c>
      <c r="H152" s="76">
        <v>452546.91</v>
      </c>
      <c r="I152" s="76">
        <v>147549.22</v>
      </c>
      <c r="J152" s="76">
        <v>94614.9</v>
      </c>
      <c r="K152" s="76">
        <v>527928.21</v>
      </c>
      <c r="L152" s="76">
        <v>399612.59</v>
      </c>
      <c r="M152" s="25" t="s">
        <v>447</v>
      </c>
      <c r="N152" s="76">
        <v>399612.59</v>
      </c>
      <c r="O152" s="22">
        <f t="shared" si="2"/>
        <v>399612.59</v>
      </c>
      <c r="P152" s="22" t="str">
        <f>_xlfn.XLOOKUP(D152,'4月份计划'!A:A,'4月份计划'!A:A)</f>
        <v>广州市信征汽车零件有限公司</v>
      </c>
    </row>
    <row r="153" s="22" customFormat="1" ht="15" customHeight="1" spans="1:16">
      <c r="A153" s="29" t="s">
        <v>444</v>
      </c>
      <c r="B153" s="32" t="s">
        <v>445</v>
      </c>
      <c r="C153" s="29" t="s">
        <v>41</v>
      </c>
      <c r="D153" s="32" t="s">
        <v>482</v>
      </c>
      <c r="E153" s="29" t="s">
        <v>41</v>
      </c>
      <c r="F153" s="29" t="s">
        <v>443</v>
      </c>
      <c r="G153" s="29" t="s">
        <v>447</v>
      </c>
      <c r="H153" s="77">
        <v>15050.16</v>
      </c>
      <c r="I153" s="77">
        <v>0</v>
      </c>
      <c r="J153" s="77">
        <v>0</v>
      </c>
      <c r="K153" s="77">
        <v>0</v>
      </c>
      <c r="L153" s="77">
        <v>0</v>
      </c>
      <c r="M153" s="29" t="s">
        <v>447</v>
      </c>
      <c r="N153" s="77">
        <v>15050.16</v>
      </c>
      <c r="O153" s="22">
        <f t="shared" si="2"/>
        <v>15050.16</v>
      </c>
      <c r="P153" s="22" t="e">
        <f>_xlfn.XLOOKUP(D153,'4月份计划'!A:A,'4月份计划'!A:A)</f>
        <v>#N/A</v>
      </c>
    </row>
    <row r="154" s="22" customFormat="1" ht="15" customHeight="1" spans="1:16">
      <c r="A154" s="25" t="s">
        <v>444</v>
      </c>
      <c r="B154" s="28" t="s">
        <v>445</v>
      </c>
      <c r="C154" s="25" t="s">
        <v>41</v>
      </c>
      <c r="D154" s="28" t="s">
        <v>565</v>
      </c>
      <c r="E154" s="25" t="s">
        <v>41</v>
      </c>
      <c r="F154" s="25" t="s">
        <v>443</v>
      </c>
      <c r="G154" s="25" t="s">
        <v>489</v>
      </c>
      <c r="H154" s="76">
        <v>0</v>
      </c>
      <c r="I154" s="76">
        <v>0</v>
      </c>
      <c r="J154" s="76">
        <v>0</v>
      </c>
      <c r="K154" s="76">
        <v>0</v>
      </c>
      <c r="L154" s="76">
        <v>0</v>
      </c>
      <c r="M154" s="25" t="s">
        <v>489</v>
      </c>
      <c r="N154" s="76">
        <v>0</v>
      </c>
      <c r="O154" s="22">
        <f t="shared" si="2"/>
        <v>0</v>
      </c>
      <c r="P154" s="22" t="e">
        <f>_xlfn.XLOOKUP(D154,'4月份计划'!A:A,'4月份计划'!A:A)</f>
        <v>#N/A</v>
      </c>
    </row>
    <row r="155" s="22" customFormat="1" ht="15" customHeight="1" spans="1:16">
      <c r="A155" s="29" t="s">
        <v>444</v>
      </c>
      <c r="B155" s="32" t="s">
        <v>445</v>
      </c>
      <c r="C155" s="29" t="s">
        <v>41</v>
      </c>
      <c r="D155" s="32" t="s">
        <v>566</v>
      </c>
      <c r="E155" s="29" t="s">
        <v>41</v>
      </c>
      <c r="F155" s="29" t="s">
        <v>443</v>
      </c>
      <c r="G155" s="29" t="s">
        <v>489</v>
      </c>
      <c r="H155" s="77">
        <v>0</v>
      </c>
      <c r="I155" s="77">
        <v>0</v>
      </c>
      <c r="J155" s="77">
        <v>0</v>
      </c>
      <c r="K155" s="77">
        <v>0</v>
      </c>
      <c r="L155" s="77">
        <v>0</v>
      </c>
      <c r="M155" s="29" t="s">
        <v>489</v>
      </c>
      <c r="N155" s="77">
        <v>0</v>
      </c>
      <c r="O155" s="22">
        <f t="shared" si="2"/>
        <v>0</v>
      </c>
      <c r="P155" s="22" t="e">
        <f>_xlfn.XLOOKUP(D155,'4月份计划'!A:A,'4月份计划'!A:A)</f>
        <v>#N/A</v>
      </c>
    </row>
    <row r="156" s="22" customFormat="1" ht="15" customHeight="1" spans="1:16">
      <c r="A156" s="25" t="s">
        <v>444</v>
      </c>
      <c r="B156" s="28" t="s">
        <v>445</v>
      </c>
      <c r="C156" s="25" t="s">
        <v>41</v>
      </c>
      <c r="D156" s="28" t="s">
        <v>567</v>
      </c>
      <c r="E156" s="25" t="s">
        <v>41</v>
      </c>
      <c r="F156" s="25" t="s">
        <v>443</v>
      </c>
      <c r="G156" s="25" t="s">
        <v>489</v>
      </c>
      <c r="H156" s="76">
        <v>0</v>
      </c>
      <c r="I156" s="76">
        <v>0</v>
      </c>
      <c r="J156" s="76">
        <v>0</v>
      </c>
      <c r="K156" s="76">
        <v>0</v>
      </c>
      <c r="L156" s="76">
        <v>0</v>
      </c>
      <c r="M156" s="25" t="s">
        <v>489</v>
      </c>
      <c r="N156" s="76">
        <v>0</v>
      </c>
      <c r="O156" s="22">
        <f t="shared" si="2"/>
        <v>0</v>
      </c>
      <c r="P156" s="22" t="e">
        <f>_xlfn.XLOOKUP(D156,'4月份计划'!A:A,'4月份计划'!A:A)</f>
        <v>#N/A</v>
      </c>
    </row>
    <row r="157" s="22" customFormat="1" ht="15" customHeight="1" spans="1:16">
      <c r="A157" s="29" t="s">
        <v>444</v>
      </c>
      <c r="B157" s="32" t="s">
        <v>445</v>
      </c>
      <c r="C157" s="29" t="s">
        <v>41</v>
      </c>
      <c r="D157" s="32" t="s">
        <v>568</v>
      </c>
      <c r="E157" s="29" t="s">
        <v>41</v>
      </c>
      <c r="F157" s="29" t="s">
        <v>484</v>
      </c>
      <c r="G157" s="29" t="s">
        <v>489</v>
      </c>
      <c r="H157" s="77">
        <v>0</v>
      </c>
      <c r="I157" s="77">
        <v>0</v>
      </c>
      <c r="J157" s="77">
        <v>0</v>
      </c>
      <c r="K157" s="77">
        <v>0</v>
      </c>
      <c r="L157" s="77">
        <v>0</v>
      </c>
      <c r="M157" s="29" t="s">
        <v>489</v>
      </c>
      <c r="N157" s="77">
        <v>0</v>
      </c>
      <c r="O157" s="22">
        <f t="shared" si="2"/>
        <v>0</v>
      </c>
      <c r="P157" s="22" t="e">
        <f>_xlfn.XLOOKUP(D157,'4月份计划'!A:A,'4月份计划'!A:A)</f>
        <v>#N/A</v>
      </c>
    </row>
    <row r="158" s="22" customFormat="1" ht="15" customHeight="1" spans="1:16">
      <c r="A158" s="25" t="s">
        <v>444</v>
      </c>
      <c r="B158" s="28" t="s">
        <v>445</v>
      </c>
      <c r="C158" s="25" t="s">
        <v>41</v>
      </c>
      <c r="D158" s="28" t="s">
        <v>483</v>
      </c>
      <c r="E158" s="25" t="s">
        <v>41</v>
      </c>
      <c r="F158" s="25" t="s">
        <v>484</v>
      </c>
      <c r="G158" s="25" t="s">
        <v>453</v>
      </c>
      <c r="H158" s="76">
        <v>566</v>
      </c>
      <c r="I158" s="76">
        <v>0</v>
      </c>
      <c r="J158" s="76">
        <v>0</v>
      </c>
      <c r="K158" s="76">
        <v>0</v>
      </c>
      <c r="L158" s="76">
        <v>0</v>
      </c>
      <c r="M158" s="25" t="s">
        <v>453</v>
      </c>
      <c r="N158" s="76">
        <v>566</v>
      </c>
      <c r="O158" s="22">
        <f t="shared" si="2"/>
        <v>-566</v>
      </c>
      <c r="P158" s="22" t="e">
        <f>_xlfn.XLOOKUP(D158,'4月份计划'!A:A,'4月份计划'!A:A)</f>
        <v>#N/A</v>
      </c>
    </row>
    <row r="159" s="22" customFormat="1" ht="15" customHeight="1" spans="1:16">
      <c r="A159" s="29" t="s">
        <v>444</v>
      </c>
      <c r="B159" s="32" t="s">
        <v>445</v>
      </c>
      <c r="C159" s="29" t="s">
        <v>41</v>
      </c>
      <c r="D159" s="32" t="s">
        <v>569</v>
      </c>
      <c r="E159" s="29" t="s">
        <v>41</v>
      </c>
      <c r="F159" s="29" t="s">
        <v>443</v>
      </c>
      <c r="G159" s="29" t="s">
        <v>489</v>
      </c>
      <c r="H159" s="77">
        <v>0</v>
      </c>
      <c r="I159" s="77">
        <v>0</v>
      </c>
      <c r="J159" s="77">
        <v>0</v>
      </c>
      <c r="K159" s="77">
        <v>0</v>
      </c>
      <c r="L159" s="77">
        <v>0</v>
      </c>
      <c r="M159" s="29" t="s">
        <v>489</v>
      </c>
      <c r="N159" s="77">
        <v>0</v>
      </c>
      <c r="O159" s="22">
        <f t="shared" si="2"/>
        <v>0</v>
      </c>
      <c r="P159" s="22" t="e">
        <f>_xlfn.XLOOKUP(D159,'4月份计划'!A:A,'4月份计划'!A:A)</f>
        <v>#N/A</v>
      </c>
    </row>
    <row r="160" s="22" customFormat="1" ht="15" customHeight="1" spans="1:16">
      <c r="A160" s="25" t="s">
        <v>444</v>
      </c>
      <c r="B160" s="28" t="s">
        <v>445</v>
      </c>
      <c r="C160" s="25" t="s">
        <v>41</v>
      </c>
      <c r="D160" s="28" t="s">
        <v>285</v>
      </c>
      <c r="E160" s="25" t="s">
        <v>41</v>
      </c>
      <c r="F160" s="25" t="s">
        <v>443</v>
      </c>
      <c r="G160" s="25" t="s">
        <v>447</v>
      </c>
      <c r="H160" s="76">
        <v>75967.64</v>
      </c>
      <c r="I160" s="76">
        <v>0</v>
      </c>
      <c r="J160" s="76">
        <v>70601.27</v>
      </c>
      <c r="K160" s="76">
        <v>55661.54</v>
      </c>
      <c r="L160" s="76">
        <v>146568.91</v>
      </c>
      <c r="M160" s="25" t="s">
        <v>447</v>
      </c>
      <c r="N160" s="76">
        <v>146568.91</v>
      </c>
      <c r="O160" s="22">
        <f t="shared" si="2"/>
        <v>146568.91</v>
      </c>
      <c r="P160" s="22" t="str">
        <f>_xlfn.XLOOKUP(D160,'4月份计划'!A:A,'4月份计划'!A:A)</f>
        <v>株洲铖亿轨道交通技术有限</v>
      </c>
    </row>
    <row r="161" s="22" customFormat="1" ht="15" customHeight="1" spans="1:16">
      <c r="A161" s="29" t="s">
        <v>444</v>
      </c>
      <c r="B161" s="32" t="s">
        <v>445</v>
      </c>
      <c r="C161" s="29" t="s">
        <v>41</v>
      </c>
      <c r="D161" s="32" t="s">
        <v>485</v>
      </c>
      <c r="E161" s="29" t="s">
        <v>41</v>
      </c>
      <c r="F161" s="29" t="s">
        <v>443</v>
      </c>
      <c r="G161" s="29" t="s">
        <v>447</v>
      </c>
      <c r="H161" s="77">
        <v>7961.51</v>
      </c>
      <c r="I161" s="77">
        <v>0</v>
      </c>
      <c r="J161" s="77">
        <v>0</v>
      </c>
      <c r="K161" s="77">
        <v>0</v>
      </c>
      <c r="L161" s="77">
        <v>0</v>
      </c>
      <c r="M161" s="29" t="s">
        <v>447</v>
      </c>
      <c r="N161" s="77">
        <v>7961.51</v>
      </c>
      <c r="O161" s="22">
        <f t="shared" si="2"/>
        <v>7961.51</v>
      </c>
      <c r="P161" s="22" t="e">
        <f>_xlfn.XLOOKUP(D161,'4月份计划'!A:A,'4月份计划'!A:A)</f>
        <v>#N/A</v>
      </c>
    </row>
    <row r="162" s="22" customFormat="1" ht="15" customHeight="1" spans="1:16">
      <c r="A162" s="25" t="s">
        <v>444</v>
      </c>
      <c r="B162" s="28" t="s">
        <v>445</v>
      </c>
      <c r="C162" s="25" t="s">
        <v>41</v>
      </c>
      <c r="D162" s="28" t="s">
        <v>570</v>
      </c>
      <c r="E162" s="25" t="s">
        <v>41</v>
      </c>
      <c r="F162" s="25" t="s">
        <v>443</v>
      </c>
      <c r="G162" s="25" t="s">
        <v>489</v>
      </c>
      <c r="H162" s="76">
        <v>0</v>
      </c>
      <c r="I162" s="76">
        <v>0</v>
      </c>
      <c r="J162" s="76">
        <v>0</v>
      </c>
      <c r="K162" s="76">
        <v>0</v>
      </c>
      <c r="L162" s="76">
        <v>0</v>
      </c>
      <c r="M162" s="25" t="s">
        <v>489</v>
      </c>
      <c r="N162" s="76">
        <v>0</v>
      </c>
      <c r="O162" s="22">
        <f t="shared" si="2"/>
        <v>0</v>
      </c>
      <c r="P162" s="22" t="e">
        <f>_xlfn.XLOOKUP(D162,'4月份计划'!A:A,'4月份计划'!A:A)</f>
        <v>#N/A</v>
      </c>
    </row>
    <row r="163" s="22" customFormat="1" ht="15" customHeight="1" spans="1:16">
      <c r="A163" s="29" t="s">
        <v>444</v>
      </c>
      <c r="B163" s="32" t="s">
        <v>445</v>
      </c>
      <c r="C163" s="29" t="s">
        <v>41</v>
      </c>
      <c r="D163" s="32" t="s">
        <v>301</v>
      </c>
      <c r="E163" s="29" t="s">
        <v>41</v>
      </c>
      <c r="F163" s="29" t="s">
        <v>443</v>
      </c>
      <c r="G163" s="29" t="s">
        <v>447</v>
      </c>
      <c r="H163" s="77">
        <v>3368.22</v>
      </c>
      <c r="I163" s="77">
        <v>0</v>
      </c>
      <c r="J163" s="77">
        <v>0</v>
      </c>
      <c r="K163" s="77">
        <v>0</v>
      </c>
      <c r="L163" s="77">
        <v>-89049.54</v>
      </c>
      <c r="M163" s="29" t="s">
        <v>447</v>
      </c>
      <c r="N163" s="77">
        <v>3368.22</v>
      </c>
      <c r="O163" s="22">
        <f t="shared" si="2"/>
        <v>3368.22</v>
      </c>
      <c r="P163" s="22" t="str">
        <f>_xlfn.XLOOKUP(D163,'4月份计划'!A:A,'4月份计划'!A:A)</f>
        <v>醴陵广仁环保科技有限公司</v>
      </c>
    </row>
    <row r="164" s="22" customFormat="1" ht="15" customHeight="1" spans="1:16">
      <c r="A164" s="25" t="s">
        <v>444</v>
      </c>
      <c r="B164" s="28" t="s">
        <v>445</v>
      </c>
      <c r="C164" s="25" t="s">
        <v>41</v>
      </c>
      <c r="D164" s="28" t="s">
        <v>269</v>
      </c>
      <c r="E164" s="25" t="s">
        <v>41</v>
      </c>
      <c r="F164" s="25" t="s">
        <v>443</v>
      </c>
      <c r="G164" s="25" t="s">
        <v>453</v>
      </c>
      <c r="H164" s="76">
        <v>10623.91</v>
      </c>
      <c r="I164" s="76">
        <v>0</v>
      </c>
      <c r="J164" s="76">
        <v>-47150</v>
      </c>
      <c r="K164" s="76">
        <v>0</v>
      </c>
      <c r="L164" s="76">
        <v>85.2</v>
      </c>
      <c r="M164" s="25" t="s">
        <v>453</v>
      </c>
      <c r="N164" s="76">
        <v>57773.91</v>
      </c>
      <c r="O164" s="22">
        <f t="shared" si="2"/>
        <v>-57773.91</v>
      </c>
      <c r="P164" s="22" t="str">
        <f>_xlfn.XLOOKUP(D164,'4月份计划'!A:A,'4月份计划'!A:A)</f>
        <v>长沙真旺钢铁贸易有限公司</v>
      </c>
    </row>
    <row r="165" s="22" customFormat="1" ht="15" customHeight="1" spans="1:16">
      <c r="A165" s="29" t="s">
        <v>444</v>
      </c>
      <c r="B165" s="32" t="s">
        <v>445</v>
      </c>
      <c r="C165" s="29" t="s">
        <v>41</v>
      </c>
      <c r="D165" s="32" t="s">
        <v>571</v>
      </c>
      <c r="E165" s="29" t="s">
        <v>41</v>
      </c>
      <c r="F165" s="29" t="s">
        <v>443</v>
      </c>
      <c r="G165" s="29" t="s">
        <v>489</v>
      </c>
      <c r="H165" s="77">
        <v>0</v>
      </c>
      <c r="I165" s="77">
        <v>0</v>
      </c>
      <c r="J165" s="77">
        <v>0</v>
      </c>
      <c r="K165" s="77">
        <v>0</v>
      </c>
      <c r="L165" s="77">
        <v>0</v>
      </c>
      <c r="M165" s="29" t="s">
        <v>489</v>
      </c>
      <c r="N165" s="77">
        <v>0</v>
      </c>
      <c r="O165" s="22">
        <f t="shared" si="2"/>
        <v>0</v>
      </c>
      <c r="P165" s="22" t="e">
        <f>_xlfn.XLOOKUP(D165,'4月份计划'!A:A,'4月份计划'!A:A)</f>
        <v>#N/A</v>
      </c>
    </row>
    <row r="166" s="22" customFormat="1" ht="15" customHeight="1" spans="1:16">
      <c r="A166" s="25" t="s">
        <v>444</v>
      </c>
      <c r="B166" s="28" t="s">
        <v>445</v>
      </c>
      <c r="C166" s="25" t="s">
        <v>41</v>
      </c>
      <c r="D166" s="28" t="s">
        <v>270</v>
      </c>
      <c r="E166" s="25" t="s">
        <v>41</v>
      </c>
      <c r="F166" s="25" t="s">
        <v>443</v>
      </c>
      <c r="G166" s="25" t="s">
        <v>447</v>
      </c>
      <c r="H166" s="76">
        <v>24846.2</v>
      </c>
      <c r="I166" s="76">
        <v>7509.52</v>
      </c>
      <c r="J166" s="76">
        <v>6790.3</v>
      </c>
      <c r="K166" s="76">
        <v>49501.85</v>
      </c>
      <c r="L166" s="76">
        <v>31636.5</v>
      </c>
      <c r="M166" s="25" t="s">
        <v>447</v>
      </c>
      <c r="N166" s="76">
        <v>24126.98</v>
      </c>
      <c r="O166" s="22">
        <f t="shared" si="2"/>
        <v>24126.98</v>
      </c>
      <c r="P166" s="22" t="str">
        <f>_xlfn.XLOOKUP(D166,'4月份计划'!A:A,'4月份计划'!A:A)</f>
        <v>深州市晶立泰机械配件有限公司</v>
      </c>
    </row>
    <row r="167" s="22" customFormat="1" ht="15" customHeight="1" spans="1:16">
      <c r="A167" s="29" t="s">
        <v>444</v>
      </c>
      <c r="B167" s="32" t="s">
        <v>445</v>
      </c>
      <c r="C167" s="29" t="s">
        <v>41</v>
      </c>
      <c r="D167" s="32" t="s">
        <v>271</v>
      </c>
      <c r="E167" s="29" t="s">
        <v>41</v>
      </c>
      <c r="F167" s="29" t="s">
        <v>443</v>
      </c>
      <c r="G167" s="29" t="s">
        <v>447</v>
      </c>
      <c r="H167" s="77">
        <v>22774.59</v>
      </c>
      <c r="I167" s="77">
        <v>0</v>
      </c>
      <c r="J167" s="77">
        <v>0</v>
      </c>
      <c r="K167" s="77">
        <v>0</v>
      </c>
      <c r="L167" s="77">
        <v>0</v>
      </c>
      <c r="M167" s="29" t="s">
        <v>447</v>
      </c>
      <c r="N167" s="77">
        <v>22774.59</v>
      </c>
      <c r="O167" s="22">
        <f t="shared" si="2"/>
        <v>22774.59</v>
      </c>
      <c r="P167" s="22" t="str">
        <f>_xlfn.XLOOKUP(D167,'4月份计划'!A:A,'4月份计划'!A:A)</f>
        <v>山东鼎信新材料科技有限公司</v>
      </c>
    </row>
    <row r="168" s="22" customFormat="1" ht="15" customHeight="1" spans="1:16">
      <c r="A168" s="25" t="s">
        <v>444</v>
      </c>
      <c r="B168" s="28" t="s">
        <v>445</v>
      </c>
      <c r="C168" s="25" t="s">
        <v>41</v>
      </c>
      <c r="D168" s="28" t="s">
        <v>272</v>
      </c>
      <c r="E168" s="25" t="s">
        <v>41</v>
      </c>
      <c r="F168" s="25" t="s">
        <v>443</v>
      </c>
      <c r="G168" s="25" t="s">
        <v>447</v>
      </c>
      <c r="H168" s="76">
        <v>317723.08</v>
      </c>
      <c r="I168" s="76">
        <v>178471.91</v>
      </c>
      <c r="J168" s="76">
        <v>0</v>
      </c>
      <c r="K168" s="76">
        <v>728471.91</v>
      </c>
      <c r="L168" s="76">
        <v>314960.12</v>
      </c>
      <c r="M168" s="25" t="s">
        <v>447</v>
      </c>
      <c r="N168" s="76">
        <v>139251.17</v>
      </c>
      <c r="O168" s="22">
        <f t="shared" si="2"/>
        <v>139251.17</v>
      </c>
      <c r="P168" s="22" t="str">
        <f>_xlfn.XLOOKUP(D168,'4月份计划'!A:A,'4月份计划'!A:A)</f>
        <v>湖南诺亿科技有限公司</v>
      </c>
    </row>
    <row r="169" s="22" customFormat="1" ht="15" customHeight="1" spans="1:16">
      <c r="A169" s="29" t="s">
        <v>444</v>
      </c>
      <c r="B169" s="32" t="s">
        <v>445</v>
      </c>
      <c r="C169" s="29" t="s">
        <v>41</v>
      </c>
      <c r="D169" s="32" t="s">
        <v>572</v>
      </c>
      <c r="E169" s="29" t="s">
        <v>41</v>
      </c>
      <c r="F169" s="29" t="s">
        <v>443</v>
      </c>
      <c r="G169" s="29" t="s">
        <v>489</v>
      </c>
      <c r="H169" s="77">
        <v>0</v>
      </c>
      <c r="I169" s="77">
        <v>0</v>
      </c>
      <c r="J169" s="77">
        <v>0</v>
      </c>
      <c r="K169" s="77">
        <v>0</v>
      </c>
      <c r="L169" s="77">
        <v>0</v>
      </c>
      <c r="M169" s="29" t="s">
        <v>489</v>
      </c>
      <c r="N169" s="77">
        <v>0</v>
      </c>
      <c r="O169" s="22">
        <f t="shared" si="2"/>
        <v>0</v>
      </c>
      <c r="P169" s="22" t="e">
        <f>_xlfn.XLOOKUP(D169,'4月份计划'!A:A,'4月份计划'!A:A)</f>
        <v>#N/A</v>
      </c>
    </row>
    <row r="170" s="22" customFormat="1" ht="15" customHeight="1" spans="1:16">
      <c r="A170" s="25" t="s">
        <v>444</v>
      </c>
      <c r="B170" s="28" t="s">
        <v>445</v>
      </c>
      <c r="C170" s="25" t="s">
        <v>41</v>
      </c>
      <c r="D170" s="28" t="s">
        <v>573</v>
      </c>
      <c r="E170" s="25" t="s">
        <v>41</v>
      </c>
      <c r="F170" s="25" t="s">
        <v>443</v>
      </c>
      <c r="G170" s="25" t="s">
        <v>489</v>
      </c>
      <c r="H170" s="76">
        <v>0</v>
      </c>
      <c r="I170" s="76">
        <v>0</v>
      </c>
      <c r="J170" s="76">
        <v>0</v>
      </c>
      <c r="K170" s="76">
        <v>0</v>
      </c>
      <c r="L170" s="76">
        <v>0</v>
      </c>
      <c r="M170" s="25" t="s">
        <v>489</v>
      </c>
      <c r="N170" s="76">
        <v>0</v>
      </c>
      <c r="O170" s="22">
        <f t="shared" si="2"/>
        <v>0</v>
      </c>
      <c r="P170" s="22" t="e">
        <f>_xlfn.XLOOKUP(D170,'4月份计划'!A:A,'4月份计划'!A:A)</f>
        <v>#N/A</v>
      </c>
    </row>
    <row r="171" s="22" customFormat="1" ht="15" customHeight="1" spans="1:16">
      <c r="A171" s="29" t="s">
        <v>444</v>
      </c>
      <c r="B171" s="32" t="s">
        <v>445</v>
      </c>
      <c r="C171" s="29" t="s">
        <v>41</v>
      </c>
      <c r="D171" s="32" t="s">
        <v>273</v>
      </c>
      <c r="E171" s="29" t="s">
        <v>41</v>
      </c>
      <c r="F171" s="29" t="s">
        <v>443</v>
      </c>
      <c r="G171" s="29" t="s">
        <v>447</v>
      </c>
      <c r="H171" s="77">
        <v>21652.61</v>
      </c>
      <c r="I171" s="77">
        <v>0</v>
      </c>
      <c r="J171" s="77">
        <v>0</v>
      </c>
      <c r="K171" s="77">
        <v>31764.98</v>
      </c>
      <c r="L171" s="77">
        <v>21652.61</v>
      </c>
      <c r="M171" s="29" t="s">
        <v>447</v>
      </c>
      <c r="N171" s="77">
        <v>21652.61</v>
      </c>
      <c r="O171" s="22">
        <f t="shared" si="2"/>
        <v>21652.61</v>
      </c>
      <c r="P171" s="22" t="str">
        <f>_xlfn.XLOOKUP(D171,'4月份计划'!A:A,'4月份计划'!A:A)</f>
        <v>长春超力内饰件有限公司</v>
      </c>
    </row>
    <row r="172" s="22" customFormat="1" ht="15" customHeight="1" spans="1:16">
      <c r="A172" s="25" t="s">
        <v>444</v>
      </c>
      <c r="B172" s="28" t="s">
        <v>445</v>
      </c>
      <c r="C172" s="25" t="s">
        <v>41</v>
      </c>
      <c r="D172" s="28" t="s">
        <v>574</v>
      </c>
      <c r="E172" s="25" t="s">
        <v>41</v>
      </c>
      <c r="F172" s="25" t="s">
        <v>443</v>
      </c>
      <c r="G172" s="25" t="s">
        <v>489</v>
      </c>
      <c r="H172" s="76">
        <v>0</v>
      </c>
      <c r="I172" s="76">
        <v>0</v>
      </c>
      <c r="J172" s="76">
        <v>0</v>
      </c>
      <c r="K172" s="76">
        <v>0</v>
      </c>
      <c r="L172" s="76">
        <v>0</v>
      </c>
      <c r="M172" s="25" t="s">
        <v>489</v>
      </c>
      <c r="N172" s="76">
        <v>0</v>
      </c>
      <c r="O172" s="22">
        <f t="shared" si="2"/>
        <v>0</v>
      </c>
      <c r="P172" s="22" t="e">
        <f>_xlfn.XLOOKUP(D172,'4月份计划'!A:A,'4月份计划'!A:A)</f>
        <v>#N/A</v>
      </c>
    </row>
    <row r="173" s="22" customFormat="1" ht="15" customHeight="1" spans="1:16">
      <c r="A173" s="29" t="s">
        <v>444</v>
      </c>
      <c r="B173" s="32" t="s">
        <v>445</v>
      </c>
      <c r="C173" s="29" t="s">
        <v>41</v>
      </c>
      <c r="D173" s="32" t="s">
        <v>302</v>
      </c>
      <c r="E173" s="29" t="s">
        <v>41</v>
      </c>
      <c r="F173" s="29" t="s">
        <v>443</v>
      </c>
      <c r="G173" s="29" t="s">
        <v>447</v>
      </c>
      <c r="H173" s="77">
        <v>122571.67</v>
      </c>
      <c r="I173" s="77">
        <v>0</v>
      </c>
      <c r="J173" s="77">
        <v>0</v>
      </c>
      <c r="K173" s="77">
        <v>200000</v>
      </c>
      <c r="L173" s="77">
        <v>34893.27</v>
      </c>
      <c r="M173" s="29" t="s">
        <v>447</v>
      </c>
      <c r="N173" s="77">
        <v>122571.67</v>
      </c>
      <c r="O173" s="22">
        <f t="shared" si="2"/>
        <v>122571.67</v>
      </c>
      <c r="P173" s="22" t="str">
        <f>_xlfn.XLOOKUP(D173,'4月份计划'!A:A,'4月份计划'!A:A)</f>
        <v>重庆市宏立摩托车制造有限公司</v>
      </c>
    </row>
    <row r="174" s="22" customFormat="1" ht="15" customHeight="1" spans="1:16">
      <c r="A174" s="25" t="s">
        <v>444</v>
      </c>
      <c r="B174" s="28" t="s">
        <v>445</v>
      </c>
      <c r="C174" s="25" t="s">
        <v>41</v>
      </c>
      <c r="D174" s="28" t="s">
        <v>575</v>
      </c>
      <c r="E174" s="25" t="s">
        <v>41</v>
      </c>
      <c r="F174" s="25" t="s">
        <v>443</v>
      </c>
      <c r="G174" s="25" t="s">
        <v>489</v>
      </c>
      <c r="H174" s="76">
        <v>0</v>
      </c>
      <c r="I174" s="76">
        <v>0</v>
      </c>
      <c r="J174" s="76">
        <v>0</v>
      </c>
      <c r="K174" s="76">
        <v>0</v>
      </c>
      <c r="L174" s="76">
        <v>0</v>
      </c>
      <c r="M174" s="25" t="s">
        <v>489</v>
      </c>
      <c r="N174" s="76">
        <v>0</v>
      </c>
      <c r="O174" s="22">
        <f t="shared" si="2"/>
        <v>0</v>
      </c>
      <c r="P174" s="22" t="e">
        <f>_xlfn.XLOOKUP(D174,'4月份计划'!A:A,'4月份计划'!A:A)</f>
        <v>#N/A</v>
      </c>
    </row>
    <row r="175" s="22" customFormat="1" ht="15" customHeight="1" spans="1:16">
      <c r="A175" s="29" t="s">
        <v>444</v>
      </c>
      <c r="B175" s="32" t="s">
        <v>445</v>
      </c>
      <c r="C175" s="29" t="s">
        <v>41</v>
      </c>
      <c r="D175" s="32" t="s">
        <v>576</v>
      </c>
      <c r="E175" s="29" t="s">
        <v>41</v>
      </c>
      <c r="F175" s="29" t="s">
        <v>443</v>
      </c>
      <c r="G175" s="29" t="s">
        <v>489</v>
      </c>
      <c r="H175" s="77">
        <v>0</v>
      </c>
      <c r="I175" s="77">
        <v>0</v>
      </c>
      <c r="J175" s="77">
        <v>0</v>
      </c>
      <c r="K175" s="77">
        <v>0</v>
      </c>
      <c r="L175" s="77">
        <v>0</v>
      </c>
      <c r="M175" s="29" t="s">
        <v>489</v>
      </c>
      <c r="N175" s="77">
        <v>0</v>
      </c>
      <c r="O175" s="22">
        <f t="shared" si="2"/>
        <v>0</v>
      </c>
      <c r="P175" s="22" t="e">
        <f>_xlfn.XLOOKUP(D175,'4月份计划'!A:A,'4月份计划'!A:A)</f>
        <v>#N/A</v>
      </c>
    </row>
    <row r="176" s="22" customFormat="1" ht="15" customHeight="1" spans="1:16">
      <c r="A176" s="25" t="s">
        <v>444</v>
      </c>
      <c r="B176" s="28" t="s">
        <v>445</v>
      </c>
      <c r="C176" s="25" t="s">
        <v>41</v>
      </c>
      <c r="D176" s="28" t="s">
        <v>577</v>
      </c>
      <c r="E176" s="25" t="s">
        <v>41</v>
      </c>
      <c r="F176" s="25" t="s">
        <v>443</v>
      </c>
      <c r="G176" s="25" t="s">
        <v>489</v>
      </c>
      <c r="H176" s="76">
        <v>0</v>
      </c>
      <c r="I176" s="76">
        <v>0</v>
      </c>
      <c r="J176" s="76">
        <v>0</v>
      </c>
      <c r="K176" s="76">
        <v>0</v>
      </c>
      <c r="L176" s="76">
        <v>0</v>
      </c>
      <c r="M176" s="25" t="s">
        <v>489</v>
      </c>
      <c r="N176" s="76">
        <v>0</v>
      </c>
      <c r="O176" s="22">
        <f t="shared" si="2"/>
        <v>0</v>
      </c>
      <c r="P176" s="22" t="e">
        <f>_xlfn.XLOOKUP(D176,'4月份计划'!A:A,'4月份计划'!A:A)</f>
        <v>#N/A</v>
      </c>
    </row>
    <row r="177" s="22" customFormat="1" ht="15" customHeight="1" spans="1:16">
      <c r="A177" s="29" t="s">
        <v>444</v>
      </c>
      <c r="B177" s="32" t="s">
        <v>445</v>
      </c>
      <c r="C177" s="29" t="s">
        <v>41</v>
      </c>
      <c r="D177" s="32" t="s">
        <v>303</v>
      </c>
      <c r="E177" s="29" t="s">
        <v>41</v>
      </c>
      <c r="F177" s="29" t="s">
        <v>443</v>
      </c>
      <c r="G177" s="29" t="s">
        <v>489</v>
      </c>
      <c r="H177" s="77">
        <v>0</v>
      </c>
      <c r="I177" s="77">
        <v>0</v>
      </c>
      <c r="J177" s="77">
        <v>391552</v>
      </c>
      <c r="K177" s="77">
        <v>660864.5</v>
      </c>
      <c r="L177" s="77">
        <v>785792</v>
      </c>
      <c r="M177" s="29" t="s">
        <v>447</v>
      </c>
      <c r="N177" s="77">
        <v>391552</v>
      </c>
      <c r="O177" s="22">
        <f t="shared" si="2"/>
        <v>391552</v>
      </c>
      <c r="P177" s="22" t="str">
        <f>_xlfn.XLOOKUP(D177,'4月份计划'!A:A,'4月份计划'!A:A)</f>
        <v>湖北欣辰达商贸有限公司</v>
      </c>
    </row>
    <row r="178" s="22" customFormat="1" ht="15" customHeight="1" spans="1:16">
      <c r="A178" s="25" t="s">
        <v>444</v>
      </c>
      <c r="B178" s="28" t="s">
        <v>445</v>
      </c>
      <c r="C178" s="25" t="s">
        <v>41</v>
      </c>
      <c r="D178" s="28" t="s">
        <v>274</v>
      </c>
      <c r="E178" s="25" t="s">
        <v>41</v>
      </c>
      <c r="F178" s="25" t="s">
        <v>443</v>
      </c>
      <c r="G178" s="25" t="s">
        <v>447</v>
      </c>
      <c r="H178" s="76">
        <v>280465.08</v>
      </c>
      <c r="I178" s="76">
        <v>0</v>
      </c>
      <c r="J178" s="76">
        <v>0</v>
      </c>
      <c r="K178" s="76">
        <v>150000</v>
      </c>
      <c r="L178" s="76">
        <v>106560.14</v>
      </c>
      <c r="M178" s="25" t="s">
        <v>447</v>
      </c>
      <c r="N178" s="76">
        <v>280465.08</v>
      </c>
      <c r="O178" s="22">
        <f t="shared" si="2"/>
        <v>280465.08</v>
      </c>
      <c r="P178" s="22" t="str">
        <f>_xlfn.XLOOKUP(D178,'4月份计划'!A:A,'4月份计划'!A:A)</f>
        <v>湖南裕腾兴汽车配件有限公司</v>
      </c>
    </row>
    <row r="179" s="22" customFormat="1" ht="15" customHeight="1" spans="1:16">
      <c r="A179" s="29" t="s">
        <v>444</v>
      </c>
      <c r="B179" s="32" t="s">
        <v>445</v>
      </c>
      <c r="C179" s="29" t="s">
        <v>41</v>
      </c>
      <c r="D179" s="32" t="s">
        <v>486</v>
      </c>
      <c r="E179" s="29" t="s">
        <v>41</v>
      </c>
      <c r="F179" s="29" t="s">
        <v>443</v>
      </c>
      <c r="G179" s="29" t="s">
        <v>453</v>
      </c>
      <c r="H179" s="77">
        <v>27216</v>
      </c>
      <c r="I179" s="77">
        <v>0</v>
      </c>
      <c r="J179" s="77">
        <v>0</v>
      </c>
      <c r="K179" s="77">
        <v>0</v>
      </c>
      <c r="L179" s="77">
        <v>0</v>
      </c>
      <c r="M179" s="29" t="s">
        <v>453</v>
      </c>
      <c r="N179" s="77">
        <v>27216</v>
      </c>
      <c r="O179" s="22">
        <f t="shared" si="2"/>
        <v>-27216</v>
      </c>
      <c r="P179" s="22" t="e">
        <f>_xlfn.XLOOKUP(D179,'4月份计划'!A:A,'4月份计划'!A:A)</f>
        <v>#N/A</v>
      </c>
    </row>
    <row r="180" s="22" customFormat="1" ht="15" customHeight="1" spans="1:16">
      <c r="A180" s="25" t="s">
        <v>444</v>
      </c>
      <c r="B180" s="28" t="s">
        <v>445</v>
      </c>
      <c r="C180" s="25" t="s">
        <v>41</v>
      </c>
      <c r="D180" s="28" t="s">
        <v>578</v>
      </c>
      <c r="E180" s="25" t="s">
        <v>41</v>
      </c>
      <c r="F180" s="25" t="s">
        <v>443</v>
      </c>
      <c r="G180" s="25" t="s">
        <v>489</v>
      </c>
      <c r="H180" s="76">
        <v>0</v>
      </c>
      <c r="I180" s="76">
        <v>0</v>
      </c>
      <c r="J180" s="76">
        <v>0</v>
      </c>
      <c r="K180" s="76">
        <v>0</v>
      </c>
      <c r="L180" s="76">
        <v>0</v>
      </c>
      <c r="M180" s="25" t="s">
        <v>489</v>
      </c>
      <c r="N180" s="76">
        <v>0</v>
      </c>
      <c r="O180" s="22">
        <f t="shared" si="2"/>
        <v>0</v>
      </c>
      <c r="P180" s="22" t="e">
        <f>_xlfn.XLOOKUP(D180,'4月份计划'!A:A,'4月份计划'!A:A)</f>
        <v>#N/A</v>
      </c>
    </row>
    <row r="181" s="22" customFormat="1" ht="15" customHeight="1" spans="1:16">
      <c r="A181" s="29" t="s">
        <v>444</v>
      </c>
      <c r="B181" s="32" t="s">
        <v>445</v>
      </c>
      <c r="C181" s="29" t="s">
        <v>41</v>
      </c>
      <c r="D181" s="32" t="s">
        <v>579</v>
      </c>
      <c r="E181" s="29" t="s">
        <v>41</v>
      </c>
      <c r="F181" s="29" t="s">
        <v>443</v>
      </c>
      <c r="G181" s="29" t="s">
        <v>489</v>
      </c>
      <c r="H181" s="77">
        <v>0</v>
      </c>
      <c r="I181" s="77">
        <v>0</v>
      </c>
      <c r="J181" s="77">
        <v>0</v>
      </c>
      <c r="K181" s="77">
        <v>0</v>
      </c>
      <c r="L181" s="77">
        <v>22780.8</v>
      </c>
      <c r="M181" s="29" t="s">
        <v>489</v>
      </c>
      <c r="N181" s="77">
        <v>0</v>
      </c>
      <c r="O181" s="22">
        <f t="shared" si="2"/>
        <v>0</v>
      </c>
      <c r="P181" s="22" t="e">
        <f>_xlfn.XLOOKUP(D181,'4月份计划'!A:A,'4月份计划'!A:A)</f>
        <v>#N/A</v>
      </c>
    </row>
    <row r="182" s="22" customFormat="1" ht="15" customHeight="1" spans="1:16">
      <c r="A182" s="25" t="s">
        <v>444</v>
      </c>
      <c r="B182" s="28" t="s">
        <v>445</v>
      </c>
      <c r="C182" s="25" t="s">
        <v>41</v>
      </c>
      <c r="D182" s="28" t="s">
        <v>275</v>
      </c>
      <c r="E182" s="25" t="s">
        <v>41</v>
      </c>
      <c r="F182" s="25" t="s">
        <v>443</v>
      </c>
      <c r="G182" s="25" t="s">
        <v>447</v>
      </c>
      <c r="H182" s="76">
        <v>11033.01</v>
      </c>
      <c r="I182" s="76">
        <v>5706.73</v>
      </c>
      <c r="J182" s="76">
        <v>0</v>
      </c>
      <c r="K182" s="76">
        <v>48091.85</v>
      </c>
      <c r="L182" s="76">
        <v>11033.01</v>
      </c>
      <c r="M182" s="25" t="s">
        <v>447</v>
      </c>
      <c r="N182" s="76">
        <v>5326.28</v>
      </c>
      <c r="O182" s="22">
        <f t="shared" si="2"/>
        <v>5326.28</v>
      </c>
      <c r="P182" s="22" t="str">
        <f>_xlfn.XLOOKUP(D182,'4月份计划'!A:A,'4月份计划'!A:A)</f>
        <v>株洲诚康实业有限责任公司</v>
      </c>
    </row>
    <row r="183" s="22" customFormat="1" ht="15" customHeight="1" spans="1:16">
      <c r="A183" s="29" t="s">
        <v>444</v>
      </c>
      <c r="B183" s="32" t="s">
        <v>445</v>
      </c>
      <c r="C183" s="29" t="s">
        <v>41</v>
      </c>
      <c r="D183" s="32" t="s">
        <v>281</v>
      </c>
      <c r="E183" s="29" t="s">
        <v>41</v>
      </c>
      <c r="F183" s="29" t="s">
        <v>443</v>
      </c>
      <c r="G183" s="29" t="s">
        <v>447</v>
      </c>
      <c r="H183" s="77">
        <v>9576</v>
      </c>
      <c r="I183" s="77">
        <v>0</v>
      </c>
      <c r="J183" s="77">
        <v>9576</v>
      </c>
      <c r="K183" s="77">
        <v>45144</v>
      </c>
      <c r="L183" s="77">
        <v>28728</v>
      </c>
      <c r="M183" s="29" t="s">
        <v>447</v>
      </c>
      <c r="N183" s="77">
        <v>19152</v>
      </c>
      <c r="O183" s="22">
        <f t="shared" si="2"/>
        <v>19152</v>
      </c>
      <c r="P183" s="22" t="str">
        <f>_xlfn.XLOOKUP(D183,'4月份计划'!A:A,'4月份计划'!A:A)</f>
        <v>湖南奥瑞格工贸有限公司</v>
      </c>
    </row>
    <row r="184" s="22" customFormat="1" ht="15" customHeight="1" spans="1:16">
      <c r="A184" s="25" t="s">
        <v>444</v>
      </c>
      <c r="B184" s="28" t="s">
        <v>445</v>
      </c>
      <c r="C184" s="25" t="s">
        <v>41</v>
      </c>
      <c r="D184" s="28" t="s">
        <v>580</v>
      </c>
      <c r="E184" s="25" t="s">
        <v>41</v>
      </c>
      <c r="F184" s="25" t="s">
        <v>443</v>
      </c>
      <c r="G184" s="25" t="s">
        <v>489</v>
      </c>
      <c r="H184" s="76">
        <v>0</v>
      </c>
      <c r="I184" s="76">
        <v>0</v>
      </c>
      <c r="J184" s="76">
        <v>0</v>
      </c>
      <c r="K184" s="76">
        <v>0</v>
      </c>
      <c r="L184" s="76">
        <v>0</v>
      </c>
      <c r="M184" s="25" t="s">
        <v>489</v>
      </c>
      <c r="N184" s="76">
        <v>0</v>
      </c>
      <c r="O184" s="22">
        <f t="shared" si="2"/>
        <v>0</v>
      </c>
      <c r="P184" s="22" t="e">
        <f>_xlfn.XLOOKUP(D184,'4月份计划'!A:A,'4月份计划'!A:A)</f>
        <v>#N/A</v>
      </c>
    </row>
    <row r="185" s="22" customFormat="1" ht="15" customHeight="1" spans="1:16">
      <c r="A185" s="29" t="s">
        <v>444</v>
      </c>
      <c r="B185" s="32" t="s">
        <v>445</v>
      </c>
      <c r="C185" s="29" t="s">
        <v>41</v>
      </c>
      <c r="D185" s="32" t="s">
        <v>581</v>
      </c>
      <c r="E185" s="29" t="s">
        <v>41</v>
      </c>
      <c r="F185" s="29" t="s">
        <v>443</v>
      </c>
      <c r="G185" s="29" t="s">
        <v>489</v>
      </c>
      <c r="H185" s="77">
        <v>0</v>
      </c>
      <c r="I185" s="77">
        <v>0</v>
      </c>
      <c r="J185" s="77">
        <v>0</v>
      </c>
      <c r="K185" s="77">
        <v>0</v>
      </c>
      <c r="L185" s="77">
        <v>0</v>
      </c>
      <c r="M185" s="29" t="s">
        <v>489</v>
      </c>
      <c r="N185" s="77">
        <v>0</v>
      </c>
      <c r="O185" s="22">
        <f t="shared" si="2"/>
        <v>0</v>
      </c>
      <c r="P185" s="22" t="e">
        <f>_xlfn.XLOOKUP(D185,'4月份计划'!A:A,'4月份计划'!A:A)</f>
        <v>#N/A</v>
      </c>
    </row>
    <row r="186" s="22" customFormat="1" ht="15" customHeight="1" spans="1:16">
      <c r="A186" s="25" t="s">
        <v>444</v>
      </c>
      <c r="B186" s="28" t="s">
        <v>445</v>
      </c>
      <c r="C186" s="25" t="s">
        <v>41</v>
      </c>
      <c r="D186" s="28" t="s">
        <v>408</v>
      </c>
      <c r="E186" s="25" t="s">
        <v>41</v>
      </c>
      <c r="F186" s="25" t="s">
        <v>443</v>
      </c>
      <c r="G186" s="25" t="s">
        <v>489</v>
      </c>
      <c r="H186" s="76">
        <v>0</v>
      </c>
      <c r="I186" s="76">
        <v>0</v>
      </c>
      <c r="J186" s="76">
        <v>0</v>
      </c>
      <c r="K186" s="76">
        <v>14278.43</v>
      </c>
      <c r="L186" s="76">
        <v>0</v>
      </c>
      <c r="M186" s="25" t="s">
        <v>489</v>
      </c>
      <c r="N186" s="76">
        <v>0</v>
      </c>
      <c r="O186" s="22">
        <f t="shared" si="2"/>
        <v>0</v>
      </c>
      <c r="P186" s="22" t="e">
        <f>_xlfn.XLOOKUP(D186,'4月份计划'!A:A,'4月份计划'!A:A)</f>
        <v>#N/A</v>
      </c>
    </row>
    <row r="187" s="22" customFormat="1" ht="15" customHeight="1" spans="1:16">
      <c r="A187" s="29" t="s">
        <v>444</v>
      </c>
      <c r="B187" s="32" t="s">
        <v>445</v>
      </c>
      <c r="C187" s="29" t="s">
        <v>41</v>
      </c>
      <c r="D187" s="32" t="s">
        <v>284</v>
      </c>
      <c r="E187" s="29" t="s">
        <v>41</v>
      </c>
      <c r="F187" s="29" t="s">
        <v>443</v>
      </c>
      <c r="G187" s="29" t="s">
        <v>447</v>
      </c>
      <c r="H187" s="77">
        <v>115659.87</v>
      </c>
      <c r="I187" s="77">
        <v>0</v>
      </c>
      <c r="J187" s="77">
        <v>37957.29</v>
      </c>
      <c r="K187" s="77">
        <v>1850.69</v>
      </c>
      <c r="L187" s="77">
        <v>153617.16</v>
      </c>
      <c r="M187" s="29" t="s">
        <v>447</v>
      </c>
      <c r="N187" s="77">
        <v>153617.16</v>
      </c>
      <c r="O187" s="22">
        <f t="shared" si="2"/>
        <v>153617.16</v>
      </c>
      <c r="P187" s="22" t="str">
        <f>_xlfn.XLOOKUP(D187,'4月份计划'!A:A,'4月份计划'!A:A)</f>
        <v>湖南兴天宏实业有限公司</v>
      </c>
    </row>
    <row r="188" s="22" customFormat="1" ht="15" customHeight="1" spans="1:16">
      <c r="A188" s="25" t="s">
        <v>444</v>
      </c>
      <c r="B188" s="28" t="s">
        <v>445</v>
      </c>
      <c r="C188" s="25" t="s">
        <v>41</v>
      </c>
      <c r="D188" s="28" t="s">
        <v>582</v>
      </c>
      <c r="E188" s="25" t="s">
        <v>41</v>
      </c>
      <c r="F188" s="25" t="s">
        <v>443</v>
      </c>
      <c r="G188" s="25" t="s">
        <v>489</v>
      </c>
      <c r="H188" s="76">
        <v>0</v>
      </c>
      <c r="I188" s="76">
        <v>0</v>
      </c>
      <c r="J188" s="76">
        <v>0</v>
      </c>
      <c r="K188" s="76">
        <v>0</v>
      </c>
      <c r="L188" s="76">
        <v>0</v>
      </c>
      <c r="M188" s="25" t="s">
        <v>489</v>
      </c>
      <c r="N188" s="76">
        <v>0</v>
      </c>
      <c r="O188" s="22">
        <f t="shared" si="2"/>
        <v>0</v>
      </c>
      <c r="P188" s="22" t="e">
        <f>_xlfn.XLOOKUP(D188,'4月份计划'!A:A,'4月份计划'!A:A)</f>
        <v>#N/A</v>
      </c>
    </row>
    <row r="189" s="22" customFormat="1" ht="15" customHeight="1" spans="1:16">
      <c r="A189" s="29" t="s">
        <v>444</v>
      </c>
      <c r="B189" s="32" t="s">
        <v>445</v>
      </c>
      <c r="C189" s="29" t="s">
        <v>41</v>
      </c>
      <c r="D189" s="32" t="s">
        <v>487</v>
      </c>
      <c r="E189" s="29" t="s">
        <v>41</v>
      </c>
      <c r="F189" s="29" t="s">
        <v>443</v>
      </c>
      <c r="G189" s="29" t="s">
        <v>447</v>
      </c>
      <c r="H189" s="77">
        <v>20</v>
      </c>
      <c r="I189" s="77">
        <v>0</v>
      </c>
      <c r="J189" s="77">
        <v>0</v>
      </c>
      <c r="K189" s="77">
        <v>0</v>
      </c>
      <c r="L189" s="77">
        <v>0</v>
      </c>
      <c r="M189" s="29" t="s">
        <v>447</v>
      </c>
      <c r="N189" s="77">
        <v>20</v>
      </c>
      <c r="O189" s="22">
        <f t="shared" si="2"/>
        <v>20</v>
      </c>
      <c r="P189" s="22" t="e">
        <f>_xlfn.XLOOKUP(D189,'4月份计划'!A:A,'4月份计划'!A:A)</f>
        <v>#N/A</v>
      </c>
    </row>
    <row r="190" s="22" customFormat="1" ht="15" customHeight="1" spans="1:16">
      <c r="A190" s="25" t="s">
        <v>444</v>
      </c>
      <c r="B190" s="28" t="s">
        <v>445</v>
      </c>
      <c r="C190" s="25" t="s">
        <v>41</v>
      </c>
      <c r="D190" s="28" t="s">
        <v>276</v>
      </c>
      <c r="E190" s="25" t="s">
        <v>41</v>
      </c>
      <c r="F190" s="25" t="s">
        <v>443</v>
      </c>
      <c r="G190" s="25" t="s">
        <v>447</v>
      </c>
      <c r="H190" s="76">
        <v>38188.24</v>
      </c>
      <c r="I190" s="76">
        <v>0</v>
      </c>
      <c r="J190" s="76">
        <v>0</v>
      </c>
      <c r="K190" s="76">
        <v>0</v>
      </c>
      <c r="L190" s="76">
        <v>0</v>
      </c>
      <c r="M190" s="25" t="s">
        <v>447</v>
      </c>
      <c r="N190" s="76">
        <v>38188.24</v>
      </c>
      <c r="O190" s="22">
        <f t="shared" si="2"/>
        <v>38188.24</v>
      </c>
      <c r="P190" s="22" t="str">
        <f>_xlfn.XLOOKUP(D190,'4月份计划'!A:A,'4月份计划'!A:A)</f>
        <v>山东鼎昌智能科技有限公司</v>
      </c>
    </row>
    <row r="191" s="22" customFormat="1" ht="15" customHeight="1" spans="1:16">
      <c r="A191" s="29" t="s">
        <v>444</v>
      </c>
      <c r="B191" s="32" t="s">
        <v>445</v>
      </c>
      <c r="C191" s="29" t="s">
        <v>41</v>
      </c>
      <c r="D191" s="32" t="s">
        <v>583</v>
      </c>
      <c r="E191" s="29" t="s">
        <v>41</v>
      </c>
      <c r="F191" s="29" t="s">
        <v>443</v>
      </c>
      <c r="G191" s="29" t="s">
        <v>489</v>
      </c>
      <c r="H191" s="77">
        <v>0</v>
      </c>
      <c r="I191" s="77">
        <v>0</v>
      </c>
      <c r="J191" s="77">
        <v>0</v>
      </c>
      <c r="K191" s="77">
        <v>0</v>
      </c>
      <c r="L191" s="77">
        <v>0</v>
      </c>
      <c r="M191" s="29" t="s">
        <v>489</v>
      </c>
      <c r="N191" s="77">
        <v>0</v>
      </c>
      <c r="O191" s="22">
        <f t="shared" si="2"/>
        <v>0</v>
      </c>
      <c r="P191" s="22" t="e">
        <f>_xlfn.XLOOKUP(D191,'4月份计划'!A:A,'4月份计划'!A:A)</f>
        <v>#N/A</v>
      </c>
    </row>
    <row r="192" s="22" customFormat="1" ht="15" customHeight="1" spans="1:16">
      <c r="A192" s="25" t="s">
        <v>444</v>
      </c>
      <c r="B192" s="28" t="s">
        <v>445</v>
      </c>
      <c r="C192" s="25" t="s">
        <v>41</v>
      </c>
      <c r="D192" s="28" t="s">
        <v>584</v>
      </c>
      <c r="E192" s="25" t="s">
        <v>41</v>
      </c>
      <c r="F192" s="25" t="s">
        <v>443</v>
      </c>
      <c r="G192" s="25" t="s">
        <v>489</v>
      </c>
      <c r="H192" s="76">
        <v>0</v>
      </c>
      <c r="I192" s="76">
        <v>0</v>
      </c>
      <c r="J192" s="76">
        <v>0</v>
      </c>
      <c r="K192" s="76">
        <v>0</v>
      </c>
      <c r="L192" s="76">
        <v>0</v>
      </c>
      <c r="M192" s="25" t="s">
        <v>489</v>
      </c>
      <c r="N192" s="76">
        <v>0</v>
      </c>
      <c r="O192" s="22">
        <f t="shared" si="2"/>
        <v>0</v>
      </c>
      <c r="P192" s="22" t="e">
        <f>_xlfn.XLOOKUP(D192,'4月份计划'!A:A,'4月份计划'!A:A)</f>
        <v>#N/A</v>
      </c>
    </row>
    <row r="193" s="22" customFormat="1" ht="15" customHeight="1" spans="1:16">
      <c r="A193" s="29" t="s">
        <v>444</v>
      </c>
      <c r="B193" s="32" t="s">
        <v>445</v>
      </c>
      <c r="C193" s="29" t="s">
        <v>41</v>
      </c>
      <c r="D193" s="32" t="s">
        <v>585</v>
      </c>
      <c r="E193" s="29" t="s">
        <v>41</v>
      </c>
      <c r="F193" s="29" t="s">
        <v>443</v>
      </c>
      <c r="G193" s="29" t="s">
        <v>489</v>
      </c>
      <c r="H193" s="77">
        <v>0</v>
      </c>
      <c r="I193" s="77">
        <v>0</v>
      </c>
      <c r="J193" s="77">
        <v>0</v>
      </c>
      <c r="K193" s="77">
        <v>0</v>
      </c>
      <c r="L193" s="77">
        <v>0</v>
      </c>
      <c r="M193" s="29" t="s">
        <v>489</v>
      </c>
      <c r="N193" s="77">
        <v>0</v>
      </c>
      <c r="O193" s="22">
        <f t="shared" si="2"/>
        <v>0</v>
      </c>
      <c r="P193" s="22" t="e">
        <f>_xlfn.XLOOKUP(D193,'4月份计划'!A:A,'4月份计划'!A:A)</f>
        <v>#N/A</v>
      </c>
    </row>
    <row r="194" s="22" customFormat="1" ht="15" customHeight="1" spans="1:16">
      <c r="A194" s="25" t="s">
        <v>444</v>
      </c>
      <c r="B194" s="28" t="s">
        <v>445</v>
      </c>
      <c r="C194" s="25" t="s">
        <v>41</v>
      </c>
      <c r="D194" s="28" t="s">
        <v>586</v>
      </c>
      <c r="E194" s="25" t="s">
        <v>41</v>
      </c>
      <c r="F194" s="25" t="s">
        <v>443</v>
      </c>
      <c r="G194" s="25" t="s">
        <v>489</v>
      </c>
      <c r="H194" s="76">
        <v>0</v>
      </c>
      <c r="I194" s="76">
        <v>0</v>
      </c>
      <c r="J194" s="76">
        <v>0</v>
      </c>
      <c r="K194" s="76">
        <v>0</v>
      </c>
      <c r="L194" s="76">
        <v>0</v>
      </c>
      <c r="M194" s="25" t="s">
        <v>489</v>
      </c>
      <c r="N194" s="76">
        <v>0</v>
      </c>
      <c r="O194" s="22">
        <f t="shared" si="2"/>
        <v>0</v>
      </c>
      <c r="P194" s="22" t="e">
        <f>_xlfn.XLOOKUP(D194,'4月份计划'!A:A,'4月份计划'!A:A)</f>
        <v>#N/A</v>
      </c>
    </row>
    <row r="195" s="22" customFormat="1" ht="15" customHeight="1" spans="1:16">
      <c r="A195" s="29" t="s">
        <v>444</v>
      </c>
      <c r="B195" s="32" t="s">
        <v>445</v>
      </c>
      <c r="C195" s="29" t="s">
        <v>41</v>
      </c>
      <c r="D195" s="32" t="s">
        <v>587</v>
      </c>
      <c r="E195" s="29" t="s">
        <v>41</v>
      </c>
      <c r="F195" s="29" t="s">
        <v>443</v>
      </c>
      <c r="G195" s="29" t="s">
        <v>489</v>
      </c>
      <c r="H195" s="77">
        <v>0</v>
      </c>
      <c r="I195" s="77">
        <v>0</v>
      </c>
      <c r="J195" s="77">
        <v>0</v>
      </c>
      <c r="K195" s="77">
        <v>0</v>
      </c>
      <c r="L195" s="77">
        <v>0</v>
      </c>
      <c r="M195" s="29" t="s">
        <v>489</v>
      </c>
      <c r="N195" s="77">
        <v>0</v>
      </c>
      <c r="O195" s="22">
        <f t="shared" si="2"/>
        <v>0</v>
      </c>
      <c r="P195" s="22" t="e">
        <f>_xlfn.XLOOKUP(D195,'4月份计划'!A:A,'4月份计划'!A:A)</f>
        <v>#N/A</v>
      </c>
    </row>
    <row r="196" s="22" customFormat="1" ht="15" customHeight="1" spans="1:16">
      <c r="A196" s="25" t="s">
        <v>444</v>
      </c>
      <c r="B196" s="28" t="s">
        <v>445</v>
      </c>
      <c r="C196" s="25" t="s">
        <v>41</v>
      </c>
      <c r="D196" s="28" t="s">
        <v>588</v>
      </c>
      <c r="E196" s="25" t="s">
        <v>41</v>
      </c>
      <c r="F196" s="25" t="s">
        <v>443</v>
      </c>
      <c r="G196" s="25" t="s">
        <v>489</v>
      </c>
      <c r="H196" s="76">
        <v>0</v>
      </c>
      <c r="I196" s="76">
        <v>0</v>
      </c>
      <c r="J196" s="76">
        <v>0</v>
      </c>
      <c r="K196" s="76">
        <v>0</v>
      </c>
      <c r="L196" s="76">
        <v>0</v>
      </c>
      <c r="M196" s="25" t="s">
        <v>489</v>
      </c>
      <c r="N196" s="76">
        <v>0</v>
      </c>
      <c r="O196" s="22">
        <f t="shared" ref="O196:O235" si="3">IF(M196="贷",N196,-N196)</f>
        <v>0</v>
      </c>
      <c r="P196" s="22" t="e">
        <f>_xlfn.XLOOKUP(D196,'4月份计划'!A:A,'4月份计划'!A:A)</f>
        <v>#N/A</v>
      </c>
    </row>
    <row r="197" s="22" customFormat="1" ht="15" customHeight="1" spans="1:16">
      <c r="A197" s="29" t="s">
        <v>444</v>
      </c>
      <c r="B197" s="32" t="s">
        <v>445</v>
      </c>
      <c r="C197" s="29" t="s">
        <v>41</v>
      </c>
      <c r="D197" s="32" t="s">
        <v>277</v>
      </c>
      <c r="E197" s="29" t="s">
        <v>41</v>
      </c>
      <c r="F197" s="29" t="s">
        <v>443</v>
      </c>
      <c r="G197" s="29" t="s">
        <v>489</v>
      </c>
      <c r="H197" s="77">
        <v>0</v>
      </c>
      <c r="I197" s="77">
        <v>0</v>
      </c>
      <c r="J197" s="77">
        <v>912912</v>
      </c>
      <c r="K197" s="77">
        <v>2877264.73</v>
      </c>
      <c r="L197" s="77">
        <v>2409942.22</v>
      </c>
      <c r="M197" s="29" t="s">
        <v>447</v>
      </c>
      <c r="N197" s="77">
        <v>912912</v>
      </c>
      <c r="O197" s="22">
        <f t="shared" si="3"/>
        <v>912912</v>
      </c>
      <c r="P197" s="22" t="str">
        <f>_xlfn.XLOOKUP(D197,'4月份计划'!A:A,'4月份计划'!A:A)</f>
        <v>汇阅（上海）新材料科技有限公</v>
      </c>
    </row>
    <row r="198" s="22" customFormat="1" ht="15" customHeight="1" spans="1:16">
      <c r="A198" s="25" t="s">
        <v>444</v>
      </c>
      <c r="B198" s="28" t="s">
        <v>445</v>
      </c>
      <c r="C198" s="25" t="s">
        <v>41</v>
      </c>
      <c r="D198" s="28" t="s">
        <v>589</v>
      </c>
      <c r="E198" s="25" t="s">
        <v>41</v>
      </c>
      <c r="F198" s="25" t="s">
        <v>443</v>
      </c>
      <c r="G198" s="25" t="s">
        <v>489</v>
      </c>
      <c r="H198" s="76">
        <v>0</v>
      </c>
      <c r="I198" s="76">
        <v>0</v>
      </c>
      <c r="J198" s="76">
        <v>0</v>
      </c>
      <c r="K198" s="76">
        <v>0</v>
      </c>
      <c r="L198" s="76">
        <v>0</v>
      </c>
      <c r="M198" s="25" t="s">
        <v>489</v>
      </c>
      <c r="N198" s="76">
        <v>0</v>
      </c>
      <c r="O198" s="22">
        <f t="shared" si="3"/>
        <v>0</v>
      </c>
      <c r="P198" s="22" t="e">
        <f>_xlfn.XLOOKUP(D198,'4月份计划'!A:A,'4月份计划'!A:A)</f>
        <v>#N/A</v>
      </c>
    </row>
    <row r="199" s="22" customFormat="1" ht="15" customHeight="1" spans="1:16">
      <c r="A199" s="29" t="s">
        <v>444</v>
      </c>
      <c r="B199" s="32" t="s">
        <v>445</v>
      </c>
      <c r="C199" s="29" t="s">
        <v>41</v>
      </c>
      <c r="D199" s="32" t="s">
        <v>590</v>
      </c>
      <c r="E199" s="29" t="s">
        <v>41</v>
      </c>
      <c r="F199" s="29" t="s">
        <v>443</v>
      </c>
      <c r="G199" s="29" t="s">
        <v>489</v>
      </c>
      <c r="H199" s="77">
        <v>0</v>
      </c>
      <c r="I199" s="77">
        <v>0</v>
      </c>
      <c r="J199" s="77">
        <v>0</v>
      </c>
      <c r="K199" s="77">
        <v>0</v>
      </c>
      <c r="L199" s="77">
        <v>0</v>
      </c>
      <c r="M199" s="29" t="s">
        <v>489</v>
      </c>
      <c r="N199" s="77">
        <v>0</v>
      </c>
      <c r="O199" s="22">
        <f t="shared" si="3"/>
        <v>0</v>
      </c>
      <c r="P199" s="22" t="e">
        <f>_xlfn.XLOOKUP(D199,'4月份计划'!A:A,'4月份计划'!A:A)</f>
        <v>#N/A</v>
      </c>
    </row>
    <row r="200" s="22" customFormat="1" ht="15" customHeight="1" spans="1:16">
      <c r="A200" s="25" t="s">
        <v>444</v>
      </c>
      <c r="B200" s="28" t="s">
        <v>445</v>
      </c>
      <c r="C200" s="25" t="s">
        <v>41</v>
      </c>
      <c r="D200" s="28" t="s">
        <v>591</v>
      </c>
      <c r="E200" s="25" t="s">
        <v>41</v>
      </c>
      <c r="F200" s="25" t="s">
        <v>443</v>
      </c>
      <c r="G200" s="25" t="s">
        <v>489</v>
      </c>
      <c r="H200" s="76">
        <v>0</v>
      </c>
      <c r="I200" s="76">
        <v>0</v>
      </c>
      <c r="J200" s="76">
        <v>0</v>
      </c>
      <c r="K200" s="76">
        <v>0</v>
      </c>
      <c r="L200" s="76">
        <v>0</v>
      </c>
      <c r="M200" s="25" t="s">
        <v>489</v>
      </c>
      <c r="N200" s="76">
        <v>0</v>
      </c>
      <c r="O200" s="22">
        <f t="shared" si="3"/>
        <v>0</v>
      </c>
      <c r="P200" s="22" t="e">
        <f>_xlfn.XLOOKUP(D200,'4月份计划'!A:A,'4月份计划'!A:A)</f>
        <v>#N/A</v>
      </c>
    </row>
    <row r="201" s="22" customFormat="1" ht="15" customHeight="1" spans="1:16">
      <c r="A201" s="29" t="s">
        <v>444</v>
      </c>
      <c r="B201" s="32" t="s">
        <v>445</v>
      </c>
      <c r="C201" s="29" t="s">
        <v>41</v>
      </c>
      <c r="D201" s="32" t="s">
        <v>592</v>
      </c>
      <c r="E201" s="29" t="s">
        <v>41</v>
      </c>
      <c r="F201" s="29" t="s">
        <v>443</v>
      </c>
      <c r="G201" s="29" t="s">
        <v>489</v>
      </c>
      <c r="H201" s="77">
        <v>0</v>
      </c>
      <c r="I201" s="77">
        <v>0</v>
      </c>
      <c r="J201" s="77">
        <v>0</v>
      </c>
      <c r="K201" s="77">
        <v>0</v>
      </c>
      <c r="L201" s="77">
        <v>0</v>
      </c>
      <c r="M201" s="29" t="s">
        <v>489</v>
      </c>
      <c r="N201" s="77">
        <v>0</v>
      </c>
      <c r="O201" s="22">
        <f t="shared" si="3"/>
        <v>0</v>
      </c>
      <c r="P201" s="22" t="e">
        <f>_xlfn.XLOOKUP(D201,'4月份计划'!A:A,'4月份计划'!A:A)</f>
        <v>#N/A</v>
      </c>
    </row>
    <row r="202" s="22" customFormat="1" ht="15" customHeight="1" spans="1:16">
      <c r="A202" s="25" t="s">
        <v>444</v>
      </c>
      <c r="B202" s="28" t="s">
        <v>445</v>
      </c>
      <c r="C202" s="25" t="s">
        <v>41</v>
      </c>
      <c r="D202" s="28" t="s">
        <v>304</v>
      </c>
      <c r="E202" s="25" t="s">
        <v>41</v>
      </c>
      <c r="F202" s="25" t="s">
        <v>443</v>
      </c>
      <c r="G202" s="25" t="s">
        <v>489</v>
      </c>
      <c r="H202" s="76">
        <v>0</v>
      </c>
      <c r="I202" s="76">
        <v>0</v>
      </c>
      <c r="J202" s="76">
        <v>0</v>
      </c>
      <c r="K202" s="76">
        <v>31814.02</v>
      </c>
      <c r="L202" s="76">
        <v>0</v>
      </c>
      <c r="M202" s="25" t="s">
        <v>489</v>
      </c>
      <c r="N202" s="76">
        <v>0</v>
      </c>
      <c r="O202" s="22">
        <f t="shared" si="3"/>
        <v>0</v>
      </c>
      <c r="P202" s="22" t="str">
        <f>_xlfn.XLOOKUP(D202,'4月份计划'!A:A,'4月份计划'!A:A)</f>
        <v>常州立天汽车零部件有限公司</v>
      </c>
    </row>
    <row r="203" s="22" customFormat="1" ht="15" customHeight="1" spans="1:16">
      <c r="A203" s="29" t="s">
        <v>444</v>
      </c>
      <c r="B203" s="32" t="s">
        <v>445</v>
      </c>
      <c r="C203" s="29" t="s">
        <v>41</v>
      </c>
      <c r="D203" s="32" t="s">
        <v>488</v>
      </c>
      <c r="E203" s="29" t="s">
        <v>41</v>
      </c>
      <c r="F203" s="29" t="s">
        <v>443</v>
      </c>
      <c r="G203" s="29" t="s">
        <v>447</v>
      </c>
      <c r="H203" s="77">
        <v>2927</v>
      </c>
      <c r="I203" s="77">
        <v>0</v>
      </c>
      <c r="J203" s="77">
        <v>0</v>
      </c>
      <c r="K203" s="77">
        <v>0</v>
      </c>
      <c r="L203" s="77">
        <v>0</v>
      </c>
      <c r="M203" s="29" t="s">
        <v>447</v>
      </c>
      <c r="N203" s="77">
        <v>2927</v>
      </c>
      <c r="O203" s="22">
        <f t="shared" si="3"/>
        <v>2927</v>
      </c>
      <c r="P203" s="22" t="e">
        <f>_xlfn.XLOOKUP(D203,'4月份计划'!A:A,'4月份计划'!A:A)</f>
        <v>#N/A</v>
      </c>
    </row>
    <row r="204" s="22" customFormat="1" ht="15" customHeight="1" spans="1:16">
      <c r="A204" s="25" t="s">
        <v>444</v>
      </c>
      <c r="B204" s="28" t="s">
        <v>445</v>
      </c>
      <c r="C204" s="25" t="s">
        <v>41</v>
      </c>
      <c r="D204" s="28" t="s">
        <v>418</v>
      </c>
      <c r="E204" s="25" t="s">
        <v>41</v>
      </c>
      <c r="F204" s="25" t="s">
        <v>443</v>
      </c>
      <c r="G204" s="25" t="s">
        <v>447</v>
      </c>
      <c r="H204" s="76">
        <v>79817.67</v>
      </c>
      <c r="I204" s="76">
        <v>79817.67</v>
      </c>
      <c r="J204" s="76">
        <v>0</v>
      </c>
      <c r="K204" s="76">
        <v>79817.67</v>
      </c>
      <c r="L204" s="76">
        <v>79817.67</v>
      </c>
      <c r="M204" s="25" t="s">
        <v>489</v>
      </c>
      <c r="N204" s="76">
        <v>0</v>
      </c>
      <c r="O204" s="22">
        <f t="shared" si="3"/>
        <v>0</v>
      </c>
      <c r="P204" s="22" t="e">
        <f>_xlfn.XLOOKUP(D204,'4月份计划'!A:A,'4月份计划'!A:A)</f>
        <v>#N/A</v>
      </c>
    </row>
    <row r="205" s="22" customFormat="1" ht="15" customHeight="1" spans="1:16">
      <c r="A205" s="29" t="s">
        <v>444</v>
      </c>
      <c r="B205" s="32" t="s">
        <v>445</v>
      </c>
      <c r="C205" s="29" t="s">
        <v>41</v>
      </c>
      <c r="D205" s="32" t="s">
        <v>593</v>
      </c>
      <c r="E205" s="29" t="s">
        <v>41</v>
      </c>
      <c r="F205" s="29" t="s">
        <v>443</v>
      </c>
      <c r="G205" s="29" t="s">
        <v>489</v>
      </c>
      <c r="H205" s="77">
        <v>0</v>
      </c>
      <c r="I205" s="77">
        <v>0</v>
      </c>
      <c r="J205" s="77">
        <v>0</v>
      </c>
      <c r="K205" s="77">
        <v>0</v>
      </c>
      <c r="L205" s="77">
        <v>0</v>
      </c>
      <c r="M205" s="29" t="s">
        <v>489</v>
      </c>
      <c r="N205" s="77">
        <v>0</v>
      </c>
      <c r="O205" s="22">
        <f t="shared" si="3"/>
        <v>0</v>
      </c>
      <c r="P205" s="22" t="e">
        <f>_xlfn.XLOOKUP(D205,'4月份计划'!A:A,'4月份计划'!A:A)</f>
        <v>#N/A</v>
      </c>
    </row>
    <row r="206" s="22" customFormat="1" ht="15" customHeight="1" spans="1:16">
      <c r="A206" s="25" t="s">
        <v>444</v>
      </c>
      <c r="B206" s="28" t="s">
        <v>445</v>
      </c>
      <c r="C206" s="25" t="s">
        <v>41</v>
      </c>
      <c r="D206" s="28" t="s">
        <v>314</v>
      </c>
      <c r="E206" s="25" t="s">
        <v>41</v>
      </c>
      <c r="F206" s="25" t="s">
        <v>443</v>
      </c>
      <c r="G206" s="25" t="s">
        <v>447</v>
      </c>
      <c r="H206" s="76">
        <v>76135.85</v>
      </c>
      <c r="I206" s="76">
        <v>53688.96</v>
      </c>
      <c r="J206" s="76">
        <v>38159.7</v>
      </c>
      <c r="K206" s="76">
        <v>121021.99</v>
      </c>
      <c r="L206" s="76">
        <v>114295.55</v>
      </c>
      <c r="M206" s="25" t="s">
        <v>447</v>
      </c>
      <c r="N206" s="76">
        <v>60606.59</v>
      </c>
      <c r="O206" s="22">
        <f t="shared" si="3"/>
        <v>60606.59</v>
      </c>
      <c r="P206" s="22" t="str">
        <f>_xlfn.XLOOKUP(D206,'4月份计划'!A:A,'4月份计划'!A:A)</f>
        <v>北京美好生活家居用品有限公司</v>
      </c>
    </row>
    <row r="207" s="22" customFormat="1" ht="15" customHeight="1" spans="1:16">
      <c r="A207" s="29" t="s">
        <v>444</v>
      </c>
      <c r="B207" s="32" t="s">
        <v>445</v>
      </c>
      <c r="C207" s="29" t="s">
        <v>41</v>
      </c>
      <c r="D207" s="32" t="s">
        <v>317</v>
      </c>
      <c r="E207" s="29" t="s">
        <v>41</v>
      </c>
      <c r="F207" s="29" t="s">
        <v>443</v>
      </c>
      <c r="G207" s="29" t="s">
        <v>447</v>
      </c>
      <c r="H207" s="77">
        <v>226113.92</v>
      </c>
      <c r="I207" s="77">
        <v>6328</v>
      </c>
      <c r="J207" s="77">
        <v>21198.8</v>
      </c>
      <c r="K207" s="77">
        <v>6328</v>
      </c>
      <c r="L207" s="77">
        <v>247312.72</v>
      </c>
      <c r="M207" s="29" t="s">
        <v>447</v>
      </c>
      <c r="N207" s="77">
        <v>240984.72</v>
      </c>
      <c r="O207" s="22">
        <f t="shared" si="3"/>
        <v>240984.72</v>
      </c>
      <c r="P207" s="22" t="str">
        <f>_xlfn.XLOOKUP(D207,'4月份计划'!A:A,'4月份计划'!A:A)</f>
        <v>天津力登维汽车部件有限公司</v>
      </c>
    </row>
    <row r="208" s="22" customFormat="1" ht="15" customHeight="1" spans="1:16">
      <c r="A208" s="25" t="s">
        <v>444</v>
      </c>
      <c r="B208" s="28" t="s">
        <v>445</v>
      </c>
      <c r="C208" s="25" t="s">
        <v>41</v>
      </c>
      <c r="D208" s="28" t="s">
        <v>282</v>
      </c>
      <c r="E208" s="25" t="s">
        <v>41</v>
      </c>
      <c r="F208" s="25" t="s">
        <v>443</v>
      </c>
      <c r="G208" s="25" t="s">
        <v>447</v>
      </c>
      <c r="H208" s="76">
        <v>89496</v>
      </c>
      <c r="I208" s="76">
        <v>0</v>
      </c>
      <c r="J208" s="76">
        <v>69156</v>
      </c>
      <c r="K208" s="76">
        <v>85600</v>
      </c>
      <c r="L208" s="76">
        <v>158652</v>
      </c>
      <c r="M208" s="25" t="s">
        <v>447</v>
      </c>
      <c r="N208" s="76">
        <v>158652</v>
      </c>
      <c r="O208" s="22">
        <f t="shared" si="3"/>
        <v>158652</v>
      </c>
      <c r="P208" s="22" t="str">
        <f>_xlfn.XLOOKUP(D208,'4月份计划'!A:A,'4月份计划'!A:A)</f>
        <v>天津鑫淼塑料制品有限公司</v>
      </c>
    </row>
    <row r="209" s="22" customFormat="1" ht="15" customHeight="1" spans="1:16">
      <c r="A209" s="29" t="s">
        <v>444</v>
      </c>
      <c r="B209" s="32" t="s">
        <v>445</v>
      </c>
      <c r="C209" s="29" t="s">
        <v>41</v>
      </c>
      <c r="D209" s="32" t="s">
        <v>307</v>
      </c>
      <c r="E209" s="29" t="s">
        <v>41</v>
      </c>
      <c r="F209" s="29" t="s">
        <v>443</v>
      </c>
      <c r="G209" s="29" t="s">
        <v>447</v>
      </c>
      <c r="H209" s="77">
        <v>13326.59</v>
      </c>
      <c r="I209" s="77">
        <v>13326.59</v>
      </c>
      <c r="J209" s="77">
        <v>7275.67</v>
      </c>
      <c r="K209" s="77">
        <v>41963.22</v>
      </c>
      <c r="L209" s="77">
        <v>20602.26</v>
      </c>
      <c r="M209" s="29" t="s">
        <v>447</v>
      </c>
      <c r="N209" s="77">
        <v>7275.67</v>
      </c>
      <c r="O209" s="22">
        <f t="shared" si="3"/>
        <v>7275.67</v>
      </c>
      <c r="P209" s="22" t="str">
        <f>_xlfn.XLOOKUP(D209,'4月份计划'!A:A,'4月份计划'!A:A)</f>
        <v>沧州宇诺五金制造有限公司</v>
      </c>
    </row>
    <row r="210" s="22" customFormat="1" ht="15" customHeight="1" spans="1:16">
      <c r="A210" s="25" t="s">
        <v>444</v>
      </c>
      <c r="B210" s="28" t="s">
        <v>445</v>
      </c>
      <c r="C210" s="25" t="s">
        <v>41</v>
      </c>
      <c r="D210" s="28" t="s">
        <v>594</v>
      </c>
      <c r="E210" s="25" t="s">
        <v>41</v>
      </c>
      <c r="F210" s="25" t="s">
        <v>443</v>
      </c>
      <c r="G210" s="25" t="s">
        <v>489</v>
      </c>
      <c r="H210" s="76">
        <v>0</v>
      </c>
      <c r="I210" s="76">
        <v>0</v>
      </c>
      <c r="J210" s="76">
        <v>0</v>
      </c>
      <c r="K210" s="76">
        <v>0</v>
      </c>
      <c r="L210" s="76">
        <v>0</v>
      </c>
      <c r="M210" s="25" t="s">
        <v>489</v>
      </c>
      <c r="N210" s="76">
        <v>0</v>
      </c>
      <c r="O210" s="22">
        <f t="shared" si="3"/>
        <v>0</v>
      </c>
      <c r="P210" s="22" t="e">
        <f>_xlfn.XLOOKUP(D210,'4月份计划'!A:A,'4月份计划'!A:A)</f>
        <v>#N/A</v>
      </c>
    </row>
    <row r="211" s="22" customFormat="1" ht="15" customHeight="1" spans="1:16">
      <c r="A211" s="29" t="s">
        <v>444</v>
      </c>
      <c r="B211" s="32" t="s">
        <v>445</v>
      </c>
      <c r="C211" s="29" t="s">
        <v>41</v>
      </c>
      <c r="D211" s="32" t="s">
        <v>305</v>
      </c>
      <c r="E211" s="29" t="s">
        <v>41</v>
      </c>
      <c r="F211" s="29" t="s">
        <v>443</v>
      </c>
      <c r="G211" s="29" t="s">
        <v>447</v>
      </c>
      <c r="H211" s="77">
        <v>7983.45</v>
      </c>
      <c r="I211" s="77">
        <v>4135.8</v>
      </c>
      <c r="J211" s="77">
        <v>0</v>
      </c>
      <c r="K211" s="77">
        <v>11627.7</v>
      </c>
      <c r="L211" s="77">
        <v>7983.45</v>
      </c>
      <c r="M211" s="29" t="s">
        <v>447</v>
      </c>
      <c r="N211" s="77">
        <v>3847.65</v>
      </c>
      <c r="O211" s="22">
        <f t="shared" si="3"/>
        <v>3847.65</v>
      </c>
      <c r="P211" s="22" t="str">
        <f>_xlfn.XLOOKUP(D211,'4月份计划'!A:A,'4月份计划'!A:A)</f>
        <v>霸州市政锦五金制品有限公司</v>
      </c>
    </row>
    <row r="212" s="22" customFormat="1" ht="15" customHeight="1" spans="1:16">
      <c r="A212" s="25" t="s">
        <v>444</v>
      </c>
      <c r="B212" s="28" t="s">
        <v>445</v>
      </c>
      <c r="C212" s="25" t="s">
        <v>41</v>
      </c>
      <c r="D212" s="28" t="s">
        <v>409</v>
      </c>
      <c r="E212" s="25" t="s">
        <v>41</v>
      </c>
      <c r="F212" s="25" t="s">
        <v>443</v>
      </c>
      <c r="G212" s="25" t="s">
        <v>489</v>
      </c>
      <c r="H212" s="76">
        <v>0</v>
      </c>
      <c r="I212" s="76">
        <v>0</v>
      </c>
      <c r="J212" s="76">
        <v>0</v>
      </c>
      <c r="K212" s="76">
        <v>74590.72</v>
      </c>
      <c r="L212" s="76">
        <v>0</v>
      </c>
      <c r="M212" s="25" t="s">
        <v>489</v>
      </c>
      <c r="N212" s="76">
        <v>0</v>
      </c>
      <c r="O212" s="22">
        <f t="shared" si="3"/>
        <v>0</v>
      </c>
      <c r="P212" s="22" t="e">
        <f>_xlfn.XLOOKUP(D212,'4月份计划'!A:A,'4月份计划'!A:A)</f>
        <v>#N/A</v>
      </c>
    </row>
    <row r="213" s="22" customFormat="1" ht="15" customHeight="1" spans="1:16">
      <c r="A213" s="29" t="s">
        <v>444</v>
      </c>
      <c r="B213" s="32" t="s">
        <v>445</v>
      </c>
      <c r="C213" s="29" t="s">
        <v>41</v>
      </c>
      <c r="D213" s="32" t="s">
        <v>308</v>
      </c>
      <c r="E213" s="29" t="s">
        <v>41</v>
      </c>
      <c r="F213" s="29" t="s">
        <v>443</v>
      </c>
      <c r="G213" s="29" t="s">
        <v>447</v>
      </c>
      <c r="H213" s="77">
        <v>10122.54</v>
      </c>
      <c r="I213" s="77">
        <v>0</v>
      </c>
      <c r="J213" s="77">
        <v>21944.6</v>
      </c>
      <c r="K213" s="77">
        <v>39859.62</v>
      </c>
      <c r="L213" s="77">
        <v>32067.14</v>
      </c>
      <c r="M213" s="29" t="s">
        <v>447</v>
      </c>
      <c r="N213" s="77">
        <v>32067.14</v>
      </c>
      <c r="O213" s="22">
        <f t="shared" si="3"/>
        <v>32067.14</v>
      </c>
      <c r="P213" s="22" t="str">
        <f>_xlfn.XLOOKUP(D213,'4月份计划'!A:A,'4月份计划'!A:A)</f>
        <v>清河县沁园汽车零部件有限公司</v>
      </c>
    </row>
    <row r="214" s="22" customFormat="1" ht="15" customHeight="1" spans="1:16">
      <c r="A214" s="25" t="s">
        <v>444</v>
      </c>
      <c r="B214" s="28" t="s">
        <v>445</v>
      </c>
      <c r="C214" s="25" t="s">
        <v>41</v>
      </c>
      <c r="D214" s="28" t="s">
        <v>321</v>
      </c>
      <c r="E214" s="25" t="s">
        <v>41</v>
      </c>
      <c r="F214" s="25" t="s">
        <v>443</v>
      </c>
      <c r="G214" s="25" t="s">
        <v>447</v>
      </c>
      <c r="H214" s="76">
        <v>2623.12</v>
      </c>
      <c r="I214" s="76">
        <v>0</v>
      </c>
      <c r="J214" s="76">
        <v>874.37</v>
      </c>
      <c r="K214" s="76">
        <v>0</v>
      </c>
      <c r="L214" s="76">
        <v>3497.49</v>
      </c>
      <c r="M214" s="25" t="s">
        <v>447</v>
      </c>
      <c r="N214" s="76">
        <v>3497.49</v>
      </c>
      <c r="O214" s="22">
        <f t="shared" si="3"/>
        <v>3497.49</v>
      </c>
      <c r="P214" s="22" t="str">
        <f>_xlfn.XLOOKUP(D214,'4月份计划'!A:A,'4月份计划'!A:A)</f>
        <v>霸州市汇行汽车零部件有限公司</v>
      </c>
    </row>
    <row r="215" s="22" customFormat="1" ht="15" customHeight="1" spans="1:16">
      <c r="A215" s="29" t="s">
        <v>444</v>
      </c>
      <c r="B215" s="32" t="s">
        <v>445</v>
      </c>
      <c r="C215" s="29" t="s">
        <v>41</v>
      </c>
      <c r="D215" s="32" t="s">
        <v>309</v>
      </c>
      <c r="E215" s="29" t="s">
        <v>41</v>
      </c>
      <c r="F215" s="29" t="s">
        <v>443</v>
      </c>
      <c r="G215" s="29" t="s">
        <v>489</v>
      </c>
      <c r="H215" s="77">
        <v>0</v>
      </c>
      <c r="I215" s="77">
        <v>0</v>
      </c>
      <c r="J215" s="77">
        <v>1622.68</v>
      </c>
      <c r="K215" s="77">
        <v>9736.08</v>
      </c>
      <c r="L215" s="77">
        <v>1622.68</v>
      </c>
      <c r="M215" s="29" t="s">
        <v>447</v>
      </c>
      <c r="N215" s="77">
        <v>1622.68</v>
      </c>
      <c r="O215" s="22">
        <f t="shared" si="3"/>
        <v>1622.68</v>
      </c>
      <c r="P215" s="22" t="str">
        <f>_xlfn.XLOOKUP(D215,'4月份计划'!A:A,'4月份计划'!A:A)</f>
        <v>新梦顶（上海）贸易有限公司</v>
      </c>
    </row>
    <row r="216" s="22" customFormat="1" ht="15" customHeight="1" spans="1:16">
      <c r="A216" s="25" t="s">
        <v>444</v>
      </c>
      <c r="B216" s="28" t="s">
        <v>445</v>
      </c>
      <c r="C216" s="25" t="s">
        <v>41</v>
      </c>
      <c r="D216" s="28" t="s">
        <v>595</v>
      </c>
      <c r="E216" s="25" t="s">
        <v>41</v>
      </c>
      <c r="F216" s="25" t="s">
        <v>443</v>
      </c>
      <c r="G216" s="25" t="s">
        <v>489</v>
      </c>
      <c r="H216" s="76">
        <v>0</v>
      </c>
      <c r="I216" s="76">
        <v>0</v>
      </c>
      <c r="J216" s="76">
        <v>0</v>
      </c>
      <c r="K216" s="76">
        <v>0</v>
      </c>
      <c r="L216" s="76">
        <v>0</v>
      </c>
      <c r="M216" s="25" t="s">
        <v>489</v>
      </c>
      <c r="N216" s="76">
        <v>0</v>
      </c>
      <c r="O216" s="22">
        <f t="shared" si="3"/>
        <v>0</v>
      </c>
      <c r="P216" s="22" t="e">
        <f>_xlfn.XLOOKUP(D216,'4月份计划'!A:A,'4月份计划'!A:A)</f>
        <v>#N/A</v>
      </c>
    </row>
    <row r="217" s="22" customFormat="1" ht="15" customHeight="1" spans="1:16">
      <c r="A217" s="29" t="s">
        <v>444</v>
      </c>
      <c r="B217" s="32" t="s">
        <v>445</v>
      </c>
      <c r="C217" s="29" t="s">
        <v>41</v>
      </c>
      <c r="D217" s="32" t="s">
        <v>286</v>
      </c>
      <c r="E217" s="29" t="s">
        <v>41</v>
      </c>
      <c r="F217" s="29" t="s">
        <v>443</v>
      </c>
      <c r="G217" s="29" t="s">
        <v>447</v>
      </c>
      <c r="H217" s="77">
        <v>105580.99</v>
      </c>
      <c r="I217" s="77">
        <v>0</v>
      </c>
      <c r="J217" s="77">
        <v>0</v>
      </c>
      <c r="K217" s="77">
        <v>0</v>
      </c>
      <c r="L217" s="77">
        <v>105580.99</v>
      </c>
      <c r="M217" s="29" t="s">
        <v>447</v>
      </c>
      <c r="N217" s="77">
        <v>105580.99</v>
      </c>
      <c r="O217" s="22">
        <f t="shared" si="3"/>
        <v>105580.99</v>
      </c>
      <c r="P217" s="22" t="str">
        <f>_xlfn.XLOOKUP(D217,'4月份计划'!A:A,'4月份计划'!A:A)</f>
        <v>俱泰(上海)汽车零部件有限公司</v>
      </c>
    </row>
    <row r="218" s="22" customFormat="1" ht="15" customHeight="1" spans="1:16">
      <c r="A218" s="25" t="s">
        <v>444</v>
      </c>
      <c r="B218" s="28" t="s">
        <v>445</v>
      </c>
      <c r="C218" s="25" t="s">
        <v>41</v>
      </c>
      <c r="D218" s="28" t="s">
        <v>313</v>
      </c>
      <c r="E218" s="25" t="s">
        <v>41</v>
      </c>
      <c r="F218" s="25" t="s">
        <v>443</v>
      </c>
      <c r="G218" s="25" t="s">
        <v>447</v>
      </c>
      <c r="H218" s="76">
        <v>47071.28</v>
      </c>
      <c r="I218" s="76">
        <v>40426.88</v>
      </c>
      <c r="J218" s="76">
        <v>0</v>
      </c>
      <c r="K218" s="76">
        <v>44413.72</v>
      </c>
      <c r="L218" s="76">
        <v>47071.28</v>
      </c>
      <c r="M218" s="25" t="s">
        <v>447</v>
      </c>
      <c r="N218" s="76">
        <v>6644.4</v>
      </c>
      <c r="O218" s="22">
        <f t="shared" si="3"/>
        <v>6644.4</v>
      </c>
      <c r="P218" s="22" t="str">
        <f>_xlfn.XLOOKUP(D218,'4月份计划'!A:A,'4月份计划'!A:A)</f>
        <v>江苏万金汽车零部件制造有限公</v>
      </c>
    </row>
    <row r="219" s="22" customFormat="1" ht="15" customHeight="1" spans="1:16">
      <c r="A219" s="29" t="s">
        <v>444</v>
      </c>
      <c r="B219" s="32" t="s">
        <v>445</v>
      </c>
      <c r="C219" s="29" t="s">
        <v>41</v>
      </c>
      <c r="D219" s="32" t="s">
        <v>315</v>
      </c>
      <c r="E219" s="29" t="s">
        <v>41</v>
      </c>
      <c r="F219" s="29" t="s">
        <v>443</v>
      </c>
      <c r="G219" s="29" t="s">
        <v>489</v>
      </c>
      <c r="H219" s="77">
        <v>0</v>
      </c>
      <c r="I219" s="77">
        <v>0</v>
      </c>
      <c r="J219" s="77">
        <v>14543.1</v>
      </c>
      <c r="K219" s="77">
        <v>3305.25</v>
      </c>
      <c r="L219" s="77">
        <v>17848.35</v>
      </c>
      <c r="M219" s="29" t="s">
        <v>447</v>
      </c>
      <c r="N219" s="77">
        <v>14543.1</v>
      </c>
      <c r="O219" s="22">
        <f t="shared" si="3"/>
        <v>14543.1</v>
      </c>
      <c r="P219" s="22" t="str">
        <f>_xlfn.XLOOKUP(D219,'4月份计划'!A:A,'4月份计划'!A:A)</f>
        <v>江苏凌派通信科技有限公司</v>
      </c>
    </row>
    <row r="220" s="22" customFormat="1" ht="15" customHeight="1" spans="1:16">
      <c r="A220" s="25" t="s">
        <v>444</v>
      </c>
      <c r="B220" s="28" t="s">
        <v>445</v>
      </c>
      <c r="C220" s="25" t="s">
        <v>41</v>
      </c>
      <c r="D220" s="28" t="s">
        <v>596</v>
      </c>
      <c r="E220" s="25" t="s">
        <v>41</v>
      </c>
      <c r="F220" s="25" t="s">
        <v>443</v>
      </c>
      <c r="G220" s="25" t="s">
        <v>489</v>
      </c>
      <c r="H220" s="76">
        <v>0</v>
      </c>
      <c r="I220" s="76">
        <v>0</v>
      </c>
      <c r="J220" s="76">
        <v>0</v>
      </c>
      <c r="K220" s="76">
        <v>0</v>
      </c>
      <c r="L220" s="76">
        <v>0</v>
      </c>
      <c r="M220" s="25" t="s">
        <v>489</v>
      </c>
      <c r="N220" s="76">
        <v>0</v>
      </c>
      <c r="O220" s="22">
        <f t="shared" si="3"/>
        <v>0</v>
      </c>
      <c r="P220" s="22" t="e">
        <f>_xlfn.XLOOKUP(D220,'4月份计划'!A:A,'4月份计划'!A:A)</f>
        <v>#N/A</v>
      </c>
    </row>
    <row r="221" s="22" customFormat="1" ht="15" customHeight="1" spans="1:16">
      <c r="A221" s="29" t="s">
        <v>444</v>
      </c>
      <c r="B221" s="32" t="s">
        <v>445</v>
      </c>
      <c r="C221" s="29" t="s">
        <v>41</v>
      </c>
      <c r="D221" s="32" t="s">
        <v>380</v>
      </c>
      <c r="E221" s="29" t="s">
        <v>41</v>
      </c>
      <c r="F221" s="29" t="s">
        <v>443</v>
      </c>
      <c r="G221" s="29" t="s">
        <v>447</v>
      </c>
      <c r="H221" s="77">
        <v>15000</v>
      </c>
      <c r="I221" s="77">
        <v>0</v>
      </c>
      <c r="J221" s="77">
        <v>0</v>
      </c>
      <c r="K221" s="77">
        <v>60000</v>
      </c>
      <c r="L221" s="77">
        <v>34000</v>
      </c>
      <c r="M221" s="29" t="s">
        <v>447</v>
      </c>
      <c r="N221" s="77">
        <v>15000</v>
      </c>
      <c r="O221" s="22">
        <f t="shared" si="3"/>
        <v>15000</v>
      </c>
      <c r="P221" s="22" t="str">
        <f>_xlfn.XLOOKUP(D221,'4月份计划'!A:A,'4月份计划'!A:A)</f>
        <v>无锡市奇胜五金制品有限公司</v>
      </c>
    </row>
    <row r="222" s="22" customFormat="1" ht="15" customHeight="1" spans="1:16">
      <c r="A222" s="25" t="s">
        <v>444</v>
      </c>
      <c r="B222" s="28" t="s">
        <v>445</v>
      </c>
      <c r="C222" s="25" t="s">
        <v>41</v>
      </c>
      <c r="D222" s="28" t="s">
        <v>290</v>
      </c>
      <c r="E222" s="25" t="s">
        <v>41</v>
      </c>
      <c r="F222" s="25" t="s">
        <v>443</v>
      </c>
      <c r="G222" s="25" t="s">
        <v>447</v>
      </c>
      <c r="H222" s="76">
        <v>11270.6</v>
      </c>
      <c r="I222" s="76">
        <v>0</v>
      </c>
      <c r="J222" s="76">
        <v>26506.41</v>
      </c>
      <c r="K222" s="76">
        <v>0</v>
      </c>
      <c r="L222" s="76">
        <v>37777.01</v>
      </c>
      <c r="M222" s="25" t="s">
        <v>447</v>
      </c>
      <c r="N222" s="76">
        <v>37777.01</v>
      </c>
      <c r="O222" s="22">
        <f t="shared" si="3"/>
        <v>37777.01</v>
      </c>
      <c r="P222" s="22" t="str">
        <f>_xlfn.XLOOKUP(D222,'4月份计划'!A:A,'4月份计划'!A:A)</f>
        <v>江阴同威科技有限公司</v>
      </c>
    </row>
    <row r="223" s="22" customFormat="1" ht="15" customHeight="1" spans="1:16">
      <c r="A223" s="29" t="s">
        <v>444</v>
      </c>
      <c r="B223" s="32" t="s">
        <v>445</v>
      </c>
      <c r="C223" s="29" t="s">
        <v>41</v>
      </c>
      <c r="D223" s="32" t="s">
        <v>319</v>
      </c>
      <c r="E223" s="29" t="s">
        <v>41</v>
      </c>
      <c r="F223" s="29" t="s">
        <v>443</v>
      </c>
      <c r="G223" s="29" t="s">
        <v>447</v>
      </c>
      <c r="H223" s="77">
        <v>5720.63</v>
      </c>
      <c r="I223" s="77">
        <v>0</v>
      </c>
      <c r="J223" s="77">
        <v>0</v>
      </c>
      <c r="K223" s="77">
        <v>0</v>
      </c>
      <c r="L223" s="77">
        <v>5720.63</v>
      </c>
      <c r="M223" s="29" t="s">
        <v>447</v>
      </c>
      <c r="N223" s="77">
        <v>5720.63</v>
      </c>
      <c r="O223" s="22">
        <f t="shared" si="3"/>
        <v>5720.63</v>
      </c>
      <c r="P223" s="22" t="str">
        <f>_xlfn.XLOOKUP(D223,'4月份计划'!A:A,'4月份计划'!A:A)</f>
        <v>昆山吉山会津塑料工业股份有限</v>
      </c>
    </row>
    <row r="224" s="22" customFormat="1" ht="15" customHeight="1" spans="1:16">
      <c r="A224" s="25" t="s">
        <v>444</v>
      </c>
      <c r="B224" s="28" t="s">
        <v>445</v>
      </c>
      <c r="C224" s="25" t="s">
        <v>41</v>
      </c>
      <c r="D224" s="28" t="s">
        <v>316</v>
      </c>
      <c r="E224" s="25" t="s">
        <v>41</v>
      </c>
      <c r="F224" s="25" t="s">
        <v>443</v>
      </c>
      <c r="G224" s="25" t="s">
        <v>447</v>
      </c>
      <c r="H224" s="76">
        <v>21022.78</v>
      </c>
      <c r="I224" s="76">
        <v>0</v>
      </c>
      <c r="J224" s="76">
        <v>0</v>
      </c>
      <c r="K224" s="76">
        <v>0</v>
      </c>
      <c r="L224" s="76">
        <v>21022.78</v>
      </c>
      <c r="M224" s="25" t="s">
        <v>447</v>
      </c>
      <c r="N224" s="76">
        <v>21022.78</v>
      </c>
      <c r="O224" s="22">
        <f t="shared" si="3"/>
        <v>21022.78</v>
      </c>
      <c r="P224" s="22" t="str">
        <f>_xlfn.XLOOKUP(D224,'4月份计划'!A:A,'4月份计划'!A:A)</f>
        <v>无锡中天汽车部件有限公司</v>
      </c>
    </row>
    <row r="225" s="22" customFormat="1" ht="15" customHeight="1" spans="1:16">
      <c r="A225" s="29" t="s">
        <v>444</v>
      </c>
      <c r="B225" s="32" t="s">
        <v>445</v>
      </c>
      <c r="C225" s="29" t="s">
        <v>41</v>
      </c>
      <c r="D225" s="32" t="s">
        <v>289</v>
      </c>
      <c r="E225" s="29" t="s">
        <v>41</v>
      </c>
      <c r="F225" s="29" t="s">
        <v>443</v>
      </c>
      <c r="G225" s="29" t="s">
        <v>447</v>
      </c>
      <c r="H225" s="77">
        <v>7739.9</v>
      </c>
      <c r="I225" s="77">
        <v>0</v>
      </c>
      <c r="J225" s="77">
        <v>0</v>
      </c>
      <c r="K225" s="77">
        <v>0</v>
      </c>
      <c r="L225" s="77">
        <v>7739.9</v>
      </c>
      <c r="M225" s="29" t="s">
        <v>447</v>
      </c>
      <c r="N225" s="77">
        <v>7739.9</v>
      </c>
      <c r="O225" s="22">
        <f t="shared" si="3"/>
        <v>7739.9</v>
      </c>
      <c r="P225" s="22" t="str">
        <f>_xlfn.XLOOKUP(D225,'4月份计划'!A:A,'4月份计划'!A:A)</f>
        <v>维克罗（中国）搭扣系统有限公</v>
      </c>
    </row>
    <row r="226" s="22" customFormat="1" ht="15" customHeight="1" spans="1:16">
      <c r="A226" s="25" t="s">
        <v>444</v>
      </c>
      <c r="B226" s="28" t="s">
        <v>445</v>
      </c>
      <c r="C226" s="25" t="s">
        <v>41</v>
      </c>
      <c r="D226" s="28" t="s">
        <v>410</v>
      </c>
      <c r="E226" s="25" t="s">
        <v>41</v>
      </c>
      <c r="F226" s="25" t="s">
        <v>443</v>
      </c>
      <c r="G226" s="25" t="s">
        <v>489</v>
      </c>
      <c r="H226" s="76">
        <v>0</v>
      </c>
      <c r="I226" s="76">
        <v>0</v>
      </c>
      <c r="J226" s="76">
        <v>0</v>
      </c>
      <c r="K226" s="76">
        <v>94880</v>
      </c>
      <c r="L226" s="76">
        <v>0</v>
      </c>
      <c r="M226" s="25" t="s">
        <v>489</v>
      </c>
      <c r="N226" s="76">
        <v>0</v>
      </c>
      <c r="O226" s="22">
        <f t="shared" si="3"/>
        <v>0</v>
      </c>
      <c r="P226" s="22" t="e">
        <f>_xlfn.XLOOKUP(D226,'4月份计划'!A:A,'4月份计划'!A:A)</f>
        <v>#N/A</v>
      </c>
    </row>
    <row r="227" s="22" customFormat="1" ht="15" customHeight="1" spans="1:16">
      <c r="A227" s="29" t="s">
        <v>444</v>
      </c>
      <c r="B227" s="32" t="s">
        <v>445</v>
      </c>
      <c r="C227" s="29" t="s">
        <v>41</v>
      </c>
      <c r="D227" s="32" t="s">
        <v>597</v>
      </c>
      <c r="E227" s="29" t="s">
        <v>41</v>
      </c>
      <c r="F227" s="29" t="s">
        <v>443</v>
      </c>
      <c r="G227" s="29" t="s">
        <v>489</v>
      </c>
      <c r="H227" s="77">
        <v>0</v>
      </c>
      <c r="I227" s="77">
        <v>0</v>
      </c>
      <c r="J227" s="77">
        <v>0</v>
      </c>
      <c r="K227" s="77">
        <v>0</v>
      </c>
      <c r="L227" s="77">
        <v>0</v>
      </c>
      <c r="M227" s="29" t="s">
        <v>489</v>
      </c>
      <c r="N227" s="77">
        <v>0</v>
      </c>
      <c r="O227" s="22">
        <f t="shared" si="3"/>
        <v>0</v>
      </c>
      <c r="P227" s="22" t="e">
        <f>_xlfn.XLOOKUP(D227,'4月份计划'!A:A,'4月份计划'!A:A)</f>
        <v>#N/A</v>
      </c>
    </row>
    <row r="228" s="22" customFormat="1" ht="15" customHeight="1" spans="1:16">
      <c r="A228" s="25" t="s">
        <v>444</v>
      </c>
      <c r="B228" s="28" t="s">
        <v>445</v>
      </c>
      <c r="C228" s="25" t="s">
        <v>41</v>
      </c>
      <c r="D228" s="28" t="s">
        <v>598</v>
      </c>
      <c r="E228" s="25" t="s">
        <v>41</v>
      </c>
      <c r="F228" s="25" t="s">
        <v>443</v>
      </c>
      <c r="G228" s="25" t="s">
        <v>489</v>
      </c>
      <c r="H228" s="76">
        <v>0</v>
      </c>
      <c r="I228" s="76">
        <v>0</v>
      </c>
      <c r="J228" s="76">
        <v>0</v>
      </c>
      <c r="K228" s="76">
        <v>0</v>
      </c>
      <c r="L228" s="76">
        <v>0</v>
      </c>
      <c r="M228" s="25" t="s">
        <v>489</v>
      </c>
      <c r="N228" s="76">
        <v>0</v>
      </c>
      <c r="O228" s="22">
        <f t="shared" si="3"/>
        <v>0</v>
      </c>
      <c r="P228" s="22" t="e">
        <f>_xlfn.XLOOKUP(D228,'4月份计划'!A:A,'4月份计划'!A:A)</f>
        <v>#N/A</v>
      </c>
    </row>
    <row r="229" s="22" customFormat="1" ht="15" customHeight="1" spans="1:16">
      <c r="A229" s="29" t="s">
        <v>444</v>
      </c>
      <c r="B229" s="32" t="s">
        <v>445</v>
      </c>
      <c r="C229" s="29" t="s">
        <v>41</v>
      </c>
      <c r="D229" s="32" t="s">
        <v>411</v>
      </c>
      <c r="E229" s="29" t="s">
        <v>41</v>
      </c>
      <c r="F229" s="29" t="s">
        <v>443</v>
      </c>
      <c r="G229" s="29" t="s">
        <v>489</v>
      </c>
      <c r="H229" s="77">
        <v>0</v>
      </c>
      <c r="I229" s="77">
        <v>0</v>
      </c>
      <c r="J229" s="77">
        <v>0</v>
      </c>
      <c r="K229" s="77">
        <v>39034.81</v>
      </c>
      <c r="L229" s="77">
        <v>0</v>
      </c>
      <c r="M229" s="29" t="s">
        <v>489</v>
      </c>
      <c r="N229" s="77">
        <v>0</v>
      </c>
      <c r="O229" s="22">
        <f t="shared" si="3"/>
        <v>0</v>
      </c>
      <c r="P229" s="22" t="e">
        <f>_xlfn.XLOOKUP(D229,'4月份计划'!A:A,'4月份计划'!A:A)</f>
        <v>#N/A</v>
      </c>
    </row>
    <row r="230" s="22" customFormat="1" ht="15" customHeight="1" spans="1:16">
      <c r="A230" s="25" t="s">
        <v>444</v>
      </c>
      <c r="B230" s="28" t="s">
        <v>445</v>
      </c>
      <c r="C230" s="25" t="s">
        <v>41</v>
      </c>
      <c r="D230" s="28" t="s">
        <v>320</v>
      </c>
      <c r="E230" s="25" t="s">
        <v>41</v>
      </c>
      <c r="F230" s="25" t="s">
        <v>443</v>
      </c>
      <c r="G230" s="25" t="s">
        <v>447</v>
      </c>
      <c r="H230" s="76">
        <v>76877.75</v>
      </c>
      <c r="I230" s="76">
        <v>0</v>
      </c>
      <c r="J230" s="76">
        <v>0</v>
      </c>
      <c r="K230" s="76">
        <v>0</v>
      </c>
      <c r="L230" s="76">
        <v>76877.75</v>
      </c>
      <c r="M230" s="25" t="s">
        <v>447</v>
      </c>
      <c r="N230" s="76">
        <v>76877.75</v>
      </c>
      <c r="O230" s="22">
        <f t="shared" si="3"/>
        <v>76877.75</v>
      </c>
      <c r="P230" s="22" t="str">
        <f>_xlfn.XLOOKUP(D230,'4月份计划'!A:A,'4月份计划'!A:A)</f>
        <v>武汉凯密科汽车零部件有限公司</v>
      </c>
    </row>
    <row r="231" s="22" customFormat="1" ht="15" customHeight="1" spans="1:16">
      <c r="A231" s="29" t="s">
        <v>444</v>
      </c>
      <c r="B231" s="32" t="s">
        <v>445</v>
      </c>
      <c r="C231" s="29" t="s">
        <v>41</v>
      </c>
      <c r="D231" s="32" t="s">
        <v>288</v>
      </c>
      <c r="E231" s="29" t="s">
        <v>41</v>
      </c>
      <c r="F231" s="29" t="s">
        <v>443</v>
      </c>
      <c r="G231" s="29" t="s">
        <v>447</v>
      </c>
      <c r="H231" s="77">
        <v>39631.36</v>
      </c>
      <c r="I231" s="77">
        <v>0</v>
      </c>
      <c r="J231" s="77">
        <v>0</v>
      </c>
      <c r="K231" s="77">
        <v>0</v>
      </c>
      <c r="L231" s="77">
        <v>39631.36</v>
      </c>
      <c r="M231" s="29" t="s">
        <v>447</v>
      </c>
      <c r="N231" s="77">
        <v>39631.36</v>
      </c>
      <c r="O231" s="22">
        <f t="shared" si="3"/>
        <v>39631.36</v>
      </c>
      <c r="P231" s="22" t="str">
        <f>_xlfn.XLOOKUP(D231,'4月份计划'!A:A,'4月份计划'!A:A)</f>
        <v>广州市三泰汽车内饰材料有限公</v>
      </c>
    </row>
    <row r="232" s="22" customFormat="1" ht="15" customHeight="1" spans="1:16">
      <c r="A232" s="25" t="s">
        <v>444</v>
      </c>
      <c r="B232" s="28" t="s">
        <v>445</v>
      </c>
      <c r="C232" s="25" t="s">
        <v>41</v>
      </c>
      <c r="D232" s="28" t="s">
        <v>291</v>
      </c>
      <c r="E232" s="25" t="s">
        <v>41</v>
      </c>
      <c r="F232" s="25" t="s">
        <v>443</v>
      </c>
      <c r="G232" s="25" t="s">
        <v>489</v>
      </c>
      <c r="H232" s="76">
        <v>0</v>
      </c>
      <c r="I232" s="76">
        <v>0</v>
      </c>
      <c r="J232" s="76">
        <v>72279.84</v>
      </c>
      <c r="K232" s="76">
        <v>0</v>
      </c>
      <c r="L232" s="76">
        <v>72279.84</v>
      </c>
      <c r="M232" s="25" t="s">
        <v>447</v>
      </c>
      <c r="N232" s="76">
        <v>72279.84</v>
      </c>
      <c r="O232" s="22">
        <f t="shared" si="3"/>
        <v>72279.84</v>
      </c>
      <c r="P232" s="22" t="str">
        <f>_xlfn.XLOOKUP(D232,'4月份计划'!A:A,'4月份计划'!A:A)</f>
        <v>深圳市新和荣无纺布有限公司</v>
      </c>
    </row>
    <row r="233" s="22" customFormat="1" ht="15" customHeight="1" spans="1:16">
      <c r="A233" s="29" t="s">
        <v>444</v>
      </c>
      <c r="B233" s="32" t="s">
        <v>445</v>
      </c>
      <c r="C233" s="29" t="s">
        <v>41</v>
      </c>
      <c r="D233" s="32" t="s">
        <v>287</v>
      </c>
      <c r="E233" s="29" t="s">
        <v>41</v>
      </c>
      <c r="F233" s="29" t="s">
        <v>443</v>
      </c>
      <c r="G233" s="29" t="s">
        <v>447</v>
      </c>
      <c r="H233" s="77">
        <v>55019.85</v>
      </c>
      <c r="I233" s="77">
        <v>0</v>
      </c>
      <c r="J233" s="77">
        <v>0</v>
      </c>
      <c r="K233" s="77">
        <v>0</v>
      </c>
      <c r="L233" s="77">
        <v>55019.85</v>
      </c>
      <c r="M233" s="29" t="s">
        <v>447</v>
      </c>
      <c r="N233" s="77">
        <v>55019.85</v>
      </c>
      <c r="O233" s="22">
        <f t="shared" si="3"/>
        <v>55019.85</v>
      </c>
      <c r="P233" s="22" t="str">
        <f>_xlfn.XLOOKUP(D233,'4月份计划'!A:A,'4月份计划'!A:A)</f>
        <v>广州自强汽车零部件有限公司</v>
      </c>
    </row>
    <row r="234" s="22" customFormat="1" ht="15" customHeight="1" spans="1:16">
      <c r="A234" s="25" t="s">
        <v>444</v>
      </c>
      <c r="B234" s="28" t="s">
        <v>445</v>
      </c>
      <c r="C234" s="25" t="s">
        <v>41</v>
      </c>
      <c r="D234" s="28" t="s">
        <v>240</v>
      </c>
      <c r="E234" s="25" t="s">
        <v>41</v>
      </c>
      <c r="F234" s="25" t="s">
        <v>443</v>
      </c>
      <c r="G234" s="25" t="s">
        <v>447</v>
      </c>
      <c r="H234" s="76">
        <v>149827.14</v>
      </c>
      <c r="I234" s="76">
        <v>1853.2</v>
      </c>
      <c r="J234" s="76">
        <v>87944.28</v>
      </c>
      <c r="K234" s="76">
        <v>60549.92</v>
      </c>
      <c r="L234" s="76">
        <v>237771.42</v>
      </c>
      <c r="M234" s="25" t="s">
        <v>447</v>
      </c>
      <c r="N234" s="76">
        <v>235918.22</v>
      </c>
      <c r="O234" s="22">
        <f t="shared" si="3"/>
        <v>235918.22</v>
      </c>
      <c r="P234" s="22" t="str">
        <f>_xlfn.XLOOKUP(D234,'4月份计划'!A:A,'4月份计划'!A:A)</f>
        <v>重庆厚元汽车配件有限公司</v>
      </c>
    </row>
    <row r="235" s="22" customFormat="1" ht="15" customHeight="1" spans="1:16">
      <c r="A235" s="29" t="s">
        <v>444</v>
      </c>
      <c r="B235" s="32" t="s">
        <v>445</v>
      </c>
      <c r="C235" s="29" t="s">
        <v>41</v>
      </c>
      <c r="D235" s="32" t="s">
        <v>318</v>
      </c>
      <c r="E235" s="29" t="s">
        <v>41</v>
      </c>
      <c r="F235" s="29" t="s">
        <v>443</v>
      </c>
      <c r="G235" s="29" t="s">
        <v>447</v>
      </c>
      <c r="H235" s="77">
        <v>143124.1</v>
      </c>
      <c r="I235" s="77">
        <v>0</v>
      </c>
      <c r="J235" s="77">
        <v>237747.11</v>
      </c>
      <c r="K235" s="77">
        <v>0</v>
      </c>
      <c r="L235" s="77">
        <v>380871.21</v>
      </c>
      <c r="M235" s="29" t="s">
        <v>447</v>
      </c>
      <c r="N235" s="77">
        <v>380871.21</v>
      </c>
      <c r="O235" s="22">
        <f t="shared" si="3"/>
        <v>380871.21</v>
      </c>
      <c r="P235" s="22" t="str">
        <f>_xlfn.XLOOKUP(D235,'4月份计划'!A:A,'4月份计划'!A:A)</f>
        <v>重庆品高弹簧有限公司</v>
      </c>
    </row>
    <row r="236" spans="15:16">
      <c r="O236" s="22">
        <f>SUM(O4:O235)</f>
        <v>20212689.13</v>
      </c>
      <c r="P236" s="22">
        <f>_xlfn.XLOOKUP(D236,'4月份计划'!A:A,'4月份计划'!A:A)</f>
        <v>0</v>
      </c>
    </row>
  </sheetData>
  <autoFilter xmlns:etc="http://www.wps.cn/officeDocument/2017/etCustomData" ref="A1:O236" etc:filterBottomFollowUsedRange="0">
    <extLst/>
  </autoFilter>
  <pageMargins left="0.75" right="0.75" top="1" bottom="1" header="0.5" footer="0.5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1"/>
  <dimension ref="A1:P239"/>
  <sheetViews>
    <sheetView topLeftCell="A204" workbookViewId="0">
      <pane xSplit="28725" topLeftCell="Q1" activePane="topLeft"/>
      <selection activeCell="I234" sqref="I234"/>
      <selection pane="topRight"/>
    </sheetView>
  </sheetViews>
  <sheetFormatPr defaultColWidth="8" defaultRowHeight="12.75"/>
  <cols>
    <col min="1" max="1" width="7.75" style="22" customWidth="1"/>
    <col min="2" max="2" width="15.75" style="22" customWidth="1"/>
    <col min="3" max="3" width="9.375" style="22" customWidth="1"/>
    <col min="4" max="4" width="23.125" style="22" customWidth="1"/>
    <col min="5" max="6" width="7.75" style="22" customWidth="1"/>
    <col min="7" max="7" width="8.125" style="22" customWidth="1"/>
    <col min="8" max="8" width="10.75" style="22" customWidth="1"/>
    <col min="9" max="10" width="12.375" style="22" customWidth="1"/>
    <col min="11" max="12" width="10.875" style="22" customWidth="1"/>
    <col min="13" max="13" width="8.125" style="22" customWidth="1"/>
    <col min="14" max="14" width="10.75" style="22" customWidth="1"/>
    <col min="15" max="15" width="12.25" style="22"/>
    <col min="16" max="16" width="26.875" style="22" customWidth="1"/>
    <col min="17" max="16384" width="8" style="22"/>
  </cols>
  <sheetData>
    <row r="1" s="22" customFormat="1" spans="1:14">
      <c r="A1" s="23" t="s">
        <v>429</v>
      </c>
      <c r="B1" s="23" t="s">
        <v>430</v>
      </c>
      <c r="C1" s="23" t="s">
        <v>431</v>
      </c>
      <c r="D1" s="23" t="s">
        <v>432</v>
      </c>
      <c r="E1" s="23" t="s">
        <v>433</v>
      </c>
      <c r="F1" s="23" t="s">
        <v>434</v>
      </c>
      <c r="G1" s="23" t="s">
        <v>435</v>
      </c>
      <c r="H1" s="24" t="s">
        <v>436</v>
      </c>
      <c r="I1" s="24" t="s">
        <v>437</v>
      </c>
      <c r="J1" s="24" t="s">
        <v>438</v>
      </c>
      <c r="K1" s="24" t="s">
        <v>439</v>
      </c>
      <c r="L1" s="24" t="s">
        <v>440</v>
      </c>
      <c r="M1" s="23" t="s">
        <v>435</v>
      </c>
      <c r="N1" s="24" t="s">
        <v>441</v>
      </c>
    </row>
    <row r="2" s="22" customFormat="1" ht="15" customHeight="1" spans="1:14">
      <c r="A2" s="25" t="s">
        <v>41</v>
      </c>
      <c r="B2" s="28" t="s">
        <v>41</v>
      </c>
      <c r="C2" s="25" t="s">
        <v>41</v>
      </c>
      <c r="D2" s="28" t="s">
        <v>41</v>
      </c>
      <c r="E2" s="25" t="s">
        <v>41</v>
      </c>
      <c r="F2" s="25" t="s">
        <v>443</v>
      </c>
      <c r="G2" s="25" t="s">
        <v>41</v>
      </c>
      <c r="H2" s="76">
        <v>-27759514.21</v>
      </c>
      <c r="I2" s="76">
        <v>8049758.13</v>
      </c>
      <c r="J2" s="76">
        <v>13818259.31</v>
      </c>
      <c r="K2" s="76">
        <v>56835135.43</v>
      </c>
      <c r="L2" s="76">
        <v>60528854.1</v>
      </c>
      <c r="M2" s="25" t="s">
        <v>41</v>
      </c>
      <c r="N2" s="76">
        <v>-33528015.39</v>
      </c>
    </row>
    <row r="3" s="22" customFormat="1" ht="15" customHeight="1" spans="1:14">
      <c r="A3" s="29" t="s">
        <v>444</v>
      </c>
      <c r="B3" s="32" t="s">
        <v>445</v>
      </c>
      <c r="C3" s="29" t="s">
        <v>41</v>
      </c>
      <c r="D3" s="32" t="s">
        <v>41</v>
      </c>
      <c r="E3" s="29" t="s">
        <v>492</v>
      </c>
      <c r="F3" s="29" t="s">
        <v>443</v>
      </c>
      <c r="G3" s="29" t="s">
        <v>447</v>
      </c>
      <c r="H3" s="77">
        <v>0</v>
      </c>
      <c r="I3" s="77">
        <v>1874561.18</v>
      </c>
      <c r="J3" s="77">
        <v>1874561.18</v>
      </c>
      <c r="K3" s="77">
        <v>10779427.18</v>
      </c>
      <c r="L3" s="77">
        <v>10779427.18</v>
      </c>
      <c r="M3" s="29" t="s">
        <v>447</v>
      </c>
      <c r="N3" s="77">
        <v>0</v>
      </c>
    </row>
    <row r="4" s="22" customFormat="1" ht="15" customHeight="1" spans="1:16">
      <c r="A4" s="25" t="s">
        <v>444</v>
      </c>
      <c r="B4" s="28" t="s">
        <v>445</v>
      </c>
      <c r="C4" s="25" t="s">
        <v>41</v>
      </c>
      <c r="D4" s="28" t="s">
        <v>493</v>
      </c>
      <c r="E4" s="25" t="s">
        <v>41</v>
      </c>
      <c r="F4" s="25" t="s">
        <v>443</v>
      </c>
      <c r="G4" s="25" t="s">
        <v>489</v>
      </c>
      <c r="H4" s="76">
        <v>0</v>
      </c>
      <c r="I4" s="76">
        <v>0</v>
      </c>
      <c r="J4" s="76">
        <v>0</v>
      </c>
      <c r="K4" s="76">
        <v>0</v>
      </c>
      <c r="L4" s="76">
        <v>0</v>
      </c>
      <c r="M4" s="25" t="s">
        <v>489</v>
      </c>
      <c r="N4" s="76">
        <v>0</v>
      </c>
      <c r="O4" s="22">
        <f t="shared" ref="O4:O67" si="0">IF(M4="贷",N4,-N4)</f>
        <v>0</v>
      </c>
      <c r="P4" s="78" t="str">
        <f>IF(O4=0,"",_xlfn.XLOOKUP(D4,'5月份计划'!A:A,'5月份计划'!A:A))</f>
        <v/>
      </c>
    </row>
    <row r="5" s="22" customFormat="1" ht="15" hidden="1" customHeight="1" spans="1:16">
      <c r="A5" s="25" t="s">
        <v>444</v>
      </c>
      <c r="B5" s="28" t="s">
        <v>445</v>
      </c>
      <c r="C5" s="25" t="s">
        <v>41</v>
      </c>
      <c r="D5" s="28" t="s">
        <v>446</v>
      </c>
      <c r="E5" s="25" t="s">
        <v>41</v>
      </c>
      <c r="F5" s="25" t="s">
        <v>443</v>
      </c>
      <c r="G5" s="25" t="s">
        <v>447</v>
      </c>
      <c r="H5" s="76">
        <v>15042679.1</v>
      </c>
      <c r="I5" s="76">
        <v>0</v>
      </c>
      <c r="J5" s="76">
        <v>1335850.36</v>
      </c>
      <c r="K5" s="76">
        <v>0</v>
      </c>
      <c r="L5" s="76">
        <v>7973592.89</v>
      </c>
      <c r="M5" s="25" t="s">
        <v>447</v>
      </c>
      <c r="N5" s="76">
        <v>16378529.46</v>
      </c>
      <c r="O5" s="22">
        <f t="shared" si="0"/>
        <v>16378529.46</v>
      </c>
      <c r="P5" s="78" t="e">
        <f>IF(O5=0,"",_xlfn.XLOOKUP(D5,'5月份计划'!A:A,'5月份计划'!A:A))</f>
        <v>#N/A</v>
      </c>
    </row>
    <row r="6" s="22" customFormat="1" ht="15" customHeight="1" spans="1:16">
      <c r="A6" s="29" t="s">
        <v>444</v>
      </c>
      <c r="B6" s="32" t="s">
        <v>445</v>
      </c>
      <c r="C6" s="29" t="s">
        <v>41</v>
      </c>
      <c r="D6" s="32" t="s">
        <v>414</v>
      </c>
      <c r="E6" s="29" t="s">
        <v>41</v>
      </c>
      <c r="F6" s="29" t="s">
        <v>443</v>
      </c>
      <c r="G6" s="29" t="s">
        <v>489</v>
      </c>
      <c r="H6" s="77">
        <v>0</v>
      </c>
      <c r="I6" s="77">
        <v>0</v>
      </c>
      <c r="J6" s="77">
        <v>0</v>
      </c>
      <c r="K6" s="77">
        <v>0</v>
      </c>
      <c r="L6" s="77">
        <v>0</v>
      </c>
      <c r="M6" s="29" t="s">
        <v>489</v>
      </c>
      <c r="N6" s="77">
        <v>0</v>
      </c>
      <c r="O6" s="22">
        <f t="shared" si="0"/>
        <v>0</v>
      </c>
      <c r="P6" s="78" t="str">
        <f>IF(O6=0,"",_xlfn.XLOOKUP(D6,'5月份计划'!A:A,'5月份计划'!A:A))</f>
        <v/>
      </c>
    </row>
    <row r="7" s="22" customFormat="1" ht="15" customHeight="1" spans="1:16">
      <c r="A7" s="25" t="s">
        <v>444</v>
      </c>
      <c r="B7" s="28" t="s">
        <v>445</v>
      </c>
      <c r="C7" s="25" t="s">
        <v>41</v>
      </c>
      <c r="D7" s="28" t="s">
        <v>448</v>
      </c>
      <c r="E7" s="25" t="s">
        <v>41</v>
      </c>
      <c r="F7" s="25" t="s">
        <v>443</v>
      </c>
      <c r="G7" s="25" t="s">
        <v>447</v>
      </c>
      <c r="H7" s="76">
        <v>80.3</v>
      </c>
      <c r="I7" s="76">
        <v>0</v>
      </c>
      <c r="J7" s="76">
        <v>0</v>
      </c>
      <c r="K7" s="76">
        <v>0</v>
      </c>
      <c r="L7" s="76">
        <v>0</v>
      </c>
      <c r="M7" s="25" t="s">
        <v>447</v>
      </c>
      <c r="N7" s="76">
        <v>80.3</v>
      </c>
      <c r="O7" s="22">
        <f t="shared" si="0"/>
        <v>80.3</v>
      </c>
      <c r="P7" s="78" t="e">
        <f>IF(O7=0,"",_xlfn.XLOOKUP(D7,'5月份计划'!A:A,'5月份计划'!A:A))</f>
        <v>#N/A</v>
      </c>
    </row>
    <row r="8" s="22" customFormat="1" ht="15" customHeight="1" spans="1:16">
      <c r="A8" s="29" t="s">
        <v>444</v>
      </c>
      <c r="B8" s="32" t="s">
        <v>445</v>
      </c>
      <c r="C8" s="29" t="s">
        <v>41</v>
      </c>
      <c r="D8" s="32" t="s">
        <v>494</v>
      </c>
      <c r="E8" s="29" t="s">
        <v>41</v>
      </c>
      <c r="F8" s="29" t="s">
        <v>443</v>
      </c>
      <c r="G8" s="29" t="s">
        <v>489</v>
      </c>
      <c r="H8" s="77">
        <v>0</v>
      </c>
      <c r="I8" s="77">
        <v>0</v>
      </c>
      <c r="J8" s="77">
        <v>0</v>
      </c>
      <c r="K8" s="77">
        <v>0</v>
      </c>
      <c r="L8" s="77">
        <v>0</v>
      </c>
      <c r="M8" s="29" t="s">
        <v>489</v>
      </c>
      <c r="N8" s="77">
        <v>0</v>
      </c>
      <c r="O8" s="22">
        <f t="shared" si="0"/>
        <v>0</v>
      </c>
      <c r="P8" s="78" t="str">
        <f>IF(O8=0,"",_xlfn.XLOOKUP(D8,'5月份计划'!A:A,'5月份计划'!A:A))</f>
        <v/>
      </c>
    </row>
    <row r="9" s="22" customFormat="1" ht="15" customHeight="1" spans="1:16">
      <c r="A9" s="25" t="s">
        <v>444</v>
      </c>
      <c r="B9" s="28" t="s">
        <v>445</v>
      </c>
      <c r="C9" s="25" t="s">
        <v>41</v>
      </c>
      <c r="D9" s="28" t="s">
        <v>495</v>
      </c>
      <c r="E9" s="25" t="s">
        <v>41</v>
      </c>
      <c r="F9" s="25" t="s">
        <v>443</v>
      </c>
      <c r="G9" s="25" t="s">
        <v>489</v>
      </c>
      <c r="H9" s="76">
        <v>0</v>
      </c>
      <c r="I9" s="76">
        <v>0</v>
      </c>
      <c r="J9" s="76">
        <v>0</v>
      </c>
      <c r="K9" s="76">
        <v>0</v>
      </c>
      <c r="L9" s="76">
        <v>0</v>
      </c>
      <c r="M9" s="25" t="s">
        <v>489</v>
      </c>
      <c r="N9" s="76">
        <v>0</v>
      </c>
      <c r="O9" s="22">
        <f t="shared" si="0"/>
        <v>0</v>
      </c>
      <c r="P9" s="78" t="str">
        <f>IF(O9=0,"",_xlfn.XLOOKUP(D9,'5月份计划'!A:A,'5月份计划'!A:A))</f>
        <v/>
      </c>
    </row>
    <row r="10" s="22" customFormat="1" ht="15" customHeight="1" spans="1:16">
      <c r="A10" s="29" t="s">
        <v>444</v>
      </c>
      <c r="B10" s="32" t="s">
        <v>445</v>
      </c>
      <c r="C10" s="29" t="s">
        <v>41</v>
      </c>
      <c r="D10" s="32" t="s">
        <v>449</v>
      </c>
      <c r="E10" s="29" t="s">
        <v>41</v>
      </c>
      <c r="F10" s="29" t="s">
        <v>443</v>
      </c>
      <c r="G10" s="29" t="s">
        <v>447</v>
      </c>
      <c r="H10" s="77">
        <v>23367.17</v>
      </c>
      <c r="I10" s="77">
        <v>0</v>
      </c>
      <c r="J10" s="77">
        <v>0</v>
      </c>
      <c r="K10" s="77">
        <v>0</v>
      </c>
      <c r="L10" s="77">
        <v>0</v>
      </c>
      <c r="M10" s="29" t="s">
        <v>447</v>
      </c>
      <c r="N10" s="77">
        <v>23367.17</v>
      </c>
      <c r="O10" s="22">
        <f t="shared" si="0"/>
        <v>23367.17</v>
      </c>
      <c r="P10" s="78" t="e">
        <f>IF(O10=0,"",_xlfn.XLOOKUP(D10,'5月份计划'!A:A,'5月份计划'!A:A))</f>
        <v>#N/A</v>
      </c>
    </row>
    <row r="11" s="22" customFormat="1" ht="15" customHeight="1" spans="1:16">
      <c r="A11" s="25" t="s">
        <v>444</v>
      </c>
      <c r="B11" s="28" t="s">
        <v>445</v>
      </c>
      <c r="C11" s="25" t="s">
        <v>41</v>
      </c>
      <c r="D11" s="28" t="s">
        <v>450</v>
      </c>
      <c r="E11" s="25" t="s">
        <v>41</v>
      </c>
      <c r="F11" s="25" t="s">
        <v>443</v>
      </c>
      <c r="G11" s="25" t="s">
        <v>447</v>
      </c>
      <c r="H11" s="76">
        <v>9685.4</v>
      </c>
      <c r="I11" s="76">
        <v>0</v>
      </c>
      <c r="J11" s="76">
        <v>0</v>
      </c>
      <c r="K11" s="76">
        <v>0</v>
      </c>
      <c r="L11" s="76">
        <v>0</v>
      </c>
      <c r="M11" s="25" t="s">
        <v>447</v>
      </c>
      <c r="N11" s="76">
        <v>9685.4</v>
      </c>
      <c r="O11" s="22">
        <f t="shared" si="0"/>
        <v>9685.4</v>
      </c>
      <c r="P11" s="78" t="e">
        <f>IF(O11=0,"",_xlfn.XLOOKUP(D11,'5月份计划'!A:A,'5月份计划'!A:A))</f>
        <v>#N/A</v>
      </c>
    </row>
    <row r="12" s="22" customFormat="1" ht="15" customHeight="1" spans="1:16">
      <c r="A12" s="29" t="s">
        <v>444</v>
      </c>
      <c r="B12" s="32" t="s">
        <v>445</v>
      </c>
      <c r="C12" s="29" t="s">
        <v>41</v>
      </c>
      <c r="D12" s="32" t="s">
        <v>241</v>
      </c>
      <c r="E12" s="29" t="s">
        <v>41</v>
      </c>
      <c r="F12" s="29" t="s">
        <v>443</v>
      </c>
      <c r="G12" s="29" t="s">
        <v>447</v>
      </c>
      <c r="H12" s="77">
        <v>43976.22</v>
      </c>
      <c r="I12" s="77">
        <v>0</v>
      </c>
      <c r="J12" s="77">
        <v>17002.08</v>
      </c>
      <c r="K12" s="77">
        <v>522419.7</v>
      </c>
      <c r="L12" s="77">
        <v>160978.3</v>
      </c>
      <c r="M12" s="29" t="s">
        <v>447</v>
      </c>
      <c r="N12" s="77">
        <v>60978.3</v>
      </c>
      <c r="O12" s="22">
        <f t="shared" si="0"/>
        <v>60978.3</v>
      </c>
      <c r="P12" s="78" t="str">
        <f>IF(O12=0,"",_xlfn.XLOOKUP(D12,'5月份计划'!A:A,'5月份计划'!A:A))</f>
        <v>天津琪安科技有限公司</v>
      </c>
    </row>
    <row r="13" s="22" customFormat="1" ht="15" customHeight="1" spans="1:16">
      <c r="A13" s="25" t="s">
        <v>444</v>
      </c>
      <c r="B13" s="28" t="s">
        <v>445</v>
      </c>
      <c r="C13" s="25" t="s">
        <v>41</v>
      </c>
      <c r="D13" s="28" t="s">
        <v>242</v>
      </c>
      <c r="E13" s="25" t="s">
        <v>41</v>
      </c>
      <c r="F13" s="25" t="s">
        <v>443</v>
      </c>
      <c r="G13" s="25" t="s">
        <v>447</v>
      </c>
      <c r="H13" s="76">
        <v>96001.91</v>
      </c>
      <c r="I13" s="76">
        <v>0</v>
      </c>
      <c r="J13" s="76">
        <v>0</v>
      </c>
      <c r="K13" s="76">
        <v>239588.75</v>
      </c>
      <c r="L13" s="76">
        <v>146001.91</v>
      </c>
      <c r="M13" s="25" t="s">
        <v>447</v>
      </c>
      <c r="N13" s="76">
        <v>96001.91</v>
      </c>
      <c r="O13" s="22">
        <f t="shared" si="0"/>
        <v>96001.91</v>
      </c>
      <c r="P13" s="78" t="str">
        <f>IF(O13=0,"",_xlfn.XLOOKUP(D13,'5月份计划'!A:A,'5月份计划'!A:A))</f>
        <v>黄骅市广亿汽车部件有限公司</v>
      </c>
    </row>
    <row r="14" s="22" customFormat="1" ht="15" customHeight="1" spans="1:16">
      <c r="A14" s="29" t="s">
        <v>444</v>
      </c>
      <c r="B14" s="32" t="s">
        <v>445</v>
      </c>
      <c r="C14" s="29" t="s">
        <v>41</v>
      </c>
      <c r="D14" s="32" t="s">
        <v>496</v>
      </c>
      <c r="E14" s="29" t="s">
        <v>41</v>
      </c>
      <c r="F14" s="29" t="s">
        <v>443</v>
      </c>
      <c r="G14" s="29" t="s">
        <v>489</v>
      </c>
      <c r="H14" s="77">
        <v>0</v>
      </c>
      <c r="I14" s="77">
        <v>0</v>
      </c>
      <c r="J14" s="77">
        <v>0</v>
      </c>
      <c r="K14" s="77">
        <v>0</v>
      </c>
      <c r="L14" s="77">
        <v>0</v>
      </c>
      <c r="M14" s="29" t="s">
        <v>489</v>
      </c>
      <c r="N14" s="77">
        <v>0</v>
      </c>
      <c r="O14" s="22">
        <f t="shared" si="0"/>
        <v>0</v>
      </c>
      <c r="P14" s="78" t="str">
        <f>IF(O14=0,"",_xlfn.XLOOKUP(D14,'5月份计划'!A:A,'5月份计划'!A:A))</f>
        <v/>
      </c>
    </row>
    <row r="15" s="22" customFormat="1" ht="15" customHeight="1" spans="1:16">
      <c r="A15" s="25" t="s">
        <v>444</v>
      </c>
      <c r="B15" s="28" t="s">
        <v>445</v>
      </c>
      <c r="C15" s="25" t="s">
        <v>41</v>
      </c>
      <c r="D15" s="28" t="s">
        <v>243</v>
      </c>
      <c r="E15" s="25" t="s">
        <v>41</v>
      </c>
      <c r="F15" s="25" t="s">
        <v>443</v>
      </c>
      <c r="G15" s="25" t="s">
        <v>447</v>
      </c>
      <c r="H15" s="76">
        <v>61502.24</v>
      </c>
      <c r="I15" s="76">
        <v>0</v>
      </c>
      <c r="J15" s="76">
        <v>51075.89</v>
      </c>
      <c r="K15" s="76">
        <v>127350.41</v>
      </c>
      <c r="L15" s="76">
        <v>129486.41</v>
      </c>
      <c r="M15" s="25" t="s">
        <v>447</v>
      </c>
      <c r="N15" s="76">
        <v>112578.13</v>
      </c>
      <c r="O15" s="22">
        <f t="shared" si="0"/>
        <v>112578.13</v>
      </c>
      <c r="P15" s="78" t="str">
        <f>IF(O15=0,"",_xlfn.XLOOKUP(D15,'5月份计划'!A:A,'5月份计划'!A:A))</f>
        <v>霸州市自强汽车零部件厂</v>
      </c>
    </row>
    <row r="16" s="22" customFormat="1" ht="15" customHeight="1" spans="1:16">
      <c r="A16" s="29" t="s">
        <v>444</v>
      </c>
      <c r="B16" s="32" t="s">
        <v>445</v>
      </c>
      <c r="C16" s="29" t="s">
        <v>41</v>
      </c>
      <c r="D16" s="32" t="s">
        <v>297</v>
      </c>
      <c r="E16" s="29" t="s">
        <v>41</v>
      </c>
      <c r="F16" s="29" t="s">
        <v>443</v>
      </c>
      <c r="G16" s="29" t="s">
        <v>447</v>
      </c>
      <c r="H16" s="77">
        <v>13615.37</v>
      </c>
      <c r="I16" s="77">
        <v>0</v>
      </c>
      <c r="J16" s="77">
        <v>0</v>
      </c>
      <c r="K16" s="77">
        <v>50158.62</v>
      </c>
      <c r="L16" s="77">
        <v>17283.35</v>
      </c>
      <c r="M16" s="29" t="s">
        <v>447</v>
      </c>
      <c r="N16" s="77">
        <v>13615.37</v>
      </c>
      <c r="O16" s="22">
        <f t="shared" si="0"/>
        <v>13615.37</v>
      </c>
      <c r="P16" s="78" t="str">
        <f>IF(O16=0,"",_xlfn.XLOOKUP(D16,'5月份计划'!A:A,'5月份计划'!A:A))</f>
        <v>海兴中盛弹簧有限公司</v>
      </c>
    </row>
    <row r="17" s="22" customFormat="1" ht="15" customHeight="1" spans="1:16">
      <c r="A17" s="25" t="s">
        <v>444</v>
      </c>
      <c r="B17" s="28" t="s">
        <v>445</v>
      </c>
      <c r="C17" s="25" t="s">
        <v>41</v>
      </c>
      <c r="D17" s="28" t="s">
        <v>497</v>
      </c>
      <c r="E17" s="25" t="s">
        <v>41</v>
      </c>
      <c r="F17" s="25" t="s">
        <v>443</v>
      </c>
      <c r="G17" s="25" t="s">
        <v>489</v>
      </c>
      <c r="H17" s="76">
        <v>0</v>
      </c>
      <c r="I17" s="76">
        <v>0</v>
      </c>
      <c r="J17" s="76">
        <v>0</v>
      </c>
      <c r="K17" s="76">
        <v>0</v>
      </c>
      <c r="L17" s="76">
        <v>0</v>
      </c>
      <c r="M17" s="25" t="s">
        <v>489</v>
      </c>
      <c r="N17" s="76">
        <v>0</v>
      </c>
      <c r="O17" s="22">
        <f t="shared" si="0"/>
        <v>0</v>
      </c>
      <c r="P17" s="78" t="str">
        <f>IF(O17=0,"",_xlfn.XLOOKUP(D17,'5月份计划'!A:A,'5月份计划'!A:A))</f>
        <v/>
      </c>
    </row>
    <row r="18" s="22" customFormat="1" ht="15" customHeight="1" spans="1:16">
      <c r="A18" s="29" t="s">
        <v>444</v>
      </c>
      <c r="B18" s="32" t="s">
        <v>445</v>
      </c>
      <c r="C18" s="29" t="s">
        <v>41</v>
      </c>
      <c r="D18" s="32" t="s">
        <v>498</v>
      </c>
      <c r="E18" s="29" t="s">
        <v>41</v>
      </c>
      <c r="F18" s="29" t="s">
        <v>443</v>
      </c>
      <c r="G18" s="29" t="s">
        <v>489</v>
      </c>
      <c r="H18" s="77">
        <v>0</v>
      </c>
      <c r="I18" s="77">
        <v>0</v>
      </c>
      <c r="J18" s="77">
        <v>0</v>
      </c>
      <c r="K18" s="77">
        <v>0</v>
      </c>
      <c r="L18" s="77">
        <v>0</v>
      </c>
      <c r="M18" s="29" t="s">
        <v>489</v>
      </c>
      <c r="N18" s="77">
        <v>0</v>
      </c>
      <c r="O18" s="22">
        <f t="shared" si="0"/>
        <v>0</v>
      </c>
      <c r="P18" s="78" t="str">
        <f>IF(O18=0,"",_xlfn.XLOOKUP(D18,'5月份计划'!A:A,'5月份计划'!A:A))</f>
        <v/>
      </c>
    </row>
    <row r="19" s="22" customFormat="1" ht="15" hidden="1" customHeight="1" spans="1:16">
      <c r="A19" s="25" t="s">
        <v>444</v>
      </c>
      <c r="B19" s="28" t="s">
        <v>445</v>
      </c>
      <c r="C19" s="25" t="s">
        <v>41</v>
      </c>
      <c r="D19" s="28" t="s">
        <v>451</v>
      </c>
      <c r="E19" s="25" t="s">
        <v>41</v>
      </c>
      <c r="F19" s="25" t="s">
        <v>443</v>
      </c>
      <c r="G19" s="25" t="s">
        <v>447</v>
      </c>
      <c r="H19" s="76">
        <v>28403004.46</v>
      </c>
      <c r="I19" s="76">
        <v>0</v>
      </c>
      <c r="J19" s="76">
        <v>0</v>
      </c>
      <c r="K19" s="76">
        <v>700000</v>
      </c>
      <c r="L19" s="76">
        <v>-192809</v>
      </c>
      <c r="M19" s="25" t="s">
        <v>447</v>
      </c>
      <c r="N19" s="76">
        <v>28403004.46</v>
      </c>
      <c r="O19" s="22">
        <f t="shared" si="0"/>
        <v>28403004.46</v>
      </c>
      <c r="P19" s="78" t="e">
        <f>IF(O19=0,"",_xlfn.XLOOKUP(D19,'5月份计划'!A:A,'5月份计划'!A:A))</f>
        <v>#N/A</v>
      </c>
    </row>
    <row r="20" s="22" customFormat="1" ht="15" customHeight="1" spans="1:16">
      <c r="A20" s="29" t="s">
        <v>444</v>
      </c>
      <c r="B20" s="32" t="s">
        <v>445</v>
      </c>
      <c r="C20" s="29" t="s">
        <v>41</v>
      </c>
      <c r="D20" s="32" t="s">
        <v>499</v>
      </c>
      <c r="E20" s="29" t="s">
        <v>41</v>
      </c>
      <c r="F20" s="29" t="s">
        <v>443</v>
      </c>
      <c r="G20" s="29" t="s">
        <v>489</v>
      </c>
      <c r="H20" s="77">
        <v>0</v>
      </c>
      <c r="I20" s="77">
        <v>0</v>
      </c>
      <c r="J20" s="77">
        <v>0</v>
      </c>
      <c r="K20" s="77">
        <v>0</v>
      </c>
      <c r="L20" s="77">
        <v>0</v>
      </c>
      <c r="M20" s="29" t="s">
        <v>489</v>
      </c>
      <c r="N20" s="77">
        <v>0</v>
      </c>
      <c r="O20" s="22">
        <f t="shared" si="0"/>
        <v>0</v>
      </c>
      <c r="P20" s="78" t="str">
        <f>IF(O20=0,"",_xlfn.XLOOKUP(D20,'5月份计划'!A:A,'5月份计划'!A:A))</f>
        <v/>
      </c>
    </row>
    <row r="21" s="22" customFormat="1" ht="15" customHeight="1" spans="1:16">
      <c r="A21" s="25" t="s">
        <v>444</v>
      </c>
      <c r="B21" s="28" t="s">
        <v>445</v>
      </c>
      <c r="C21" s="25" t="s">
        <v>41</v>
      </c>
      <c r="D21" s="28" t="s">
        <v>500</v>
      </c>
      <c r="E21" s="25" t="s">
        <v>41</v>
      </c>
      <c r="F21" s="25" t="s">
        <v>443</v>
      </c>
      <c r="G21" s="25" t="s">
        <v>489</v>
      </c>
      <c r="H21" s="76">
        <v>0</v>
      </c>
      <c r="I21" s="76">
        <v>0</v>
      </c>
      <c r="J21" s="76">
        <v>0</v>
      </c>
      <c r="K21" s="76">
        <v>0</v>
      </c>
      <c r="L21" s="76">
        <v>0</v>
      </c>
      <c r="M21" s="25" t="s">
        <v>489</v>
      </c>
      <c r="N21" s="76">
        <v>0</v>
      </c>
      <c r="O21" s="22">
        <f t="shared" si="0"/>
        <v>0</v>
      </c>
      <c r="P21" s="78" t="str">
        <f>IF(O21=0,"",_xlfn.XLOOKUP(D21,'5月份计划'!A:A,'5月份计划'!A:A))</f>
        <v/>
      </c>
    </row>
    <row r="22" s="22" customFormat="1" ht="15" customHeight="1" spans="1:16">
      <c r="A22" s="29" t="s">
        <v>444</v>
      </c>
      <c r="B22" s="32" t="s">
        <v>445</v>
      </c>
      <c r="C22" s="29" t="s">
        <v>41</v>
      </c>
      <c r="D22" s="32" t="s">
        <v>244</v>
      </c>
      <c r="E22" s="29" t="s">
        <v>41</v>
      </c>
      <c r="F22" s="29" t="s">
        <v>443</v>
      </c>
      <c r="G22" s="29" t="s">
        <v>447</v>
      </c>
      <c r="H22" s="77">
        <v>96651.5</v>
      </c>
      <c r="I22" s="77">
        <v>0</v>
      </c>
      <c r="J22" s="77">
        <v>16832.48</v>
      </c>
      <c r="K22" s="77">
        <v>372055.59</v>
      </c>
      <c r="L22" s="77">
        <v>192085.65</v>
      </c>
      <c r="M22" s="29" t="s">
        <v>447</v>
      </c>
      <c r="N22" s="77">
        <v>113483.98</v>
      </c>
      <c r="O22" s="22">
        <f t="shared" si="0"/>
        <v>113483.98</v>
      </c>
      <c r="P22" s="78" t="str">
        <f>IF(O22=0,"",_xlfn.XLOOKUP(D22,'5月份计划'!A:A,'5月份计划'!A:A))</f>
        <v>沧州临港明康汽车配件有限公司</v>
      </c>
    </row>
    <row r="23" s="22" customFormat="1" ht="15" customHeight="1" spans="1:16">
      <c r="A23" s="25" t="s">
        <v>444</v>
      </c>
      <c r="B23" s="28" t="s">
        <v>445</v>
      </c>
      <c r="C23" s="25" t="s">
        <v>41</v>
      </c>
      <c r="D23" s="28" t="s">
        <v>245</v>
      </c>
      <c r="E23" s="25" t="s">
        <v>41</v>
      </c>
      <c r="F23" s="25" t="s">
        <v>443</v>
      </c>
      <c r="G23" s="25" t="s">
        <v>447</v>
      </c>
      <c r="H23" s="76">
        <v>104416.67</v>
      </c>
      <c r="I23" s="76">
        <v>0</v>
      </c>
      <c r="J23" s="76">
        <v>24374.76</v>
      </c>
      <c r="K23" s="76">
        <v>299395</v>
      </c>
      <c r="L23" s="76">
        <v>200168.78</v>
      </c>
      <c r="M23" s="25" t="s">
        <v>447</v>
      </c>
      <c r="N23" s="76">
        <v>128791.43</v>
      </c>
      <c r="O23" s="22">
        <f t="shared" si="0"/>
        <v>128791.43</v>
      </c>
      <c r="P23" s="78" t="str">
        <f>IF(O23=0,"",_xlfn.XLOOKUP(D23,'5月份计划'!A:A,'5月份计划'!A:A))</f>
        <v>黄骅市建昌塑料制品有限公司</v>
      </c>
    </row>
    <row r="24" s="22" customFormat="1" ht="15" customHeight="1" spans="1:16">
      <c r="A24" s="29" t="s">
        <v>444</v>
      </c>
      <c r="B24" s="32" t="s">
        <v>445</v>
      </c>
      <c r="C24" s="29" t="s">
        <v>41</v>
      </c>
      <c r="D24" s="32" t="s">
        <v>283</v>
      </c>
      <c r="E24" s="29" t="s">
        <v>41</v>
      </c>
      <c r="F24" s="29" t="s">
        <v>443</v>
      </c>
      <c r="G24" s="29" t="s">
        <v>447</v>
      </c>
      <c r="H24" s="77">
        <v>11526</v>
      </c>
      <c r="I24" s="77">
        <v>0</v>
      </c>
      <c r="J24" s="77">
        <v>21663.12</v>
      </c>
      <c r="K24" s="77">
        <v>31696.26</v>
      </c>
      <c r="L24" s="77">
        <v>41833.62</v>
      </c>
      <c r="M24" s="29" t="s">
        <v>447</v>
      </c>
      <c r="N24" s="77">
        <v>33189.12</v>
      </c>
      <c r="O24" s="22">
        <f t="shared" si="0"/>
        <v>33189.12</v>
      </c>
      <c r="P24" s="78" t="str">
        <f>IF(O24=0,"",_xlfn.XLOOKUP(D24,'5月份计划'!A:A,'5月份计划'!A:A))</f>
        <v>黄骅市成卓汽车部件厂</v>
      </c>
    </row>
    <row r="25" s="22" customFormat="1" ht="15" customHeight="1" spans="1:16">
      <c r="A25" s="25" t="s">
        <v>444</v>
      </c>
      <c r="B25" s="28" t="s">
        <v>445</v>
      </c>
      <c r="C25" s="25" t="s">
        <v>41</v>
      </c>
      <c r="D25" s="28" t="s">
        <v>501</v>
      </c>
      <c r="E25" s="25" t="s">
        <v>41</v>
      </c>
      <c r="F25" s="25" t="s">
        <v>443</v>
      </c>
      <c r="G25" s="25" t="s">
        <v>489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25" t="s">
        <v>489</v>
      </c>
      <c r="N25" s="76">
        <v>0</v>
      </c>
      <c r="O25" s="22">
        <f t="shared" si="0"/>
        <v>0</v>
      </c>
      <c r="P25" s="78" t="str">
        <f>IF(O25=0,"",_xlfn.XLOOKUP(D25,'5月份计划'!A:A,'5月份计划'!A:A))</f>
        <v/>
      </c>
    </row>
    <row r="26" s="22" customFormat="1" ht="15" customHeight="1" spans="1:16">
      <c r="A26" s="29" t="s">
        <v>444</v>
      </c>
      <c r="B26" s="32" t="s">
        <v>445</v>
      </c>
      <c r="C26" s="29" t="s">
        <v>41</v>
      </c>
      <c r="D26" s="32" t="s">
        <v>502</v>
      </c>
      <c r="E26" s="29" t="s">
        <v>41</v>
      </c>
      <c r="F26" s="29" t="s">
        <v>443</v>
      </c>
      <c r="G26" s="29" t="s">
        <v>489</v>
      </c>
      <c r="H26" s="77">
        <v>0</v>
      </c>
      <c r="I26" s="77">
        <v>0</v>
      </c>
      <c r="J26" s="77">
        <v>0</v>
      </c>
      <c r="K26" s="77">
        <v>0</v>
      </c>
      <c r="L26" s="77">
        <v>0</v>
      </c>
      <c r="M26" s="29" t="s">
        <v>489</v>
      </c>
      <c r="N26" s="77">
        <v>0</v>
      </c>
      <c r="O26" s="22">
        <f t="shared" si="0"/>
        <v>0</v>
      </c>
      <c r="P26" s="78" t="str">
        <f>IF(O26=0,"",_xlfn.XLOOKUP(D26,'5月份计划'!A:A,'5月份计划'!A:A))</f>
        <v/>
      </c>
    </row>
    <row r="27" s="22" customFormat="1" ht="15" customHeight="1" spans="1:16">
      <c r="A27" s="25" t="s">
        <v>444</v>
      </c>
      <c r="B27" s="28" t="s">
        <v>445</v>
      </c>
      <c r="C27" s="25" t="s">
        <v>41</v>
      </c>
      <c r="D27" s="28" t="s">
        <v>452</v>
      </c>
      <c r="E27" s="25" t="s">
        <v>41</v>
      </c>
      <c r="F27" s="25" t="s">
        <v>443</v>
      </c>
      <c r="G27" s="25" t="s">
        <v>447</v>
      </c>
      <c r="H27" s="76">
        <v>5200.09</v>
      </c>
      <c r="I27" s="76">
        <v>0</v>
      </c>
      <c r="J27" s="76">
        <v>0</v>
      </c>
      <c r="K27" s="76">
        <v>0</v>
      </c>
      <c r="L27" s="76">
        <v>0</v>
      </c>
      <c r="M27" s="25" t="s">
        <v>447</v>
      </c>
      <c r="N27" s="76">
        <v>5200.09</v>
      </c>
      <c r="O27" s="22">
        <f t="shared" si="0"/>
        <v>5200.09</v>
      </c>
      <c r="P27" s="78" t="e">
        <f>IF(O27=0,"",_xlfn.XLOOKUP(D27,'5月份计划'!A:A,'5月份计划'!A:A))</f>
        <v>#N/A</v>
      </c>
    </row>
    <row r="28" s="22" customFormat="1" ht="15" customHeight="1" spans="1:16">
      <c r="A28" s="29" t="s">
        <v>444</v>
      </c>
      <c r="B28" s="32" t="s">
        <v>445</v>
      </c>
      <c r="C28" s="29" t="s">
        <v>41</v>
      </c>
      <c r="D28" s="32" t="s">
        <v>312</v>
      </c>
      <c r="E28" s="29" t="s">
        <v>41</v>
      </c>
      <c r="F28" s="29" t="s">
        <v>443</v>
      </c>
      <c r="G28" s="29" t="s">
        <v>453</v>
      </c>
      <c r="H28" s="77">
        <v>5705.37</v>
      </c>
      <c r="I28" s="77">
        <v>0</v>
      </c>
      <c r="J28" s="77">
        <v>5705.37</v>
      </c>
      <c r="K28" s="77">
        <v>9715.91</v>
      </c>
      <c r="L28" s="77">
        <v>5705.37</v>
      </c>
      <c r="M28" s="29" t="s">
        <v>489</v>
      </c>
      <c r="N28" s="77">
        <v>0</v>
      </c>
      <c r="O28" s="22">
        <f t="shared" si="0"/>
        <v>0</v>
      </c>
      <c r="P28" s="78" t="str">
        <f>IF(O28=0,"",_xlfn.XLOOKUP(D28,'5月份计划'!A:A,'5月份计划'!A:A))</f>
        <v/>
      </c>
    </row>
    <row r="29" s="22" customFormat="1" ht="15" customHeight="1" spans="1:16">
      <c r="A29" s="25" t="s">
        <v>444</v>
      </c>
      <c r="B29" s="28" t="s">
        <v>445</v>
      </c>
      <c r="C29" s="25" t="s">
        <v>41</v>
      </c>
      <c r="D29" s="28" t="s">
        <v>503</v>
      </c>
      <c r="E29" s="25" t="s">
        <v>41</v>
      </c>
      <c r="F29" s="25" t="s">
        <v>443</v>
      </c>
      <c r="G29" s="25" t="s">
        <v>489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25" t="s">
        <v>489</v>
      </c>
      <c r="N29" s="76">
        <v>0</v>
      </c>
      <c r="O29" s="22">
        <f t="shared" si="0"/>
        <v>0</v>
      </c>
      <c r="P29" s="78" t="str">
        <f>IF(O29=0,"",_xlfn.XLOOKUP(D29,'5月份计划'!A:A,'5月份计划'!A:A))</f>
        <v/>
      </c>
    </row>
    <row r="30" s="22" customFormat="1" ht="15" customHeight="1" spans="1:16">
      <c r="A30" s="29" t="s">
        <v>444</v>
      </c>
      <c r="B30" s="32" t="s">
        <v>445</v>
      </c>
      <c r="C30" s="29" t="s">
        <v>41</v>
      </c>
      <c r="D30" s="32" t="s">
        <v>280</v>
      </c>
      <c r="E30" s="29" t="s">
        <v>41</v>
      </c>
      <c r="F30" s="29" t="s">
        <v>443</v>
      </c>
      <c r="G30" s="29" t="s">
        <v>447</v>
      </c>
      <c r="H30" s="77">
        <v>38370.17</v>
      </c>
      <c r="I30" s="77">
        <v>0</v>
      </c>
      <c r="J30" s="77">
        <v>31242.81</v>
      </c>
      <c r="K30" s="77">
        <v>168822</v>
      </c>
      <c r="L30" s="77">
        <v>105829.48</v>
      </c>
      <c r="M30" s="29" t="s">
        <v>447</v>
      </c>
      <c r="N30" s="77">
        <v>69612.98</v>
      </c>
      <c r="O30" s="22">
        <f t="shared" si="0"/>
        <v>69612.98</v>
      </c>
      <c r="P30" s="78" t="str">
        <f>IF(O30=0,"",_xlfn.XLOOKUP(D30,'5月份计划'!A:A,'5月份计划'!A:A))</f>
        <v>文安县德实汽车配件有限公司</v>
      </c>
    </row>
    <row r="31" s="22" customFormat="1" ht="15" customHeight="1" spans="1:16">
      <c r="A31" s="25" t="s">
        <v>444</v>
      </c>
      <c r="B31" s="28" t="s">
        <v>445</v>
      </c>
      <c r="C31" s="25" t="s">
        <v>41</v>
      </c>
      <c r="D31" s="28" t="s">
        <v>504</v>
      </c>
      <c r="E31" s="25" t="s">
        <v>41</v>
      </c>
      <c r="F31" s="25" t="s">
        <v>443</v>
      </c>
      <c r="G31" s="25" t="s">
        <v>489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25" t="s">
        <v>489</v>
      </c>
      <c r="N31" s="76">
        <v>0</v>
      </c>
      <c r="O31" s="22">
        <f t="shared" si="0"/>
        <v>0</v>
      </c>
      <c r="P31" s="78" t="str">
        <f>IF(O31=0,"",_xlfn.XLOOKUP(D31,'5月份计划'!A:A,'5月份计划'!A:A))</f>
        <v/>
      </c>
    </row>
    <row r="32" s="22" customFormat="1" ht="15" customHeight="1" spans="1:16">
      <c r="A32" s="29" t="s">
        <v>444</v>
      </c>
      <c r="B32" s="32" t="s">
        <v>445</v>
      </c>
      <c r="C32" s="29" t="s">
        <v>41</v>
      </c>
      <c r="D32" s="32" t="s">
        <v>246</v>
      </c>
      <c r="E32" s="29" t="s">
        <v>41</v>
      </c>
      <c r="F32" s="29" t="s">
        <v>443</v>
      </c>
      <c r="G32" s="29" t="s">
        <v>447</v>
      </c>
      <c r="H32" s="77">
        <v>88891.78</v>
      </c>
      <c r="I32" s="77">
        <v>0</v>
      </c>
      <c r="J32" s="77">
        <v>27409.21</v>
      </c>
      <c r="K32" s="77">
        <v>279030.41</v>
      </c>
      <c r="L32" s="77">
        <v>191396.25</v>
      </c>
      <c r="M32" s="29" t="s">
        <v>447</v>
      </c>
      <c r="N32" s="77">
        <v>116300.99</v>
      </c>
      <c r="O32" s="22">
        <f t="shared" si="0"/>
        <v>116300.99</v>
      </c>
      <c r="P32" s="78" t="str">
        <f>IF(O32=0,"",_xlfn.XLOOKUP(D32,'5月份计划'!A:A,'5月份计划'!A:A))</f>
        <v>廊坊市烁鑫汽车配件有限公司</v>
      </c>
    </row>
    <row r="33" s="22" customFormat="1" ht="15" customHeight="1" spans="1:16">
      <c r="A33" s="25" t="s">
        <v>444</v>
      </c>
      <c r="B33" s="28" t="s">
        <v>445</v>
      </c>
      <c r="C33" s="25" t="s">
        <v>41</v>
      </c>
      <c r="D33" s="28" t="s">
        <v>505</v>
      </c>
      <c r="E33" s="25" t="s">
        <v>41</v>
      </c>
      <c r="F33" s="25" t="s">
        <v>443</v>
      </c>
      <c r="G33" s="25" t="s">
        <v>489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  <c r="M33" s="25" t="s">
        <v>489</v>
      </c>
      <c r="N33" s="76">
        <v>0</v>
      </c>
      <c r="O33" s="22">
        <f t="shared" si="0"/>
        <v>0</v>
      </c>
      <c r="P33" s="78" t="str">
        <f>IF(O33=0,"",_xlfn.XLOOKUP(D33,'5月份计划'!A:A,'5月份计划'!A:A))</f>
        <v/>
      </c>
    </row>
    <row r="34" s="22" customFormat="1" ht="15" customHeight="1" spans="1:16">
      <c r="A34" s="29" t="s">
        <v>444</v>
      </c>
      <c r="B34" s="32" t="s">
        <v>445</v>
      </c>
      <c r="C34" s="29" t="s">
        <v>41</v>
      </c>
      <c r="D34" s="32" t="s">
        <v>506</v>
      </c>
      <c r="E34" s="29" t="s">
        <v>41</v>
      </c>
      <c r="F34" s="29" t="s">
        <v>443</v>
      </c>
      <c r="G34" s="29" t="s">
        <v>489</v>
      </c>
      <c r="H34" s="77">
        <v>0</v>
      </c>
      <c r="I34" s="77">
        <v>0</v>
      </c>
      <c r="J34" s="77">
        <v>0</v>
      </c>
      <c r="K34" s="77">
        <v>0</v>
      </c>
      <c r="L34" s="77">
        <v>0</v>
      </c>
      <c r="M34" s="29" t="s">
        <v>489</v>
      </c>
      <c r="N34" s="77">
        <v>0</v>
      </c>
      <c r="O34" s="22">
        <f t="shared" si="0"/>
        <v>0</v>
      </c>
      <c r="P34" s="78" t="str">
        <f>IF(O34=0,"",_xlfn.XLOOKUP(D34,'5月份计划'!A:A,'5月份计划'!A:A))</f>
        <v/>
      </c>
    </row>
    <row r="35" s="22" customFormat="1" ht="15" customHeight="1" spans="1:16">
      <c r="A35" s="25" t="s">
        <v>444</v>
      </c>
      <c r="B35" s="28" t="s">
        <v>445</v>
      </c>
      <c r="C35" s="25" t="s">
        <v>41</v>
      </c>
      <c r="D35" s="28" t="s">
        <v>507</v>
      </c>
      <c r="E35" s="25" t="s">
        <v>41</v>
      </c>
      <c r="F35" s="25" t="s">
        <v>443</v>
      </c>
      <c r="G35" s="25" t="s">
        <v>489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25" t="s">
        <v>489</v>
      </c>
      <c r="N35" s="76">
        <v>0</v>
      </c>
      <c r="O35" s="22">
        <f t="shared" si="0"/>
        <v>0</v>
      </c>
      <c r="P35" s="78" t="str">
        <f>IF(O35=0,"",_xlfn.XLOOKUP(D35,'5月份计划'!A:A,'5月份计划'!A:A))</f>
        <v/>
      </c>
    </row>
    <row r="36" s="22" customFormat="1" ht="15" customHeight="1" spans="1:16">
      <c r="A36" s="29" t="s">
        <v>444</v>
      </c>
      <c r="B36" s="32" t="s">
        <v>445</v>
      </c>
      <c r="C36" s="29" t="s">
        <v>41</v>
      </c>
      <c r="D36" s="32" t="s">
        <v>508</v>
      </c>
      <c r="E36" s="29" t="s">
        <v>41</v>
      </c>
      <c r="F36" s="29" t="s">
        <v>443</v>
      </c>
      <c r="G36" s="29" t="s">
        <v>489</v>
      </c>
      <c r="H36" s="77">
        <v>0</v>
      </c>
      <c r="I36" s="77">
        <v>0</v>
      </c>
      <c r="J36" s="77">
        <v>0</v>
      </c>
      <c r="K36" s="77">
        <v>0</v>
      </c>
      <c r="L36" s="77">
        <v>0</v>
      </c>
      <c r="M36" s="29" t="s">
        <v>489</v>
      </c>
      <c r="N36" s="77">
        <v>0</v>
      </c>
      <c r="O36" s="22">
        <f t="shared" si="0"/>
        <v>0</v>
      </c>
      <c r="P36" s="78" t="str">
        <f>IF(O36=0,"",_xlfn.XLOOKUP(D36,'5月份计划'!A:A,'5月份计划'!A:A))</f>
        <v/>
      </c>
    </row>
    <row r="37" s="22" customFormat="1" ht="15" customHeight="1" spans="1:16">
      <c r="A37" s="25" t="s">
        <v>444</v>
      </c>
      <c r="B37" s="28" t="s">
        <v>445</v>
      </c>
      <c r="C37" s="25" t="s">
        <v>41</v>
      </c>
      <c r="D37" s="28" t="s">
        <v>247</v>
      </c>
      <c r="E37" s="25" t="s">
        <v>41</v>
      </c>
      <c r="F37" s="25" t="s">
        <v>443</v>
      </c>
      <c r="G37" s="25" t="s">
        <v>447</v>
      </c>
      <c r="H37" s="76">
        <v>29435.59</v>
      </c>
      <c r="I37" s="76">
        <v>0</v>
      </c>
      <c r="J37" s="76">
        <v>10959.52</v>
      </c>
      <c r="K37" s="76">
        <v>39977.88</v>
      </c>
      <c r="L37" s="76">
        <v>40395.11</v>
      </c>
      <c r="M37" s="25" t="s">
        <v>447</v>
      </c>
      <c r="N37" s="76">
        <v>40395.11</v>
      </c>
      <c r="O37" s="22">
        <f t="shared" si="0"/>
        <v>40395.11</v>
      </c>
      <c r="P37" s="78" t="str">
        <f>IF(O37=0,"",_xlfn.XLOOKUP(D37,'5月份计划'!A:A,'5月份计划'!A:A))</f>
        <v>黄骅市汇铭汽车部件有限公司</v>
      </c>
    </row>
    <row r="38" s="22" customFormat="1" ht="15" customHeight="1" spans="1:16">
      <c r="A38" s="29" t="s">
        <v>444</v>
      </c>
      <c r="B38" s="32" t="s">
        <v>445</v>
      </c>
      <c r="C38" s="29" t="s">
        <v>41</v>
      </c>
      <c r="D38" s="32" t="s">
        <v>509</v>
      </c>
      <c r="E38" s="29" t="s">
        <v>41</v>
      </c>
      <c r="F38" s="29" t="s">
        <v>443</v>
      </c>
      <c r="G38" s="29" t="s">
        <v>489</v>
      </c>
      <c r="H38" s="77">
        <v>0</v>
      </c>
      <c r="I38" s="77">
        <v>0</v>
      </c>
      <c r="J38" s="77">
        <v>0</v>
      </c>
      <c r="K38" s="77">
        <v>0</v>
      </c>
      <c r="L38" s="77">
        <v>0</v>
      </c>
      <c r="M38" s="29" t="s">
        <v>489</v>
      </c>
      <c r="N38" s="77">
        <v>0</v>
      </c>
      <c r="O38" s="22">
        <f t="shared" si="0"/>
        <v>0</v>
      </c>
      <c r="P38" s="78" t="str">
        <f>IF(O38=0,"",_xlfn.XLOOKUP(D38,'5月份计划'!A:A,'5月份计划'!A:A))</f>
        <v/>
      </c>
    </row>
    <row r="39" s="22" customFormat="1" ht="15" customHeight="1" spans="1:16">
      <c r="A39" s="25" t="s">
        <v>444</v>
      </c>
      <c r="B39" s="28" t="s">
        <v>445</v>
      </c>
      <c r="C39" s="25" t="s">
        <v>41</v>
      </c>
      <c r="D39" s="28" t="s">
        <v>510</v>
      </c>
      <c r="E39" s="25" t="s">
        <v>41</v>
      </c>
      <c r="F39" s="25" t="s">
        <v>443</v>
      </c>
      <c r="G39" s="25" t="s">
        <v>489</v>
      </c>
      <c r="H39" s="76">
        <v>0</v>
      </c>
      <c r="I39" s="76">
        <v>0</v>
      </c>
      <c r="J39" s="76">
        <v>0</v>
      </c>
      <c r="K39" s="76">
        <v>0</v>
      </c>
      <c r="L39" s="76">
        <v>0</v>
      </c>
      <c r="M39" s="25" t="s">
        <v>489</v>
      </c>
      <c r="N39" s="76">
        <v>0</v>
      </c>
      <c r="O39" s="22">
        <f t="shared" si="0"/>
        <v>0</v>
      </c>
      <c r="P39" s="78" t="str">
        <f>IF(O39=0,"",_xlfn.XLOOKUP(D39,'5月份计划'!A:A,'5月份计划'!A:A))</f>
        <v/>
      </c>
    </row>
    <row r="40" s="22" customFormat="1" ht="15" customHeight="1" spans="1:16">
      <c r="A40" s="29" t="s">
        <v>444</v>
      </c>
      <c r="B40" s="32" t="s">
        <v>445</v>
      </c>
      <c r="C40" s="29" t="s">
        <v>41</v>
      </c>
      <c r="D40" s="32" t="s">
        <v>248</v>
      </c>
      <c r="E40" s="29" t="s">
        <v>41</v>
      </c>
      <c r="F40" s="29" t="s">
        <v>443</v>
      </c>
      <c r="G40" s="29" t="s">
        <v>447</v>
      </c>
      <c r="H40" s="77">
        <v>364094.14</v>
      </c>
      <c r="I40" s="77">
        <v>52013.46</v>
      </c>
      <c r="J40" s="77">
        <v>0</v>
      </c>
      <c r="K40" s="77">
        <v>1430369.82</v>
      </c>
      <c r="L40" s="77">
        <v>884228.62</v>
      </c>
      <c r="M40" s="29" t="s">
        <v>447</v>
      </c>
      <c r="N40" s="77">
        <v>312080.68</v>
      </c>
      <c r="O40" s="22">
        <f t="shared" si="0"/>
        <v>312080.68</v>
      </c>
      <c r="P40" s="78" t="str">
        <f>IF(O40=0,"",_xlfn.XLOOKUP(D40,'5月份计划'!A:A,'5月份计划'!A:A))</f>
        <v>上海明芳汽车零件有限公司</v>
      </c>
    </row>
    <row r="41" s="22" customFormat="1" ht="15" customHeight="1" spans="1:16">
      <c r="A41" s="25" t="s">
        <v>444</v>
      </c>
      <c r="B41" s="28" t="s">
        <v>445</v>
      </c>
      <c r="C41" s="25" t="s">
        <v>41</v>
      </c>
      <c r="D41" s="28" t="s">
        <v>511</v>
      </c>
      <c r="E41" s="25" t="s">
        <v>41</v>
      </c>
      <c r="F41" s="25" t="s">
        <v>443</v>
      </c>
      <c r="G41" s="25" t="s">
        <v>489</v>
      </c>
      <c r="H41" s="76">
        <v>0</v>
      </c>
      <c r="I41" s="76">
        <v>0</v>
      </c>
      <c r="J41" s="76">
        <v>0</v>
      </c>
      <c r="K41" s="76">
        <v>0</v>
      </c>
      <c r="L41" s="76">
        <v>0</v>
      </c>
      <c r="M41" s="25" t="s">
        <v>489</v>
      </c>
      <c r="N41" s="76">
        <v>0</v>
      </c>
      <c r="O41" s="22">
        <f t="shared" si="0"/>
        <v>0</v>
      </c>
      <c r="P41" s="78" t="str">
        <f>IF(O41=0,"",_xlfn.XLOOKUP(D41,'5月份计划'!A:A,'5月份计划'!A:A))</f>
        <v/>
      </c>
    </row>
    <row r="42" s="22" customFormat="1" ht="15" customHeight="1" spans="1:16">
      <c r="A42" s="29" t="s">
        <v>444</v>
      </c>
      <c r="B42" s="32" t="s">
        <v>445</v>
      </c>
      <c r="C42" s="29" t="s">
        <v>41</v>
      </c>
      <c r="D42" s="32" t="s">
        <v>279</v>
      </c>
      <c r="E42" s="29" t="s">
        <v>41</v>
      </c>
      <c r="F42" s="29" t="s">
        <v>443</v>
      </c>
      <c r="G42" s="29" t="s">
        <v>447</v>
      </c>
      <c r="H42" s="77">
        <v>13932.9</v>
      </c>
      <c r="I42" s="77">
        <v>0</v>
      </c>
      <c r="J42" s="77">
        <v>0</v>
      </c>
      <c r="K42" s="77">
        <v>0</v>
      </c>
      <c r="L42" s="77">
        <v>0</v>
      </c>
      <c r="M42" s="29" t="s">
        <v>447</v>
      </c>
      <c r="N42" s="77">
        <v>13932.9</v>
      </c>
      <c r="O42" s="22">
        <f t="shared" si="0"/>
        <v>13932.9</v>
      </c>
      <c r="P42" s="78" t="str">
        <f>IF(O42=0,"",_xlfn.XLOOKUP(D42,'5月份计划'!A:A,'5月份计划'!A:A))</f>
        <v>上海秉直精密机械有限公司</v>
      </c>
    </row>
    <row r="43" s="22" customFormat="1" ht="15" customHeight="1" spans="1:16">
      <c r="A43" s="25" t="s">
        <v>444</v>
      </c>
      <c r="B43" s="28" t="s">
        <v>445</v>
      </c>
      <c r="C43" s="25" t="s">
        <v>41</v>
      </c>
      <c r="D43" s="28" t="s">
        <v>512</v>
      </c>
      <c r="E43" s="25" t="s">
        <v>41</v>
      </c>
      <c r="F43" s="25" t="s">
        <v>443</v>
      </c>
      <c r="G43" s="25" t="s">
        <v>489</v>
      </c>
      <c r="H43" s="76">
        <v>0</v>
      </c>
      <c r="I43" s="76">
        <v>0</v>
      </c>
      <c r="J43" s="76">
        <v>0</v>
      </c>
      <c r="K43" s="76">
        <v>0</v>
      </c>
      <c r="L43" s="76">
        <v>0</v>
      </c>
      <c r="M43" s="25" t="s">
        <v>489</v>
      </c>
      <c r="N43" s="76">
        <v>0</v>
      </c>
      <c r="O43" s="22">
        <f t="shared" si="0"/>
        <v>0</v>
      </c>
      <c r="P43" s="78" t="str">
        <f>IF(O43=0,"",_xlfn.XLOOKUP(D43,'5月份计划'!A:A,'5月份计划'!A:A))</f>
        <v/>
      </c>
    </row>
    <row r="44" s="22" customFormat="1" ht="15" customHeight="1" spans="1:16">
      <c r="A44" s="29" t="s">
        <v>444</v>
      </c>
      <c r="B44" s="32" t="s">
        <v>445</v>
      </c>
      <c r="C44" s="29" t="s">
        <v>41</v>
      </c>
      <c r="D44" s="32" t="s">
        <v>249</v>
      </c>
      <c r="E44" s="29" t="s">
        <v>41</v>
      </c>
      <c r="F44" s="29" t="s">
        <v>443</v>
      </c>
      <c r="G44" s="29" t="s">
        <v>447</v>
      </c>
      <c r="H44" s="77">
        <v>398238.4</v>
      </c>
      <c r="I44" s="77">
        <v>274459.33</v>
      </c>
      <c r="J44" s="77">
        <v>111297.09</v>
      </c>
      <c r="K44" s="77">
        <v>1530823.01</v>
      </c>
      <c r="L44" s="77">
        <v>909535.49</v>
      </c>
      <c r="M44" s="29" t="s">
        <v>447</v>
      </c>
      <c r="N44" s="77">
        <v>235076.16</v>
      </c>
      <c r="O44" s="22">
        <f t="shared" si="0"/>
        <v>235076.16</v>
      </c>
      <c r="P44" s="78" t="str">
        <f>IF(O44=0,"",_xlfn.XLOOKUP(D44,'5月份计划'!A:A,'5月份计划'!A:A))</f>
        <v>江苏力乐汽车部件股份有限公司</v>
      </c>
    </row>
    <row r="45" s="22" customFormat="1" ht="15" customHeight="1" spans="1:16">
      <c r="A45" s="25" t="s">
        <v>444</v>
      </c>
      <c r="B45" s="28" t="s">
        <v>445</v>
      </c>
      <c r="C45" s="25" t="s">
        <v>41</v>
      </c>
      <c r="D45" s="28" t="s">
        <v>417</v>
      </c>
      <c r="E45" s="25" t="s">
        <v>41</v>
      </c>
      <c r="F45" s="25" t="s">
        <v>443</v>
      </c>
      <c r="G45" s="25" t="s">
        <v>489</v>
      </c>
      <c r="H45" s="76">
        <v>0</v>
      </c>
      <c r="I45" s="76">
        <v>0</v>
      </c>
      <c r="J45" s="76">
        <v>0</v>
      </c>
      <c r="K45" s="76">
        <v>69562.26</v>
      </c>
      <c r="L45" s="76">
        <v>68352.16</v>
      </c>
      <c r="M45" s="25" t="s">
        <v>489</v>
      </c>
      <c r="N45" s="76">
        <v>0</v>
      </c>
      <c r="O45" s="22">
        <f t="shared" si="0"/>
        <v>0</v>
      </c>
      <c r="P45" s="78" t="str">
        <f>IF(O45=0,"",_xlfn.XLOOKUP(D45,'5月份计划'!A:A,'5月份计划'!A:A))</f>
        <v/>
      </c>
    </row>
    <row r="46" s="22" customFormat="1" ht="15" customHeight="1" spans="1:16">
      <c r="A46" s="29" t="s">
        <v>444</v>
      </c>
      <c r="B46" s="32" t="s">
        <v>445</v>
      </c>
      <c r="C46" s="29" t="s">
        <v>41</v>
      </c>
      <c r="D46" s="32" t="s">
        <v>250</v>
      </c>
      <c r="E46" s="29" t="s">
        <v>41</v>
      </c>
      <c r="F46" s="29" t="s">
        <v>443</v>
      </c>
      <c r="G46" s="29" t="s">
        <v>447</v>
      </c>
      <c r="H46" s="77">
        <v>469740.74</v>
      </c>
      <c r="I46" s="77">
        <v>187132.9</v>
      </c>
      <c r="J46" s="77">
        <v>51692.11</v>
      </c>
      <c r="K46" s="77">
        <v>1391014.81</v>
      </c>
      <c r="L46" s="77">
        <v>821432.85</v>
      </c>
      <c r="M46" s="29" t="s">
        <v>447</v>
      </c>
      <c r="N46" s="77">
        <v>334299.95</v>
      </c>
      <c r="O46" s="22">
        <f t="shared" si="0"/>
        <v>334299.95</v>
      </c>
      <c r="P46" s="78" t="str">
        <f>IF(O46=0,"",_xlfn.XLOOKUP(D46,'5月份计划'!A:A,'5月份计划'!A:A))</f>
        <v>溧阳鑫岩汽车零部件有限公司</v>
      </c>
    </row>
    <row r="47" s="22" customFormat="1" ht="15" customHeight="1" spans="1:16">
      <c r="A47" s="25" t="s">
        <v>444</v>
      </c>
      <c r="B47" s="28" t="s">
        <v>445</v>
      </c>
      <c r="C47" s="25" t="s">
        <v>41</v>
      </c>
      <c r="D47" s="28" t="s">
        <v>311</v>
      </c>
      <c r="E47" s="25" t="s">
        <v>41</v>
      </c>
      <c r="F47" s="25" t="s">
        <v>443</v>
      </c>
      <c r="G47" s="25" t="s">
        <v>447</v>
      </c>
      <c r="H47" s="76">
        <v>324219.6</v>
      </c>
      <c r="I47" s="76">
        <v>177636</v>
      </c>
      <c r="J47" s="76">
        <v>88818</v>
      </c>
      <c r="K47" s="76">
        <v>266454.1</v>
      </c>
      <c r="L47" s="76">
        <v>501855.6</v>
      </c>
      <c r="M47" s="25" t="s">
        <v>447</v>
      </c>
      <c r="N47" s="76">
        <v>235401.6</v>
      </c>
      <c r="O47" s="22">
        <f t="shared" si="0"/>
        <v>235401.6</v>
      </c>
      <c r="P47" s="78" t="str">
        <f>IF(O47=0,"",_xlfn.XLOOKUP(D47,'5月份计划'!A:A,'5月份计划'!A:A))</f>
        <v>江苏全盛座舱技术股份有限公司</v>
      </c>
    </row>
    <row r="48" s="22" customFormat="1" ht="15" customHeight="1" spans="1:16">
      <c r="A48" s="29" t="s">
        <v>444</v>
      </c>
      <c r="B48" s="32" t="s">
        <v>445</v>
      </c>
      <c r="C48" s="29" t="s">
        <v>41</v>
      </c>
      <c r="D48" s="32" t="s">
        <v>513</v>
      </c>
      <c r="E48" s="29" t="s">
        <v>41</v>
      </c>
      <c r="F48" s="29" t="s">
        <v>443</v>
      </c>
      <c r="G48" s="29" t="s">
        <v>489</v>
      </c>
      <c r="H48" s="77">
        <v>0</v>
      </c>
      <c r="I48" s="77">
        <v>0</v>
      </c>
      <c r="J48" s="77">
        <v>0</v>
      </c>
      <c r="K48" s="77">
        <v>0</v>
      </c>
      <c r="L48" s="77">
        <v>0</v>
      </c>
      <c r="M48" s="29" t="s">
        <v>489</v>
      </c>
      <c r="N48" s="77">
        <v>0</v>
      </c>
      <c r="O48" s="22">
        <f t="shared" si="0"/>
        <v>0</v>
      </c>
      <c r="P48" s="78" t="str">
        <f>IF(O48=0,"",_xlfn.XLOOKUP(D48,'5月份计划'!A:A,'5月份计划'!A:A))</f>
        <v/>
      </c>
    </row>
    <row r="49" s="22" customFormat="1" ht="15" customHeight="1" spans="1:16">
      <c r="A49" s="25" t="s">
        <v>444</v>
      </c>
      <c r="B49" s="28" t="s">
        <v>445</v>
      </c>
      <c r="C49" s="25" t="s">
        <v>41</v>
      </c>
      <c r="D49" s="28" t="s">
        <v>514</v>
      </c>
      <c r="E49" s="25" t="s">
        <v>41</v>
      </c>
      <c r="F49" s="25" t="s">
        <v>443</v>
      </c>
      <c r="G49" s="25" t="s">
        <v>489</v>
      </c>
      <c r="H49" s="76">
        <v>0</v>
      </c>
      <c r="I49" s="76">
        <v>0</v>
      </c>
      <c r="J49" s="76">
        <v>0</v>
      </c>
      <c r="K49" s="76">
        <v>0</v>
      </c>
      <c r="L49" s="76">
        <v>0</v>
      </c>
      <c r="M49" s="25" t="s">
        <v>489</v>
      </c>
      <c r="N49" s="76">
        <v>0</v>
      </c>
      <c r="O49" s="22">
        <f t="shared" si="0"/>
        <v>0</v>
      </c>
      <c r="P49" s="78" t="str">
        <f>IF(O49=0,"",_xlfn.XLOOKUP(D49,'5月份计划'!A:A,'5月份计划'!A:A))</f>
        <v/>
      </c>
    </row>
    <row r="50" s="22" customFormat="1" ht="15" customHeight="1" spans="1:16">
      <c r="A50" s="29" t="s">
        <v>444</v>
      </c>
      <c r="B50" s="32" t="s">
        <v>445</v>
      </c>
      <c r="C50" s="29" t="s">
        <v>41</v>
      </c>
      <c r="D50" s="32" t="s">
        <v>310</v>
      </c>
      <c r="E50" s="29" t="s">
        <v>41</v>
      </c>
      <c r="F50" s="29" t="s">
        <v>443</v>
      </c>
      <c r="G50" s="29" t="s">
        <v>447</v>
      </c>
      <c r="H50" s="77">
        <v>44034.75</v>
      </c>
      <c r="I50" s="77">
        <v>0</v>
      </c>
      <c r="J50" s="77">
        <v>0</v>
      </c>
      <c r="K50" s="77">
        <v>18956.52</v>
      </c>
      <c r="L50" s="77">
        <v>44034.75</v>
      </c>
      <c r="M50" s="29" t="s">
        <v>447</v>
      </c>
      <c r="N50" s="77">
        <v>44034.75</v>
      </c>
      <c r="O50" s="22">
        <f t="shared" si="0"/>
        <v>44034.75</v>
      </c>
      <c r="P50" s="78" t="str">
        <f>IF(O50=0,"",_xlfn.XLOOKUP(D50,'5月份计划'!A:A,'5月份计划'!A:A))</f>
        <v>浙江松原汽车安全系统股份有限</v>
      </c>
    </row>
    <row r="51" s="22" customFormat="1" ht="15" customHeight="1" spans="1:16">
      <c r="A51" s="25" t="s">
        <v>444</v>
      </c>
      <c r="B51" s="28" t="s">
        <v>445</v>
      </c>
      <c r="C51" s="25" t="s">
        <v>41</v>
      </c>
      <c r="D51" s="28" t="s">
        <v>298</v>
      </c>
      <c r="E51" s="25" t="s">
        <v>41</v>
      </c>
      <c r="F51" s="25" t="s">
        <v>443</v>
      </c>
      <c r="G51" s="25" t="s">
        <v>447</v>
      </c>
      <c r="H51" s="76">
        <v>108480</v>
      </c>
      <c r="I51" s="76">
        <v>65088</v>
      </c>
      <c r="J51" s="76">
        <v>0</v>
      </c>
      <c r="K51" s="76">
        <v>441766.72</v>
      </c>
      <c r="L51" s="76">
        <v>290473.28</v>
      </c>
      <c r="M51" s="25" t="s">
        <v>447</v>
      </c>
      <c r="N51" s="76">
        <v>43392</v>
      </c>
      <c r="O51" s="22">
        <f t="shared" si="0"/>
        <v>43392</v>
      </c>
      <c r="P51" s="78" t="str">
        <f>IF(O51=0,"",_xlfn.XLOOKUP(D51,'5月份计划'!A:A,'5月份计划'!A:A))</f>
        <v>浙江华悦汽车零部件股份有限公</v>
      </c>
    </row>
    <row r="52" s="22" customFormat="1" ht="15" customHeight="1" spans="1:16">
      <c r="A52" s="29" t="s">
        <v>444</v>
      </c>
      <c r="B52" s="32" t="s">
        <v>445</v>
      </c>
      <c r="C52" s="29" t="s">
        <v>41</v>
      </c>
      <c r="D52" s="32" t="s">
        <v>515</v>
      </c>
      <c r="E52" s="29" t="s">
        <v>41</v>
      </c>
      <c r="F52" s="29" t="s">
        <v>443</v>
      </c>
      <c r="G52" s="29" t="s">
        <v>489</v>
      </c>
      <c r="H52" s="77">
        <v>0</v>
      </c>
      <c r="I52" s="77">
        <v>0</v>
      </c>
      <c r="J52" s="77">
        <v>0</v>
      </c>
      <c r="K52" s="77">
        <v>0</v>
      </c>
      <c r="L52" s="77">
        <v>0</v>
      </c>
      <c r="M52" s="29" t="s">
        <v>489</v>
      </c>
      <c r="N52" s="77">
        <v>0</v>
      </c>
      <c r="O52" s="22">
        <f t="shared" si="0"/>
        <v>0</v>
      </c>
      <c r="P52" s="78" t="str">
        <f>IF(O52=0,"",_xlfn.XLOOKUP(D52,'5月份计划'!A:A,'5月份计划'!A:A))</f>
        <v/>
      </c>
    </row>
    <row r="53" s="22" customFormat="1" ht="15" customHeight="1" spans="1:16">
      <c r="A53" s="25" t="s">
        <v>444</v>
      </c>
      <c r="B53" s="28" t="s">
        <v>445</v>
      </c>
      <c r="C53" s="25" t="s">
        <v>41</v>
      </c>
      <c r="D53" s="28" t="s">
        <v>516</v>
      </c>
      <c r="E53" s="25" t="s">
        <v>41</v>
      </c>
      <c r="F53" s="25" t="s">
        <v>443</v>
      </c>
      <c r="G53" s="25" t="s">
        <v>489</v>
      </c>
      <c r="H53" s="76">
        <v>0</v>
      </c>
      <c r="I53" s="76">
        <v>0</v>
      </c>
      <c r="J53" s="76">
        <v>0</v>
      </c>
      <c r="K53" s="76">
        <v>0</v>
      </c>
      <c r="L53" s="76">
        <v>0</v>
      </c>
      <c r="M53" s="25" t="s">
        <v>489</v>
      </c>
      <c r="N53" s="76">
        <v>0</v>
      </c>
      <c r="O53" s="22">
        <f t="shared" si="0"/>
        <v>0</v>
      </c>
      <c r="P53" s="78" t="str">
        <f>IF(O53=0,"",_xlfn.XLOOKUP(D53,'5月份计划'!A:A,'5月份计划'!A:A))</f>
        <v/>
      </c>
    </row>
    <row r="54" s="22" customFormat="1" ht="15" customHeight="1" spans="1:16">
      <c r="A54" s="29" t="s">
        <v>444</v>
      </c>
      <c r="B54" s="32" t="s">
        <v>445</v>
      </c>
      <c r="C54" s="29" t="s">
        <v>41</v>
      </c>
      <c r="D54" s="32" t="s">
        <v>517</v>
      </c>
      <c r="E54" s="29" t="s">
        <v>41</v>
      </c>
      <c r="F54" s="29" t="s">
        <v>443</v>
      </c>
      <c r="G54" s="29" t="s">
        <v>489</v>
      </c>
      <c r="H54" s="77">
        <v>0</v>
      </c>
      <c r="I54" s="77">
        <v>0</v>
      </c>
      <c r="J54" s="77">
        <v>0</v>
      </c>
      <c r="K54" s="77">
        <v>0</v>
      </c>
      <c r="L54" s="77">
        <v>0</v>
      </c>
      <c r="M54" s="29" t="s">
        <v>489</v>
      </c>
      <c r="N54" s="77">
        <v>0</v>
      </c>
      <c r="O54" s="22">
        <f t="shared" si="0"/>
        <v>0</v>
      </c>
      <c r="P54" s="78" t="str">
        <f>IF(O54=0,"",_xlfn.XLOOKUP(D54,'5月份计划'!A:A,'5月份计划'!A:A))</f>
        <v/>
      </c>
    </row>
    <row r="55" s="22" customFormat="1" ht="15" customHeight="1" spans="1:16">
      <c r="A55" s="25" t="s">
        <v>444</v>
      </c>
      <c r="B55" s="28" t="s">
        <v>445</v>
      </c>
      <c r="C55" s="25" t="s">
        <v>41</v>
      </c>
      <c r="D55" s="28" t="s">
        <v>518</v>
      </c>
      <c r="E55" s="25" t="s">
        <v>41</v>
      </c>
      <c r="F55" s="25" t="s">
        <v>443</v>
      </c>
      <c r="G55" s="25" t="s">
        <v>489</v>
      </c>
      <c r="H55" s="76">
        <v>0</v>
      </c>
      <c r="I55" s="76">
        <v>0</v>
      </c>
      <c r="J55" s="76">
        <v>0</v>
      </c>
      <c r="K55" s="76">
        <v>0</v>
      </c>
      <c r="L55" s="76">
        <v>0</v>
      </c>
      <c r="M55" s="25" t="s">
        <v>489</v>
      </c>
      <c r="N55" s="76">
        <v>0</v>
      </c>
      <c r="O55" s="22">
        <f t="shared" si="0"/>
        <v>0</v>
      </c>
      <c r="P55" s="78" t="str">
        <f>IF(O55=0,"",_xlfn.XLOOKUP(D55,'5月份计划'!A:A,'5月份计划'!A:A))</f>
        <v/>
      </c>
    </row>
    <row r="56" s="22" customFormat="1" ht="15" customHeight="1" spans="1:16">
      <c r="A56" s="29" t="s">
        <v>444</v>
      </c>
      <c r="B56" s="32" t="s">
        <v>445</v>
      </c>
      <c r="C56" s="29" t="s">
        <v>41</v>
      </c>
      <c r="D56" s="32" t="s">
        <v>251</v>
      </c>
      <c r="E56" s="29" t="s">
        <v>41</v>
      </c>
      <c r="F56" s="29" t="s">
        <v>443</v>
      </c>
      <c r="G56" s="29" t="s">
        <v>447</v>
      </c>
      <c r="H56" s="77">
        <v>1328403.13</v>
      </c>
      <c r="I56" s="77">
        <v>400000</v>
      </c>
      <c r="J56" s="77">
        <v>535188</v>
      </c>
      <c r="K56" s="77">
        <v>1215422.13</v>
      </c>
      <c r="L56" s="77">
        <v>2501223.13</v>
      </c>
      <c r="M56" s="29" t="s">
        <v>447</v>
      </c>
      <c r="N56" s="77">
        <v>1463591.13</v>
      </c>
      <c r="O56" s="22">
        <f t="shared" si="0"/>
        <v>1463591.13</v>
      </c>
      <c r="P56" s="78" t="str">
        <f>IF(O56=0,"",_xlfn.XLOOKUP(D56,'5月份计划'!A:A,'5月份计划'!A:A))</f>
        <v>厦门凯平化工有限公司</v>
      </c>
    </row>
    <row r="57" s="22" customFormat="1" ht="15" customHeight="1" spans="1:16">
      <c r="A57" s="25" t="s">
        <v>444</v>
      </c>
      <c r="B57" s="28" t="s">
        <v>445</v>
      </c>
      <c r="C57" s="25" t="s">
        <v>41</v>
      </c>
      <c r="D57" s="28" t="s">
        <v>519</v>
      </c>
      <c r="E57" s="25" t="s">
        <v>41</v>
      </c>
      <c r="F57" s="25" t="s">
        <v>443</v>
      </c>
      <c r="G57" s="25" t="s">
        <v>489</v>
      </c>
      <c r="H57" s="76">
        <v>0</v>
      </c>
      <c r="I57" s="76">
        <v>0</v>
      </c>
      <c r="J57" s="76">
        <v>0</v>
      </c>
      <c r="K57" s="76">
        <v>0</v>
      </c>
      <c r="L57" s="76">
        <v>0</v>
      </c>
      <c r="M57" s="25" t="s">
        <v>489</v>
      </c>
      <c r="N57" s="76">
        <v>0</v>
      </c>
      <c r="O57" s="22">
        <f t="shared" si="0"/>
        <v>0</v>
      </c>
      <c r="P57" s="78" t="str">
        <f>IF(O57=0,"",_xlfn.XLOOKUP(D57,'5月份计划'!A:A,'5月份计划'!A:A))</f>
        <v/>
      </c>
    </row>
    <row r="58" s="22" customFormat="1" ht="15" customHeight="1" spans="1:16">
      <c r="A58" s="29" t="s">
        <v>444</v>
      </c>
      <c r="B58" s="32" t="s">
        <v>445</v>
      </c>
      <c r="C58" s="29" t="s">
        <v>41</v>
      </c>
      <c r="D58" s="32" t="s">
        <v>520</v>
      </c>
      <c r="E58" s="29" t="s">
        <v>41</v>
      </c>
      <c r="F58" s="29" t="s">
        <v>443</v>
      </c>
      <c r="G58" s="29" t="s">
        <v>489</v>
      </c>
      <c r="H58" s="77">
        <v>0</v>
      </c>
      <c r="I58" s="77">
        <v>0</v>
      </c>
      <c r="J58" s="77">
        <v>0</v>
      </c>
      <c r="K58" s="77">
        <v>0</v>
      </c>
      <c r="L58" s="77">
        <v>0</v>
      </c>
      <c r="M58" s="29" t="s">
        <v>489</v>
      </c>
      <c r="N58" s="77">
        <v>0</v>
      </c>
      <c r="O58" s="22">
        <f t="shared" si="0"/>
        <v>0</v>
      </c>
      <c r="P58" s="78" t="str">
        <f>IF(O58=0,"",_xlfn.XLOOKUP(D58,'5月份计划'!A:A,'5月份计划'!A:A))</f>
        <v/>
      </c>
    </row>
    <row r="59" s="22" customFormat="1" ht="15" customHeight="1" spans="1:16">
      <c r="A59" s="25" t="s">
        <v>444</v>
      </c>
      <c r="B59" s="28" t="s">
        <v>445</v>
      </c>
      <c r="C59" s="25" t="s">
        <v>41</v>
      </c>
      <c r="D59" s="28" t="s">
        <v>521</v>
      </c>
      <c r="E59" s="25" t="s">
        <v>41</v>
      </c>
      <c r="F59" s="25" t="s">
        <v>443</v>
      </c>
      <c r="G59" s="25" t="s">
        <v>489</v>
      </c>
      <c r="H59" s="76">
        <v>0</v>
      </c>
      <c r="I59" s="76">
        <v>0</v>
      </c>
      <c r="J59" s="76">
        <v>0</v>
      </c>
      <c r="K59" s="76">
        <v>0</v>
      </c>
      <c r="L59" s="76">
        <v>0</v>
      </c>
      <c r="M59" s="25" t="s">
        <v>489</v>
      </c>
      <c r="N59" s="76">
        <v>0</v>
      </c>
      <c r="O59" s="22">
        <f t="shared" si="0"/>
        <v>0</v>
      </c>
      <c r="P59" s="78" t="str">
        <f>IF(O59=0,"",_xlfn.XLOOKUP(D59,'5月份计划'!A:A,'5月份计划'!A:A))</f>
        <v/>
      </c>
    </row>
    <row r="60" s="22" customFormat="1" ht="15" customHeight="1" spans="1:16">
      <c r="A60" s="29" t="s">
        <v>444</v>
      </c>
      <c r="B60" s="32" t="s">
        <v>445</v>
      </c>
      <c r="C60" s="29" t="s">
        <v>41</v>
      </c>
      <c r="D60" s="32" t="s">
        <v>252</v>
      </c>
      <c r="E60" s="29" t="s">
        <v>41</v>
      </c>
      <c r="F60" s="29" t="s">
        <v>443</v>
      </c>
      <c r="G60" s="29" t="s">
        <v>447</v>
      </c>
      <c r="H60" s="77">
        <v>97720.81</v>
      </c>
      <c r="I60" s="77">
        <v>0</v>
      </c>
      <c r="J60" s="77">
        <v>66799.53</v>
      </c>
      <c r="K60" s="77">
        <v>489534.44</v>
      </c>
      <c r="L60" s="77">
        <v>247517.12</v>
      </c>
      <c r="M60" s="29" t="s">
        <v>447</v>
      </c>
      <c r="N60" s="77">
        <v>164520.34</v>
      </c>
      <c r="O60" s="22">
        <f t="shared" si="0"/>
        <v>164520.34</v>
      </c>
      <c r="P60" s="78" t="str">
        <f>IF(O60=0,"",_xlfn.XLOOKUP(D60,'5月份计划'!A:A,'5月份计划'!A:A))</f>
        <v>湖北伟士通汽车零件有限公司</v>
      </c>
    </row>
    <row r="61" s="22" customFormat="1" ht="15" customHeight="1" spans="1:16">
      <c r="A61" s="25" t="s">
        <v>444</v>
      </c>
      <c r="B61" s="28" t="s">
        <v>445</v>
      </c>
      <c r="C61" s="25" t="s">
        <v>41</v>
      </c>
      <c r="D61" s="28" t="s">
        <v>253</v>
      </c>
      <c r="E61" s="25" t="s">
        <v>41</v>
      </c>
      <c r="F61" s="25" t="s">
        <v>443</v>
      </c>
      <c r="G61" s="25" t="s">
        <v>447</v>
      </c>
      <c r="H61" s="76">
        <v>267969.53</v>
      </c>
      <c r="I61" s="76">
        <v>0</v>
      </c>
      <c r="J61" s="76">
        <v>0</v>
      </c>
      <c r="K61" s="76">
        <v>474220.47</v>
      </c>
      <c r="L61" s="76">
        <v>403425.8</v>
      </c>
      <c r="M61" s="25" t="s">
        <v>447</v>
      </c>
      <c r="N61" s="76">
        <v>267969.53</v>
      </c>
      <c r="O61" s="22">
        <f t="shared" si="0"/>
        <v>267969.53</v>
      </c>
      <c r="P61" s="78" t="str">
        <f>IF(O61=0,"",_xlfn.XLOOKUP(D61,'5月份计划'!A:A,'5月份计划'!A:A))</f>
        <v>衡阳县标准件厂株洲销售处</v>
      </c>
    </row>
    <row r="62" s="22" customFormat="1" ht="15" customHeight="1" spans="1:16">
      <c r="A62" s="29" t="s">
        <v>444</v>
      </c>
      <c r="B62" s="32" t="s">
        <v>445</v>
      </c>
      <c r="C62" s="29" t="s">
        <v>41</v>
      </c>
      <c r="D62" s="32" t="s">
        <v>254</v>
      </c>
      <c r="E62" s="29" t="s">
        <v>41</v>
      </c>
      <c r="F62" s="29" t="s">
        <v>443</v>
      </c>
      <c r="G62" s="29" t="s">
        <v>447</v>
      </c>
      <c r="H62" s="77">
        <v>692564.47</v>
      </c>
      <c r="I62" s="77">
        <v>450000</v>
      </c>
      <c r="J62" s="77">
        <v>510342.38</v>
      </c>
      <c r="K62" s="77">
        <v>2400000</v>
      </c>
      <c r="L62" s="77">
        <v>2555604.91</v>
      </c>
      <c r="M62" s="29" t="s">
        <v>447</v>
      </c>
      <c r="N62" s="77">
        <v>752906.85</v>
      </c>
      <c r="O62" s="22">
        <f t="shared" si="0"/>
        <v>752906.85</v>
      </c>
      <c r="P62" s="78" t="str">
        <f>IF(O62=0,"",_xlfn.XLOOKUP(D62,'5月份计划'!A:A,'5月份计划'!A:A))</f>
        <v>湖南凌天汽车零部件有限公司</v>
      </c>
    </row>
    <row r="63" s="22" customFormat="1" ht="15" customHeight="1" spans="1:16">
      <c r="A63" s="25" t="s">
        <v>444</v>
      </c>
      <c r="B63" s="28" t="s">
        <v>445</v>
      </c>
      <c r="C63" s="25" t="s">
        <v>41</v>
      </c>
      <c r="D63" s="28" t="s">
        <v>522</v>
      </c>
      <c r="E63" s="25" t="s">
        <v>41</v>
      </c>
      <c r="F63" s="25" t="s">
        <v>443</v>
      </c>
      <c r="G63" s="25" t="s">
        <v>489</v>
      </c>
      <c r="H63" s="76">
        <v>0</v>
      </c>
      <c r="I63" s="76">
        <v>0</v>
      </c>
      <c r="J63" s="76">
        <v>0</v>
      </c>
      <c r="K63" s="76">
        <v>0</v>
      </c>
      <c r="L63" s="76">
        <v>0</v>
      </c>
      <c r="M63" s="25" t="s">
        <v>489</v>
      </c>
      <c r="N63" s="76">
        <v>0</v>
      </c>
      <c r="O63" s="22">
        <f t="shared" si="0"/>
        <v>0</v>
      </c>
      <c r="P63" s="78" t="str">
        <f>IF(O63=0,"",_xlfn.XLOOKUP(D63,'5月份计划'!A:A,'5月份计划'!A:A))</f>
        <v/>
      </c>
    </row>
    <row r="64" s="22" customFormat="1" ht="15" customHeight="1" spans="1:16">
      <c r="A64" s="29" t="s">
        <v>444</v>
      </c>
      <c r="B64" s="32" t="s">
        <v>445</v>
      </c>
      <c r="C64" s="29" t="s">
        <v>41</v>
      </c>
      <c r="D64" s="32" t="s">
        <v>523</v>
      </c>
      <c r="E64" s="29" t="s">
        <v>41</v>
      </c>
      <c r="F64" s="29" t="s">
        <v>443</v>
      </c>
      <c r="G64" s="29" t="s">
        <v>489</v>
      </c>
      <c r="H64" s="77">
        <v>0</v>
      </c>
      <c r="I64" s="77">
        <v>0</v>
      </c>
      <c r="J64" s="77">
        <v>0</v>
      </c>
      <c r="K64" s="77">
        <v>0</v>
      </c>
      <c r="L64" s="77">
        <v>0</v>
      </c>
      <c r="M64" s="29" t="s">
        <v>489</v>
      </c>
      <c r="N64" s="77">
        <v>0</v>
      </c>
      <c r="O64" s="22">
        <f t="shared" si="0"/>
        <v>0</v>
      </c>
      <c r="P64" s="78" t="str">
        <f>IF(O64=0,"",_xlfn.XLOOKUP(D64,'5月份计划'!A:A,'5月份计划'!A:A))</f>
        <v/>
      </c>
    </row>
    <row r="65" s="22" customFormat="1" ht="15" customHeight="1" spans="1:16">
      <c r="A65" s="25" t="s">
        <v>444</v>
      </c>
      <c r="B65" s="28" t="s">
        <v>445</v>
      </c>
      <c r="C65" s="25" t="s">
        <v>41</v>
      </c>
      <c r="D65" s="28" t="s">
        <v>454</v>
      </c>
      <c r="E65" s="25" t="s">
        <v>41</v>
      </c>
      <c r="F65" s="25" t="s">
        <v>443</v>
      </c>
      <c r="G65" s="25" t="s">
        <v>447</v>
      </c>
      <c r="H65" s="76">
        <v>0.5</v>
      </c>
      <c r="I65" s="76">
        <v>0</v>
      </c>
      <c r="J65" s="76">
        <v>0</v>
      </c>
      <c r="K65" s="76">
        <v>101763.51</v>
      </c>
      <c r="L65" s="76">
        <v>0</v>
      </c>
      <c r="M65" s="25" t="s">
        <v>447</v>
      </c>
      <c r="N65" s="76">
        <v>0.5</v>
      </c>
      <c r="O65" s="22">
        <f t="shared" si="0"/>
        <v>0.5</v>
      </c>
      <c r="P65" s="78" t="e">
        <f>IF(O65=0,"",_xlfn.XLOOKUP(D65,'5月份计划'!A:A,'5月份计划'!A:A))</f>
        <v>#N/A</v>
      </c>
    </row>
    <row r="66" s="22" customFormat="1" ht="15" customHeight="1" spans="1:16">
      <c r="A66" s="29" t="s">
        <v>444</v>
      </c>
      <c r="B66" s="32" t="s">
        <v>445</v>
      </c>
      <c r="C66" s="29" t="s">
        <v>41</v>
      </c>
      <c r="D66" s="32" t="s">
        <v>524</v>
      </c>
      <c r="E66" s="29" t="s">
        <v>41</v>
      </c>
      <c r="F66" s="29" t="s">
        <v>443</v>
      </c>
      <c r="G66" s="29" t="s">
        <v>489</v>
      </c>
      <c r="H66" s="77">
        <v>0</v>
      </c>
      <c r="I66" s="77">
        <v>0</v>
      </c>
      <c r="J66" s="77">
        <v>0</v>
      </c>
      <c r="K66" s="77">
        <v>0</v>
      </c>
      <c r="L66" s="77">
        <v>0</v>
      </c>
      <c r="M66" s="29" t="s">
        <v>489</v>
      </c>
      <c r="N66" s="77">
        <v>0</v>
      </c>
      <c r="O66" s="22">
        <f t="shared" si="0"/>
        <v>0</v>
      </c>
      <c r="P66" s="78" t="str">
        <f>IF(O66=0,"",_xlfn.XLOOKUP(D66,'5月份计划'!A:A,'5月份计划'!A:A))</f>
        <v/>
      </c>
    </row>
    <row r="67" s="22" customFormat="1" ht="15" customHeight="1" spans="1:16">
      <c r="A67" s="25" t="s">
        <v>444</v>
      </c>
      <c r="B67" s="28" t="s">
        <v>445</v>
      </c>
      <c r="C67" s="25" t="s">
        <v>41</v>
      </c>
      <c r="D67" s="28" t="s">
        <v>525</v>
      </c>
      <c r="E67" s="25" t="s">
        <v>41</v>
      </c>
      <c r="F67" s="25" t="s">
        <v>443</v>
      </c>
      <c r="G67" s="25" t="s">
        <v>489</v>
      </c>
      <c r="H67" s="76">
        <v>0</v>
      </c>
      <c r="I67" s="76">
        <v>0</v>
      </c>
      <c r="J67" s="76">
        <v>0</v>
      </c>
      <c r="K67" s="76">
        <v>0</v>
      </c>
      <c r="L67" s="76">
        <v>0</v>
      </c>
      <c r="M67" s="25" t="s">
        <v>489</v>
      </c>
      <c r="N67" s="76">
        <v>0</v>
      </c>
      <c r="O67" s="22">
        <f t="shared" si="0"/>
        <v>0</v>
      </c>
      <c r="P67" s="78" t="str">
        <f>IF(O67=0,"",_xlfn.XLOOKUP(D67,'5月份计划'!A:A,'5月份计划'!A:A))</f>
        <v/>
      </c>
    </row>
    <row r="68" s="22" customFormat="1" ht="15" customHeight="1" spans="1:16">
      <c r="A68" s="29" t="s">
        <v>444</v>
      </c>
      <c r="B68" s="32" t="s">
        <v>445</v>
      </c>
      <c r="C68" s="29" t="s">
        <v>41</v>
      </c>
      <c r="D68" s="32" t="s">
        <v>526</v>
      </c>
      <c r="E68" s="29" t="s">
        <v>41</v>
      </c>
      <c r="F68" s="29" t="s">
        <v>443</v>
      </c>
      <c r="G68" s="29" t="s">
        <v>489</v>
      </c>
      <c r="H68" s="77">
        <v>0</v>
      </c>
      <c r="I68" s="77">
        <v>0</v>
      </c>
      <c r="J68" s="77">
        <v>0</v>
      </c>
      <c r="K68" s="77">
        <v>0</v>
      </c>
      <c r="L68" s="77">
        <v>0</v>
      </c>
      <c r="M68" s="29" t="s">
        <v>489</v>
      </c>
      <c r="N68" s="77">
        <v>0</v>
      </c>
      <c r="O68" s="22">
        <f t="shared" ref="O68:O131" si="1">IF(M68="贷",N68,-N68)</f>
        <v>0</v>
      </c>
      <c r="P68" s="78" t="str">
        <f>IF(O68=0,"",_xlfn.XLOOKUP(D68,'5月份计划'!A:A,'5月份计划'!A:A))</f>
        <v/>
      </c>
    </row>
    <row r="69" s="22" customFormat="1" ht="15" customHeight="1" spans="1:16">
      <c r="A69" s="25" t="s">
        <v>444</v>
      </c>
      <c r="B69" s="28" t="s">
        <v>445</v>
      </c>
      <c r="C69" s="25" t="s">
        <v>41</v>
      </c>
      <c r="D69" s="28" t="s">
        <v>527</v>
      </c>
      <c r="E69" s="25" t="s">
        <v>41</v>
      </c>
      <c r="F69" s="25" t="s">
        <v>443</v>
      </c>
      <c r="G69" s="25" t="s">
        <v>489</v>
      </c>
      <c r="H69" s="76">
        <v>0</v>
      </c>
      <c r="I69" s="76">
        <v>0</v>
      </c>
      <c r="J69" s="76">
        <v>0</v>
      </c>
      <c r="K69" s="76">
        <v>0</v>
      </c>
      <c r="L69" s="76">
        <v>0</v>
      </c>
      <c r="M69" s="25" t="s">
        <v>489</v>
      </c>
      <c r="N69" s="76">
        <v>0</v>
      </c>
      <c r="O69" s="22">
        <f t="shared" si="1"/>
        <v>0</v>
      </c>
      <c r="P69" s="78" t="str">
        <f>IF(O69=0,"",_xlfn.XLOOKUP(D69,'5月份计划'!A:A,'5月份计划'!A:A))</f>
        <v/>
      </c>
    </row>
    <row r="70" s="22" customFormat="1" ht="15" customHeight="1" spans="1:16">
      <c r="A70" s="29" t="s">
        <v>444</v>
      </c>
      <c r="B70" s="32" t="s">
        <v>445</v>
      </c>
      <c r="C70" s="29" t="s">
        <v>41</v>
      </c>
      <c r="D70" s="32" t="s">
        <v>528</v>
      </c>
      <c r="E70" s="29" t="s">
        <v>41</v>
      </c>
      <c r="F70" s="29" t="s">
        <v>443</v>
      </c>
      <c r="G70" s="29" t="s">
        <v>489</v>
      </c>
      <c r="H70" s="77">
        <v>0</v>
      </c>
      <c r="I70" s="77">
        <v>0</v>
      </c>
      <c r="J70" s="77">
        <v>0</v>
      </c>
      <c r="K70" s="77">
        <v>0</v>
      </c>
      <c r="L70" s="77">
        <v>0</v>
      </c>
      <c r="M70" s="29" t="s">
        <v>489</v>
      </c>
      <c r="N70" s="77">
        <v>0</v>
      </c>
      <c r="O70" s="22">
        <f t="shared" si="1"/>
        <v>0</v>
      </c>
      <c r="P70" s="78" t="str">
        <f>IF(O70=0,"",_xlfn.XLOOKUP(D70,'5月份计划'!A:A,'5月份计划'!A:A))</f>
        <v/>
      </c>
    </row>
    <row r="71" s="22" customFormat="1" ht="15" customHeight="1" spans="1:16">
      <c r="A71" s="25" t="s">
        <v>444</v>
      </c>
      <c r="B71" s="28" t="s">
        <v>445</v>
      </c>
      <c r="C71" s="25" t="s">
        <v>41</v>
      </c>
      <c r="D71" s="28" t="s">
        <v>529</v>
      </c>
      <c r="E71" s="25" t="s">
        <v>41</v>
      </c>
      <c r="F71" s="25" t="s">
        <v>443</v>
      </c>
      <c r="G71" s="25" t="s">
        <v>489</v>
      </c>
      <c r="H71" s="76">
        <v>0</v>
      </c>
      <c r="I71" s="76">
        <v>0</v>
      </c>
      <c r="J71" s="76">
        <v>0</v>
      </c>
      <c r="K71" s="76">
        <v>0</v>
      </c>
      <c r="L71" s="76">
        <v>0</v>
      </c>
      <c r="M71" s="25" t="s">
        <v>489</v>
      </c>
      <c r="N71" s="76">
        <v>0</v>
      </c>
      <c r="O71" s="22">
        <f t="shared" si="1"/>
        <v>0</v>
      </c>
      <c r="P71" s="78" t="str">
        <f>IF(O71=0,"",_xlfn.XLOOKUP(D71,'5月份计划'!A:A,'5月份计划'!A:A))</f>
        <v/>
      </c>
    </row>
    <row r="72" s="22" customFormat="1" ht="15" customHeight="1" spans="1:16">
      <c r="A72" s="29" t="s">
        <v>444</v>
      </c>
      <c r="B72" s="32" t="s">
        <v>445</v>
      </c>
      <c r="C72" s="29" t="s">
        <v>41</v>
      </c>
      <c r="D72" s="32" t="s">
        <v>530</v>
      </c>
      <c r="E72" s="29" t="s">
        <v>41</v>
      </c>
      <c r="F72" s="29" t="s">
        <v>443</v>
      </c>
      <c r="G72" s="29" t="s">
        <v>489</v>
      </c>
      <c r="H72" s="77">
        <v>0</v>
      </c>
      <c r="I72" s="77">
        <v>0</v>
      </c>
      <c r="J72" s="77">
        <v>0</v>
      </c>
      <c r="K72" s="77">
        <v>0</v>
      </c>
      <c r="L72" s="77">
        <v>0</v>
      </c>
      <c r="M72" s="29" t="s">
        <v>489</v>
      </c>
      <c r="N72" s="77">
        <v>0</v>
      </c>
      <c r="O72" s="22">
        <f t="shared" si="1"/>
        <v>0</v>
      </c>
      <c r="P72" s="78" t="str">
        <f>IF(O72=0,"",_xlfn.XLOOKUP(D72,'5月份计划'!A:A,'5月份计划'!A:A))</f>
        <v/>
      </c>
    </row>
    <row r="73" s="22" customFormat="1" ht="15" customHeight="1" spans="1:16">
      <c r="A73" s="25" t="s">
        <v>444</v>
      </c>
      <c r="B73" s="28" t="s">
        <v>445</v>
      </c>
      <c r="C73" s="25" t="s">
        <v>41</v>
      </c>
      <c r="D73" s="28" t="s">
        <v>531</v>
      </c>
      <c r="E73" s="25" t="s">
        <v>41</v>
      </c>
      <c r="F73" s="25" t="s">
        <v>443</v>
      </c>
      <c r="G73" s="25" t="s">
        <v>489</v>
      </c>
      <c r="H73" s="76">
        <v>0</v>
      </c>
      <c r="I73" s="76">
        <v>0</v>
      </c>
      <c r="J73" s="76">
        <v>0</v>
      </c>
      <c r="K73" s="76">
        <v>0</v>
      </c>
      <c r="L73" s="76">
        <v>0</v>
      </c>
      <c r="M73" s="25" t="s">
        <v>489</v>
      </c>
      <c r="N73" s="76">
        <v>0</v>
      </c>
      <c r="O73" s="22">
        <f t="shared" si="1"/>
        <v>0</v>
      </c>
      <c r="P73" s="78" t="str">
        <f>IF(O73=0,"",_xlfn.XLOOKUP(D73,'5月份计划'!A:A,'5月份计划'!A:A))</f>
        <v/>
      </c>
    </row>
    <row r="74" s="22" customFormat="1" ht="15" customHeight="1" spans="1:16">
      <c r="A74" s="29" t="s">
        <v>444</v>
      </c>
      <c r="B74" s="32" t="s">
        <v>445</v>
      </c>
      <c r="C74" s="29" t="s">
        <v>41</v>
      </c>
      <c r="D74" s="32" t="s">
        <v>532</v>
      </c>
      <c r="E74" s="29" t="s">
        <v>41</v>
      </c>
      <c r="F74" s="29" t="s">
        <v>443</v>
      </c>
      <c r="G74" s="29" t="s">
        <v>489</v>
      </c>
      <c r="H74" s="77">
        <v>0</v>
      </c>
      <c r="I74" s="77">
        <v>0</v>
      </c>
      <c r="J74" s="77">
        <v>0</v>
      </c>
      <c r="K74" s="77">
        <v>0</v>
      </c>
      <c r="L74" s="77">
        <v>0</v>
      </c>
      <c r="M74" s="29" t="s">
        <v>489</v>
      </c>
      <c r="N74" s="77">
        <v>0</v>
      </c>
      <c r="O74" s="22">
        <f t="shared" si="1"/>
        <v>0</v>
      </c>
      <c r="P74" s="78" t="str">
        <f>IF(O74=0,"",_xlfn.XLOOKUP(D74,'5月份计划'!A:A,'5月份计划'!A:A))</f>
        <v/>
      </c>
    </row>
    <row r="75" s="22" customFormat="1" ht="15" customHeight="1" spans="1:16">
      <c r="A75" s="25" t="s">
        <v>444</v>
      </c>
      <c r="B75" s="28" t="s">
        <v>445</v>
      </c>
      <c r="C75" s="25" t="s">
        <v>41</v>
      </c>
      <c r="D75" s="28" t="s">
        <v>533</v>
      </c>
      <c r="E75" s="25" t="s">
        <v>41</v>
      </c>
      <c r="F75" s="25" t="s">
        <v>443</v>
      </c>
      <c r="G75" s="25" t="s">
        <v>489</v>
      </c>
      <c r="H75" s="76">
        <v>0</v>
      </c>
      <c r="I75" s="76">
        <v>0</v>
      </c>
      <c r="J75" s="76">
        <v>0</v>
      </c>
      <c r="K75" s="76">
        <v>0</v>
      </c>
      <c r="L75" s="76">
        <v>0</v>
      </c>
      <c r="M75" s="25" t="s">
        <v>489</v>
      </c>
      <c r="N75" s="76">
        <v>0</v>
      </c>
      <c r="O75" s="22">
        <f t="shared" si="1"/>
        <v>0</v>
      </c>
      <c r="P75" s="78" t="str">
        <f>IF(O75=0,"",_xlfn.XLOOKUP(D75,'5月份计划'!A:A,'5月份计划'!A:A))</f>
        <v/>
      </c>
    </row>
    <row r="76" s="22" customFormat="1" ht="15" customHeight="1" spans="1:16">
      <c r="A76" s="29" t="s">
        <v>444</v>
      </c>
      <c r="B76" s="32" t="s">
        <v>445</v>
      </c>
      <c r="C76" s="29" t="s">
        <v>41</v>
      </c>
      <c r="D76" s="32" t="s">
        <v>255</v>
      </c>
      <c r="E76" s="29" t="s">
        <v>41</v>
      </c>
      <c r="F76" s="29" t="s">
        <v>443</v>
      </c>
      <c r="G76" s="29" t="s">
        <v>447</v>
      </c>
      <c r="H76" s="77">
        <v>94219.62</v>
      </c>
      <c r="I76" s="77">
        <v>0</v>
      </c>
      <c r="J76" s="77">
        <v>109.75</v>
      </c>
      <c r="K76" s="77">
        <v>594826.52</v>
      </c>
      <c r="L76" s="77">
        <v>322810.63</v>
      </c>
      <c r="M76" s="29" t="s">
        <v>447</v>
      </c>
      <c r="N76" s="77">
        <v>94329.37</v>
      </c>
      <c r="O76" s="22">
        <f t="shared" si="1"/>
        <v>94329.37</v>
      </c>
      <c r="P76" s="78" t="str">
        <f>IF(O76=0,"",_xlfn.XLOOKUP(D76,'5月份计划'!A:A,'5月份计划'!A:A))</f>
        <v>重庆光大产业有限公司</v>
      </c>
    </row>
    <row r="77" s="22" customFormat="1" ht="15" customHeight="1" spans="1:16">
      <c r="A77" s="25" t="s">
        <v>444</v>
      </c>
      <c r="B77" s="28" t="s">
        <v>445</v>
      </c>
      <c r="C77" s="25" t="s">
        <v>41</v>
      </c>
      <c r="D77" s="28" t="s">
        <v>256</v>
      </c>
      <c r="E77" s="25" t="s">
        <v>41</v>
      </c>
      <c r="F77" s="25" t="s">
        <v>443</v>
      </c>
      <c r="G77" s="25" t="s">
        <v>447</v>
      </c>
      <c r="H77" s="76">
        <v>2402188.31</v>
      </c>
      <c r="I77" s="76">
        <v>2500000</v>
      </c>
      <c r="J77" s="76">
        <v>3290523.89</v>
      </c>
      <c r="K77" s="76">
        <v>9406463.53</v>
      </c>
      <c r="L77" s="76">
        <v>7704542.36</v>
      </c>
      <c r="M77" s="25" t="s">
        <v>447</v>
      </c>
      <c r="N77" s="76">
        <v>3192712.2</v>
      </c>
      <c r="O77" s="22">
        <f t="shared" si="1"/>
        <v>3192712.2</v>
      </c>
      <c r="P77" s="78" t="str">
        <f>IF(O77=0,"",_xlfn.XLOOKUP(D77,'5月份计划'!A:A,'5月份计划'!A:A))</f>
        <v>湘乡简美工贸有限公司</v>
      </c>
    </row>
    <row r="78" s="22" customFormat="1" ht="15" customHeight="1" spans="1:16">
      <c r="A78" s="29" t="s">
        <v>444</v>
      </c>
      <c r="B78" s="32" t="s">
        <v>445</v>
      </c>
      <c r="C78" s="29" t="s">
        <v>41</v>
      </c>
      <c r="D78" s="32" t="s">
        <v>534</v>
      </c>
      <c r="E78" s="29" t="s">
        <v>41</v>
      </c>
      <c r="F78" s="29" t="s">
        <v>443</v>
      </c>
      <c r="G78" s="29" t="s">
        <v>489</v>
      </c>
      <c r="H78" s="77">
        <v>0</v>
      </c>
      <c r="I78" s="77">
        <v>0</v>
      </c>
      <c r="J78" s="77">
        <v>0</v>
      </c>
      <c r="K78" s="77">
        <v>82524</v>
      </c>
      <c r="L78" s="77">
        <v>0</v>
      </c>
      <c r="M78" s="29" t="s">
        <v>489</v>
      </c>
      <c r="N78" s="77">
        <v>0</v>
      </c>
      <c r="O78" s="22">
        <f t="shared" si="1"/>
        <v>0</v>
      </c>
      <c r="P78" s="78" t="str">
        <f>IF(O78=0,"",_xlfn.XLOOKUP(D78,'5月份计划'!A:A,'5月份计划'!A:A))</f>
        <v/>
      </c>
    </row>
    <row r="79" s="22" customFormat="1" ht="15" customHeight="1" spans="1:16">
      <c r="A79" s="25" t="s">
        <v>444</v>
      </c>
      <c r="B79" s="28" t="s">
        <v>445</v>
      </c>
      <c r="C79" s="25" t="s">
        <v>41</v>
      </c>
      <c r="D79" s="28" t="s">
        <v>455</v>
      </c>
      <c r="E79" s="25" t="s">
        <v>41</v>
      </c>
      <c r="F79" s="25" t="s">
        <v>443</v>
      </c>
      <c r="G79" s="25" t="s">
        <v>489</v>
      </c>
      <c r="H79" s="76">
        <v>0</v>
      </c>
      <c r="I79" s="76">
        <v>0</v>
      </c>
      <c r="J79" s="76">
        <v>0</v>
      </c>
      <c r="K79" s="76">
        <v>241042</v>
      </c>
      <c r="L79" s="76">
        <v>0</v>
      </c>
      <c r="M79" s="25" t="s">
        <v>489</v>
      </c>
      <c r="N79" s="76">
        <v>0</v>
      </c>
      <c r="O79" s="22">
        <f t="shared" si="1"/>
        <v>0</v>
      </c>
      <c r="P79" s="78" t="str">
        <f>IF(O79=0,"",_xlfn.XLOOKUP(D79,'5月份计划'!A:A,'5月份计划'!A:A))</f>
        <v/>
      </c>
    </row>
    <row r="80" s="22" customFormat="1" ht="15" customHeight="1" spans="1:16">
      <c r="A80" s="29" t="s">
        <v>444</v>
      </c>
      <c r="B80" s="32" t="s">
        <v>445</v>
      </c>
      <c r="C80" s="29" t="s">
        <v>41</v>
      </c>
      <c r="D80" s="32" t="s">
        <v>456</v>
      </c>
      <c r="E80" s="29" t="s">
        <v>41</v>
      </c>
      <c r="F80" s="29" t="s">
        <v>443</v>
      </c>
      <c r="G80" s="29" t="s">
        <v>447</v>
      </c>
      <c r="H80" s="77">
        <v>115723.23</v>
      </c>
      <c r="I80" s="77">
        <v>0</v>
      </c>
      <c r="J80" s="77">
        <v>0</v>
      </c>
      <c r="K80" s="77">
        <v>344500</v>
      </c>
      <c r="L80" s="77">
        <v>144500</v>
      </c>
      <c r="M80" s="29" t="s">
        <v>447</v>
      </c>
      <c r="N80" s="77">
        <v>115723.23</v>
      </c>
      <c r="O80" s="22">
        <f t="shared" si="1"/>
        <v>115723.23</v>
      </c>
      <c r="P80" s="78" t="e">
        <f>IF(O80=0,"",_xlfn.XLOOKUP(D80,'5月份计划'!A:A,'5月份计划'!A:A))</f>
        <v>#N/A</v>
      </c>
    </row>
    <row r="81" s="22" customFormat="1" ht="15" customHeight="1" spans="1:16">
      <c r="A81" s="25" t="s">
        <v>444</v>
      </c>
      <c r="B81" s="28" t="s">
        <v>445</v>
      </c>
      <c r="C81" s="25" t="s">
        <v>41</v>
      </c>
      <c r="D81" s="28" t="s">
        <v>457</v>
      </c>
      <c r="E81" s="25" t="s">
        <v>41</v>
      </c>
      <c r="F81" s="25" t="s">
        <v>443</v>
      </c>
      <c r="G81" s="25" t="s">
        <v>447</v>
      </c>
      <c r="H81" s="76">
        <v>1400</v>
      </c>
      <c r="I81" s="76">
        <v>0</v>
      </c>
      <c r="J81" s="76">
        <v>0</v>
      </c>
      <c r="K81" s="76">
        <v>0</v>
      </c>
      <c r="L81" s="76">
        <v>0</v>
      </c>
      <c r="M81" s="25" t="s">
        <v>447</v>
      </c>
      <c r="N81" s="76">
        <v>1400</v>
      </c>
      <c r="O81" s="22">
        <f t="shared" si="1"/>
        <v>1400</v>
      </c>
      <c r="P81" s="78" t="e">
        <f>IF(O81=0,"",_xlfn.XLOOKUP(D81,'5月份计划'!A:A,'5月份计划'!A:A))</f>
        <v>#N/A</v>
      </c>
    </row>
    <row r="82" s="22" customFormat="1" ht="15" customHeight="1" spans="1:16">
      <c r="A82" s="29" t="s">
        <v>444</v>
      </c>
      <c r="B82" s="32" t="s">
        <v>445</v>
      </c>
      <c r="C82" s="29" t="s">
        <v>41</v>
      </c>
      <c r="D82" s="32" t="s">
        <v>458</v>
      </c>
      <c r="E82" s="29" t="s">
        <v>41</v>
      </c>
      <c r="F82" s="29" t="s">
        <v>443</v>
      </c>
      <c r="G82" s="29" t="s">
        <v>447</v>
      </c>
      <c r="H82" s="77">
        <v>5600</v>
      </c>
      <c r="I82" s="77">
        <v>0</v>
      </c>
      <c r="J82" s="77">
        <v>0</v>
      </c>
      <c r="K82" s="77">
        <v>0</v>
      </c>
      <c r="L82" s="77">
        <v>0</v>
      </c>
      <c r="M82" s="29" t="s">
        <v>447</v>
      </c>
      <c r="N82" s="77">
        <v>5600</v>
      </c>
      <c r="O82" s="22">
        <f t="shared" si="1"/>
        <v>5600</v>
      </c>
      <c r="P82" s="78" t="e">
        <f>IF(O82=0,"",_xlfn.XLOOKUP(D82,'5月份计划'!A:A,'5月份计划'!A:A))</f>
        <v>#N/A</v>
      </c>
    </row>
    <row r="83" s="22" customFormat="1" ht="15" customHeight="1" spans="1:16">
      <c r="A83" s="25" t="s">
        <v>444</v>
      </c>
      <c r="B83" s="28" t="s">
        <v>445</v>
      </c>
      <c r="C83" s="25" t="s">
        <v>41</v>
      </c>
      <c r="D83" s="28" t="s">
        <v>459</v>
      </c>
      <c r="E83" s="25" t="s">
        <v>41</v>
      </c>
      <c r="F83" s="25" t="s">
        <v>443</v>
      </c>
      <c r="G83" s="25" t="s">
        <v>447</v>
      </c>
      <c r="H83" s="76">
        <v>6250</v>
      </c>
      <c r="I83" s="76">
        <v>0</v>
      </c>
      <c r="J83" s="76">
        <v>0</v>
      </c>
      <c r="K83" s="76">
        <v>0</v>
      </c>
      <c r="L83" s="76">
        <v>0</v>
      </c>
      <c r="M83" s="25" t="s">
        <v>447</v>
      </c>
      <c r="N83" s="76">
        <v>6250</v>
      </c>
      <c r="O83" s="22">
        <f t="shared" si="1"/>
        <v>6250</v>
      </c>
      <c r="P83" s="78" t="e">
        <f>IF(O83=0,"",_xlfn.XLOOKUP(D83,'5月份计划'!A:A,'5月份计划'!A:A))</f>
        <v>#N/A</v>
      </c>
    </row>
    <row r="84" s="22" customFormat="1" ht="15" customHeight="1" spans="1:16">
      <c r="A84" s="29" t="s">
        <v>444</v>
      </c>
      <c r="B84" s="32" t="s">
        <v>445</v>
      </c>
      <c r="C84" s="29" t="s">
        <v>41</v>
      </c>
      <c r="D84" s="32" t="s">
        <v>535</v>
      </c>
      <c r="E84" s="29" t="s">
        <v>41</v>
      </c>
      <c r="F84" s="29" t="s">
        <v>443</v>
      </c>
      <c r="G84" s="29" t="s">
        <v>489</v>
      </c>
      <c r="H84" s="77">
        <v>0</v>
      </c>
      <c r="I84" s="77">
        <v>0</v>
      </c>
      <c r="J84" s="77">
        <v>0</v>
      </c>
      <c r="K84" s="77">
        <v>0</v>
      </c>
      <c r="L84" s="77">
        <v>0</v>
      </c>
      <c r="M84" s="29" t="s">
        <v>489</v>
      </c>
      <c r="N84" s="77">
        <v>0</v>
      </c>
      <c r="O84" s="22">
        <f t="shared" si="1"/>
        <v>0</v>
      </c>
      <c r="P84" s="78" t="str">
        <f>IF(O84=0,"",_xlfn.XLOOKUP(D84,'5月份计划'!A:A,'5月份计划'!A:A))</f>
        <v/>
      </c>
    </row>
    <row r="85" s="22" customFormat="1" ht="15" customHeight="1" spans="1:16">
      <c r="A85" s="25" t="s">
        <v>444</v>
      </c>
      <c r="B85" s="28" t="s">
        <v>445</v>
      </c>
      <c r="C85" s="25" t="s">
        <v>41</v>
      </c>
      <c r="D85" s="28" t="s">
        <v>460</v>
      </c>
      <c r="E85" s="25" t="s">
        <v>41</v>
      </c>
      <c r="F85" s="25" t="s">
        <v>443</v>
      </c>
      <c r="G85" s="25" t="s">
        <v>447</v>
      </c>
      <c r="H85" s="76">
        <v>12000</v>
      </c>
      <c r="I85" s="76">
        <v>0</v>
      </c>
      <c r="J85" s="76">
        <v>0</v>
      </c>
      <c r="K85" s="76">
        <v>0</v>
      </c>
      <c r="L85" s="76">
        <v>0</v>
      </c>
      <c r="M85" s="25" t="s">
        <v>447</v>
      </c>
      <c r="N85" s="76">
        <v>12000</v>
      </c>
      <c r="O85" s="22">
        <f t="shared" si="1"/>
        <v>12000</v>
      </c>
      <c r="P85" s="78" t="e">
        <f>IF(O85=0,"",_xlfn.XLOOKUP(D85,'5月份计划'!A:A,'5月份计划'!A:A))</f>
        <v>#N/A</v>
      </c>
    </row>
    <row r="86" s="22" customFormat="1" ht="15" customHeight="1" spans="1:16">
      <c r="A86" s="29" t="s">
        <v>444</v>
      </c>
      <c r="B86" s="32" t="s">
        <v>445</v>
      </c>
      <c r="C86" s="29" t="s">
        <v>41</v>
      </c>
      <c r="D86" s="32" t="s">
        <v>536</v>
      </c>
      <c r="E86" s="29" t="s">
        <v>41</v>
      </c>
      <c r="F86" s="29" t="s">
        <v>443</v>
      </c>
      <c r="G86" s="29" t="s">
        <v>489</v>
      </c>
      <c r="H86" s="77">
        <v>0</v>
      </c>
      <c r="I86" s="77">
        <v>0</v>
      </c>
      <c r="J86" s="77">
        <v>0</v>
      </c>
      <c r="K86" s="77">
        <v>0</v>
      </c>
      <c r="L86" s="77">
        <v>0</v>
      </c>
      <c r="M86" s="29" t="s">
        <v>489</v>
      </c>
      <c r="N86" s="77">
        <v>0</v>
      </c>
      <c r="O86" s="22">
        <f t="shared" si="1"/>
        <v>0</v>
      </c>
      <c r="P86" s="78" t="str">
        <f>IF(O86=0,"",_xlfn.XLOOKUP(D86,'5月份计划'!A:A,'5月份计划'!A:A))</f>
        <v/>
      </c>
    </row>
    <row r="87" s="22" customFormat="1" ht="15" customHeight="1" spans="1:16">
      <c r="A87" s="25" t="s">
        <v>444</v>
      </c>
      <c r="B87" s="28" t="s">
        <v>445</v>
      </c>
      <c r="C87" s="25" t="s">
        <v>41</v>
      </c>
      <c r="D87" s="28" t="s">
        <v>413</v>
      </c>
      <c r="E87" s="25" t="s">
        <v>41</v>
      </c>
      <c r="F87" s="25" t="s">
        <v>443</v>
      </c>
      <c r="G87" s="25" t="s">
        <v>489</v>
      </c>
      <c r="H87" s="76">
        <v>0</v>
      </c>
      <c r="I87" s="76">
        <v>0</v>
      </c>
      <c r="J87" s="76">
        <v>0</v>
      </c>
      <c r="K87" s="76">
        <v>0</v>
      </c>
      <c r="L87" s="76">
        <v>0</v>
      </c>
      <c r="M87" s="25" t="s">
        <v>489</v>
      </c>
      <c r="N87" s="76">
        <v>0</v>
      </c>
      <c r="O87" s="22">
        <f t="shared" si="1"/>
        <v>0</v>
      </c>
      <c r="P87" s="78" t="str">
        <f>IF(O87=0,"",_xlfn.XLOOKUP(D87,'5月份计划'!A:A,'5月份计划'!A:A))</f>
        <v/>
      </c>
    </row>
    <row r="88" s="22" customFormat="1" ht="15" customHeight="1" spans="1:16">
      <c r="A88" s="29" t="s">
        <v>444</v>
      </c>
      <c r="B88" s="32" t="s">
        <v>445</v>
      </c>
      <c r="C88" s="29" t="s">
        <v>41</v>
      </c>
      <c r="D88" s="32" t="s">
        <v>537</v>
      </c>
      <c r="E88" s="29" t="s">
        <v>41</v>
      </c>
      <c r="F88" s="29" t="s">
        <v>443</v>
      </c>
      <c r="G88" s="29" t="s">
        <v>489</v>
      </c>
      <c r="H88" s="77">
        <v>0</v>
      </c>
      <c r="I88" s="77">
        <v>0</v>
      </c>
      <c r="J88" s="77">
        <v>0</v>
      </c>
      <c r="K88" s="77">
        <v>0</v>
      </c>
      <c r="L88" s="77">
        <v>0</v>
      </c>
      <c r="M88" s="29" t="s">
        <v>489</v>
      </c>
      <c r="N88" s="77">
        <v>0</v>
      </c>
      <c r="O88" s="22">
        <f t="shared" si="1"/>
        <v>0</v>
      </c>
      <c r="P88" s="78" t="str">
        <f>IF(O88=0,"",_xlfn.XLOOKUP(D88,'5月份计划'!A:A,'5月份计划'!A:A))</f>
        <v/>
      </c>
    </row>
    <row r="89" s="22" customFormat="1" ht="15" customHeight="1" spans="1:16">
      <c r="A89" s="25" t="s">
        <v>444</v>
      </c>
      <c r="B89" s="28" t="s">
        <v>445</v>
      </c>
      <c r="C89" s="25" t="s">
        <v>41</v>
      </c>
      <c r="D89" s="28" t="s">
        <v>538</v>
      </c>
      <c r="E89" s="25" t="s">
        <v>41</v>
      </c>
      <c r="F89" s="25" t="s">
        <v>443</v>
      </c>
      <c r="G89" s="25" t="s">
        <v>489</v>
      </c>
      <c r="H89" s="76">
        <v>0</v>
      </c>
      <c r="I89" s="76">
        <v>0</v>
      </c>
      <c r="J89" s="76">
        <v>0</v>
      </c>
      <c r="K89" s="76">
        <v>0</v>
      </c>
      <c r="L89" s="76">
        <v>0</v>
      </c>
      <c r="M89" s="25" t="s">
        <v>489</v>
      </c>
      <c r="N89" s="76">
        <v>0</v>
      </c>
      <c r="O89" s="22">
        <f t="shared" si="1"/>
        <v>0</v>
      </c>
      <c r="P89" s="78" t="str">
        <f>IF(O89=0,"",_xlfn.XLOOKUP(D89,'5月份计划'!A:A,'5月份计划'!A:A))</f>
        <v/>
      </c>
    </row>
    <row r="90" s="22" customFormat="1" ht="15" customHeight="1" spans="1:16">
      <c r="A90" s="29" t="s">
        <v>444</v>
      </c>
      <c r="B90" s="32" t="s">
        <v>445</v>
      </c>
      <c r="C90" s="29" t="s">
        <v>41</v>
      </c>
      <c r="D90" s="32" t="s">
        <v>416</v>
      </c>
      <c r="E90" s="29" t="s">
        <v>41</v>
      </c>
      <c r="F90" s="29" t="s">
        <v>443</v>
      </c>
      <c r="G90" s="29" t="s">
        <v>489</v>
      </c>
      <c r="H90" s="77">
        <v>0</v>
      </c>
      <c r="I90" s="77">
        <v>0</v>
      </c>
      <c r="J90" s="77">
        <v>0</v>
      </c>
      <c r="K90" s="77">
        <v>0</v>
      </c>
      <c r="L90" s="77">
        <v>18532</v>
      </c>
      <c r="M90" s="29" t="s">
        <v>489</v>
      </c>
      <c r="N90" s="77">
        <v>0</v>
      </c>
      <c r="O90" s="22">
        <f t="shared" si="1"/>
        <v>0</v>
      </c>
      <c r="P90" s="78" t="str">
        <f>IF(O90=0,"",_xlfn.XLOOKUP(D90,'5月份计划'!A:A,'5月份计划'!A:A))</f>
        <v/>
      </c>
    </row>
    <row r="91" s="22" customFormat="1" ht="15" customHeight="1" spans="1:16">
      <c r="A91" s="25" t="s">
        <v>444</v>
      </c>
      <c r="B91" s="28" t="s">
        <v>445</v>
      </c>
      <c r="C91" s="25" t="s">
        <v>41</v>
      </c>
      <c r="D91" s="28" t="s">
        <v>461</v>
      </c>
      <c r="E91" s="25" t="s">
        <v>41</v>
      </c>
      <c r="F91" s="25" t="s">
        <v>443</v>
      </c>
      <c r="G91" s="25" t="s">
        <v>447</v>
      </c>
      <c r="H91" s="76">
        <v>9600</v>
      </c>
      <c r="I91" s="76">
        <v>0</v>
      </c>
      <c r="J91" s="76">
        <v>0</v>
      </c>
      <c r="K91" s="76">
        <v>0</v>
      </c>
      <c r="L91" s="76">
        <v>0</v>
      </c>
      <c r="M91" s="25" t="s">
        <v>447</v>
      </c>
      <c r="N91" s="76">
        <v>9600</v>
      </c>
      <c r="O91" s="22">
        <f t="shared" si="1"/>
        <v>9600</v>
      </c>
      <c r="P91" s="78" t="e">
        <f>IF(O91=0,"",_xlfn.XLOOKUP(D91,'5月份计划'!A:A,'5月份计划'!A:A))</f>
        <v>#N/A</v>
      </c>
    </row>
    <row r="92" s="22" customFormat="1" ht="15" customHeight="1" spans="1:16">
      <c r="A92" s="29" t="s">
        <v>444</v>
      </c>
      <c r="B92" s="32" t="s">
        <v>445</v>
      </c>
      <c r="C92" s="29" t="s">
        <v>41</v>
      </c>
      <c r="D92" s="32" t="s">
        <v>539</v>
      </c>
      <c r="E92" s="29" t="s">
        <v>41</v>
      </c>
      <c r="F92" s="29" t="s">
        <v>443</v>
      </c>
      <c r="G92" s="29" t="s">
        <v>489</v>
      </c>
      <c r="H92" s="77">
        <v>0</v>
      </c>
      <c r="I92" s="77">
        <v>0</v>
      </c>
      <c r="J92" s="77">
        <v>0</v>
      </c>
      <c r="K92" s="77">
        <v>0</v>
      </c>
      <c r="L92" s="77">
        <v>0</v>
      </c>
      <c r="M92" s="29" t="s">
        <v>489</v>
      </c>
      <c r="N92" s="77">
        <v>0</v>
      </c>
      <c r="O92" s="22">
        <f t="shared" si="1"/>
        <v>0</v>
      </c>
      <c r="P92" s="78" t="str">
        <f>IF(O92=0,"",_xlfn.XLOOKUP(D92,'5月份计划'!A:A,'5月份计划'!A:A))</f>
        <v/>
      </c>
    </row>
    <row r="93" s="22" customFormat="1" ht="15" customHeight="1" spans="1:16">
      <c r="A93" s="25" t="s">
        <v>444</v>
      </c>
      <c r="B93" s="28" t="s">
        <v>445</v>
      </c>
      <c r="C93" s="25" t="s">
        <v>41</v>
      </c>
      <c r="D93" s="28" t="s">
        <v>462</v>
      </c>
      <c r="E93" s="25" t="s">
        <v>41</v>
      </c>
      <c r="F93" s="25" t="s">
        <v>443</v>
      </c>
      <c r="G93" s="25" t="s">
        <v>453</v>
      </c>
      <c r="H93" s="76">
        <v>15365.76</v>
      </c>
      <c r="I93" s="76">
        <v>0</v>
      </c>
      <c r="J93" s="76">
        <v>0</v>
      </c>
      <c r="K93" s="76">
        <v>0</v>
      </c>
      <c r="L93" s="76">
        <v>0</v>
      </c>
      <c r="M93" s="25" t="s">
        <v>453</v>
      </c>
      <c r="N93" s="76">
        <v>15365.76</v>
      </c>
      <c r="O93" s="22">
        <f t="shared" si="1"/>
        <v>-15365.76</v>
      </c>
      <c r="P93" s="78" t="e">
        <f>IF(O93=0,"",_xlfn.XLOOKUP(D93,'5月份计划'!A:A,'5月份计划'!A:A))</f>
        <v>#N/A</v>
      </c>
    </row>
    <row r="94" s="22" customFormat="1" ht="15" customHeight="1" spans="1:16">
      <c r="A94" s="29" t="s">
        <v>444</v>
      </c>
      <c r="B94" s="32" t="s">
        <v>445</v>
      </c>
      <c r="C94" s="29" t="s">
        <v>41</v>
      </c>
      <c r="D94" s="32" t="s">
        <v>463</v>
      </c>
      <c r="E94" s="29" t="s">
        <v>41</v>
      </c>
      <c r="F94" s="29" t="s">
        <v>443</v>
      </c>
      <c r="G94" s="29" t="s">
        <v>447</v>
      </c>
      <c r="H94" s="77">
        <v>2200</v>
      </c>
      <c r="I94" s="77">
        <v>0</v>
      </c>
      <c r="J94" s="77">
        <v>0</v>
      </c>
      <c r="K94" s="77">
        <v>0</v>
      </c>
      <c r="L94" s="77">
        <v>0</v>
      </c>
      <c r="M94" s="29" t="s">
        <v>447</v>
      </c>
      <c r="N94" s="77">
        <v>2200</v>
      </c>
      <c r="O94" s="22">
        <f t="shared" si="1"/>
        <v>2200</v>
      </c>
      <c r="P94" s="78" t="e">
        <f>IF(O94=0,"",_xlfn.XLOOKUP(D94,'5月份计划'!A:A,'5月份计划'!A:A))</f>
        <v>#N/A</v>
      </c>
    </row>
    <row r="95" s="22" customFormat="1" ht="15" customHeight="1" spans="1:16">
      <c r="A95" s="25" t="s">
        <v>444</v>
      </c>
      <c r="B95" s="28" t="s">
        <v>445</v>
      </c>
      <c r="C95" s="25" t="s">
        <v>41</v>
      </c>
      <c r="D95" s="28" t="s">
        <v>464</v>
      </c>
      <c r="E95" s="25" t="s">
        <v>41</v>
      </c>
      <c r="F95" s="25" t="s">
        <v>443</v>
      </c>
      <c r="G95" s="25" t="s">
        <v>447</v>
      </c>
      <c r="H95" s="76">
        <v>6340</v>
      </c>
      <c r="I95" s="76">
        <v>0</v>
      </c>
      <c r="J95" s="76">
        <v>0</v>
      </c>
      <c r="K95" s="76">
        <v>0</v>
      </c>
      <c r="L95" s="76">
        <v>0</v>
      </c>
      <c r="M95" s="25" t="s">
        <v>447</v>
      </c>
      <c r="N95" s="76">
        <v>6340</v>
      </c>
      <c r="O95" s="22">
        <f t="shared" si="1"/>
        <v>6340</v>
      </c>
      <c r="P95" s="78" t="e">
        <f>IF(O95=0,"",_xlfn.XLOOKUP(D95,'5月份计划'!A:A,'5月份计划'!A:A))</f>
        <v>#N/A</v>
      </c>
    </row>
    <row r="96" s="22" customFormat="1" ht="15" customHeight="1" spans="1:16">
      <c r="A96" s="25" t="s">
        <v>444</v>
      </c>
      <c r="B96" s="28" t="s">
        <v>445</v>
      </c>
      <c r="C96" s="25" t="s">
        <v>41</v>
      </c>
      <c r="D96" s="28" t="s">
        <v>465</v>
      </c>
      <c r="E96" s="25" t="s">
        <v>41</v>
      </c>
      <c r="F96" s="25" t="s">
        <v>443</v>
      </c>
      <c r="G96" s="25" t="s">
        <v>447</v>
      </c>
      <c r="H96" s="76">
        <v>30585</v>
      </c>
      <c r="I96" s="76">
        <v>0</v>
      </c>
      <c r="J96" s="76">
        <v>0</v>
      </c>
      <c r="K96" s="76">
        <v>0</v>
      </c>
      <c r="L96" s="76">
        <v>0</v>
      </c>
      <c r="M96" s="25" t="s">
        <v>447</v>
      </c>
      <c r="N96" s="76">
        <v>30585</v>
      </c>
      <c r="O96" s="22">
        <f t="shared" si="1"/>
        <v>30585</v>
      </c>
      <c r="P96" s="78" t="e">
        <f>IF(O96=0,"",_xlfn.XLOOKUP(D96,'5月份计划'!A:A,'5月份计划'!A:A))</f>
        <v>#N/A</v>
      </c>
    </row>
    <row r="97" s="22" customFormat="1" ht="15" customHeight="1" spans="1:16">
      <c r="A97" s="29" t="s">
        <v>444</v>
      </c>
      <c r="B97" s="32" t="s">
        <v>445</v>
      </c>
      <c r="C97" s="29" t="s">
        <v>41</v>
      </c>
      <c r="D97" s="32" t="s">
        <v>257</v>
      </c>
      <c r="E97" s="29" t="s">
        <v>41</v>
      </c>
      <c r="F97" s="29" t="s">
        <v>443</v>
      </c>
      <c r="G97" s="29" t="s">
        <v>453</v>
      </c>
      <c r="H97" s="77">
        <v>288171.91</v>
      </c>
      <c r="I97" s="77">
        <v>0</v>
      </c>
      <c r="J97" s="77">
        <v>288131.92</v>
      </c>
      <c r="K97" s="77">
        <v>288131.92</v>
      </c>
      <c r="L97" s="77">
        <v>512604.16</v>
      </c>
      <c r="M97" s="29" t="s">
        <v>453</v>
      </c>
      <c r="N97" s="77">
        <v>39.99</v>
      </c>
      <c r="O97" s="22">
        <f t="shared" si="1"/>
        <v>-39.99</v>
      </c>
      <c r="P97" s="78" t="str">
        <f>IF(O97=0,"",_xlfn.XLOOKUP(D97,'5月份计划'!A:A,'5月份计划'!A:A))</f>
        <v>佛吉亚（无锡）座椅部件有限公</v>
      </c>
    </row>
    <row r="98" s="22" customFormat="1" ht="15" customHeight="1" spans="1:16">
      <c r="A98" s="25" t="s">
        <v>444</v>
      </c>
      <c r="B98" s="28" t="s">
        <v>445</v>
      </c>
      <c r="C98" s="25" t="s">
        <v>41</v>
      </c>
      <c r="D98" s="28" t="s">
        <v>540</v>
      </c>
      <c r="E98" s="25" t="s">
        <v>41</v>
      </c>
      <c r="F98" s="25" t="s">
        <v>443</v>
      </c>
      <c r="G98" s="25" t="s">
        <v>489</v>
      </c>
      <c r="H98" s="76">
        <v>0</v>
      </c>
      <c r="I98" s="76">
        <v>0</v>
      </c>
      <c r="J98" s="76">
        <v>0</v>
      </c>
      <c r="K98" s="76">
        <v>0</v>
      </c>
      <c r="L98" s="76">
        <v>0</v>
      </c>
      <c r="M98" s="25" t="s">
        <v>489</v>
      </c>
      <c r="N98" s="76">
        <v>0</v>
      </c>
      <c r="O98" s="22">
        <f t="shared" si="1"/>
        <v>0</v>
      </c>
      <c r="P98" s="78" t="str">
        <f>IF(O98=0,"",_xlfn.XLOOKUP(D98,'5月份计划'!A:A,'5月份计划'!A:A))</f>
        <v/>
      </c>
    </row>
    <row r="99" s="22" customFormat="1" ht="15" customHeight="1" spans="1:16">
      <c r="A99" s="29" t="s">
        <v>444</v>
      </c>
      <c r="B99" s="32" t="s">
        <v>445</v>
      </c>
      <c r="C99" s="29" t="s">
        <v>41</v>
      </c>
      <c r="D99" s="32" t="s">
        <v>541</v>
      </c>
      <c r="E99" s="29" t="s">
        <v>41</v>
      </c>
      <c r="F99" s="29" t="s">
        <v>443</v>
      </c>
      <c r="G99" s="29" t="s">
        <v>489</v>
      </c>
      <c r="H99" s="77">
        <v>0</v>
      </c>
      <c r="I99" s="77">
        <v>0</v>
      </c>
      <c r="J99" s="77">
        <v>0</v>
      </c>
      <c r="K99" s="77">
        <v>0</v>
      </c>
      <c r="L99" s="77">
        <v>0</v>
      </c>
      <c r="M99" s="29" t="s">
        <v>489</v>
      </c>
      <c r="N99" s="77">
        <v>0</v>
      </c>
      <c r="O99" s="22">
        <f t="shared" si="1"/>
        <v>0</v>
      </c>
      <c r="P99" s="78" t="str">
        <f>IF(O99=0,"",_xlfn.XLOOKUP(D99,'5月份计划'!A:A,'5月份计划'!A:A))</f>
        <v/>
      </c>
    </row>
    <row r="100" s="22" customFormat="1" ht="15" customHeight="1" spans="1:16">
      <c r="A100" s="25" t="s">
        <v>444</v>
      </c>
      <c r="B100" s="28" t="s">
        <v>445</v>
      </c>
      <c r="C100" s="25" t="s">
        <v>41</v>
      </c>
      <c r="D100" s="28" t="s">
        <v>542</v>
      </c>
      <c r="E100" s="25" t="s">
        <v>41</v>
      </c>
      <c r="F100" s="25" t="s">
        <v>443</v>
      </c>
      <c r="G100" s="25" t="s">
        <v>489</v>
      </c>
      <c r="H100" s="76">
        <v>0</v>
      </c>
      <c r="I100" s="76">
        <v>0</v>
      </c>
      <c r="J100" s="76">
        <v>0</v>
      </c>
      <c r="K100" s="76">
        <v>0</v>
      </c>
      <c r="L100" s="76">
        <v>0</v>
      </c>
      <c r="M100" s="25" t="s">
        <v>489</v>
      </c>
      <c r="N100" s="76">
        <v>0</v>
      </c>
      <c r="O100" s="22">
        <f t="shared" si="1"/>
        <v>0</v>
      </c>
      <c r="P100" s="78" t="str">
        <f>IF(O100=0,"",_xlfn.XLOOKUP(D100,'5月份计划'!A:A,'5月份计划'!A:A))</f>
        <v/>
      </c>
    </row>
    <row r="101" s="22" customFormat="1" ht="15" customHeight="1" spans="1:16">
      <c r="A101" s="29" t="s">
        <v>444</v>
      </c>
      <c r="B101" s="32" t="s">
        <v>445</v>
      </c>
      <c r="C101" s="29" t="s">
        <v>41</v>
      </c>
      <c r="D101" s="32" t="s">
        <v>543</v>
      </c>
      <c r="E101" s="29" t="s">
        <v>41</v>
      </c>
      <c r="F101" s="29" t="s">
        <v>443</v>
      </c>
      <c r="G101" s="29" t="s">
        <v>489</v>
      </c>
      <c r="H101" s="77">
        <v>0</v>
      </c>
      <c r="I101" s="77">
        <v>0</v>
      </c>
      <c r="J101" s="77">
        <v>0</v>
      </c>
      <c r="K101" s="77">
        <v>0</v>
      </c>
      <c r="L101" s="77">
        <v>0</v>
      </c>
      <c r="M101" s="29" t="s">
        <v>489</v>
      </c>
      <c r="N101" s="77">
        <v>0</v>
      </c>
      <c r="O101" s="22">
        <f t="shared" si="1"/>
        <v>0</v>
      </c>
      <c r="P101" s="78" t="str">
        <f>IF(O101=0,"",_xlfn.XLOOKUP(D101,'5月份计划'!A:A,'5月份计划'!A:A))</f>
        <v/>
      </c>
    </row>
    <row r="102" s="22" customFormat="1" ht="15" customHeight="1" spans="1:16">
      <c r="A102" s="25" t="s">
        <v>444</v>
      </c>
      <c r="B102" s="28" t="s">
        <v>445</v>
      </c>
      <c r="C102" s="25" t="s">
        <v>41</v>
      </c>
      <c r="D102" s="28" t="s">
        <v>278</v>
      </c>
      <c r="E102" s="25" t="s">
        <v>41</v>
      </c>
      <c r="F102" s="25" t="s">
        <v>443</v>
      </c>
      <c r="G102" s="25" t="s">
        <v>447</v>
      </c>
      <c r="H102" s="76">
        <v>5279.36</v>
      </c>
      <c r="I102" s="76">
        <v>0</v>
      </c>
      <c r="J102" s="76">
        <v>0</v>
      </c>
      <c r="K102" s="76">
        <v>35635.68</v>
      </c>
      <c r="L102" s="76">
        <v>15838.08</v>
      </c>
      <c r="M102" s="25" t="s">
        <v>447</v>
      </c>
      <c r="N102" s="76">
        <v>5279.36</v>
      </c>
      <c r="O102" s="22">
        <f t="shared" si="1"/>
        <v>5279.36</v>
      </c>
      <c r="P102" s="78" t="str">
        <f>IF(O102=0,"",_xlfn.XLOOKUP(D102,'5月份计划'!A:A,'5月份计划'!A:A))</f>
        <v>重庆渝融兴汽车配件有限公司</v>
      </c>
    </row>
    <row r="103" s="22" customFormat="1" ht="15" customHeight="1" spans="1:16">
      <c r="A103" s="29" t="s">
        <v>444</v>
      </c>
      <c r="B103" s="32" t="s">
        <v>445</v>
      </c>
      <c r="C103" s="29" t="s">
        <v>41</v>
      </c>
      <c r="D103" s="32" t="s">
        <v>412</v>
      </c>
      <c r="E103" s="29" t="s">
        <v>41</v>
      </c>
      <c r="F103" s="29" t="s">
        <v>443</v>
      </c>
      <c r="G103" s="29" t="s">
        <v>489</v>
      </c>
      <c r="H103" s="77">
        <v>0</v>
      </c>
      <c r="I103" s="77">
        <v>0</v>
      </c>
      <c r="J103" s="77">
        <v>2729.85</v>
      </c>
      <c r="K103" s="77">
        <v>15083.24</v>
      </c>
      <c r="L103" s="77">
        <v>10271.47</v>
      </c>
      <c r="M103" s="29" t="s">
        <v>447</v>
      </c>
      <c r="N103" s="77">
        <v>2729.85</v>
      </c>
      <c r="O103" s="22">
        <f t="shared" si="1"/>
        <v>2729.85</v>
      </c>
      <c r="P103" s="78" t="e">
        <f>IF(O103=0,"",_xlfn.XLOOKUP(D103,'5月份计划'!A:A,'5月份计划'!A:A))</f>
        <v>#N/A</v>
      </c>
    </row>
    <row r="104" s="22" customFormat="1" ht="15" customHeight="1" spans="1:16">
      <c r="A104" s="25" t="s">
        <v>444</v>
      </c>
      <c r="B104" s="28" t="s">
        <v>445</v>
      </c>
      <c r="C104" s="25" t="s">
        <v>41</v>
      </c>
      <c r="D104" s="28" t="s">
        <v>258</v>
      </c>
      <c r="E104" s="25" t="s">
        <v>41</v>
      </c>
      <c r="F104" s="25" t="s">
        <v>443</v>
      </c>
      <c r="G104" s="25" t="s">
        <v>447</v>
      </c>
      <c r="H104" s="76">
        <v>350596.84</v>
      </c>
      <c r="I104" s="76">
        <v>0</v>
      </c>
      <c r="J104" s="76">
        <v>397162.69</v>
      </c>
      <c r="K104" s="76">
        <v>799769.99</v>
      </c>
      <c r="L104" s="76">
        <v>808776.3</v>
      </c>
      <c r="M104" s="25" t="s">
        <v>447</v>
      </c>
      <c r="N104" s="76">
        <v>747759.53</v>
      </c>
      <c r="O104" s="22">
        <f t="shared" si="1"/>
        <v>747759.53</v>
      </c>
      <c r="P104" s="78" t="str">
        <f>IF(O104=0,"",_xlfn.XLOOKUP(D104,'5月份计划'!A:A,'5月份计划'!A:A))</f>
        <v>吉林省德邦汽车电子有限公司</v>
      </c>
    </row>
    <row r="105" s="22" customFormat="1" ht="15" customHeight="1" spans="1:16">
      <c r="A105" s="29" t="s">
        <v>444</v>
      </c>
      <c r="B105" s="32" t="s">
        <v>445</v>
      </c>
      <c r="C105" s="29" t="s">
        <v>41</v>
      </c>
      <c r="D105" s="32" t="s">
        <v>259</v>
      </c>
      <c r="E105" s="29" t="s">
        <v>41</v>
      </c>
      <c r="F105" s="29" t="s">
        <v>443</v>
      </c>
      <c r="G105" s="29" t="s">
        <v>447</v>
      </c>
      <c r="H105" s="77">
        <v>879249.8</v>
      </c>
      <c r="I105" s="77">
        <v>0</v>
      </c>
      <c r="J105" s="77">
        <v>27553.92</v>
      </c>
      <c r="K105" s="77">
        <v>1027392.18</v>
      </c>
      <c r="L105" s="77">
        <v>1148446.31</v>
      </c>
      <c r="M105" s="29" t="s">
        <v>447</v>
      </c>
      <c r="N105" s="77">
        <v>906803.72</v>
      </c>
      <c r="O105" s="22">
        <f t="shared" si="1"/>
        <v>906803.72</v>
      </c>
      <c r="P105" s="78" t="str">
        <f>IF(O105=0,"",_xlfn.XLOOKUP(D105,'5月份计划'!A:A,'5月份计划'!A:A))</f>
        <v>吉林省方舟电子科技有限公司</v>
      </c>
    </row>
    <row r="106" s="22" customFormat="1" ht="15" customHeight="1" spans="1:16">
      <c r="A106" s="25" t="s">
        <v>444</v>
      </c>
      <c r="B106" s="28" t="s">
        <v>445</v>
      </c>
      <c r="C106" s="25" t="s">
        <v>41</v>
      </c>
      <c r="D106" s="28" t="s">
        <v>299</v>
      </c>
      <c r="E106" s="25" t="s">
        <v>41</v>
      </c>
      <c r="F106" s="25" t="s">
        <v>443</v>
      </c>
      <c r="G106" s="25" t="s">
        <v>447</v>
      </c>
      <c r="H106" s="76">
        <v>715210.39</v>
      </c>
      <c r="I106" s="76">
        <v>209598.39</v>
      </c>
      <c r="J106" s="76">
        <v>229728.16</v>
      </c>
      <c r="K106" s="76">
        <v>821828.49</v>
      </c>
      <c r="L106" s="76">
        <v>1269734.22</v>
      </c>
      <c r="M106" s="25" t="s">
        <v>447</v>
      </c>
      <c r="N106" s="76">
        <v>735340.16</v>
      </c>
      <c r="O106" s="22">
        <f t="shared" si="1"/>
        <v>735340.16</v>
      </c>
      <c r="P106" s="78" t="str">
        <f>IF(O106=0,"",_xlfn.XLOOKUP(D106,'5月份计划'!A:A,'5月份计划'!A:A))</f>
        <v>长春富维安道拓汽车金属零部件</v>
      </c>
    </row>
    <row r="107" s="22" customFormat="1" ht="15" customHeight="1" spans="1:16">
      <c r="A107" s="29" t="s">
        <v>444</v>
      </c>
      <c r="B107" s="32" t="s">
        <v>445</v>
      </c>
      <c r="C107" s="29" t="s">
        <v>41</v>
      </c>
      <c r="D107" s="32" t="s">
        <v>544</v>
      </c>
      <c r="E107" s="29" t="s">
        <v>41</v>
      </c>
      <c r="F107" s="29" t="s">
        <v>443</v>
      </c>
      <c r="G107" s="29" t="s">
        <v>489</v>
      </c>
      <c r="H107" s="77">
        <v>0</v>
      </c>
      <c r="I107" s="77">
        <v>0</v>
      </c>
      <c r="J107" s="77">
        <v>0</v>
      </c>
      <c r="K107" s="77">
        <v>0</v>
      </c>
      <c r="L107" s="77">
        <v>0</v>
      </c>
      <c r="M107" s="29" t="s">
        <v>489</v>
      </c>
      <c r="N107" s="77">
        <v>0</v>
      </c>
      <c r="O107" s="22">
        <f t="shared" si="1"/>
        <v>0</v>
      </c>
      <c r="P107" s="78" t="str">
        <f>IF(O107=0,"",_xlfn.XLOOKUP(D107,'5月份计划'!A:A,'5月份计划'!A:A))</f>
        <v/>
      </c>
    </row>
    <row r="108" s="22" customFormat="1" ht="15" customHeight="1" spans="1:16">
      <c r="A108" s="25" t="s">
        <v>444</v>
      </c>
      <c r="B108" s="28" t="s">
        <v>445</v>
      </c>
      <c r="C108" s="25" t="s">
        <v>41</v>
      </c>
      <c r="D108" s="28" t="s">
        <v>415</v>
      </c>
      <c r="E108" s="25" t="s">
        <v>41</v>
      </c>
      <c r="F108" s="25" t="s">
        <v>443</v>
      </c>
      <c r="G108" s="25" t="s">
        <v>489</v>
      </c>
      <c r="H108" s="76">
        <v>0</v>
      </c>
      <c r="I108" s="76">
        <v>0</v>
      </c>
      <c r="J108" s="76">
        <v>0</v>
      </c>
      <c r="K108" s="76">
        <v>0</v>
      </c>
      <c r="L108" s="76">
        <v>0</v>
      </c>
      <c r="M108" s="25" t="s">
        <v>489</v>
      </c>
      <c r="N108" s="76">
        <v>0</v>
      </c>
      <c r="O108" s="22">
        <f t="shared" si="1"/>
        <v>0</v>
      </c>
      <c r="P108" s="78" t="str">
        <f>IF(O108=0,"",_xlfn.XLOOKUP(D108,'5月份计划'!A:A,'5月份计划'!A:A))</f>
        <v/>
      </c>
    </row>
    <row r="109" s="22" customFormat="1" ht="15" customHeight="1" spans="1:16">
      <c r="A109" s="29" t="s">
        <v>444</v>
      </c>
      <c r="B109" s="32" t="s">
        <v>445</v>
      </c>
      <c r="C109" s="29" t="s">
        <v>41</v>
      </c>
      <c r="D109" s="32" t="s">
        <v>260</v>
      </c>
      <c r="E109" s="29" t="s">
        <v>41</v>
      </c>
      <c r="F109" s="29" t="s">
        <v>443</v>
      </c>
      <c r="G109" s="29" t="s">
        <v>447</v>
      </c>
      <c r="H109" s="77">
        <v>134938.5</v>
      </c>
      <c r="I109" s="77">
        <v>0</v>
      </c>
      <c r="J109" s="77">
        <v>109250.54</v>
      </c>
      <c r="K109" s="77">
        <v>672067.01</v>
      </c>
      <c r="L109" s="77">
        <v>392549.3</v>
      </c>
      <c r="M109" s="29" t="s">
        <v>447</v>
      </c>
      <c r="N109" s="77">
        <v>244189.04</v>
      </c>
      <c r="O109" s="22">
        <f t="shared" si="1"/>
        <v>244189.04</v>
      </c>
      <c r="P109" s="78" t="str">
        <f>IF(O109=0,"",_xlfn.XLOOKUP(D109,'5月份计划'!A:A,'5月份计划'!A:A))</f>
        <v>黄骅市雍丰塑料制品有限公司</v>
      </c>
    </row>
    <row r="110" s="22" customFormat="1" ht="15" customHeight="1" spans="1:16">
      <c r="A110" s="25" t="s">
        <v>444</v>
      </c>
      <c r="B110" s="28" t="s">
        <v>445</v>
      </c>
      <c r="C110" s="25" t="s">
        <v>41</v>
      </c>
      <c r="D110" s="28" t="s">
        <v>545</v>
      </c>
      <c r="E110" s="25" t="s">
        <v>41</v>
      </c>
      <c r="F110" s="25" t="s">
        <v>443</v>
      </c>
      <c r="G110" s="25" t="s">
        <v>489</v>
      </c>
      <c r="H110" s="76">
        <v>0</v>
      </c>
      <c r="I110" s="76">
        <v>0</v>
      </c>
      <c r="J110" s="76">
        <v>0</v>
      </c>
      <c r="K110" s="76">
        <v>0</v>
      </c>
      <c r="L110" s="76">
        <v>0</v>
      </c>
      <c r="M110" s="25" t="s">
        <v>489</v>
      </c>
      <c r="N110" s="76">
        <v>0</v>
      </c>
      <c r="O110" s="22">
        <f t="shared" si="1"/>
        <v>0</v>
      </c>
      <c r="P110" s="78" t="str">
        <f>IF(O110=0,"",_xlfn.XLOOKUP(D110,'5月份计划'!A:A,'5月份计划'!A:A))</f>
        <v/>
      </c>
    </row>
    <row r="111" s="22" customFormat="1" ht="15" customHeight="1" spans="1:16">
      <c r="A111" s="29" t="s">
        <v>444</v>
      </c>
      <c r="B111" s="32" t="s">
        <v>445</v>
      </c>
      <c r="C111" s="29" t="s">
        <v>41</v>
      </c>
      <c r="D111" s="32" t="s">
        <v>466</v>
      </c>
      <c r="E111" s="29" t="s">
        <v>41</v>
      </c>
      <c r="F111" s="29" t="s">
        <v>443</v>
      </c>
      <c r="G111" s="29" t="s">
        <v>447</v>
      </c>
      <c r="H111" s="77">
        <v>1508.81</v>
      </c>
      <c r="I111" s="77">
        <v>0</v>
      </c>
      <c r="J111" s="77">
        <v>0</v>
      </c>
      <c r="K111" s="77">
        <v>0</v>
      </c>
      <c r="L111" s="77">
        <v>0</v>
      </c>
      <c r="M111" s="29" t="s">
        <v>447</v>
      </c>
      <c r="N111" s="77">
        <v>1508.81</v>
      </c>
      <c r="O111" s="22">
        <f t="shared" si="1"/>
        <v>1508.81</v>
      </c>
      <c r="P111" s="78" t="e">
        <f>IF(O111=0,"",_xlfn.XLOOKUP(D111,'5月份计划'!A:A,'5月份计划'!A:A))</f>
        <v>#N/A</v>
      </c>
    </row>
    <row r="112" s="22" customFormat="1" ht="15" customHeight="1" spans="1:16">
      <c r="A112" s="25" t="s">
        <v>444</v>
      </c>
      <c r="B112" s="28" t="s">
        <v>445</v>
      </c>
      <c r="C112" s="25" t="s">
        <v>41</v>
      </c>
      <c r="D112" s="28" t="s">
        <v>467</v>
      </c>
      <c r="E112" s="25" t="s">
        <v>41</v>
      </c>
      <c r="F112" s="25" t="s">
        <v>443</v>
      </c>
      <c r="G112" s="25" t="s">
        <v>447</v>
      </c>
      <c r="H112" s="76">
        <v>19684</v>
      </c>
      <c r="I112" s="76">
        <v>0</v>
      </c>
      <c r="J112" s="76">
        <v>0</v>
      </c>
      <c r="K112" s="76">
        <v>0</v>
      </c>
      <c r="L112" s="76">
        <v>0</v>
      </c>
      <c r="M112" s="25" t="s">
        <v>447</v>
      </c>
      <c r="N112" s="76">
        <v>19684</v>
      </c>
      <c r="O112" s="22">
        <f t="shared" si="1"/>
        <v>19684</v>
      </c>
      <c r="P112" s="78" t="e">
        <f>IF(O112=0,"",_xlfn.XLOOKUP(D112,'5月份计划'!A:A,'5月份计划'!A:A))</f>
        <v>#N/A</v>
      </c>
    </row>
    <row r="113" s="22" customFormat="1" ht="15" customHeight="1" spans="1:16">
      <c r="A113" s="29" t="s">
        <v>444</v>
      </c>
      <c r="B113" s="32" t="s">
        <v>445</v>
      </c>
      <c r="C113" s="29" t="s">
        <v>41</v>
      </c>
      <c r="D113" s="32" t="s">
        <v>306</v>
      </c>
      <c r="E113" s="29" t="s">
        <v>41</v>
      </c>
      <c r="F113" s="29" t="s">
        <v>443</v>
      </c>
      <c r="G113" s="29" t="s">
        <v>447</v>
      </c>
      <c r="H113" s="77">
        <v>41704.91</v>
      </c>
      <c r="I113" s="77">
        <v>0</v>
      </c>
      <c r="J113" s="77">
        <v>579.69</v>
      </c>
      <c r="K113" s="77">
        <v>102564.45</v>
      </c>
      <c r="L113" s="77">
        <v>104755.52</v>
      </c>
      <c r="M113" s="29" t="s">
        <v>447</v>
      </c>
      <c r="N113" s="77">
        <v>42284.6</v>
      </c>
      <c r="O113" s="22">
        <f t="shared" si="1"/>
        <v>42284.6</v>
      </c>
      <c r="P113" s="78" t="str">
        <f>IF(O113=0,"",_xlfn.XLOOKUP(D113,'5月份计划'!A:A,'5月份计划'!A:A))</f>
        <v>江苏忠明祥和精工股份有限公司</v>
      </c>
    </row>
    <row r="114" s="22" customFormat="1" ht="15" customHeight="1" spans="1:16">
      <c r="A114" s="25" t="s">
        <v>444</v>
      </c>
      <c r="B114" s="28" t="s">
        <v>445</v>
      </c>
      <c r="C114" s="25" t="s">
        <v>41</v>
      </c>
      <c r="D114" s="28" t="s">
        <v>468</v>
      </c>
      <c r="E114" s="25" t="s">
        <v>41</v>
      </c>
      <c r="F114" s="25" t="s">
        <v>443</v>
      </c>
      <c r="G114" s="25" t="s">
        <v>447</v>
      </c>
      <c r="H114" s="76">
        <v>23.19</v>
      </c>
      <c r="I114" s="76">
        <v>0</v>
      </c>
      <c r="J114" s="76">
        <v>0</v>
      </c>
      <c r="K114" s="76">
        <v>0</v>
      </c>
      <c r="L114" s="76">
        <v>0</v>
      </c>
      <c r="M114" s="25" t="s">
        <v>447</v>
      </c>
      <c r="N114" s="76">
        <v>23.19</v>
      </c>
      <c r="O114" s="22">
        <f t="shared" si="1"/>
        <v>23.19</v>
      </c>
      <c r="P114" s="78" t="e">
        <f>IF(O114=0,"",_xlfn.XLOOKUP(D114,'5月份计划'!A:A,'5月份计划'!A:A))</f>
        <v>#N/A</v>
      </c>
    </row>
    <row r="115" s="22" customFormat="1" ht="15" customHeight="1" spans="1:16">
      <c r="A115" s="29" t="s">
        <v>444</v>
      </c>
      <c r="B115" s="32" t="s">
        <v>445</v>
      </c>
      <c r="C115" s="29" t="s">
        <v>41</v>
      </c>
      <c r="D115" s="32" t="s">
        <v>469</v>
      </c>
      <c r="E115" s="29" t="s">
        <v>41</v>
      </c>
      <c r="F115" s="29" t="s">
        <v>443</v>
      </c>
      <c r="G115" s="29" t="s">
        <v>447</v>
      </c>
      <c r="H115" s="77">
        <v>5878.26</v>
      </c>
      <c r="I115" s="77">
        <v>0</v>
      </c>
      <c r="J115" s="77">
        <v>0</v>
      </c>
      <c r="K115" s="77">
        <v>0</v>
      </c>
      <c r="L115" s="77">
        <v>0</v>
      </c>
      <c r="M115" s="29" t="s">
        <v>447</v>
      </c>
      <c r="N115" s="77">
        <v>5878.26</v>
      </c>
      <c r="O115" s="22">
        <f t="shared" si="1"/>
        <v>5878.26</v>
      </c>
      <c r="P115" s="78" t="e">
        <f>IF(O115=0,"",_xlfn.XLOOKUP(D115,'5月份计划'!A:A,'5月份计划'!A:A))</f>
        <v>#N/A</v>
      </c>
    </row>
    <row r="116" s="22" customFormat="1" ht="15" customHeight="1" spans="1:16">
      <c r="A116" s="25" t="s">
        <v>444</v>
      </c>
      <c r="B116" s="28" t="s">
        <v>445</v>
      </c>
      <c r="C116" s="25" t="s">
        <v>41</v>
      </c>
      <c r="D116" s="28" t="s">
        <v>546</v>
      </c>
      <c r="E116" s="25" t="s">
        <v>41</v>
      </c>
      <c r="F116" s="25" t="s">
        <v>443</v>
      </c>
      <c r="G116" s="25" t="s">
        <v>489</v>
      </c>
      <c r="H116" s="76">
        <v>0</v>
      </c>
      <c r="I116" s="76">
        <v>0</v>
      </c>
      <c r="J116" s="76">
        <v>0</v>
      </c>
      <c r="K116" s="76">
        <v>0</v>
      </c>
      <c r="L116" s="76">
        <v>0</v>
      </c>
      <c r="M116" s="25" t="s">
        <v>489</v>
      </c>
      <c r="N116" s="76">
        <v>0</v>
      </c>
      <c r="O116" s="22">
        <f t="shared" si="1"/>
        <v>0</v>
      </c>
      <c r="P116" s="78" t="str">
        <f>IF(O116=0,"",_xlfn.XLOOKUP(D116,'5月份计划'!A:A,'5月份计划'!A:A))</f>
        <v/>
      </c>
    </row>
    <row r="117" s="22" customFormat="1" ht="15" customHeight="1" spans="1:16">
      <c r="A117" s="29" t="s">
        <v>444</v>
      </c>
      <c r="B117" s="32" t="s">
        <v>445</v>
      </c>
      <c r="C117" s="29" t="s">
        <v>41</v>
      </c>
      <c r="D117" s="32" t="s">
        <v>547</v>
      </c>
      <c r="E117" s="29" t="s">
        <v>41</v>
      </c>
      <c r="F117" s="29" t="s">
        <v>443</v>
      </c>
      <c r="G117" s="29" t="s">
        <v>489</v>
      </c>
      <c r="H117" s="77">
        <v>0</v>
      </c>
      <c r="I117" s="77">
        <v>0</v>
      </c>
      <c r="J117" s="77">
        <v>0</v>
      </c>
      <c r="K117" s="77">
        <v>0</v>
      </c>
      <c r="L117" s="77">
        <v>0</v>
      </c>
      <c r="M117" s="29" t="s">
        <v>489</v>
      </c>
      <c r="N117" s="77">
        <v>0</v>
      </c>
      <c r="O117" s="22">
        <f t="shared" si="1"/>
        <v>0</v>
      </c>
      <c r="P117" s="78" t="str">
        <f>IF(O117=0,"",_xlfn.XLOOKUP(D117,'5月份计划'!A:A,'5月份计划'!A:A))</f>
        <v/>
      </c>
    </row>
    <row r="118" s="22" customFormat="1" ht="15" customHeight="1" spans="1:16">
      <c r="A118" s="25" t="s">
        <v>444</v>
      </c>
      <c r="B118" s="28" t="s">
        <v>445</v>
      </c>
      <c r="C118" s="25" t="s">
        <v>41</v>
      </c>
      <c r="D118" s="28" t="s">
        <v>470</v>
      </c>
      <c r="E118" s="25" t="s">
        <v>41</v>
      </c>
      <c r="F118" s="25" t="s">
        <v>443</v>
      </c>
      <c r="G118" s="25" t="s">
        <v>447</v>
      </c>
      <c r="H118" s="76">
        <v>65450</v>
      </c>
      <c r="I118" s="76">
        <v>0</v>
      </c>
      <c r="J118" s="76">
        <v>0</v>
      </c>
      <c r="K118" s="76">
        <v>0</v>
      </c>
      <c r="L118" s="76">
        <v>0</v>
      </c>
      <c r="M118" s="25" t="s">
        <v>447</v>
      </c>
      <c r="N118" s="76">
        <v>65450</v>
      </c>
      <c r="O118" s="22">
        <f t="shared" si="1"/>
        <v>65450</v>
      </c>
      <c r="P118" s="78" t="e">
        <f>IF(O118=0,"",_xlfn.XLOOKUP(D118,'5月份计划'!A:A,'5月份计划'!A:A))</f>
        <v>#N/A</v>
      </c>
    </row>
    <row r="119" s="22" customFormat="1" ht="15" customHeight="1" spans="1:16">
      <c r="A119" s="29" t="s">
        <v>444</v>
      </c>
      <c r="B119" s="32" t="s">
        <v>445</v>
      </c>
      <c r="C119" s="29" t="s">
        <v>41</v>
      </c>
      <c r="D119" s="32" t="s">
        <v>548</v>
      </c>
      <c r="E119" s="29" t="s">
        <v>41</v>
      </c>
      <c r="F119" s="29" t="s">
        <v>443</v>
      </c>
      <c r="G119" s="29" t="s">
        <v>489</v>
      </c>
      <c r="H119" s="77">
        <v>0</v>
      </c>
      <c r="I119" s="77">
        <v>0</v>
      </c>
      <c r="J119" s="77">
        <v>0</v>
      </c>
      <c r="K119" s="77">
        <v>0</v>
      </c>
      <c r="L119" s="77">
        <v>0</v>
      </c>
      <c r="M119" s="29" t="s">
        <v>489</v>
      </c>
      <c r="N119" s="77">
        <v>0</v>
      </c>
      <c r="O119" s="22">
        <f t="shared" si="1"/>
        <v>0</v>
      </c>
      <c r="P119" s="78" t="str">
        <f>IF(O119=0,"",_xlfn.XLOOKUP(D119,'5月份计划'!A:A,'5月份计划'!A:A))</f>
        <v/>
      </c>
    </row>
    <row r="120" s="22" customFormat="1" ht="15" customHeight="1" spans="1:16">
      <c r="A120" s="25" t="s">
        <v>444</v>
      </c>
      <c r="B120" s="28" t="s">
        <v>445</v>
      </c>
      <c r="C120" s="25" t="s">
        <v>41</v>
      </c>
      <c r="D120" s="28" t="s">
        <v>471</v>
      </c>
      <c r="E120" s="25" t="s">
        <v>41</v>
      </c>
      <c r="F120" s="25" t="s">
        <v>443</v>
      </c>
      <c r="G120" s="25" t="s">
        <v>447</v>
      </c>
      <c r="H120" s="76">
        <v>61614.37</v>
      </c>
      <c r="I120" s="76">
        <v>0</v>
      </c>
      <c r="J120" s="76">
        <v>0</v>
      </c>
      <c r="K120" s="76">
        <v>0</v>
      </c>
      <c r="L120" s="76">
        <v>0</v>
      </c>
      <c r="M120" s="25" t="s">
        <v>447</v>
      </c>
      <c r="N120" s="76">
        <v>61614.37</v>
      </c>
      <c r="O120" s="22">
        <f t="shared" si="1"/>
        <v>61614.37</v>
      </c>
      <c r="P120" s="78" t="e">
        <f>IF(O120=0,"",_xlfn.XLOOKUP(D120,'5月份计划'!A:A,'5月份计划'!A:A))</f>
        <v>#N/A</v>
      </c>
    </row>
    <row r="121" s="22" customFormat="1" ht="15" customHeight="1" spans="1:16">
      <c r="A121" s="29" t="s">
        <v>444</v>
      </c>
      <c r="B121" s="32" t="s">
        <v>445</v>
      </c>
      <c r="C121" s="29" t="s">
        <v>41</v>
      </c>
      <c r="D121" s="32" t="s">
        <v>549</v>
      </c>
      <c r="E121" s="29" t="s">
        <v>41</v>
      </c>
      <c r="F121" s="29" t="s">
        <v>443</v>
      </c>
      <c r="G121" s="29" t="s">
        <v>489</v>
      </c>
      <c r="H121" s="77">
        <v>0</v>
      </c>
      <c r="I121" s="77">
        <v>0</v>
      </c>
      <c r="J121" s="77">
        <v>0</v>
      </c>
      <c r="K121" s="77">
        <v>0</v>
      </c>
      <c r="L121" s="77">
        <v>0</v>
      </c>
      <c r="M121" s="29" t="s">
        <v>489</v>
      </c>
      <c r="N121" s="77">
        <v>0</v>
      </c>
      <c r="O121" s="22">
        <f t="shared" si="1"/>
        <v>0</v>
      </c>
      <c r="P121" s="78" t="str">
        <f>IF(O121=0,"",_xlfn.XLOOKUP(D121,'5月份计划'!A:A,'5月份计划'!A:A))</f>
        <v/>
      </c>
    </row>
    <row r="122" s="22" customFormat="1" ht="15" customHeight="1" spans="1:16">
      <c r="A122" s="25" t="s">
        <v>444</v>
      </c>
      <c r="B122" s="28" t="s">
        <v>445</v>
      </c>
      <c r="C122" s="25" t="s">
        <v>41</v>
      </c>
      <c r="D122" s="28" t="s">
        <v>261</v>
      </c>
      <c r="E122" s="25" t="s">
        <v>41</v>
      </c>
      <c r="F122" s="25" t="s">
        <v>443</v>
      </c>
      <c r="G122" s="25" t="s">
        <v>447</v>
      </c>
      <c r="H122" s="76">
        <v>477575.61</v>
      </c>
      <c r="I122" s="76">
        <v>200000</v>
      </c>
      <c r="J122" s="76">
        <v>337409.5</v>
      </c>
      <c r="K122" s="76">
        <v>1200000</v>
      </c>
      <c r="L122" s="76">
        <v>711388.5</v>
      </c>
      <c r="M122" s="25" t="s">
        <v>447</v>
      </c>
      <c r="N122" s="76">
        <v>614985.11</v>
      </c>
      <c r="O122" s="22">
        <f t="shared" si="1"/>
        <v>614985.11</v>
      </c>
      <c r="P122" s="78" t="str">
        <f>IF(O122=0,"",_xlfn.XLOOKUP(D122,'5月份计划'!A:A,'5月份计划'!A:A))</f>
        <v>景德镇市乾立运输有限公司</v>
      </c>
    </row>
    <row r="123" s="22" customFormat="1" ht="15" customHeight="1" spans="1:16">
      <c r="A123" s="29" t="s">
        <v>444</v>
      </c>
      <c r="B123" s="32" t="s">
        <v>445</v>
      </c>
      <c r="C123" s="29" t="s">
        <v>41</v>
      </c>
      <c r="D123" s="32" t="s">
        <v>550</v>
      </c>
      <c r="E123" s="29" t="s">
        <v>41</v>
      </c>
      <c r="F123" s="29" t="s">
        <v>443</v>
      </c>
      <c r="G123" s="29" t="s">
        <v>489</v>
      </c>
      <c r="H123" s="77">
        <v>0</v>
      </c>
      <c r="I123" s="77">
        <v>0</v>
      </c>
      <c r="J123" s="77">
        <v>0</v>
      </c>
      <c r="K123" s="77">
        <v>0</v>
      </c>
      <c r="L123" s="77">
        <v>0</v>
      </c>
      <c r="M123" s="29" t="s">
        <v>489</v>
      </c>
      <c r="N123" s="77">
        <v>0</v>
      </c>
      <c r="O123" s="22">
        <f t="shared" si="1"/>
        <v>0</v>
      </c>
      <c r="P123" s="78" t="str">
        <f>IF(O123=0,"",_xlfn.XLOOKUP(D123,'5月份计划'!A:A,'5月份计划'!A:A))</f>
        <v/>
      </c>
    </row>
    <row r="124" s="22" customFormat="1" ht="15" customHeight="1" spans="1:16">
      <c r="A124" s="25" t="s">
        <v>444</v>
      </c>
      <c r="B124" s="28" t="s">
        <v>445</v>
      </c>
      <c r="C124" s="25" t="s">
        <v>41</v>
      </c>
      <c r="D124" s="28" t="s">
        <v>472</v>
      </c>
      <c r="E124" s="25" t="s">
        <v>41</v>
      </c>
      <c r="F124" s="25" t="s">
        <v>443</v>
      </c>
      <c r="G124" s="25" t="s">
        <v>447</v>
      </c>
      <c r="H124" s="76">
        <v>474</v>
      </c>
      <c r="I124" s="76">
        <v>0</v>
      </c>
      <c r="J124" s="76">
        <v>0</v>
      </c>
      <c r="K124" s="76">
        <v>0</v>
      </c>
      <c r="L124" s="76">
        <v>0</v>
      </c>
      <c r="M124" s="25" t="s">
        <v>447</v>
      </c>
      <c r="N124" s="76">
        <v>474</v>
      </c>
      <c r="O124" s="22">
        <f t="shared" si="1"/>
        <v>474</v>
      </c>
      <c r="P124" s="78" t="e">
        <f>IF(O124=0,"",_xlfn.XLOOKUP(D124,'5月份计划'!A:A,'5月份计划'!A:A))</f>
        <v>#N/A</v>
      </c>
    </row>
    <row r="125" s="22" customFormat="1" ht="15" customHeight="1" spans="1:16">
      <c r="A125" s="29" t="s">
        <v>444</v>
      </c>
      <c r="B125" s="32" t="s">
        <v>445</v>
      </c>
      <c r="C125" s="29" t="s">
        <v>41</v>
      </c>
      <c r="D125" s="32" t="s">
        <v>262</v>
      </c>
      <c r="E125" s="29" t="s">
        <v>41</v>
      </c>
      <c r="F125" s="29" t="s">
        <v>443</v>
      </c>
      <c r="G125" s="29" t="s">
        <v>447</v>
      </c>
      <c r="H125" s="77">
        <v>472439</v>
      </c>
      <c r="I125" s="77">
        <v>0</v>
      </c>
      <c r="J125" s="77">
        <v>0</v>
      </c>
      <c r="K125" s="77">
        <v>900000</v>
      </c>
      <c r="L125" s="77">
        <v>211574.1</v>
      </c>
      <c r="M125" s="29" t="s">
        <v>447</v>
      </c>
      <c r="N125" s="77">
        <v>472439</v>
      </c>
      <c r="O125" s="22">
        <f t="shared" si="1"/>
        <v>472439</v>
      </c>
      <c r="P125" s="78" t="str">
        <f>IF(O125=0,"",_xlfn.XLOOKUP(D125,'5月份计划'!A:A,'5月份计划'!A:A))</f>
        <v>景德镇市凯达汽车配件有限公司</v>
      </c>
    </row>
    <row r="126" s="22" customFormat="1" ht="15" customHeight="1" spans="1:16">
      <c r="A126" s="25" t="s">
        <v>444</v>
      </c>
      <c r="B126" s="28" t="s">
        <v>445</v>
      </c>
      <c r="C126" s="25" t="s">
        <v>41</v>
      </c>
      <c r="D126" s="28" t="s">
        <v>551</v>
      </c>
      <c r="E126" s="25" t="s">
        <v>41</v>
      </c>
      <c r="F126" s="25" t="s">
        <v>443</v>
      </c>
      <c r="G126" s="25" t="s">
        <v>489</v>
      </c>
      <c r="H126" s="76">
        <v>0</v>
      </c>
      <c r="I126" s="76">
        <v>0</v>
      </c>
      <c r="J126" s="76">
        <v>0</v>
      </c>
      <c r="K126" s="76">
        <v>0</v>
      </c>
      <c r="L126" s="76">
        <v>0</v>
      </c>
      <c r="M126" s="25" t="s">
        <v>489</v>
      </c>
      <c r="N126" s="76">
        <v>0</v>
      </c>
      <c r="O126" s="22">
        <f t="shared" si="1"/>
        <v>0</v>
      </c>
      <c r="P126" s="78" t="str">
        <f>IF(O126=0,"",_xlfn.XLOOKUP(D126,'5月份计划'!A:A,'5月份计划'!A:A))</f>
        <v/>
      </c>
    </row>
    <row r="127" s="22" customFormat="1" ht="15" customHeight="1" spans="1:16">
      <c r="A127" s="29" t="s">
        <v>444</v>
      </c>
      <c r="B127" s="32" t="s">
        <v>445</v>
      </c>
      <c r="C127" s="29" t="s">
        <v>41</v>
      </c>
      <c r="D127" s="32" t="s">
        <v>263</v>
      </c>
      <c r="E127" s="29" t="s">
        <v>41</v>
      </c>
      <c r="F127" s="29" t="s">
        <v>443</v>
      </c>
      <c r="G127" s="29" t="s">
        <v>447</v>
      </c>
      <c r="H127" s="77">
        <v>411410.89</v>
      </c>
      <c r="I127" s="77">
        <v>150000</v>
      </c>
      <c r="J127" s="77">
        <v>182805.98</v>
      </c>
      <c r="K127" s="77">
        <v>573065.81</v>
      </c>
      <c r="L127" s="77">
        <v>747096.32</v>
      </c>
      <c r="M127" s="29" t="s">
        <v>447</v>
      </c>
      <c r="N127" s="77">
        <v>444216.87</v>
      </c>
      <c r="O127" s="22">
        <f t="shared" si="1"/>
        <v>444216.87</v>
      </c>
      <c r="P127" s="78" t="str">
        <f>IF(O127=0,"",_xlfn.XLOOKUP(D127,'5月份计划'!A:A,'5月份计划'!A:A))</f>
        <v>武汉德锐隆科技有限公司</v>
      </c>
    </row>
    <row r="128" s="22" customFormat="1" ht="15" customHeight="1" spans="1:16">
      <c r="A128" s="25" t="s">
        <v>444</v>
      </c>
      <c r="B128" s="28" t="s">
        <v>445</v>
      </c>
      <c r="C128" s="25" t="s">
        <v>41</v>
      </c>
      <c r="D128" s="28" t="s">
        <v>473</v>
      </c>
      <c r="E128" s="25" t="s">
        <v>41</v>
      </c>
      <c r="F128" s="25" t="s">
        <v>443</v>
      </c>
      <c r="G128" s="25" t="s">
        <v>447</v>
      </c>
      <c r="H128" s="76">
        <v>13000</v>
      </c>
      <c r="I128" s="76">
        <v>0</v>
      </c>
      <c r="J128" s="76">
        <v>0</v>
      </c>
      <c r="K128" s="76">
        <v>0</v>
      </c>
      <c r="L128" s="76">
        <v>0</v>
      </c>
      <c r="M128" s="25" t="s">
        <v>447</v>
      </c>
      <c r="N128" s="76">
        <v>13000</v>
      </c>
      <c r="O128" s="22">
        <f t="shared" si="1"/>
        <v>13000</v>
      </c>
      <c r="P128" s="78" t="e">
        <f>IF(O128=0,"",_xlfn.XLOOKUP(D128,'5月份计划'!A:A,'5月份计划'!A:A))</f>
        <v>#N/A</v>
      </c>
    </row>
    <row r="129" s="22" customFormat="1" ht="15" customHeight="1" spans="1:16">
      <c r="A129" s="29" t="s">
        <v>444</v>
      </c>
      <c r="B129" s="32" t="s">
        <v>445</v>
      </c>
      <c r="C129" s="29" t="s">
        <v>41</v>
      </c>
      <c r="D129" s="32" t="s">
        <v>552</v>
      </c>
      <c r="E129" s="29" t="s">
        <v>41</v>
      </c>
      <c r="F129" s="29" t="s">
        <v>443</v>
      </c>
      <c r="G129" s="29" t="s">
        <v>489</v>
      </c>
      <c r="H129" s="77">
        <v>0</v>
      </c>
      <c r="I129" s="77">
        <v>0</v>
      </c>
      <c r="J129" s="77">
        <v>0</v>
      </c>
      <c r="K129" s="77">
        <v>0</v>
      </c>
      <c r="L129" s="77">
        <v>0</v>
      </c>
      <c r="M129" s="29" t="s">
        <v>489</v>
      </c>
      <c r="N129" s="77">
        <v>0</v>
      </c>
      <c r="O129" s="22">
        <f t="shared" si="1"/>
        <v>0</v>
      </c>
      <c r="P129" s="78" t="str">
        <f>IF(O129=0,"",_xlfn.XLOOKUP(D129,'5月份计划'!A:A,'5月份计划'!A:A))</f>
        <v/>
      </c>
    </row>
    <row r="130" s="22" customFormat="1" ht="15" customHeight="1" spans="1:16">
      <c r="A130" s="25" t="s">
        <v>444</v>
      </c>
      <c r="B130" s="28" t="s">
        <v>445</v>
      </c>
      <c r="C130" s="25" t="s">
        <v>41</v>
      </c>
      <c r="D130" s="28" t="s">
        <v>553</v>
      </c>
      <c r="E130" s="25" t="s">
        <v>41</v>
      </c>
      <c r="F130" s="25" t="s">
        <v>443</v>
      </c>
      <c r="G130" s="25" t="s">
        <v>489</v>
      </c>
      <c r="H130" s="76">
        <v>0</v>
      </c>
      <c r="I130" s="76">
        <v>0</v>
      </c>
      <c r="J130" s="76">
        <v>0</v>
      </c>
      <c r="K130" s="76">
        <v>0</v>
      </c>
      <c r="L130" s="76">
        <v>0</v>
      </c>
      <c r="M130" s="25" t="s">
        <v>489</v>
      </c>
      <c r="N130" s="76">
        <v>0</v>
      </c>
      <c r="O130" s="22">
        <f t="shared" si="1"/>
        <v>0</v>
      </c>
      <c r="P130" s="78" t="str">
        <f>IF(O130=0,"",_xlfn.XLOOKUP(D130,'5月份计划'!A:A,'5月份计划'!A:A))</f>
        <v/>
      </c>
    </row>
    <row r="131" s="22" customFormat="1" ht="15" customHeight="1" spans="1:16">
      <c r="A131" s="29" t="s">
        <v>444</v>
      </c>
      <c r="B131" s="32" t="s">
        <v>445</v>
      </c>
      <c r="C131" s="29" t="s">
        <v>41</v>
      </c>
      <c r="D131" s="32" t="s">
        <v>474</v>
      </c>
      <c r="E131" s="29" t="s">
        <v>41</v>
      </c>
      <c r="F131" s="29" t="s">
        <v>443</v>
      </c>
      <c r="G131" s="29" t="s">
        <v>447</v>
      </c>
      <c r="H131" s="77">
        <v>117.55</v>
      </c>
      <c r="I131" s="77">
        <v>0</v>
      </c>
      <c r="J131" s="77">
        <v>0</v>
      </c>
      <c r="K131" s="77">
        <v>0</v>
      </c>
      <c r="L131" s="77">
        <v>0</v>
      </c>
      <c r="M131" s="29" t="s">
        <v>447</v>
      </c>
      <c r="N131" s="77">
        <v>117.55</v>
      </c>
      <c r="O131" s="22">
        <f t="shared" si="1"/>
        <v>117.55</v>
      </c>
      <c r="P131" s="78" t="e">
        <f>IF(O131=0,"",_xlfn.XLOOKUP(D131,'5月份计划'!A:A,'5月份计划'!A:A))</f>
        <v>#N/A</v>
      </c>
    </row>
    <row r="132" s="22" customFormat="1" ht="15" customHeight="1" spans="1:16">
      <c r="A132" s="25" t="s">
        <v>444</v>
      </c>
      <c r="B132" s="28" t="s">
        <v>445</v>
      </c>
      <c r="C132" s="25" t="s">
        <v>41</v>
      </c>
      <c r="D132" s="28" t="s">
        <v>554</v>
      </c>
      <c r="E132" s="25" t="s">
        <v>41</v>
      </c>
      <c r="F132" s="25" t="s">
        <v>443</v>
      </c>
      <c r="G132" s="25" t="s">
        <v>489</v>
      </c>
      <c r="H132" s="76">
        <v>0</v>
      </c>
      <c r="I132" s="76">
        <v>0</v>
      </c>
      <c r="J132" s="76">
        <v>0</v>
      </c>
      <c r="K132" s="76">
        <v>0</v>
      </c>
      <c r="L132" s="76">
        <v>0</v>
      </c>
      <c r="M132" s="25" t="s">
        <v>489</v>
      </c>
      <c r="N132" s="76">
        <v>0</v>
      </c>
      <c r="O132" s="22">
        <f t="shared" ref="O132:O195" si="2">IF(M132="贷",N132,-N132)</f>
        <v>0</v>
      </c>
      <c r="P132" s="78" t="str">
        <f>IF(O132=0,"",_xlfn.XLOOKUP(D132,'5月份计划'!A:A,'5月份计划'!A:A))</f>
        <v/>
      </c>
    </row>
    <row r="133" s="22" customFormat="1" ht="15" customHeight="1" spans="1:16">
      <c r="A133" s="29" t="s">
        <v>444</v>
      </c>
      <c r="B133" s="32" t="s">
        <v>445</v>
      </c>
      <c r="C133" s="29" t="s">
        <v>41</v>
      </c>
      <c r="D133" s="32" t="s">
        <v>475</v>
      </c>
      <c r="E133" s="29" t="s">
        <v>41</v>
      </c>
      <c r="F133" s="29" t="s">
        <v>443</v>
      </c>
      <c r="G133" s="29" t="s">
        <v>447</v>
      </c>
      <c r="H133" s="77">
        <v>32648.8</v>
      </c>
      <c r="I133" s="77">
        <v>0</v>
      </c>
      <c r="J133" s="77">
        <v>0</v>
      </c>
      <c r="K133" s="77">
        <v>0</v>
      </c>
      <c r="L133" s="77">
        <v>0</v>
      </c>
      <c r="M133" s="29" t="s">
        <v>447</v>
      </c>
      <c r="N133" s="77">
        <v>32648.8</v>
      </c>
      <c r="O133" s="22">
        <f t="shared" si="2"/>
        <v>32648.8</v>
      </c>
      <c r="P133" s="78" t="e">
        <f>IF(O133=0,"",_xlfn.XLOOKUP(D133,'5月份计划'!A:A,'5月份计划'!A:A))</f>
        <v>#N/A</v>
      </c>
    </row>
    <row r="134" s="22" customFormat="1" ht="15" customHeight="1" spans="1:16">
      <c r="A134" s="25" t="s">
        <v>444</v>
      </c>
      <c r="B134" s="28" t="s">
        <v>445</v>
      </c>
      <c r="C134" s="25" t="s">
        <v>41</v>
      </c>
      <c r="D134" s="28" t="s">
        <v>555</v>
      </c>
      <c r="E134" s="25" t="s">
        <v>41</v>
      </c>
      <c r="F134" s="25" t="s">
        <v>443</v>
      </c>
      <c r="G134" s="25" t="s">
        <v>489</v>
      </c>
      <c r="H134" s="76">
        <v>0</v>
      </c>
      <c r="I134" s="76">
        <v>0</v>
      </c>
      <c r="J134" s="76">
        <v>0</v>
      </c>
      <c r="K134" s="76">
        <v>0</v>
      </c>
      <c r="L134" s="76">
        <v>0</v>
      </c>
      <c r="M134" s="25" t="s">
        <v>489</v>
      </c>
      <c r="N134" s="76">
        <v>0</v>
      </c>
      <c r="O134" s="22">
        <f t="shared" si="2"/>
        <v>0</v>
      </c>
      <c r="P134" s="78" t="str">
        <f>IF(O134=0,"",_xlfn.XLOOKUP(D134,'5月份计划'!A:A,'5月份计划'!A:A))</f>
        <v/>
      </c>
    </row>
    <row r="135" s="22" customFormat="1" ht="15" customHeight="1" spans="1:16">
      <c r="A135" s="29" t="s">
        <v>444</v>
      </c>
      <c r="B135" s="32" t="s">
        <v>445</v>
      </c>
      <c r="C135" s="29" t="s">
        <v>41</v>
      </c>
      <c r="D135" s="32" t="s">
        <v>476</v>
      </c>
      <c r="E135" s="29" t="s">
        <v>41</v>
      </c>
      <c r="F135" s="29" t="s">
        <v>443</v>
      </c>
      <c r="G135" s="29" t="s">
        <v>447</v>
      </c>
      <c r="H135" s="77">
        <v>10486.2</v>
      </c>
      <c r="I135" s="77">
        <v>0</v>
      </c>
      <c r="J135" s="77">
        <v>0</v>
      </c>
      <c r="K135" s="77">
        <v>0</v>
      </c>
      <c r="L135" s="77">
        <v>0</v>
      </c>
      <c r="M135" s="29" t="s">
        <v>447</v>
      </c>
      <c r="N135" s="77">
        <v>10486.2</v>
      </c>
      <c r="O135" s="22">
        <f t="shared" si="2"/>
        <v>10486.2</v>
      </c>
      <c r="P135" s="78" t="e">
        <f>IF(O135=0,"",_xlfn.XLOOKUP(D135,'5月份计划'!A:A,'5月份计划'!A:A))</f>
        <v>#N/A</v>
      </c>
    </row>
    <row r="136" s="22" customFormat="1" ht="15" customHeight="1" spans="1:16">
      <c r="A136" s="25" t="s">
        <v>444</v>
      </c>
      <c r="B136" s="28" t="s">
        <v>445</v>
      </c>
      <c r="C136" s="25" t="s">
        <v>41</v>
      </c>
      <c r="D136" s="28" t="s">
        <v>477</v>
      </c>
      <c r="E136" s="25" t="s">
        <v>41</v>
      </c>
      <c r="F136" s="25" t="s">
        <v>443</v>
      </c>
      <c r="G136" s="25" t="s">
        <v>447</v>
      </c>
      <c r="H136" s="76">
        <v>3730</v>
      </c>
      <c r="I136" s="76">
        <v>0</v>
      </c>
      <c r="J136" s="76">
        <v>0</v>
      </c>
      <c r="K136" s="76">
        <v>0</v>
      </c>
      <c r="L136" s="76">
        <v>0</v>
      </c>
      <c r="M136" s="25" t="s">
        <v>447</v>
      </c>
      <c r="N136" s="76">
        <v>3730</v>
      </c>
      <c r="O136" s="22">
        <f t="shared" si="2"/>
        <v>3730</v>
      </c>
      <c r="P136" s="78" t="e">
        <f>IF(O136=0,"",_xlfn.XLOOKUP(D136,'5月份计划'!A:A,'5月份计划'!A:A))</f>
        <v>#N/A</v>
      </c>
    </row>
    <row r="137" s="22" customFormat="1" ht="15" customHeight="1" spans="1:16">
      <c r="A137" s="29" t="s">
        <v>444</v>
      </c>
      <c r="B137" s="32" t="s">
        <v>445</v>
      </c>
      <c r="C137" s="29" t="s">
        <v>41</v>
      </c>
      <c r="D137" s="32" t="s">
        <v>556</v>
      </c>
      <c r="E137" s="29" t="s">
        <v>41</v>
      </c>
      <c r="F137" s="29" t="s">
        <v>443</v>
      </c>
      <c r="G137" s="29" t="s">
        <v>489</v>
      </c>
      <c r="H137" s="77">
        <v>0</v>
      </c>
      <c r="I137" s="77">
        <v>0</v>
      </c>
      <c r="J137" s="77">
        <v>0</v>
      </c>
      <c r="K137" s="77">
        <v>0</v>
      </c>
      <c r="L137" s="77">
        <v>0</v>
      </c>
      <c r="M137" s="29" t="s">
        <v>489</v>
      </c>
      <c r="N137" s="77">
        <v>0</v>
      </c>
      <c r="O137" s="22">
        <f t="shared" si="2"/>
        <v>0</v>
      </c>
      <c r="P137" s="78" t="str">
        <f>IF(O137=0,"",_xlfn.XLOOKUP(D137,'5月份计划'!A:A,'5月份计划'!A:A))</f>
        <v/>
      </c>
    </row>
    <row r="138" s="22" customFormat="1" ht="15" customHeight="1" spans="1:16">
      <c r="A138" s="25" t="s">
        <v>444</v>
      </c>
      <c r="B138" s="28" t="s">
        <v>445</v>
      </c>
      <c r="C138" s="25" t="s">
        <v>41</v>
      </c>
      <c r="D138" s="28" t="s">
        <v>264</v>
      </c>
      <c r="E138" s="25" t="s">
        <v>41</v>
      </c>
      <c r="F138" s="25" t="s">
        <v>443</v>
      </c>
      <c r="G138" s="25" t="s">
        <v>447</v>
      </c>
      <c r="H138" s="76">
        <v>2122050.08</v>
      </c>
      <c r="I138" s="76">
        <v>580000</v>
      </c>
      <c r="J138" s="76">
        <v>661592.91</v>
      </c>
      <c r="K138" s="76">
        <v>3780000</v>
      </c>
      <c r="L138" s="76">
        <v>2969580.49</v>
      </c>
      <c r="M138" s="25" t="s">
        <v>447</v>
      </c>
      <c r="N138" s="76">
        <v>2203642.99</v>
      </c>
      <c r="O138" s="22">
        <f t="shared" si="2"/>
        <v>2203642.99</v>
      </c>
      <c r="P138" s="78" t="str">
        <f>IF(O138=0,"",_xlfn.XLOOKUP(D138,'5月份计划'!A:A,'5月份计划'!A:A))</f>
        <v>湘潭湘和汽车零部件制造有限公</v>
      </c>
    </row>
    <row r="139" s="22" customFormat="1" ht="15" customHeight="1" spans="1:16">
      <c r="A139" s="29" t="s">
        <v>444</v>
      </c>
      <c r="B139" s="32" t="s">
        <v>445</v>
      </c>
      <c r="C139" s="29" t="s">
        <v>41</v>
      </c>
      <c r="D139" s="32" t="s">
        <v>265</v>
      </c>
      <c r="E139" s="29" t="s">
        <v>41</v>
      </c>
      <c r="F139" s="29" t="s">
        <v>443</v>
      </c>
      <c r="G139" s="29" t="s">
        <v>447</v>
      </c>
      <c r="H139" s="77">
        <v>2965588.26</v>
      </c>
      <c r="I139" s="77">
        <v>500000</v>
      </c>
      <c r="J139" s="77">
        <v>687393.4</v>
      </c>
      <c r="K139" s="77">
        <v>5788929.29</v>
      </c>
      <c r="L139" s="77">
        <v>5352981.66</v>
      </c>
      <c r="M139" s="29" t="s">
        <v>447</v>
      </c>
      <c r="N139" s="77">
        <v>3152981.66</v>
      </c>
      <c r="O139" s="22">
        <f t="shared" si="2"/>
        <v>3152981.66</v>
      </c>
      <c r="P139" s="78" t="str">
        <f>IF(O139=0,"",_xlfn.XLOOKUP(D139,'5月份计划'!A:A,'5月份计划'!A:A))</f>
        <v>湖南中道机械设备有限公司</v>
      </c>
    </row>
    <row r="140" s="22" customFormat="1" ht="15" customHeight="1" spans="1:16">
      <c r="A140" s="25" t="s">
        <v>444</v>
      </c>
      <c r="B140" s="28" t="s">
        <v>445</v>
      </c>
      <c r="C140" s="25" t="s">
        <v>41</v>
      </c>
      <c r="D140" s="28" t="s">
        <v>557</v>
      </c>
      <c r="E140" s="25" t="s">
        <v>41</v>
      </c>
      <c r="F140" s="25" t="s">
        <v>443</v>
      </c>
      <c r="G140" s="25" t="s">
        <v>489</v>
      </c>
      <c r="H140" s="76">
        <v>0</v>
      </c>
      <c r="I140" s="76">
        <v>0</v>
      </c>
      <c r="J140" s="76">
        <v>0</v>
      </c>
      <c r="K140" s="76">
        <v>0</v>
      </c>
      <c r="L140" s="76">
        <v>0</v>
      </c>
      <c r="M140" s="25" t="s">
        <v>489</v>
      </c>
      <c r="N140" s="76">
        <v>0</v>
      </c>
      <c r="O140" s="22">
        <f t="shared" si="2"/>
        <v>0</v>
      </c>
      <c r="P140" s="78" t="str">
        <f>IF(O140=0,"",_xlfn.XLOOKUP(D140,'5月份计划'!A:A,'5月份计划'!A:A))</f>
        <v/>
      </c>
    </row>
    <row r="141" s="22" customFormat="1" ht="15" customHeight="1" spans="1:16">
      <c r="A141" s="29" t="s">
        <v>444</v>
      </c>
      <c r="B141" s="32" t="s">
        <v>445</v>
      </c>
      <c r="C141" s="29" t="s">
        <v>41</v>
      </c>
      <c r="D141" s="32" t="s">
        <v>558</v>
      </c>
      <c r="E141" s="29" t="s">
        <v>41</v>
      </c>
      <c r="F141" s="29" t="s">
        <v>443</v>
      </c>
      <c r="G141" s="29" t="s">
        <v>489</v>
      </c>
      <c r="H141" s="77">
        <v>0</v>
      </c>
      <c r="I141" s="77">
        <v>0</v>
      </c>
      <c r="J141" s="77">
        <v>0</v>
      </c>
      <c r="K141" s="77">
        <v>0</v>
      </c>
      <c r="L141" s="77">
        <v>0</v>
      </c>
      <c r="M141" s="29" t="s">
        <v>489</v>
      </c>
      <c r="N141" s="77">
        <v>0</v>
      </c>
      <c r="O141" s="22">
        <f t="shared" si="2"/>
        <v>0</v>
      </c>
      <c r="P141" s="78" t="str">
        <f>IF(O141=0,"",_xlfn.XLOOKUP(D141,'5月份计划'!A:A,'5月份计划'!A:A))</f>
        <v/>
      </c>
    </row>
    <row r="142" s="22" customFormat="1" ht="15" customHeight="1" spans="1:16">
      <c r="A142" s="25" t="s">
        <v>444</v>
      </c>
      <c r="B142" s="28" t="s">
        <v>445</v>
      </c>
      <c r="C142" s="25" t="s">
        <v>41</v>
      </c>
      <c r="D142" s="28" t="s">
        <v>267</v>
      </c>
      <c r="E142" s="25" t="s">
        <v>41</v>
      </c>
      <c r="F142" s="25" t="s">
        <v>443</v>
      </c>
      <c r="G142" s="25" t="s">
        <v>447</v>
      </c>
      <c r="H142" s="76">
        <v>19861</v>
      </c>
      <c r="I142" s="76">
        <v>0</v>
      </c>
      <c r="J142" s="76">
        <v>5640.28</v>
      </c>
      <c r="K142" s="76">
        <v>54163.73</v>
      </c>
      <c r="L142" s="76">
        <v>38041.91</v>
      </c>
      <c r="M142" s="25" t="s">
        <v>447</v>
      </c>
      <c r="N142" s="76">
        <v>25501.28</v>
      </c>
      <c r="O142" s="22">
        <f t="shared" si="2"/>
        <v>25501.28</v>
      </c>
      <c r="P142" s="78" t="str">
        <f>IF(O142=0,"",_xlfn.XLOOKUP(D142,'5月份计划'!A:A,'5月份计划'!A:A))</f>
        <v>湘潭市忠强气体有限公司</v>
      </c>
    </row>
    <row r="143" s="22" customFormat="1" ht="15" customHeight="1" spans="1:16">
      <c r="A143" s="29" t="s">
        <v>444</v>
      </c>
      <c r="B143" s="32" t="s">
        <v>445</v>
      </c>
      <c r="C143" s="29" t="s">
        <v>41</v>
      </c>
      <c r="D143" s="32" t="s">
        <v>268</v>
      </c>
      <c r="E143" s="29" t="s">
        <v>41</v>
      </c>
      <c r="F143" s="29" t="s">
        <v>443</v>
      </c>
      <c r="G143" s="29" t="s">
        <v>447</v>
      </c>
      <c r="H143" s="77">
        <v>25062.5</v>
      </c>
      <c r="I143" s="77">
        <v>0</v>
      </c>
      <c r="J143" s="77">
        <v>0</v>
      </c>
      <c r="K143" s="77">
        <v>32987.81</v>
      </c>
      <c r="L143" s="77">
        <v>25062.5</v>
      </c>
      <c r="M143" s="29" t="s">
        <v>447</v>
      </c>
      <c r="N143" s="77">
        <v>25062.5</v>
      </c>
      <c r="O143" s="22">
        <f t="shared" si="2"/>
        <v>25062.5</v>
      </c>
      <c r="P143" s="78" t="str">
        <f>IF(O143=0,"",_xlfn.XLOOKUP(D143,'5月份计划'!A:A,'5月份计划'!A:A))</f>
        <v>湖南驷马机械有限公司</v>
      </c>
    </row>
    <row r="144" s="22" customFormat="1" ht="15" customHeight="1" spans="1:16">
      <c r="A144" s="25" t="s">
        <v>444</v>
      </c>
      <c r="B144" s="28" t="s">
        <v>445</v>
      </c>
      <c r="C144" s="25" t="s">
        <v>41</v>
      </c>
      <c r="D144" s="28" t="s">
        <v>478</v>
      </c>
      <c r="E144" s="25" t="s">
        <v>41</v>
      </c>
      <c r="F144" s="25" t="s">
        <v>443</v>
      </c>
      <c r="G144" s="25" t="s">
        <v>447</v>
      </c>
      <c r="H144" s="76">
        <v>3629.95</v>
      </c>
      <c r="I144" s="76">
        <v>0</v>
      </c>
      <c r="J144" s="76">
        <v>0</v>
      </c>
      <c r="K144" s="76">
        <v>0</v>
      </c>
      <c r="L144" s="76">
        <v>0</v>
      </c>
      <c r="M144" s="25" t="s">
        <v>447</v>
      </c>
      <c r="N144" s="76">
        <v>3629.95</v>
      </c>
      <c r="O144" s="22">
        <f t="shared" si="2"/>
        <v>3629.95</v>
      </c>
      <c r="P144" s="78" t="e">
        <f>IF(O144=0,"",_xlfn.XLOOKUP(D144,'5月份计划'!A:A,'5月份计划'!A:A))</f>
        <v>#N/A</v>
      </c>
    </row>
    <row r="145" s="22" customFormat="1" ht="15" customHeight="1" spans="1:16">
      <c r="A145" s="29" t="s">
        <v>444</v>
      </c>
      <c r="B145" s="32" t="s">
        <v>445</v>
      </c>
      <c r="C145" s="29" t="s">
        <v>41</v>
      </c>
      <c r="D145" s="32" t="s">
        <v>559</v>
      </c>
      <c r="E145" s="29" t="s">
        <v>41</v>
      </c>
      <c r="F145" s="29" t="s">
        <v>443</v>
      </c>
      <c r="G145" s="29" t="s">
        <v>489</v>
      </c>
      <c r="H145" s="77">
        <v>0</v>
      </c>
      <c r="I145" s="77">
        <v>0</v>
      </c>
      <c r="J145" s="77">
        <v>0</v>
      </c>
      <c r="K145" s="77">
        <v>0</v>
      </c>
      <c r="L145" s="77">
        <v>0</v>
      </c>
      <c r="M145" s="29" t="s">
        <v>489</v>
      </c>
      <c r="N145" s="77">
        <v>0</v>
      </c>
      <c r="O145" s="22">
        <f t="shared" si="2"/>
        <v>0</v>
      </c>
      <c r="P145" s="78" t="str">
        <f>IF(O145=0,"",_xlfn.XLOOKUP(D145,'5月份计划'!A:A,'5月份计划'!A:A))</f>
        <v/>
      </c>
    </row>
    <row r="146" s="22" customFormat="1" ht="15" customHeight="1" spans="1:16">
      <c r="A146" s="25" t="s">
        <v>444</v>
      </c>
      <c r="B146" s="28" t="s">
        <v>445</v>
      </c>
      <c r="C146" s="25" t="s">
        <v>41</v>
      </c>
      <c r="D146" s="28" t="s">
        <v>479</v>
      </c>
      <c r="E146" s="25" t="s">
        <v>41</v>
      </c>
      <c r="F146" s="25" t="s">
        <v>443</v>
      </c>
      <c r="G146" s="25" t="s">
        <v>447</v>
      </c>
      <c r="H146" s="76">
        <v>949</v>
      </c>
      <c r="I146" s="76">
        <v>0</v>
      </c>
      <c r="J146" s="76">
        <v>0</v>
      </c>
      <c r="K146" s="76">
        <v>0</v>
      </c>
      <c r="L146" s="76">
        <v>0</v>
      </c>
      <c r="M146" s="25" t="s">
        <v>447</v>
      </c>
      <c r="N146" s="76">
        <v>949</v>
      </c>
      <c r="O146" s="22">
        <f t="shared" si="2"/>
        <v>949</v>
      </c>
      <c r="P146" s="78" t="e">
        <f>IF(O146=0,"",_xlfn.XLOOKUP(D146,'5月份计划'!A:A,'5月份计划'!A:A))</f>
        <v>#N/A</v>
      </c>
    </row>
    <row r="147" s="22" customFormat="1" ht="15" customHeight="1" spans="1:16">
      <c r="A147" s="29" t="s">
        <v>444</v>
      </c>
      <c r="B147" s="32" t="s">
        <v>445</v>
      </c>
      <c r="C147" s="29" t="s">
        <v>41</v>
      </c>
      <c r="D147" s="32" t="s">
        <v>560</v>
      </c>
      <c r="E147" s="29" t="s">
        <v>41</v>
      </c>
      <c r="F147" s="29" t="s">
        <v>443</v>
      </c>
      <c r="G147" s="29" t="s">
        <v>489</v>
      </c>
      <c r="H147" s="77">
        <v>0</v>
      </c>
      <c r="I147" s="77">
        <v>0</v>
      </c>
      <c r="J147" s="77">
        <v>0</v>
      </c>
      <c r="K147" s="77">
        <v>0</v>
      </c>
      <c r="L147" s="77">
        <v>0</v>
      </c>
      <c r="M147" s="29" t="s">
        <v>489</v>
      </c>
      <c r="N147" s="77">
        <v>0</v>
      </c>
      <c r="O147" s="22">
        <f t="shared" si="2"/>
        <v>0</v>
      </c>
      <c r="P147" s="78" t="str">
        <f>IF(O147=0,"",_xlfn.XLOOKUP(D147,'5月份计划'!A:A,'5月份计划'!A:A))</f>
        <v/>
      </c>
    </row>
    <row r="148" s="22" customFormat="1" ht="15" customHeight="1" spans="1:16">
      <c r="A148" s="25" t="s">
        <v>444</v>
      </c>
      <c r="B148" s="28" t="s">
        <v>445</v>
      </c>
      <c r="C148" s="25" t="s">
        <v>41</v>
      </c>
      <c r="D148" s="28" t="s">
        <v>561</v>
      </c>
      <c r="E148" s="25" t="s">
        <v>41</v>
      </c>
      <c r="F148" s="25" t="s">
        <v>443</v>
      </c>
      <c r="G148" s="25" t="s">
        <v>489</v>
      </c>
      <c r="H148" s="76">
        <v>0</v>
      </c>
      <c r="I148" s="76">
        <v>0</v>
      </c>
      <c r="J148" s="76">
        <v>0</v>
      </c>
      <c r="K148" s="76">
        <v>0</v>
      </c>
      <c r="L148" s="76">
        <v>0</v>
      </c>
      <c r="M148" s="25" t="s">
        <v>489</v>
      </c>
      <c r="N148" s="76">
        <v>0</v>
      </c>
      <c r="O148" s="22">
        <f t="shared" si="2"/>
        <v>0</v>
      </c>
      <c r="P148" s="78" t="str">
        <f>IF(O148=0,"",_xlfn.XLOOKUP(D148,'5月份计划'!A:A,'5月份计划'!A:A))</f>
        <v/>
      </c>
    </row>
    <row r="149" s="22" customFormat="1" ht="15" customHeight="1" spans="1:16">
      <c r="A149" s="29" t="s">
        <v>444</v>
      </c>
      <c r="B149" s="32" t="s">
        <v>445</v>
      </c>
      <c r="C149" s="29" t="s">
        <v>41</v>
      </c>
      <c r="D149" s="32" t="s">
        <v>480</v>
      </c>
      <c r="E149" s="29" t="s">
        <v>41</v>
      </c>
      <c r="F149" s="29" t="s">
        <v>443</v>
      </c>
      <c r="G149" s="29" t="s">
        <v>447</v>
      </c>
      <c r="H149" s="77">
        <v>497.5</v>
      </c>
      <c r="I149" s="77">
        <v>0</v>
      </c>
      <c r="J149" s="77">
        <v>0</v>
      </c>
      <c r="K149" s="77">
        <v>0</v>
      </c>
      <c r="L149" s="77">
        <v>0</v>
      </c>
      <c r="M149" s="29" t="s">
        <v>447</v>
      </c>
      <c r="N149" s="77">
        <v>497.5</v>
      </c>
      <c r="O149" s="22">
        <f t="shared" si="2"/>
        <v>497.5</v>
      </c>
      <c r="P149" s="78" t="e">
        <f>IF(O149=0,"",_xlfn.XLOOKUP(D149,'5月份计划'!A:A,'5月份计划'!A:A))</f>
        <v>#N/A</v>
      </c>
    </row>
    <row r="150" s="22" customFormat="1" ht="15" customHeight="1" spans="1:16">
      <c r="A150" s="25" t="s">
        <v>444</v>
      </c>
      <c r="B150" s="28" t="s">
        <v>445</v>
      </c>
      <c r="C150" s="25" t="s">
        <v>41</v>
      </c>
      <c r="D150" s="28" t="s">
        <v>406</v>
      </c>
      <c r="E150" s="25" t="s">
        <v>41</v>
      </c>
      <c r="F150" s="25" t="s">
        <v>443</v>
      </c>
      <c r="G150" s="25" t="s">
        <v>447</v>
      </c>
      <c r="H150" s="76">
        <v>2621.52</v>
      </c>
      <c r="I150" s="76">
        <v>0</v>
      </c>
      <c r="J150" s="76">
        <v>0</v>
      </c>
      <c r="K150" s="76">
        <v>0</v>
      </c>
      <c r="L150" s="76">
        <v>0</v>
      </c>
      <c r="M150" s="25" t="s">
        <v>447</v>
      </c>
      <c r="N150" s="76">
        <v>2621.52</v>
      </c>
      <c r="O150" s="22">
        <f t="shared" si="2"/>
        <v>2621.52</v>
      </c>
      <c r="P150" s="78" t="e">
        <f>IF(O150=0,"",_xlfn.XLOOKUP(D150,'5月份计划'!A:A,'5月份计划'!A:A))</f>
        <v>#N/A</v>
      </c>
    </row>
    <row r="151" s="22" customFormat="1" ht="15" customHeight="1" spans="1:16">
      <c r="A151" s="29" t="s">
        <v>444</v>
      </c>
      <c r="B151" s="32" t="s">
        <v>445</v>
      </c>
      <c r="C151" s="29" t="s">
        <v>41</v>
      </c>
      <c r="D151" s="32" t="s">
        <v>407</v>
      </c>
      <c r="E151" s="29" t="s">
        <v>41</v>
      </c>
      <c r="F151" s="29" t="s">
        <v>443</v>
      </c>
      <c r="G151" s="29" t="s">
        <v>447</v>
      </c>
      <c r="H151" s="77">
        <v>54943.1</v>
      </c>
      <c r="I151" s="77">
        <v>0</v>
      </c>
      <c r="J151" s="77">
        <v>0</v>
      </c>
      <c r="K151" s="77">
        <v>0</v>
      </c>
      <c r="L151" s="77">
        <v>0</v>
      </c>
      <c r="M151" s="29" t="s">
        <v>447</v>
      </c>
      <c r="N151" s="77">
        <v>54943.1</v>
      </c>
      <c r="O151" s="22">
        <f t="shared" si="2"/>
        <v>54943.1</v>
      </c>
      <c r="P151" s="78" t="e">
        <f>IF(O151=0,"",_xlfn.XLOOKUP(D151,'5月份计划'!A:A,'5月份计划'!A:A))</f>
        <v>#N/A</v>
      </c>
    </row>
    <row r="152" s="22" customFormat="1" ht="15" customHeight="1" spans="1:16">
      <c r="A152" s="25" t="s">
        <v>444</v>
      </c>
      <c r="B152" s="28" t="s">
        <v>445</v>
      </c>
      <c r="C152" s="25" t="s">
        <v>41</v>
      </c>
      <c r="D152" s="28" t="s">
        <v>562</v>
      </c>
      <c r="E152" s="25" t="s">
        <v>41</v>
      </c>
      <c r="F152" s="25" t="s">
        <v>443</v>
      </c>
      <c r="G152" s="25" t="s">
        <v>489</v>
      </c>
      <c r="H152" s="76">
        <v>0</v>
      </c>
      <c r="I152" s="76">
        <v>0</v>
      </c>
      <c r="J152" s="76">
        <v>0</v>
      </c>
      <c r="K152" s="76">
        <v>0</v>
      </c>
      <c r="L152" s="76">
        <v>0</v>
      </c>
      <c r="M152" s="25" t="s">
        <v>489</v>
      </c>
      <c r="N152" s="76">
        <v>0</v>
      </c>
      <c r="O152" s="22">
        <f t="shared" si="2"/>
        <v>0</v>
      </c>
      <c r="P152" s="78" t="str">
        <f>IF(O152=0,"",_xlfn.XLOOKUP(D152,'5月份计划'!A:A,'5月份计划'!A:A))</f>
        <v/>
      </c>
    </row>
    <row r="153" s="22" customFormat="1" ht="15" customHeight="1" spans="1:16">
      <c r="A153" s="29" t="s">
        <v>444</v>
      </c>
      <c r="B153" s="32" t="s">
        <v>445</v>
      </c>
      <c r="C153" s="29" t="s">
        <v>41</v>
      </c>
      <c r="D153" s="32" t="s">
        <v>563</v>
      </c>
      <c r="E153" s="29" t="s">
        <v>41</v>
      </c>
      <c r="F153" s="29" t="s">
        <v>443</v>
      </c>
      <c r="G153" s="29" t="s">
        <v>489</v>
      </c>
      <c r="H153" s="77">
        <v>0</v>
      </c>
      <c r="I153" s="77">
        <v>0</v>
      </c>
      <c r="J153" s="77">
        <v>0</v>
      </c>
      <c r="K153" s="77">
        <v>0</v>
      </c>
      <c r="L153" s="77">
        <v>0</v>
      </c>
      <c r="M153" s="29" t="s">
        <v>489</v>
      </c>
      <c r="N153" s="77">
        <v>0</v>
      </c>
      <c r="O153" s="22">
        <f t="shared" si="2"/>
        <v>0</v>
      </c>
      <c r="P153" s="78" t="str">
        <f>IF(O153=0,"",_xlfn.XLOOKUP(D153,'5月份计划'!A:A,'5月份计划'!A:A))</f>
        <v/>
      </c>
    </row>
    <row r="154" s="22" customFormat="1" ht="15" customHeight="1" spans="1:16">
      <c r="A154" s="25" t="s">
        <v>444</v>
      </c>
      <c r="B154" s="28" t="s">
        <v>445</v>
      </c>
      <c r="C154" s="25" t="s">
        <v>41</v>
      </c>
      <c r="D154" s="28" t="s">
        <v>481</v>
      </c>
      <c r="E154" s="25" t="s">
        <v>41</v>
      </c>
      <c r="F154" s="25" t="s">
        <v>443</v>
      </c>
      <c r="G154" s="25" t="s">
        <v>447</v>
      </c>
      <c r="H154" s="76">
        <v>760</v>
      </c>
      <c r="I154" s="76">
        <v>0</v>
      </c>
      <c r="J154" s="76">
        <v>0</v>
      </c>
      <c r="K154" s="76">
        <v>0</v>
      </c>
      <c r="L154" s="76">
        <v>0</v>
      </c>
      <c r="M154" s="25" t="s">
        <v>447</v>
      </c>
      <c r="N154" s="76">
        <v>760</v>
      </c>
      <c r="O154" s="22">
        <f t="shared" si="2"/>
        <v>760</v>
      </c>
      <c r="P154" s="78" t="e">
        <f>IF(O154=0,"",_xlfn.XLOOKUP(D154,'5月份计划'!A:A,'5月份计划'!A:A))</f>
        <v>#N/A</v>
      </c>
    </row>
    <row r="155" s="22" customFormat="1" ht="15" customHeight="1" spans="1:16">
      <c r="A155" s="29" t="s">
        <v>444</v>
      </c>
      <c r="B155" s="32" t="s">
        <v>445</v>
      </c>
      <c r="C155" s="29" t="s">
        <v>41</v>
      </c>
      <c r="D155" s="32" t="s">
        <v>564</v>
      </c>
      <c r="E155" s="29" t="s">
        <v>41</v>
      </c>
      <c r="F155" s="29" t="s">
        <v>443</v>
      </c>
      <c r="G155" s="29" t="s">
        <v>489</v>
      </c>
      <c r="H155" s="77">
        <v>0</v>
      </c>
      <c r="I155" s="77">
        <v>0</v>
      </c>
      <c r="J155" s="77">
        <v>0</v>
      </c>
      <c r="K155" s="77">
        <v>0</v>
      </c>
      <c r="L155" s="77">
        <v>0</v>
      </c>
      <c r="M155" s="29" t="s">
        <v>489</v>
      </c>
      <c r="N155" s="77">
        <v>0</v>
      </c>
      <c r="O155" s="22">
        <f t="shared" si="2"/>
        <v>0</v>
      </c>
      <c r="P155" s="78" t="str">
        <f>IF(O155=0,"",_xlfn.XLOOKUP(D155,'5月份计划'!A:A,'5月份计划'!A:A))</f>
        <v/>
      </c>
    </row>
    <row r="156" s="22" customFormat="1" ht="15" customHeight="1" spans="1:16">
      <c r="A156" s="25" t="s">
        <v>444</v>
      </c>
      <c r="B156" s="28" t="s">
        <v>445</v>
      </c>
      <c r="C156" s="25" t="s">
        <v>41</v>
      </c>
      <c r="D156" s="28" t="s">
        <v>300</v>
      </c>
      <c r="E156" s="25" t="s">
        <v>41</v>
      </c>
      <c r="F156" s="25" t="s">
        <v>443</v>
      </c>
      <c r="G156" s="25" t="s">
        <v>447</v>
      </c>
      <c r="H156" s="76">
        <v>399612.59</v>
      </c>
      <c r="I156" s="76">
        <v>286144.77</v>
      </c>
      <c r="J156" s="76">
        <v>45708.5</v>
      </c>
      <c r="K156" s="76">
        <v>814072.98</v>
      </c>
      <c r="L156" s="76">
        <v>445321.09</v>
      </c>
      <c r="M156" s="25" t="s">
        <v>447</v>
      </c>
      <c r="N156" s="76">
        <v>159176.32</v>
      </c>
      <c r="O156" s="22">
        <f t="shared" si="2"/>
        <v>159176.32</v>
      </c>
      <c r="P156" s="78" t="str">
        <f>IF(O156=0,"",_xlfn.XLOOKUP(D156,'5月份计划'!A:A,'5月份计划'!A:A))</f>
        <v>广州市信征汽车零件有限公司</v>
      </c>
    </row>
    <row r="157" s="22" customFormat="1" ht="15" customHeight="1" spans="1:16">
      <c r="A157" s="29" t="s">
        <v>444</v>
      </c>
      <c r="B157" s="32" t="s">
        <v>445</v>
      </c>
      <c r="C157" s="29" t="s">
        <v>41</v>
      </c>
      <c r="D157" s="32" t="s">
        <v>482</v>
      </c>
      <c r="E157" s="29" t="s">
        <v>41</v>
      </c>
      <c r="F157" s="29" t="s">
        <v>443</v>
      </c>
      <c r="G157" s="29" t="s">
        <v>447</v>
      </c>
      <c r="H157" s="77">
        <v>15050.16</v>
      </c>
      <c r="I157" s="77">
        <v>0</v>
      </c>
      <c r="J157" s="77">
        <v>0</v>
      </c>
      <c r="K157" s="77">
        <v>0</v>
      </c>
      <c r="L157" s="77">
        <v>0</v>
      </c>
      <c r="M157" s="29" t="s">
        <v>447</v>
      </c>
      <c r="N157" s="77">
        <v>15050.16</v>
      </c>
      <c r="O157" s="22">
        <f t="shared" si="2"/>
        <v>15050.16</v>
      </c>
      <c r="P157" s="78" t="e">
        <f>IF(O157=0,"",_xlfn.XLOOKUP(D157,'5月份计划'!A:A,'5月份计划'!A:A))</f>
        <v>#N/A</v>
      </c>
    </row>
    <row r="158" s="22" customFormat="1" ht="15" customHeight="1" spans="1:16">
      <c r="A158" s="25" t="s">
        <v>444</v>
      </c>
      <c r="B158" s="28" t="s">
        <v>445</v>
      </c>
      <c r="C158" s="25" t="s">
        <v>41</v>
      </c>
      <c r="D158" s="28" t="s">
        <v>565</v>
      </c>
      <c r="E158" s="25" t="s">
        <v>41</v>
      </c>
      <c r="F158" s="25" t="s">
        <v>443</v>
      </c>
      <c r="G158" s="25" t="s">
        <v>489</v>
      </c>
      <c r="H158" s="76">
        <v>0</v>
      </c>
      <c r="I158" s="76">
        <v>0</v>
      </c>
      <c r="J158" s="76">
        <v>0</v>
      </c>
      <c r="K158" s="76">
        <v>0</v>
      </c>
      <c r="L158" s="76">
        <v>0</v>
      </c>
      <c r="M158" s="25" t="s">
        <v>489</v>
      </c>
      <c r="N158" s="76">
        <v>0</v>
      </c>
      <c r="O158" s="22">
        <f t="shared" si="2"/>
        <v>0</v>
      </c>
      <c r="P158" s="78" t="str">
        <f>IF(O158=0,"",_xlfn.XLOOKUP(D158,'5月份计划'!A:A,'5月份计划'!A:A))</f>
        <v/>
      </c>
    </row>
    <row r="159" s="22" customFormat="1" ht="15" customHeight="1" spans="1:16">
      <c r="A159" s="29" t="s">
        <v>444</v>
      </c>
      <c r="B159" s="32" t="s">
        <v>445</v>
      </c>
      <c r="C159" s="29" t="s">
        <v>41</v>
      </c>
      <c r="D159" s="32" t="s">
        <v>566</v>
      </c>
      <c r="E159" s="29" t="s">
        <v>41</v>
      </c>
      <c r="F159" s="29" t="s">
        <v>443</v>
      </c>
      <c r="G159" s="29" t="s">
        <v>489</v>
      </c>
      <c r="H159" s="77">
        <v>0</v>
      </c>
      <c r="I159" s="77">
        <v>0</v>
      </c>
      <c r="J159" s="77">
        <v>0</v>
      </c>
      <c r="K159" s="77">
        <v>0</v>
      </c>
      <c r="L159" s="77">
        <v>0</v>
      </c>
      <c r="M159" s="29" t="s">
        <v>489</v>
      </c>
      <c r="N159" s="77">
        <v>0</v>
      </c>
      <c r="O159" s="22">
        <f t="shared" si="2"/>
        <v>0</v>
      </c>
      <c r="P159" s="78" t="str">
        <f>IF(O159=0,"",_xlfn.XLOOKUP(D159,'5月份计划'!A:A,'5月份计划'!A:A))</f>
        <v/>
      </c>
    </row>
    <row r="160" s="22" customFormat="1" ht="15" customHeight="1" spans="1:16">
      <c r="A160" s="25" t="s">
        <v>444</v>
      </c>
      <c r="B160" s="28" t="s">
        <v>445</v>
      </c>
      <c r="C160" s="25" t="s">
        <v>41</v>
      </c>
      <c r="D160" s="28" t="s">
        <v>567</v>
      </c>
      <c r="E160" s="25" t="s">
        <v>41</v>
      </c>
      <c r="F160" s="25" t="s">
        <v>443</v>
      </c>
      <c r="G160" s="25" t="s">
        <v>489</v>
      </c>
      <c r="H160" s="76">
        <v>0</v>
      </c>
      <c r="I160" s="76">
        <v>0</v>
      </c>
      <c r="J160" s="76">
        <v>0</v>
      </c>
      <c r="K160" s="76">
        <v>0</v>
      </c>
      <c r="L160" s="76">
        <v>0</v>
      </c>
      <c r="M160" s="25" t="s">
        <v>489</v>
      </c>
      <c r="N160" s="76">
        <v>0</v>
      </c>
      <c r="O160" s="22">
        <f t="shared" si="2"/>
        <v>0</v>
      </c>
      <c r="P160" s="78" t="str">
        <f>IF(O160=0,"",_xlfn.XLOOKUP(D160,'5月份计划'!A:A,'5月份计划'!A:A))</f>
        <v/>
      </c>
    </row>
    <row r="161" s="22" customFormat="1" ht="15" customHeight="1" spans="1:16">
      <c r="A161" s="29" t="s">
        <v>444</v>
      </c>
      <c r="B161" s="32" t="s">
        <v>445</v>
      </c>
      <c r="C161" s="29" t="s">
        <v>41</v>
      </c>
      <c r="D161" s="32" t="s">
        <v>568</v>
      </c>
      <c r="E161" s="29" t="s">
        <v>41</v>
      </c>
      <c r="F161" s="29" t="s">
        <v>484</v>
      </c>
      <c r="G161" s="29" t="s">
        <v>489</v>
      </c>
      <c r="H161" s="77">
        <v>0</v>
      </c>
      <c r="I161" s="77">
        <v>0</v>
      </c>
      <c r="J161" s="77">
        <v>0</v>
      </c>
      <c r="K161" s="77">
        <v>0</v>
      </c>
      <c r="L161" s="77">
        <v>0</v>
      </c>
      <c r="M161" s="29" t="s">
        <v>489</v>
      </c>
      <c r="N161" s="77">
        <v>0</v>
      </c>
      <c r="O161" s="22">
        <f t="shared" si="2"/>
        <v>0</v>
      </c>
      <c r="P161" s="78" t="str">
        <f>IF(O161=0,"",_xlfn.XLOOKUP(D161,'5月份计划'!A:A,'5月份计划'!A:A))</f>
        <v/>
      </c>
    </row>
    <row r="162" s="22" customFormat="1" ht="15" customHeight="1" spans="1:16">
      <c r="A162" s="25" t="s">
        <v>444</v>
      </c>
      <c r="B162" s="28" t="s">
        <v>445</v>
      </c>
      <c r="C162" s="25" t="s">
        <v>41</v>
      </c>
      <c r="D162" s="28" t="s">
        <v>483</v>
      </c>
      <c r="E162" s="25" t="s">
        <v>41</v>
      </c>
      <c r="F162" s="25" t="s">
        <v>484</v>
      </c>
      <c r="G162" s="25" t="s">
        <v>453</v>
      </c>
      <c r="H162" s="76">
        <v>566</v>
      </c>
      <c r="I162" s="76">
        <v>0</v>
      </c>
      <c r="J162" s="76">
        <v>0</v>
      </c>
      <c r="K162" s="76">
        <v>0</v>
      </c>
      <c r="L162" s="76">
        <v>0</v>
      </c>
      <c r="M162" s="25" t="s">
        <v>453</v>
      </c>
      <c r="N162" s="76">
        <v>566</v>
      </c>
      <c r="O162" s="22">
        <f t="shared" si="2"/>
        <v>-566</v>
      </c>
      <c r="P162" s="78" t="e">
        <f>IF(O162=0,"",_xlfn.XLOOKUP(D162,'5月份计划'!A:A,'5月份计划'!A:A))</f>
        <v>#N/A</v>
      </c>
    </row>
    <row r="163" s="22" customFormat="1" ht="15" customHeight="1" spans="1:16">
      <c r="A163" s="29" t="s">
        <v>444</v>
      </c>
      <c r="B163" s="32" t="s">
        <v>445</v>
      </c>
      <c r="C163" s="29" t="s">
        <v>41</v>
      </c>
      <c r="D163" s="32" t="s">
        <v>569</v>
      </c>
      <c r="E163" s="29" t="s">
        <v>41</v>
      </c>
      <c r="F163" s="29" t="s">
        <v>443</v>
      </c>
      <c r="G163" s="29" t="s">
        <v>489</v>
      </c>
      <c r="H163" s="77">
        <v>0</v>
      </c>
      <c r="I163" s="77">
        <v>0</v>
      </c>
      <c r="J163" s="77">
        <v>0</v>
      </c>
      <c r="K163" s="77">
        <v>0</v>
      </c>
      <c r="L163" s="77">
        <v>0</v>
      </c>
      <c r="M163" s="29" t="s">
        <v>489</v>
      </c>
      <c r="N163" s="77">
        <v>0</v>
      </c>
      <c r="O163" s="22">
        <f t="shared" si="2"/>
        <v>0</v>
      </c>
      <c r="P163" s="78" t="str">
        <f>IF(O163=0,"",_xlfn.XLOOKUP(D163,'5月份计划'!A:A,'5月份计划'!A:A))</f>
        <v/>
      </c>
    </row>
    <row r="164" s="22" customFormat="1" ht="15" customHeight="1" spans="1:16">
      <c r="A164" s="25" t="s">
        <v>444</v>
      </c>
      <c r="B164" s="28" t="s">
        <v>445</v>
      </c>
      <c r="C164" s="25" t="s">
        <v>41</v>
      </c>
      <c r="D164" s="28" t="s">
        <v>285</v>
      </c>
      <c r="E164" s="25" t="s">
        <v>41</v>
      </c>
      <c r="F164" s="25" t="s">
        <v>443</v>
      </c>
      <c r="G164" s="25" t="s">
        <v>447</v>
      </c>
      <c r="H164" s="76">
        <v>146568.91</v>
      </c>
      <c r="I164" s="76">
        <v>0</v>
      </c>
      <c r="J164" s="76">
        <v>0</v>
      </c>
      <c r="K164" s="76">
        <v>55661.54</v>
      </c>
      <c r="L164" s="76">
        <v>146568.91</v>
      </c>
      <c r="M164" s="25" t="s">
        <v>447</v>
      </c>
      <c r="N164" s="76">
        <v>146568.91</v>
      </c>
      <c r="O164" s="22">
        <f t="shared" si="2"/>
        <v>146568.91</v>
      </c>
      <c r="P164" s="78" t="str">
        <f>IF(O164=0,"",_xlfn.XLOOKUP(D164,'5月份计划'!A:A,'5月份计划'!A:A))</f>
        <v>株洲铖亿轨道交通技术有限</v>
      </c>
    </row>
    <row r="165" s="22" customFormat="1" ht="15" customHeight="1" spans="1:16">
      <c r="A165" s="29" t="s">
        <v>444</v>
      </c>
      <c r="B165" s="32" t="s">
        <v>445</v>
      </c>
      <c r="C165" s="29" t="s">
        <v>41</v>
      </c>
      <c r="D165" s="32" t="s">
        <v>485</v>
      </c>
      <c r="E165" s="29" t="s">
        <v>41</v>
      </c>
      <c r="F165" s="29" t="s">
        <v>443</v>
      </c>
      <c r="G165" s="29" t="s">
        <v>447</v>
      </c>
      <c r="H165" s="77">
        <v>7961.51</v>
      </c>
      <c r="I165" s="77">
        <v>0</v>
      </c>
      <c r="J165" s="77">
        <v>0</v>
      </c>
      <c r="K165" s="77">
        <v>0</v>
      </c>
      <c r="L165" s="77">
        <v>0</v>
      </c>
      <c r="M165" s="29" t="s">
        <v>447</v>
      </c>
      <c r="N165" s="77">
        <v>7961.51</v>
      </c>
      <c r="O165" s="22">
        <f t="shared" si="2"/>
        <v>7961.51</v>
      </c>
      <c r="P165" s="78" t="e">
        <f>IF(O165=0,"",_xlfn.XLOOKUP(D165,'5月份计划'!A:A,'5月份计划'!A:A))</f>
        <v>#N/A</v>
      </c>
    </row>
    <row r="166" s="22" customFormat="1" ht="15" customHeight="1" spans="1:16">
      <c r="A166" s="25" t="s">
        <v>444</v>
      </c>
      <c r="B166" s="28" t="s">
        <v>445</v>
      </c>
      <c r="C166" s="25" t="s">
        <v>41</v>
      </c>
      <c r="D166" s="28" t="s">
        <v>570</v>
      </c>
      <c r="E166" s="25" t="s">
        <v>41</v>
      </c>
      <c r="F166" s="25" t="s">
        <v>443</v>
      </c>
      <c r="G166" s="25" t="s">
        <v>489</v>
      </c>
      <c r="H166" s="76">
        <v>0</v>
      </c>
      <c r="I166" s="76">
        <v>0</v>
      </c>
      <c r="J166" s="76">
        <v>0</v>
      </c>
      <c r="K166" s="76">
        <v>0</v>
      </c>
      <c r="L166" s="76">
        <v>0</v>
      </c>
      <c r="M166" s="25" t="s">
        <v>489</v>
      </c>
      <c r="N166" s="76">
        <v>0</v>
      </c>
      <c r="O166" s="22">
        <f t="shared" si="2"/>
        <v>0</v>
      </c>
      <c r="P166" s="78" t="str">
        <f>IF(O166=0,"",_xlfn.XLOOKUP(D166,'5月份计划'!A:A,'5月份计划'!A:A))</f>
        <v/>
      </c>
    </row>
    <row r="167" s="22" customFormat="1" ht="15" customHeight="1" spans="1:16">
      <c r="A167" s="29" t="s">
        <v>444</v>
      </c>
      <c r="B167" s="32" t="s">
        <v>445</v>
      </c>
      <c r="C167" s="29" t="s">
        <v>41</v>
      </c>
      <c r="D167" s="32" t="s">
        <v>301</v>
      </c>
      <c r="E167" s="29" t="s">
        <v>41</v>
      </c>
      <c r="F167" s="29" t="s">
        <v>443</v>
      </c>
      <c r="G167" s="29" t="s">
        <v>447</v>
      </c>
      <c r="H167" s="77">
        <v>3368.22</v>
      </c>
      <c r="I167" s="77">
        <v>0</v>
      </c>
      <c r="J167" s="77">
        <v>0</v>
      </c>
      <c r="K167" s="77">
        <v>0</v>
      </c>
      <c r="L167" s="77">
        <v>-89049.54</v>
      </c>
      <c r="M167" s="29" t="s">
        <v>447</v>
      </c>
      <c r="N167" s="77">
        <v>3368.22</v>
      </c>
      <c r="O167" s="22">
        <f t="shared" si="2"/>
        <v>3368.22</v>
      </c>
      <c r="P167" s="78" t="str">
        <f>IF(O167=0,"",_xlfn.XLOOKUP(D167,'5月份计划'!A:A,'5月份计划'!A:A))</f>
        <v>醴陵广仁环保科技有限公司</v>
      </c>
    </row>
    <row r="168" s="22" customFormat="1" ht="15" customHeight="1" spans="1:16">
      <c r="A168" s="25" t="s">
        <v>444</v>
      </c>
      <c r="B168" s="28" t="s">
        <v>445</v>
      </c>
      <c r="C168" s="25" t="s">
        <v>41</v>
      </c>
      <c r="D168" s="28" t="s">
        <v>269</v>
      </c>
      <c r="E168" s="25" t="s">
        <v>41</v>
      </c>
      <c r="F168" s="25" t="s">
        <v>443</v>
      </c>
      <c r="G168" s="25" t="s">
        <v>453</v>
      </c>
      <c r="H168" s="76">
        <v>57773.91</v>
      </c>
      <c r="I168" s="76">
        <v>0</v>
      </c>
      <c r="J168" s="76">
        <v>0</v>
      </c>
      <c r="K168" s="76">
        <v>0</v>
      </c>
      <c r="L168" s="76">
        <v>85.2</v>
      </c>
      <c r="M168" s="25" t="s">
        <v>453</v>
      </c>
      <c r="N168" s="76">
        <v>57773.91</v>
      </c>
      <c r="O168" s="22">
        <f t="shared" si="2"/>
        <v>-57773.91</v>
      </c>
      <c r="P168" s="78" t="str">
        <f>IF(O168=0,"",_xlfn.XLOOKUP(D168,'5月份计划'!A:A,'5月份计划'!A:A))</f>
        <v>长沙真旺钢铁贸易有限公司</v>
      </c>
    </row>
    <row r="169" s="22" customFormat="1" ht="15" customHeight="1" spans="1:16">
      <c r="A169" s="29" t="s">
        <v>444</v>
      </c>
      <c r="B169" s="32" t="s">
        <v>445</v>
      </c>
      <c r="C169" s="29" t="s">
        <v>41</v>
      </c>
      <c r="D169" s="32" t="s">
        <v>571</v>
      </c>
      <c r="E169" s="29" t="s">
        <v>41</v>
      </c>
      <c r="F169" s="29" t="s">
        <v>443</v>
      </c>
      <c r="G169" s="29" t="s">
        <v>489</v>
      </c>
      <c r="H169" s="77">
        <v>0</v>
      </c>
      <c r="I169" s="77">
        <v>0</v>
      </c>
      <c r="J169" s="77">
        <v>0</v>
      </c>
      <c r="K169" s="77">
        <v>0</v>
      </c>
      <c r="L169" s="77">
        <v>0</v>
      </c>
      <c r="M169" s="29" t="s">
        <v>489</v>
      </c>
      <c r="N169" s="77">
        <v>0</v>
      </c>
      <c r="O169" s="22">
        <f t="shared" si="2"/>
        <v>0</v>
      </c>
      <c r="P169" s="78" t="str">
        <f>IF(O169=0,"",_xlfn.XLOOKUP(D169,'5月份计划'!A:A,'5月份计划'!A:A))</f>
        <v/>
      </c>
    </row>
    <row r="170" s="22" customFormat="1" ht="15" customHeight="1" spans="1:16">
      <c r="A170" s="25" t="s">
        <v>444</v>
      </c>
      <c r="B170" s="28" t="s">
        <v>445</v>
      </c>
      <c r="C170" s="25" t="s">
        <v>41</v>
      </c>
      <c r="D170" s="28" t="s">
        <v>270</v>
      </c>
      <c r="E170" s="25" t="s">
        <v>41</v>
      </c>
      <c r="F170" s="25" t="s">
        <v>443</v>
      </c>
      <c r="G170" s="25" t="s">
        <v>447</v>
      </c>
      <c r="H170" s="76">
        <v>24126.98</v>
      </c>
      <c r="I170" s="76">
        <v>0</v>
      </c>
      <c r="J170" s="76">
        <v>8239.78</v>
      </c>
      <c r="K170" s="76">
        <v>49501.85</v>
      </c>
      <c r="L170" s="76">
        <v>39876.28</v>
      </c>
      <c r="M170" s="25" t="s">
        <v>447</v>
      </c>
      <c r="N170" s="76">
        <v>32366.76</v>
      </c>
      <c r="O170" s="22">
        <f t="shared" si="2"/>
        <v>32366.76</v>
      </c>
      <c r="P170" s="78" t="str">
        <f>IF(O170=0,"",_xlfn.XLOOKUP(D170,'5月份计划'!A:A,'5月份计划'!A:A))</f>
        <v>深州市晶立泰机械配件有限公司</v>
      </c>
    </row>
    <row r="171" s="22" customFormat="1" ht="15" customHeight="1" spans="1:16">
      <c r="A171" s="29" t="s">
        <v>444</v>
      </c>
      <c r="B171" s="32" t="s">
        <v>445</v>
      </c>
      <c r="C171" s="29" t="s">
        <v>41</v>
      </c>
      <c r="D171" s="32" t="s">
        <v>271</v>
      </c>
      <c r="E171" s="29" t="s">
        <v>41</v>
      </c>
      <c r="F171" s="29" t="s">
        <v>443</v>
      </c>
      <c r="G171" s="29" t="s">
        <v>447</v>
      </c>
      <c r="H171" s="77">
        <v>22774.59</v>
      </c>
      <c r="I171" s="77">
        <v>0</v>
      </c>
      <c r="J171" s="77">
        <v>0</v>
      </c>
      <c r="K171" s="77">
        <v>0</v>
      </c>
      <c r="L171" s="77">
        <v>0</v>
      </c>
      <c r="M171" s="29" t="s">
        <v>447</v>
      </c>
      <c r="N171" s="77">
        <v>22774.59</v>
      </c>
      <c r="O171" s="22">
        <f t="shared" si="2"/>
        <v>22774.59</v>
      </c>
      <c r="P171" s="78" t="str">
        <f>IF(O171=0,"",_xlfn.XLOOKUP(D171,'5月份计划'!A:A,'5月份计划'!A:A))</f>
        <v>山东鼎信新材料科技有限公司</v>
      </c>
    </row>
    <row r="172" s="22" customFormat="1" ht="15" customHeight="1" spans="1:16">
      <c r="A172" s="25" t="s">
        <v>444</v>
      </c>
      <c r="B172" s="28" t="s">
        <v>445</v>
      </c>
      <c r="C172" s="25" t="s">
        <v>41</v>
      </c>
      <c r="D172" s="28" t="s">
        <v>272</v>
      </c>
      <c r="E172" s="25" t="s">
        <v>41</v>
      </c>
      <c r="F172" s="25" t="s">
        <v>443</v>
      </c>
      <c r="G172" s="25" t="s">
        <v>447</v>
      </c>
      <c r="H172" s="76">
        <v>139251.17</v>
      </c>
      <c r="I172" s="76">
        <v>0</v>
      </c>
      <c r="J172" s="76">
        <v>191551.1</v>
      </c>
      <c r="K172" s="76">
        <v>728471.91</v>
      </c>
      <c r="L172" s="76">
        <v>506511.22</v>
      </c>
      <c r="M172" s="25" t="s">
        <v>447</v>
      </c>
      <c r="N172" s="76">
        <v>330802.27</v>
      </c>
      <c r="O172" s="22">
        <f t="shared" si="2"/>
        <v>330802.27</v>
      </c>
      <c r="P172" s="78" t="str">
        <f>IF(O172=0,"",_xlfn.XLOOKUP(D172,'5月份计划'!A:A,'5月份计划'!A:A))</f>
        <v>湖南诺亿科技有限公司</v>
      </c>
    </row>
    <row r="173" s="22" customFormat="1" ht="15" customHeight="1" spans="1:16">
      <c r="A173" s="29" t="s">
        <v>444</v>
      </c>
      <c r="B173" s="32" t="s">
        <v>445</v>
      </c>
      <c r="C173" s="29" t="s">
        <v>41</v>
      </c>
      <c r="D173" s="32" t="s">
        <v>572</v>
      </c>
      <c r="E173" s="29" t="s">
        <v>41</v>
      </c>
      <c r="F173" s="29" t="s">
        <v>443</v>
      </c>
      <c r="G173" s="29" t="s">
        <v>489</v>
      </c>
      <c r="H173" s="77">
        <v>0</v>
      </c>
      <c r="I173" s="77">
        <v>0</v>
      </c>
      <c r="J173" s="77">
        <v>0</v>
      </c>
      <c r="K173" s="77">
        <v>0</v>
      </c>
      <c r="L173" s="77">
        <v>0</v>
      </c>
      <c r="M173" s="29" t="s">
        <v>489</v>
      </c>
      <c r="N173" s="77">
        <v>0</v>
      </c>
      <c r="O173" s="22">
        <f t="shared" si="2"/>
        <v>0</v>
      </c>
      <c r="P173" s="78" t="str">
        <f>IF(O173=0,"",_xlfn.XLOOKUP(D173,'5月份计划'!A:A,'5月份计划'!A:A))</f>
        <v/>
      </c>
    </row>
    <row r="174" s="22" customFormat="1" ht="15" customHeight="1" spans="1:16">
      <c r="A174" s="25" t="s">
        <v>444</v>
      </c>
      <c r="B174" s="28" t="s">
        <v>445</v>
      </c>
      <c r="C174" s="25" t="s">
        <v>41</v>
      </c>
      <c r="D174" s="28" t="s">
        <v>573</v>
      </c>
      <c r="E174" s="25" t="s">
        <v>41</v>
      </c>
      <c r="F174" s="25" t="s">
        <v>443</v>
      </c>
      <c r="G174" s="25" t="s">
        <v>489</v>
      </c>
      <c r="H174" s="76">
        <v>0</v>
      </c>
      <c r="I174" s="76">
        <v>0</v>
      </c>
      <c r="J174" s="76">
        <v>0</v>
      </c>
      <c r="K174" s="76">
        <v>0</v>
      </c>
      <c r="L174" s="76">
        <v>0</v>
      </c>
      <c r="M174" s="25" t="s">
        <v>489</v>
      </c>
      <c r="N174" s="76">
        <v>0</v>
      </c>
      <c r="O174" s="22">
        <f t="shared" si="2"/>
        <v>0</v>
      </c>
      <c r="P174" s="78" t="str">
        <f>IF(O174=0,"",_xlfn.XLOOKUP(D174,'5月份计划'!A:A,'5月份计划'!A:A))</f>
        <v/>
      </c>
    </row>
    <row r="175" s="22" customFormat="1" ht="15" customHeight="1" spans="1:16">
      <c r="A175" s="29" t="s">
        <v>444</v>
      </c>
      <c r="B175" s="32" t="s">
        <v>445</v>
      </c>
      <c r="C175" s="29" t="s">
        <v>41</v>
      </c>
      <c r="D175" s="32" t="s">
        <v>273</v>
      </c>
      <c r="E175" s="29" t="s">
        <v>41</v>
      </c>
      <c r="F175" s="29" t="s">
        <v>443</v>
      </c>
      <c r="G175" s="29" t="s">
        <v>447</v>
      </c>
      <c r="H175" s="77">
        <v>21652.61</v>
      </c>
      <c r="I175" s="77">
        <v>0</v>
      </c>
      <c r="J175" s="77">
        <v>182102.66</v>
      </c>
      <c r="K175" s="77">
        <v>31764.98</v>
      </c>
      <c r="L175" s="77">
        <v>203755.27</v>
      </c>
      <c r="M175" s="29" t="s">
        <v>447</v>
      </c>
      <c r="N175" s="77">
        <v>203755.27</v>
      </c>
      <c r="O175" s="22">
        <f t="shared" si="2"/>
        <v>203755.27</v>
      </c>
      <c r="P175" s="78" t="str">
        <f>IF(O175=0,"",_xlfn.XLOOKUP(D175,'5月份计划'!A:A,'5月份计划'!A:A))</f>
        <v>长春超力内饰件有限公司</v>
      </c>
    </row>
    <row r="176" s="22" customFormat="1" ht="15" customHeight="1" spans="1:16">
      <c r="A176" s="25" t="s">
        <v>444</v>
      </c>
      <c r="B176" s="28" t="s">
        <v>445</v>
      </c>
      <c r="C176" s="25" t="s">
        <v>41</v>
      </c>
      <c r="D176" s="28" t="s">
        <v>574</v>
      </c>
      <c r="E176" s="25" t="s">
        <v>41</v>
      </c>
      <c r="F176" s="25" t="s">
        <v>443</v>
      </c>
      <c r="G176" s="25" t="s">
        <v>489</v>
      </c>
      <c r="H176" s="76">
        <v>0</v>
      </c>
      <c r="I176" s="76">
        <v>0</v>
      </c>
      <c r="J176" s="76">
        <v>0</v>
      </c>
      <c r="K176" s="76">
        <v>0</v>
      </c>
      <c r="L176" s="76">
        <v>0</v>
      </c>
      <c r="M176" s="25" t="s">
        <v>489</v>
      </c>
      <c r="N176" s="76">
        <v>0</v>
      </c>
      <c r="O176" s="22">
        <f t="shared" si="2"/>
        <v>0</v>
      </c>
      <c r="P176" s="78" t="str">
        <f>IF(O176=0,"",_xlfn.XLOOKUP(D176,'5月份计划'!A:A,'5月份计划'!A:A))</f>
        <v/>
      </c>
    </row>
    <row r="177" s="22" customFormat="1" ht="15" customHeight="1" spans="1:16">
      <c r="A177" s="29" t="s">
        <v>444</v>
      </c>
      <c r="B177" s="32" t="s">
        <v>445</v>
      </c>
      <c r="C177" s="29" t="s">
        <v>41</v>
      </c>
      <c r="D177" s="32" t="s">
        <v>302</v>
      </c>
      <c r="E177" s="29" t="s">
        <v>41</v>
      </c>
      <c r="F177" s="29" t="s">
        <v>443</v>
      </c>
      <c r="G177" s="29" t="s">
        <v>447</v>
      </c>
      <c r="H177" s="77">
        <v>122571.67</v>
      </c>
      <c r="I177" s="77">
        <v>0</v>
      </c>
      <c r="J177" s="77">
        <v>0</v>
      </c>
      <c r="K177" s="77">
        <v>200000</v>
      </c>
      <c r="L177" s="77">
        <v>34893.27</v>
      </c>
      <c r="M177" s="29" t="s">
        <v>447</v>
      </c>
      <c r="N177" s="77">
        <v>122571.67</v>
      </c>
      <c r="O177" s="22">
        <f t="shared" si="2"/>
        <v>122571.67</v>
      </c>
      <c r="P177" s="78" t="str">
        <f>IF(O177=0,"",_xlfn.XLOOKUP(D177,'5月份计划'!A:A,'5月份计划'!A:A))</f>
        <v>重庆市宏立摩托车制造有限公司</v>
      </c>
    </row>
    <row r="178" s="22" customFormat="1" ht="15" customHeight="1" spans="1:16">
      <c r="A178" s="25" t="s">
        <v>444</v>
      </c>
      <c r="B178" s="28" t="s">
        <v>445</v>
      </c>
      <c r="C178" s="25" t="s">
        <v>41</v>
      </c>
      <c r="D178" s="28" t="s">
        <v>575</v>
      </c>
      <c r="E178" s="25" t="s">
        <v>41</v>
      </c>
      <c r="F178" s="25" t="s">
        <v>443</v>
      </c>
      <c r="G178" s="25" t="s">
        <v>489</v>
      </c>
      <c r="H178" s="76">
        <v>0</v>
      </c>
      <c r="I178" s="76">
        <v>0</v>
      </c>
      <c r="J178" s="76">
        <v>0</v>
      </c>
      <c r="K178" s="76">
        <v>0</v>
      </c>
      <c r="L178" s="76">
        <v>0</v>
      </c>
      <c r="M178" s="25" t="s">
        <v>489</v>
      </c>
      <c r="N178" s="76">
        <v>0</v>
      </c>
      <c r="O178" s="22">
        <f t="shared" si="2"/>
        <v>0</v>
      </c>
      <c r="P178" s="78" t="str">
        <f>IF(O178=0,"",_xlfn.XLOOKUP(D178,'5月份计划'!A:A,'5月份计划'!A:A))</f>
        <v/>
      </c>
    </row>
    <row r="179" s="22" customFormat="1" ht="15" customHeight="1" spans="1:16">
      <c r="A179" s="29" t="s">
        <v>444</v>
      </c>
      <c r="B179" s="32" t="s">
        <v>445</v>
      </c>
      <c r="C179" s="29" t="s">
        <v>41</v>
      </c>
      <c r="D179" s="32" t="s">
        <v>576</v>
      </c>
      <c r="E179" s="29" t="s">
        <v>41</v>
      </c>
      <c r="F179" s="29" t="s">
        <v>443</v>
      </c>
      <c r="G179" s="29" t="s">
        <v>489</v>
      </c>
      <c r="H179" s="77">
        <v>0</v>
      </c>
      <c r="I179" s="77">
        <v>0</v>
      </c>
      <c r="J179" s="77">
        <v>0</v>
      </c>
      <c r="K179" s="77">
        <v>0</v>
      </c>
      <c r="L179" s="77">
        <v>0</v>
      </c>
      <c r="M179" s="29" t="s">
        <v>489</v>
      </c>
      <c r="N179" s="77">
        <v>0</v>
      </c>
      <c r="O179" s="22">
        <f t="shared" si="2"/>
        <v>0</v>
      </c>
      <c r="P179" s="78" t="str">
        <f>IF(O179=0,"",_xlfn.XLOOKUP(D179,'5月份计划'!A:A,'5月份计划'!A:A))</f>
        <v/>
      </c>
    </row>
    <row r="180" s="22" customFormat="1" ht="15" customHeight="1" spans="1:16">
      <c r="A180" s="25" t="s">
        <v>444</v>
      </c>
      <c r="B180" s="28" t="s">
        <v>445</v>
      </c>
      <c r="C180" s="25" t="s">
        <v>41</v>
      </c>
      <c r="D180" s="28" t="s">
        <v>577</v>
      </c>
      <c r="E180" s="25" t="s">
        <v>41</v>
      </c>
      <c r="F180" s="25" t="s">
        <v>443</v>
      </c>
      <c r="G180" s="25" t="s">
        <v>489</v>
      </c>
      <c r="H180" s="76">
        <v>0</v>
      </c>
      <c r="I180" s="76">
        <v>0</v>
      </c>
      <c r="J180" s="76">
        <v>0</v>
      </c>
      <c r="K180" s="76">
        <v>0</v>
      </c>
      <c r="L180" s="76">
        <v>0</v>
      </c>
      <c r="M180" s="25" t="s">
        <v>489</v>
      </c>
      <c r="N180" s="76">
        <v>0</v>
      </c>
      <c r="O180" s="22">
        <f t="shared" si="2"/>
        <v>0</v>
      </c>
      <c r="P180" s="78" t="str">
        <f>IF(O180=0,"",_xlfn.XLOOKUP(D180,'5月份计划'!A:A,'5月份计划'!A:A))</f>
        <v/>
      </c>
    </row>
    <row r="181" s="22" customFormat="1" ht="15" customHeight="1" spans="1:16">
      <c r="A181" s="29" t="s">
        <v>444</v>
      </c>
      <c r="B181" s="32" t="s">
        <v>445</v>
      </c>
      <c r="C181" s="29" t="s">
        <v>41</v>
      </c>
      <c r="D181" s="32" t="s">
        <v>303</v>
      </c>
      <c r="E181" s="29" t="s">
        <v>41</v>
      </c>
      <c r="F181" s="29" t="s">
        <v>443</v>
      </c>
      <c r="G181" s="29" t="s">
        <v>447</v>
      </c>
      <c r="H181" s="77">
        <v>391552</v>
      </c>
      <c r="I181" s="77">
        <v>0</v>
      </c>
      <c r="J181" s="77">
        <v>588522</v>
      </c>
      <c r="K181" s="77">
        <v>660864.5</v>
      </c>
      <c r="L181" s="77">
        <v>1374314</v>
      </c>
      <c r="M181" s="29" t="s">
        <v>447</v>
      </c>
      <c r="N181" s="77">
        <v>980074</v>
      </c>
      <c r="O181" s="22">
        <f t="shared" si="2"/>
        <v>980074</v>
      </c>
      <c r="P181" s="78" t="str">
        <f>IF(O181=0,"",_xlfn.XLOOKUP(D181,'5月份计划'!A:A,'5月份计划'!A:A))</f>
        <v>湖北欣辰达商贸有限公司</v>
      </c>
    </row>
    <row r="182" s="22" customFormat="1" ht="15" customHeight="1" spans="1:16">
      <c r="A182" s="25" t="s">
        <v>444</v>
      </c>
      <c r="B182" s="28" t="s">
        <v>445</v>
      </c>
      <c r="C182" s="25" t="s">
        <v>41</v>
      </c>
      <c r="D182" s="28" t="s">
        <v>274</v>
      </c>
      <c r="E182" s="25" t="s">
        <v>41</v>
      </c>
      <c r="F182" s="25" t="s">
        <v>443</v>
      </c>
      <c r="G182" s="25" t="s">
        <v>447</v>
      </c>
      <c r="H182" s="76">
        <v>280465.08</v>
      </c>
      <c r="I182" s="76">
        <v>0</v>
      </c>
      <c r="J182" s="76">
        <v>0</v>
      </c>
      <c r="K182" s="76">
        <v>150000</v>
      </c>
      <c r="L182" s="76">
        <v>106560.14</v>
      </c>
      <c r="M182" s="25" t="s">
        <v>447</v>
      </c>
      <c r="N182" s="76">
        <v>280465.08</v>
      </c>
      <c r="O182" s="22">
        <f t="shared" si="2"/>
        <v>280465.08</v>
      </c>
      <c r="P182" s="78" t="str">
        <f>IF(O182=0,"",_xlfn.XLOOKUP(D182,'5月份计划'!A:A,'5月份计划'!A:A))</f>
        <v>湖南裕腾兴汽车配件有限公司</v>
      </c>
    </row>
    <row r="183" s="22" customFormat="1" ht="15" customHeight="1" spans="1:16">
      <c r="A183" s="29" t="s">
        <v>444</v>
      </c>
      <c r="B183" s="32" t="s">
        <v>445</v>
      </c>
      <c r="C183" s="29" t="s">
        <v>41</v>
      </c>
      <c r="D183" s="32" t="s">
        <v>486</v>
      </c>
      <c r="E183" s="29" t="s">
        <v>41</v>
      </c>
      <c r="F183" s="29" t="s">
        <v>443</v>
      </c>
      <c r="G183" s="29" t="s">
        <v>453</v>
      </c>
      <c r="H183" s="77">
        <v>27216</v>
      </c>
      <c r="I183" s="77">
        <v>0</v>
      </c>
      <c r="J183" s="77">
        <v>0</v>
      </c>
      <c r="K183" s="77">
        <v>0</v>
      </c>
      <c r="L183" s="77">
        <v>0</v>
      </c>
      <c r="M183" s="29" t="s">
        <v>453</v>
      </c>
      <c r="N183" s="77">
        <v>27216</v>
      </c>
      <c r="O183" s="22">
        <f t="shared" si="2"/>
        <v>-27216</v>
      </c>
      <c r="P183" s="78" t="e">
        <f>IF(O183=0,"",_xlfn.XLOOKUP(D183,'5月份计划'!A:A,'5月份计划'!A:A))</f>
        <v>#N/A</v>
      </c>
    </row>
    <row r="184" s="22" customFormat="1" ht="15" customHeight="1" spans="1:16">
      <c r="A184" s="25" t="s">
        <v>444</v>
      </c>
      <c r="B184" s="28" t="s">
        <v>445</v>
      </c>
      <c r="C184" s="25" t="s">
        <v>41</v>
      </c>
      <c r="D184" s="28" t="s">
        <v>578</v>
      </c>
      <c r="E184" s="25" t="s">
        <v>41</v>
      </c>
      <c r="F184" s="25" t="s">
        <v>443</v>
      </c>
      <c r="G184" s="25" t="s">
        <v>489</v>
      </c>
      <c r="H184" s="76">
        <v>0</v>
      </c>
      <c r="I184" s="76">
        <v>0</v>
      </c>
      <c r="J184" s="76">
        <v>0</v>
      </c>
      <c r="K184" s="76">
        <v>0</v>
      </c>
      <c r="L184" s="76">
        <v>0</v>
      </c>
      <c r="M184" s="25" t="s">
        <v>489</v>
      </c>
      <c r="N184" s="76">
        <v>0</v>
      </c>
      <c r="O184" s="22">
        <f t="shared" si="2"/>
        <v>0</v>
      </c>
      <c r="P184" s="78" t="str">
        <f>IF(O184=0,"",_xlfn.XLOOKUP(D184,'5月份计划'!A:A,'5月份计划'!A:A))</f>
        <v/>
      </c>
    </row>
    <row r="185" s="22" customFormat="1" ht="15" customHeight="1" spans="1:16">
      <c r="A185" s="29" t="s">
        <v>444</v>
      </c>
      <c r="B185" s="32" t="s">
        <v>445</v>
      </c>
      <c r="C185" s="29" t="s">
        <v>41</v>
      </c>
      <c r="D185" s="32" t="s">
        <v>579</v>
      </c>
      <c r="E185" s="29" t="s">
        <v>41</v>
      </c>
      <c r="F185" s="29" t="s">
        <v>443</v>
      </c>
      <c r="G185" s="29" t="s">
        <v>489</v>
      </c>
      <c r="H185" s="77">
        <v>0</v>
      </c>
      <c r="I185" s="77">
        <v>0</v>
      </c>
      <c r="J185" s="77">
        <v>0</v>
      </c>
      <c r="K185" s="77">
        <v>0</v>
      </c>
      <c r="L185" s="77">
        <v>22780.8</v>
      </c>
      <c r="M185" s="29" t="s">
        <v>489</v>
      </c>
      <c r="N185" s="77">
        <v>0</v>
      </c>
      <c r="O185" s="22">
        <f t="shared" si="2"/>
        <v>0</v>
      </c>
      <c r="P185" s="78" t="str">
        <f>IF(O185=0,"",_xlfn.XLOOKUP(D185,'5月份计划'!A:A,'5月份计划'!A:A))</f>
        <v/>
      </c>
    </row>
    <row r="186" s="22" customFormat="1" ht="15" customHeight="1" spans="1:16">
      <c r="A186" s="25" t="s">
        <v>444</v>
      </c>
      <c r="B186" s="28" t="s">
        <v>445</v>
      </c>
      <c r="C186" s="25" t="s">
        <v>41</v>
      </c>
      <c r="D186" s="28" t="s">
        <v>275</v>
      </c>
      <c r="E186" s="25" t="s">
        <v>41</v>
      </c>
      <c r="F186" s="25" t="s">
        <v>443</v>
      </c>
      <c r="G186" s="25" t="s">
        <v>447</v>
      </c>
      <c r="H186" s="76">
        <v>5326.28</v>
      </c>
      <c r="I186" s="76">
        <v>0</v>
      </c>
      <c r="J186" s="76">
        <v>0</v>
      </c>
      <c r="K186" s="76">
        <v>48091.85</v>
      </c>
      <c r="L186" s="76">
        <v>11033.01</v>
      </c>
      <c r="M186" s="25" t="s">
        <v>447</v>
      </c>
      <c r="N186" s="76">
        <v>5326.28</v>
      </c>
      <c r="O186" s="22">
        <f t="shared" si="2"/>
        <v>5326.28</v>
      </c>
      <c r="P186" s="78" t="str">
        <f>IF(O186=0,"",_xlfn.XLOOKUP(D186,'5月份计划'!A:A,'5月份计划'!A:A))</f>
        <v>株洲诚康实业有限责任公司</v>
      </c>
    </row>
    <row r="187" s="22" customFormat="1" ht="15" customHeight="1" spans="1:16">
      <c r="A187" s="29" t="s">
        <v>444</v>
      </c>
      <c r="B187" s="32" t="s">
        <v>445</v>
      </c>
      <c r="C187" s="29" t="s">
        <v>41</v>
      </c>
      <c r="D187" s="32" t="s">
        <v>281</v>
      </c>
      <c r="E187" s="29" t="s">
        <v>41</v>
      </c>
      <c r="F187" s="29" t="s">
        <v>443</v>
      </c>
      <c r="G187" s="29" t="s">
        <v>447</v>
      </c>
      <c r="H187" s="77">
        <v>19152</v>
      </c>
      <c r="I187" s="77">
        <v>0</v>
      </c>
      <c r="J187" s="77">
        <v>0</v>
      </c>
      <c r="K187" s="77">
        <v>45144</v>
      </c>
      <c r="L187" s="77">
        <v>28728</v>
      </c>
      <c r="M187" s="29" t="s">
        <v>447</v>
      </c>
      <c r="N187" s="77">
        <v>19152</v>
      </c>
      <c r="O187" s="22">
        <f t="shared" si="2"/>
        <v>19152</v>
      </c>
      <c r="P187" s="78" t="str">
        <f>IF(O187=0,"",_xlfn.XLOOKUP(D187,'5月份计划'!A:A,'5月份计划'!A:A))</f>
        <v>湖南奥瑞格工贸有限公司</v>
      </c>
    </row>
    <row r="188" s="22" customFormat="1" ht="15" customHeight="1" spans="1:16">
      <c r="A188" s="25" t="s">
        <v>444</v>
      </c>
      <c r="B188" s="28" t="s">
        <v>445</v>
      </c>
      <c r="C188" s="25" t="s">
        <v>41</v>
      </c>
      <c r="D188" s="28" t="s">
        <v>580</v>
      </c>
      <c r="E188" s="25" t="s">
        <v>41</v>
      </c>
      <c r="F188" s="25" t="s">
        <v>443</v>
      </c>
      <c r="G188" s="25" t="s">
        <v>489</v>
      </c>
      <c r="H188" s="76">
        <v>0</v>
      </c>
      <c r="I188" s="76">
        <v>0</v>
      </c>
      <c r="J188" s="76">
        <v>0</v>
      </c>
      <c r="K188" s="76">
        <v>0</v>
      </c>
      <c r="L188" s="76">
        <v>0</v>
      </c>
      <c r="M188" s="25" t="s">
        <v>489</v>
      </c>
      <c r="N188" s="76">
        <v>0</v>
      </c>
      <c r="O188" s="22">
        <f t="shared" si="2"/>
        <v>0</v>
      </c>
      <c r="P188" s="78" t="str">
        <f>IF(O188=0,"",_xlfn.XLOOKUP(D188,'5月份计划'!A:A,'5月份计划'!A:A))</f>
        <v/>
      </c>
    </row>
    <row r="189" s="22" customFormat="1" ht="15" customHeight="1" spans="1:16">
      <c r="A189" s="29" t="s">
        <v>444</v>
      </c>
      <c r="B189" s="32" t="s">
        <v>445</v>
      </c>
      <c r="C189" s="29" t="s">
        <v>41</v>
      </c>
      <c r="D189" s="32" t="s">
        <v>581</v>
      </c>
      <c r="E189" s="29" t="s">
        <v>41</v>
      </c>
      <c r="F189" s="29" t="s">
        <v>443</v>
      </c>
      <c r="G189" s="29" t="s">
        <v>489</v>
      </c>
      <c r="H189" s="77">
        <v>0</v>
      </c>
      <c r="I189" s="77">
        <v>0</v>
      </c>
      <c r="J189" s="77">
        <v>0</v>
      </c>
      <c r="K189" s="77">
        <v>0</v>
      </c>
      <c r="L189" s="77">
        <v>0</v>
      </c>
      <c r="M189" s="29" t="s">
        <v>489</v>
      </c>
      <c r="N189" s="77">
        <v>0</v>
      </c>
      <c r="O189" s="22">
        <f t="shared" si="2"/>
        <v>0</v>
      </c>
      <c r="P189" s="78" t="str">
        <f>IF(O189=0,"",_xlfn.XLOOKUP(D189,'5月份计划'!A:A,'5月份计划'!A:A))</f>
        <v/>
      </c>
    </row>
    <row r="190" s="22" customFormat="1" ht="15" customHeight="1" spans="1:16">
      <c r="A190" s="25" t="s">
        <v>444</v>
      </c>
      <c r="B190" s="28" t="s">
        <v>445</v>
      </c>
      <c r="C190" s="25" t="s">
        <v>41</v>
      </c>
      <c r="D190" s="28" t="s">
        <v>408</v>
      </c>
      <c r="E190" s="25" t="s">
        <v>41</v>
      </c>
      <c r="F190" s="25" t="s">
        <v>443</v>
      </c>
      <c r="G190" s="25" t="s">
        <v>489</v>
      </c>
      <c r="H190" s="76">
        <v>0</v>
      </c>
      <c r="I190" s="76">
        <v>0</v>
      </c>
      <c r="J190" s="76">
        <v>0</v>
      </c>
      <c r="K190" s="76">
        <v>14278.43</v>
      </c>
      <c r="L190" s="76">
        <v>0</v>
      </c>
      <c r="M190" s="25" t="s">
        <v>489</v>
      </c>
      <c r="N190" s="76">
        <v>0</v>
      </c>
      <c r="O190" s="22">
        <f t="shared" si="2"/>
        <v>0</v>
      </c>
      <c r="P190" s="78" t="str">
        <f>IF(O190=0,"",_xlfn.XLOOKUP(D190,'5月份计划'!A:A,'5月份计划'!A:A))</f>
        <v/>
      </c>
    </row>
    <row r="191" s="22" customFormat="1" ht="15" customHeight="1" spans="1:16">
      <c r="A191" s="29" t="s">
        <v>444</v>
      </c>
      <c r="B191" s="32" t="s">
        <v>445</v>
      </c>
      <c r="C191" s="29" t="s">
        <v>41</v>
      </c>
      <c r="D191" s="32" t="s">
        <v>284</v>
      </c>
      <c r="E191" s="29" t="s">
        <v>41</v>
      </c>
      <c r="F191" s="29" t="s">
        <v>443</v>
      </c>
      <c r="G191" s="29" t="s">
        <v>447</v>
      </c>
      <c r="H191" s="77">
        <v>153617.16</v>
      </c>
      <c r="I191" s="77">
        <v>0</v>
      </c>
      <c r="J191" s="77">
        <v>22399.84</v>
      </c>
      <c r="K191" s="77">
        <v>1850.69</v>
      </c>
      <c r="L191" s="77">
        <v>176017</v>
      </c>
      <c r="M191" s="29" t="s">
        <v>447</v>
      </c>
      <c r="N191" s="77">
        <v>176017</v>
      </c>
      <c r="O191" s="22">
        <f t="shared" si="2"/>
        <v>176017</v>
      </c>
      <c r="P191" s="78" t="str">
        <f>IF(O191=0,"",_xlfn.XLOOKUP(D191,'5月份计划'!A:A,'5月份计划'!A:A))</f>
        <v>湖南兴天宏实业有限公司</v>
      </c>
    </row>
    <row r="192" s="22" customFormat="1" ht="15" customHeight="1" spans="1:16">
      <c r="A192" s="25" t="s">
        <v>444</v>
      </c>
      <c r="B192" s="28" t="s">
        <v>445</v>
      </c>
      <c r="C192" s="25" t="s">
        <v>41</v>
      </c>
      <c r="D192" s="28" t="s">
        <v>582</v>
      </c>
      <c r="E192" s="25" t="s">
        <v>41</v>
      </c>
      <c r="F192" s="25" t="s">
        <v>443</v>
      </c>
      <c r="G192" s="25" t="s">
        <v>489</v>
      </c>
      <c r="H192" s="76">
        <v>0</v>
      </c>
      <c r="I192" s="76">
        <v>0</v>
      </c>
      <c r="J192" s="76">
        <v>0</v>
      </c>
      <c r="K192" s="76">
        <v>0</v>
      </c>
      <c r="L192" s="76">
        <v>0</v>
      </c>
      <c r="M192" s="25" t="s">
        <v>489</v>
      </c>
      <c r="N192" s="76">
        <v>0</v>
      </c>
      <c r="O192" s="22">
        <f t="shared" si="2"/>
        <v>0</v>
      </c>
      <c r="P192" s="78" t="str">
        <f>IF(O192=0,"",_xlfn.XLOOKUP(D192,'5月份计划'!A:A,'5月份计划'!A:A))</f>
        <v/>
      </c>
    </row>
    <row r="193" s="22" customFormat="1" ht="15" customHeight="1" spans="1:16">
      <c r="A193" s="29" t="s">
        <v>444</v>
      </c>
      <c r="B193" s="32" t="s">
        <v>445</v>
      </c>
      <c r="C193" s="29" t="s">
        <v>41</v>
      </c>
      <c r="D193" s="32" t="s">
        <v>487</v>
      </c>
      <c r="E193" s="29" t="s">
        <v>41</v>
      </c>
      <c r="F193" s="29" t="s">
        <v>443</v>
      </c>
      <c r="G193" s="29" t="s">
        <v>447</v>
      </c>
      <c r="H193" s="77">
        <v>20</v>
      </c>
      <c r="I193" s="77">
        <v>0</v>
      </c>
      <c r="J193" s="77">
        <v>0</v>
      </c>
      <c r="K193" s="77">
        <v>0</v>
      </c>
      <c r="L193" s="77">
        <v>0</v>
      </c>
      <c r="M193" s="29" t="s">
        <v>447</v>
      </c>
      <c r="N193" s="77">
        <v>20</v>
      </c>
      <c r="O193" s="22">
        <f t="shared" si="2"/>
        <v>20</v>
      </c>
      <c r="P193" s="78" t="e">
        <f>IF(O193=0,"",_xlfn.XLOOKUP(D193,'5月份计划'!A:A,'5月份计划'!A:A))</f>
        <v>#N/A</v>
      </c>
    </row>
    <row r="194" s="22" customFormat="1" ht="15" customHeight="1" spans="1:16">
      <c r="A194" s="25" t="s">
        <v>444</v>
      </c>
      <c r="B194" s="28" t="s">
        <v>445</v>
      </c>
      <c r="C194" s="25" t="s">
        <v>41</v>
      </c>
      <c r="D194" s="28" t="s">
        <v>276</v>
      </c>
      <c r="E194" s="25" t="s">
        <v>41</v>
      </c>
      <c r="F194" s="25" t="s">
        <v>443</v>
      </c>
      <c r="G194" s="25" t="s">
        <v>447</v>
      </c>
      <c r="H194" s="76">
        <v>38188.24</v>
      </c>
      <c r="I194" s="76">
        <v>0</v>
      </c>
      <c r="J194" s="76">
        <v>0</v>
      </c>
      <c r="K194" s="76">
        <v>0</v>
      </c>
      <c r="L194" s="76">
        <v>0</v>
      </c>
      <c r="M194" s="25" t="s">
        <v>447</v>
      </c>
      <c r="N194" s="76">
        <v>38188.24</v>
      </c>
      <c r="O194" s="22">
        <f t="shared" si="2"/>
        <v>38188.24</v>
      </c>
      <c r="P194" s="78" t="str">
        <f>IF(O194=0,"",_xlfn.XLOOKUP(D194,'5月份计划'!A:A,'5月份计划'!A:A))</f>
        <v>山东鼎昌智能科技有限公司</v>
      </c>
    </row>
    <row r="195" s="22" customFormat="1" ht="15" customHeight="1" spans="1:16">
      <c r="A195" s="29" t="s">
        <v>444</v>
      </c>
      <c r="B195" s="32" t="s">
        <v>445</v>
      </c>
      <c r="C195" s="29" t="s">
        <v>41</v>
      </c>
      <c r="D195" s="32" t="s">
        <v>583</v>
      </c>
      <c r="E195" s="29" t="s">
        <v>41</v>
      </c>
      <c r="F195" s="29" t="s">
        <v>443</v>
      </c>
      <c r="G195" s="29" t="s">
        <v>489</v>
      </c>
      <c r="H195" s="77">
        <v>0</v>
      </c>
      <c r="I195" s="77">
        <v>0</v>
      </c>
      <c r="J195" s="77">
        <v>0</v>
      </c>
      <c r="K195" s="77">
        <v>0</v>
      </c>
      <c r="L195" s="77">
        <v>0</v>
      </c>
      <c r="M195" s="29" t="s">
        <v>489</v>
      </c>
      <c r="N195" s="77">
        <v>0</v>
      </c>
      <c r="O195" s="22">
        <f t="shared" si="2"/>
        <v>0</v>
      </c>
      <c r="P195" s="78" t="str">
        <f>IF(O195=0,"",_xlfn.XLOOKUP(D195,'5月份计划'!A:A,'5月份计划'!A:A))</f>
        <v/>
      </c>
    </row>
    <row r="196" s="22" customFormat="1" ht="15" customHeight="1" spans="1:16">
      <c r="A196" s="25" t="s">
        <v>444</v>
      </c>
      <c r="B196" s="28" t="s">
        <v>445</v>
      </c>
      <c r="C196" s="25" t="s">
        <v>41</v>
      </c>
      <c r="D196" s="28" t="s">
        <v>584</v>
      </c>
      <c r="E196" s="25" t="s">
        <v>41</v>
      </c>
      <c r="F196" s="25" t="s">
        <v>443</v>
      </c>
      <c r="G196" s="25" t="s">
        <v>489</v>
      </c>
      <c r="H196" s="76">
        <v>0</v>
      </c>
      <c r="I196" s="76">
        <v>0</v>
      </c>
      <c r="J196" s="76">
        <v>0</v>
      </c>
      <c r="K196" s="76">
        <v>0</v>
      </c>
      <c r="L196" s="76">
        <v>0</v>
      </c>
      <c r="M196" s="25" t="s">
        <v>489</v>
      </c>
      <c r="N196" s="76">
        <v>0</v>
      </c>
      <c r="O196" s="22">
        <f t="shared" ref="O196:O239" si="3">IF(M196="贷",N196,-N196)</f>
        <v>0</v>
      </c>
      <c r="P196" s="78" t="str">
        <f>IF(O196=0,"",_xlfn.XLOOKUP(D196,'5月份计划'!A:A,'5月份计划'!A:A))</f>
        <v/>
      </c>
    </row>
    <row r="197" s="22" customFormat="1" ht="15" customHeight="1" spans="1:16">
      <c r="A197" s="29" t="s">
        <v>444</v>
      </c>
      <c r="B197" s="32" t="s">
        <v>445</v>
      </c>
      <c r="C197" s="29" t="s">
        <v>41</v>
      </c>
      <c r="D197" s="32" t="s">
        <v>585</v>
      </c>
      <c r="E197" s="29" t="s">
        <v>41</v>
      </c>
      <c r="F197" s="29" t="s">
        <v>443</v>
      </c>
      <c r="G197" s="29" t="s">
        <v>489</v>
      </c>
      <c r="H197" s="77">
        <v>0</v>
      </c>
      <c r="I197" s="77">
        <v>0</v>
      </c>
      <c r="J197" s="77">
        <v>0</v>
      </c>
      <c r="K197" s="77">
        <v>0</v>
      </c>
      <c r="L197" s="77">
        <v>0</v>
      </c>
      <c r="M197" s="29" t="s">
        <v>489</v>
      </c>
      <c r="N197" s="77">
        <v>0</v>
      </c>
      <c r="O197" s="22">
        <f t="shared" si="3"/>
        <v>0</v>
      </c>
      <c r="P197" s="78" t="str">
        <f>IF(O197=0,"",_xlfn.XLOOKUP(D197,'5月份计划'!A:A,'5月份计划'!A:A))</f>
        <v/>
      </c>
    </row>
    <row r="198" s="22" customFormat="1" ht="15" customHeight="1" spans="1:16">
      <c r="A198" s="25" t="s">
        <v>444</v>
      </c>
      <c r="B198" s="28" t="s">
        <v>445</v>
      </c>
      <c r="C198" s="25" t="s">
        <v>41</v>
      </c>
      <c r="D198" s="28" t="s">
        <v>586</v>
      </c>
      <c r="E198" s="25" t="s">
        <v>41</v>
      </c>
      <c r="F198" s="25" t="s">
        <v>443</v>
      </c>
      <c r="G198" s="25" t="s">
        <v>489</v>
      </c>
      <c r="H198" s="76">
        <v>0</v>
      </c>
      <c r="I198" s="76">
        <v>0</v>
      </c>
      <c r="J198" s="76">
        <v>0</v>
      </c>
      <c r="K198" s="76">
        <v>0</v>
      </c>
      <c r="L198" s="76">
        <v>0</v>
      </c>
      <c r="M198" s="25" t="s">
        <v>489</v>
      </c>
      <c r="N198" s="76">
        <v>0</v>
      </c>
      <c r="O198" s="22">
        <f t="shared" si="3"/>
        <v>0</v>
      </c>
      <c r="P198" s="78" t="str">
        <f>IF(O198=0,"",_xlfn.XLOOKUP(D198,'5月份计划'!A:A,'5月份计划'!A:A))</f>
        <v/>
      </c>
    </row>
    <row r="199" s="22" customFormat="1" ht="15" customHeight="1" spans="1:16">
      <c r="A199" s="29" t="s">
        <v>444</v>
      </c>
      <c r="B199" s="32" t="s">
        <v>445</v>
      </c>
      <c r="C199" s="29" t="s">
        <v>41</v>
      </c>
      <c r="D199" s="32" t="s">
        <v>587</v>
      </c>
      <c r="E199" s="29" t="s">
        <v>41</v>
      </c>
      <c r="F199" s="29" t="s">
        <v>443</v>
      </c>
      <c r="G199" s="29" t="s">
        <v>489</v>
      </c>
      <c r="H199" s="77">
        <v>0</v>
      </c>
      <c r="I199" s="77">
        <v>0</v>
      </c>
      <c r="J199" s="77">
        <v>0</v>
      </c>
      <c r="K199" s="77">
        <v>0</v>
      </c>
      <c r="L199" s="77">
        <v>0</v>
      </c>
      <c r="M199" s="29" t="s">
        <v>489</v>
      </c>
      <c r="N199" s="77">
        <v>0</v>
      </c>
      <c r="O199" s="22">
        <f t="shared" si="3"/>
        <v>0</v>
      </c>
      <c r="P199" s="78" t="str">
        <f>IF(O199=0,"",_xlfn.XLOOKUP(D199,'5月份计划'!A:A,'5月份计划'!A:A))</f>
        <v/>
      </c>
    </row>
    <row r="200" s="22" customFormat="1" ht="15" customHeight="1" spans="1:16">
      <c r="A200" s="25" t="s">
        <v>444</v>
      </c>
      <c r="B200" s="28" t="s">
        <v>445</v>
      </c>
      <c r="C200" s="25" t="s">
        <v>41</v>
      </c>
      <c r="D200" s="28" t="s">
        <v>588</v>
      </c>
      <c r="E200" s="25" t="s">
        <v>41</v>
      </c>
      <c r="F200" s="25" t="s">
        <v>443</v>
      </c>
      <c r="G200" s="25" t="s">
        <v>489</v>
      </c>
      <c r="H200" s="76">
        <v>0</v>
      </c>
      <c r="I200" s="76">
        <v>0</v>
      </c>
      <c r="J200" s="76">
        <v>0</v>
      </c>
      <c r="K200" s="76">
        <v>0</v>
      </c>
      <c r="L200" s="76">
        <v>0</v>
      </c>
      <c r="M200" s="25" t="s">
        <v>489</v>
      </c>
      <c r="N200" s="76">
        <v>0</v>
      </c>
      <c r="O200" s="22">
        <f t="shared" si="3"/>
        <v>0</v>
      </c>
      <c r="P200" s="78" t="str">
        <f>IF(O200=0,"",_xlfn.XLOOKUP(D200,'5月份计划'!A:A,'5月份计划'!A:A))</f>
        <v/>
      </c>
    </row>
    <row r="201" s="22" customFormat="1" ht="15" customHeight="1" spans="1:16">
      <c r="A201" s="29" t="s">
        <v>444</v>
      </c>
      <c r="B201" s="32" t="s">
        <v>445</v>
      </c>
      <c r="C201" s="29" t="s">
        <v>41</v>
      </c>
      <c r="D201" s="32" t="s">
        <v>277</v>
      </c>
      <c r="E201" s="29" t="s">
        <v>41</v>
      </c>
      <c r="F201" s="29" t="s">
        <v>443</v>
      </c>
      <c r="G201" s="29" t="s">
        <v>447</v>
      </c>
      <c r="H201" s="77">
        <v>912912</v>
      </c>
      <c r="I201" s="77">
        <v>0</v>
      </c>
      <c r="J201" s="77">
        <v>1203444.93</v>
      </c>
      <c r="K201" s="77">
        <v>2877264.73</v>
      </c>
      <c r="L201" s="77">
        <v>3613387.15</v>
      </c>
      <c r="M201" s="29" t="s">
        <v>447</v>
      </c>
      <c r="N201" s="77">
        <v>2116356.93</v>
      </c>
      <c r="O201" s="22">
        <f t="shared" si="3"/>
        <v>2116356.93</v>
      </c>
      <c r="P201" s="78" t="str">
        <f>IF(O201=0,"",_xlfn.XLOOKUP(D201,'5月份计划'!A:A,'5月份计划'!A:A))</f>
        <v>汇阅（上海）新材料科技有限公</v>
      </c>
    </row>
    <row r="202" s="22" customFormat="1" ht="15" customHeight="1" spans="1:16">
      <c r="A202" s="25" t="s">
        <v>444</v>
      </c>
      <c r="B202" s="28" t="s">
        <v>445</v>
      </c>
      <c r="C202" s="25" t="s">
        <v>41</v>
      </c>
      <c r="D202" s="28" t="s">
        <v>589</v>
      </c>
      <c r="E202" s="25" t="s">
        <v>41</v>
      </c>
      <c r="F202" s="25" t="s">
        <v>443</v>
      </c>
      <c r="G202" s="25" t="s">
        <v>489</v>
      </c>
      <c r="H202" s="76">
        <v>0</v>
      </c>
      <c r="I202" s="76">
        <v>0</v>
      </c>
      <c r="J202" s="76">
        <v>0</v>
      </c>
      <c r="K202" s="76">
        <v>0</v>
      </c>
      <c r="L202" s="76">
        <v>0</v>
      </c>
      <c r="M202" s="25" t="s">
        <v>489</v>
      </c>
      <c r="N202" s="76">
        <v>0</v>
      </c>
      <c r="O202" s="22">
        <f t="shared" si="3"/>
        <v>0</v>
      </c>
      <c r="P202" s="78" t="str">
        <f>IF(O202=0,"",_xlfn.XLOOKUP(D202,'5月份计划'!A:A,'5月份计划'!A:A))</f>
        <v/>
      </c>
    </row>
    <row r="203" s="22" customFormat="1" ht="15" customHeight="1" spans="1:16">
      <c r="A203" s="29" t="s">
        <v>444</v>
      </c>
      <c r="B203" s="32" t="s">
        <v>445</v>
      </c>
      <c r="C203" s="29" t="s">
        <v>41</v>
      </c>
      <c r="D203" s="32" t="s">
        <v>590</v>
      </c>
      <c r="E203" s="29" t="s">
        <v>41</v>
      </c>
      <c r="F203" s="29" t="s">
        <v>443</v>
      </c>
      <c r="G203" s="29" t="s">
        <v>489</v>
      </c>
      <c r="H203" s="77">
        <v>0</v>
      </c>
      <c r="I203" s="77">
        <v>0</v>
      </c>
      <c r="J203" s="77">
        <v>0</v>
      </c>
      <c r="K203" s="77">
        <v>0</v>
      </c>
      <c r="L203" s="77">
        <v>0</v>
      </c>
      <c r="M203" s="29" t="s">
        <v>489</v>
      </c>
      <c r="N203" s="77">
        <v>0</v>
      </c>
      <c r="O203" s="22">
        <f t="shared" si="3"/>
        <v>0</v>
      </c>
      <c r="P203" s="78" t="str">
        <f>IF(O203=0,"",_xlfn.XLOOKUP(D203,'5月份计划'!A:A,'5月份计划'!A:A))</f>
        <v/>
      </c>
    </row>
    <row r="204" s="22" customFormat="1" ht="15" customHeight="1" spans="1:16">
      <c r="A204" s="25" t="s">
        <v>444</v>
      </c>
      <c r="B204" s="28" t="s">
        <v>445</v>
      </c>
      <c r="C204" s="25" t="s">
        <v>41</v>
      </c>
      <c r="D204" s="28" t="s">
        <v>591</v>
      </c>
      <c r="E204" s="25" t="s">
        <v>41</v>
      </c>
      <c r="F204" s="25" t="s">
        <v>443</v>
      </c>
      <c r="G204" s="25" t="s">
        <v>489</v>
      </c>
      <c r="H204" s="76">
        <v>0</v>
      </c>
      <c r="I204" s="76">
        <v>0</v>
      </c>
      <c r="J204" s="76">
        <v>0</v>
      </c>
      <c r="K204" s="76">
        <v>0</v>
      </c>
      <c r="L204" s="76">
        <v>0</v>
      </c>
      <c r="M204" s="25" t="s">
        <v>489</v>
      </c>
      <c r="N204" s="76">
        <v>0</v>
      </c>
      <c r="O204" s="22">
        <f t="shared" si="3"/>
        <v>0</v>
      </c>
      <c r="P204" s="78" t="str">
        <f>IF(O204=0,"",_xlfn.XLOOKUP(D204,'5月份计划'!A:A,'5月份计划'!A:A))</f>
        <v/>
      </c>
    </row>
    <row r="205" s="22" customFormat="1" ht="15" customHeight="1" spans="1:16">
      <c r="A205" s="29" t="s">
        <v>444</v>
      </c>
      <c r="B205" s="32" t="s">
        <v>445</v>
      </c>
      <c r="C205" s="29" t="s">
        <v>41</v>
      </c>
      <c r="D205" s="32" t="s">
        <v>592</v>
      </c>
      <c r="E205" s="29" t="s">
        <v>41</v>
      </c>
      <c r="F205" s="29" t="s">
        <v>443</v>
      </c>
      <c r="G205" s="29" t="s">
        <v>489</v>
      </c>
      <c r="H205" s="77">
        <v>0</v>
      </c>
      <c r="I205" s="77">
        <v>0</v>
      </c>
      <c r="J205" s="77">
        <v>0</v>
      </c>
      <c r="K205" s="77">
        <v>0</v>
      </c>
      <c r="L205" s="77">
        <v>0</v>
      </c>
      <c r="M205" s="29" t="s">
        <v>489</v>
      </c>
      <c r="N205" s="77">
        <v>0</v>
      </c>
      <c r="O205" s="22">
        <f t="shared" si="3"/>
        <v>0</v>
      </c>
      <c r="P205" s="78" t="str">
        <f>IF(O205=0,"",_xlfn.XLOOKUP(D205,'5月份计划'!A:A,'5月份计划'!A:A))</f>
        <v/>
      </c>
    </row>
    <row r="206" s="22" customFormat="1" ht="15" customHeight="1" spans="1:16">
      <c r="A206" s="25" t="s">
        <v>444</v>
      </c>
      <c r="B206" s="28" t="s">
        <v>445</v>
      </c>
      <c r="C206" s="25" t="s">
        <v>41</v>
      </c>
      <c r="D206" s="28" t="s">
        <v>304</v>
      </c>
      <c r="E206" s="25" t="s">
        <v>41</v>
      </c>
      <c r="F206" s="25" t="s">
        <v>443</v>
      </c>
      <c r="G206" s="25" t="s">
        <v>489</v>
      </c>
      <c r="H206" s="76">
        <v>0</v>
      </c>
      <c r="I206" s="76">
        <v>0</v>
      </c>
      <c r="J206" s="76">
        <v>22724.3</v>
      </c>
      <c r="K206" s="76">
        <v>31814.02</v>
      </c>
      <c r="L206" s="76">
        <v>22724.3</v>
      </c>
      <c r="M206" s="25" t="s">
        <v>447</v>
      </c>
      <c r="N206" s="76">
        <v>22724.3</v>
      </c>
      <c r="O206" s="22">
        <f t="shared" si="3"/>
        <v>22724.3</v>
      </c>
      <c r="P206" s="78" t="str">
        <f>IF(O206=0,"",_xlfn.XLOOKUP(D206,'5月份计划'!A:A,'5月份计划'!A:A))</f>
        <v>常州立天汽车零部件有限公司</v>
      </c>
    </row>
    <row r="207" s="22" customFormat="1" ht="15" customHeight="1" spans="1:16">
      <c r="A207" s="29" t="s">
        <v>444</v>
      </c>
      <c r="B207" s="32" t="s">
        <v>445</v>
      </c>
      <c r="C207" s="29" t="s">
        <v>41</v>
      </c>
      <c r="D207" s="32" t="s">
        <v>488</v>
      </c>
      <c r="E207" s="29" t="s">
        <v>41</v>
      </c>
      <c r="F207" s="29" t="s">
        <v>443</v>
      </c>
      <c r="G207" s="29" t="s">
        <v>447</v>
      </c>
      <c r="H207" s="77">
        <v>2927</v>
      </c>
      <c r="I207" s="77">
        <v>0</v>
      </c>
      <c r="J207" s="77">
        <v>0</v>
      </c>
      <c r="K207" s="77">
        <v>0</v>
      </c>
      <c r="L207" s="77">
        <v>0</v>
      </c>
      <c r="M207" s="29" t="s">
        <v>447</v>
      </c>
      <c r="N207" s="77">
        <v>2927</v>
      </c>
      <c r="O207" s="22">
        <f t="shared" si="3"/>
        <v>2927</v>
      </c>
      <c r="P207" s="78" t="e">
        <f>IF(O207=0,"",_xlfn.XLOOKUP(D207,'5月份计划'!A:A,'5月份计划'!A:A))</f>
        <v>#N/A</v>
      </c>
    </row>
    <row r="208" s="22" customFormat="1" ht="15" customHeight="1" spans="1:16">
      <c r="A208" s="25" t="s">
        <v>444</v>
      </c>
      <c r="B208" s="28" t="s">
        <v>445</v>
      </c>
      <c r="C208" s="25" t="s">
        <v>41</v>
      </c>
      <c r="D208" s="28" t="s">
        <v>418</v>
      </c>
      <c r="E208" s="25" t="s">
        <v>41</v>
      </c>
      <c r="F208" s="25" t="s">
        <v>443</v>
      </c>
      <c r="G208" s="25" t="s">
        <v>489</v>
      </c>
      <c r="H208" s="76">
        <v>0</v>
      </c>
      <c r="I208" s="76">
        <v>0</v>
      </c>
      <c r="J208" s="76">
        <v>0</v>
      </c>
      <c r="K208" s="76">
        <v>79817.67</v>
      </c>
      <c r="L208" s="76">
        <v>79817.67</v>
      </c>
      <c r="M208" s="25" t="s">
        <v>489</v>
      </c>
      <c r="N208" s="76">
        <v>0</v>
      </c>
      <c r="O208" s="22">
        <f t="shared" si="3"/>
        <v>0</v>
      </c>
      <c r="P208" s="78" t="str">
        <f>IF(O208=0,"",_xlfn.XLOOKUP(D208,'5月份计划'!A:A,'5月份计划'!A:A))</f>
        <v/>
      </c>
    </row>
    <row r="209" s="22" customFormat="1" ht="15" customHeight="1" spans="1:16">
      <c r="A209" s="29" t="s">
        <v>444</v>
      </c>
      <c r="B209" s="32" t="s">
        <v>445</v>
      </c>
      <c r="C209" s="29" t="s">
        <v>41</v>
      </c>
      <c r="D209" s="32" t="s">
        <v>593</v>
      </c>
      <c r="E209" s="29" t="s">
        <v>41</v>
      </c>
      <c r="F209" s="29" t="s">
        <v>443</v>
      </c>
      <c r="G209" s="29" t="s">
        <v>489</v>
      </c>
      <c r="H209" s="77">
        <v>0</v>
      </c>
      <c r="I209" s="77">
        <v>0</v>
      </c>
      <c r="J209" s="77">
        <v>0</v>
      </c>
      <c r="K209" s="77">
        <v>0</v>
      </c>
      <c r="L209" s="77">
        <v>0</v>
      </c>
      <c r="M209" s="29" t="s">
        <v>489</v>
      </c>
      <c r="N209" s="77">
        <v>0</v>
      </c>
      <c r="O209" s="22">
        <f t="shared" si="3"/>
        <v>0</v>
      </c>
      <c r="P209" s="78" t="str">
        <f>IF(O209=0,"",_xlfn.XLOOKUP(D209,'5月份计划'!A:A,'5月份计划'!A:A))</f>
        <v/>
      </c>
    </row>
    <row r="210" s="22" customFormat="1" ht="15" customHeight="1" spans="1:16">
      <c r="A210" s="25" t="s">
        <v>444</v>
      </c>
      <c r="B210" s="28" t="s">
        <v>445</v>
      </c>
      <c r="C210" s="25" t="s">
        <v>41</v>
      </c>
      <c r="D210" s="28" t="s">
        <v>314</v>
      </c>
      <c r="E210" s="25" t="s">
        <v>41</v>
      </c>
      <c r="F210" s="25" t="s">
        <v>443</v>
      </c>
      <c r="G210" s="25" t="s">
        <v>447</v>
      </c>
      <c r="H210" s="76">
        <v>60606.59</v>
      </c>
      <c r="I210" s="76">
        <v>0</v>
      </c>
      <c r="J210" s="76">
        <v>60606.59</v>
      </c>
      <c r="K210" s="76">
        <v>121021.99</v>
      </c>
      <c r="L210" s="76">
        <v>174902.14</v>
      </c>
      <c r="M210" s="25" t="s">
        <v>447</v>
      </c>
      <c r="N210" s="76">
        <v>121213.18</v>
      </c>
      <c r="O210" s="22">
        <f t="shared" si="3"/>
        <v>121213.18</v>
      </c>
      <c r="P210" s="78" t="str">
        <f>IF(O210=0,"",_xlfn.XLOOKUP(D210,'5月份计划'!A:A,'5月份计划'!A:A))</f>
        <v>北京美好生活家居用品有限公司</v>
      </c>
    </row>
    <row r="211" s="22" customFormat="1" ht="15" customHeight="1" spans="1:16">
      <c r="A211" s="29" t="s">
        <v>444</v>
      </c>
      <c r="B211" s="32" t="s">
        <v>445</v>
      </c>
      <c r="C211" s="29" t="s">
        <v>41</v>
      </c>
      <c r="D211" s="32" t="s">
        <v>317</v>
      </c>
      <c r="E211" s="29" t="s">
        <v>41</v>
      </c>
      <c r="F211" s="29" t="s">
        <v>443</v>
      </c>
      <c r="G211" s="29" t="s">
        <v>447</v>
      </c>
      <c r="H211" s="77">
        <v>240984.72</v>
      </c>
      <c r="I211" s="77">
        <v>0</v>
      </c>
      <c r="J211" s="77">
        <v>19855.18</v>
      </c>
      <c r="K211" s="77">
        <v>6328</v>
      </c>
      <c r="L211" s="77">
        <v>267167.9</v>
      </c>
      <c r="M211" s="29" t="s">
        <v>447</v>
      </c>
      <c r="N211" s="77">
        <v>260839.9</v>
      </c>
      <c r="O211" s="22">
        <f t="shared" si="3"/>
        <v>260839.9</v>
      </c>
      <c r="P211" s="78" t="str">
        <f>IF(O211=0,"",_xlfn.XLOOKUP(D211,'5月份计划'!A:A,'5月份计划'!A:A))</f>
        <v>天津力登维汽车部件有限公司</v>
      </c>
    </row>
    <row r="212" s="22" customFormat="1" ht="15" customHeight="1" spans="1:16">
      <c r="A212" s="25" t="s">
        <v>444</v>
      </c>
      <c r="B212" s="28" t="s">
        <v>445</v>
      </c>
      <c r="C212" s="25" t="s">
        <v>41</v>
      </c>
      <c r="D212" s="28" t="s">
        <v>282</v>
      </c>
      <c r="E212" s="25" t="s">
        <v>41</v>
      </c>
      <c r="F212" s="25" t="s">
        <v>443</v>
      </c>
      <c r="G212" s="25" t="s">
        <v>447</v>
      </c>
      <c r="H212" s="76">
        <v>158652</v>
      </c>
      <c r="I212" s="76">
        <v>0</v>
      </c>
      <c r="J212" s="76">
        <v>34578</v>
      </c>
      <c r="K212" s="76">
        <v>85600</v>
      </c>
      <c r="L212" s="76">
        <v>193230</v>
      </c>
      <c r="M212" s="25" t="s">
        <v>447</v>
      </c>
      <c r="N212" s="76">
        <v>193230</v>
      </c>
      <c r="O212" s="22">
        <f t="shared" si="3"/>
        <v>193230</v>
      </c>
      <c r="P212" s="78" t="str">
        <f>IF(O212=0,"",_xlfn.XLOOKUP(D212,'5月份计划'!A:A,'5月份计划'!A:A))</f>
        <v>天津鑫淼塑料制品有限公司</v>
      </c>
    </row>
    <row r="213" s="22" customFormat="1" ht="15" customHeight="1" spans="1:16">
      <c r="A213" s="29" t="s">
        <v>444</v>
      </c>
      <c r="B213" s="32" t="s">
        <v>445</v>
      </c>
      <c r="C213" s="29" t="s">
        <v>41</v>
      </c>
      <c r="D213" s="32" t="s">
        <v>307</v>
      </c>
      <c r="E213" s="29" t="s">
        <v>41</v>
      </c>
      <c r="F213" s="29" t="s">
        <v>443</v>
      </c>
      <c r="G213" s="29" t="s">
        <v>447</v>
      </c>
      <c r="H213" s="77">
        <v>7275.67</v>
      </c>
      <c r="I213" s="77">
        <v>0</v>
      </c>
      <c r="J213" s="77">
        <v>3842</v>
      </c>
      <c r="K213" s="77">
        <v>41963.22</v>
      </c>
      <c r="L213" s="77">
        <v>24444.26</v>
      </c>
      <c r="M213" s="29" t="s">
        <v>447</v>
      </c>
      <c r="N213" s="77">
        <v>11117.67</v>
      </c>
      <c r="O213" s="22">
        <f t="shared" si="3"/>
        <v>11117.67</v>
      </c>
      <c r="P213" s="78" t="str">
        <f>IF(O213=0,"",_xlfn.XLOOKUP(D213,'5月份计划'!A:A,'5月份计划'!A:A))</f>
        <v>沧州宇诺五金制造有限公司</v>
      </c>
    </row>
    <row r="214" s="22" customFormat="1" ht="15" customHeight="1" spans="1:16">
      <c r="A214" s="25" t="s">
        <v>444</v>
      </c>
      <c r="B214" s="28" t="s">
        <v>445</v>
      </c>
      <c r="C214" s="25" t="s">
        <v>41</v>
      </c>
      <c r="D214" s="28" t="s">
        <v>594</v>
      </c>
      <c r="E214" s="25" t="s">
        <v>41</v>
      </c>
      <c r="F214" s="25" t="s">
        <v>443</v>
      </c>
      <c r="G214" s="25" t="s">
        <v>489</v>
      </c>
      <c r="H214" s="76">
        <v>0</v>
      </c>
      <c r="I214" s="76">
        <v>0</v>
      </c>
      <c r="J214" s="76">
        <v>0</v>
      </c>
      <c r="K214" s="76">
        <v>0</v>
      </c>
      <c r="L214" s="76">
        <v>0</v>
      </c>
      <c r="M214" s="25" t="s">
        <v>489</v>
      </c>
      <c r="N214" s="76">
        <v>0</v>
      </c>
      <c r="O214" s="22">
        <f t="shared" si="3"/>
        <v>0</v>
      </c>
      <c r="P214" s="78" t="str">
        <f>IF(O214=0,"",_xlfn.XLOOKUP(D214,'5月份计划'!A:A,'5月份计划'!A:A))</f>
        <v/>
      </c>
    </row>
    <row r="215" s="22" customFormat="1" ht="15" customHeight="1" spans="1:16">
      <c r="A215" s="29" t="s">
        <v>444</v>
      </c>
      <c r="B215" s="32" t="s">
        <v>445</v>
      </c>
      <c r="C215" s="29" t="s">
        <v>41</v>
      </c>
      <c r="D215" s="32" t="s">
        <v>305</v>
      </c>
      <c r="E215" s="29" t="s">
        <v>41</v>
      </c>
      <c r="F215" s="29" t="s">
        <v>443</v>
      </c>
      <c r="G215" s="29" t="s">
        <v>447</v>
      </c>
      <c r="H215" s="77">
        <v>3847.65</v>
      </c>
      <c r="I215" s="77">
        <v>0</v>
      </c>
      <c r="J215" s="77">
        <v>16916.1</v>
      </c>
      <c r="K215" s="77">
        <v>11627.7</v>
      </c>
      <c r="L215" s="77">
        <v>24899.55</v>
      </c>
      <c r="M215" s="29" t="s">
        <v>447</v>
      </c>
      <c r="N215" s="77">
        <v>20763.75</v>
      </c>
      <c r="O215" s="22">
        <f t="shared" si="3"/>
        <v>20763.75</v>
      </c>
      <c r="P215" s="78" t="str">
        <f>IF(O215=0,"",_xlfn.XLOOKUP(D215,'5月份计划'!A:A,'5月份计划'!A:A))</f>
        <v>霸州市政锦五金制品有限公司</v>
      </c>
    </row>
    <row r="216" s="22" customFormat="1" ht="15" customHeight="1" spans="1:16">
      <c r="A216" s="25" t="s">
        <v>444</v>
      </c>
      <c r="B216" s="28" t="s">
        <v>445</v>
      </c>
      <c r="C216" s="25" t="s">
        <v>41</v>
      </c>
      <c r="D216" s="28" t="s">
        <v>409</v>
      </c>
      <c r="E216" s="25" t="s">
        <v>41</v>
      </c>
      <c r="F216" s="25" t="s">
        <v>443</v>
      </c>
      <c r="G216" s="25" t="s">
        <v>489</v>
      </c>
      <c r="H216" s="76">
        <v>0</v>
      </c>
      <c r="I216" s="76">
        <v>0</v>
      </c>
      <c r="J216" s="76">
        <v>0</v>
      </c>
      <c r="K216" s="76">
        <v>74590.72</v>
      </c>
      <c r="L216" s="76">
        <v>0</v>
      </c>
      <c r="M216" s="25" t="s">
        <v>489</v>
      </c>
      <c r="N216" s="76">
        <v>0</v>
      </c>
      <c r="O216" s="22">
        <f t="shared" si="3"/>
        <v>0</v>
      </c>
      <c r="P216" s="78" t="str">
        <f>IF(O216=0,"",_xlfn.XLOOKUP(D216,'5月份计划'!A:A,'5月份计划'!A:A))</f>
        <v/>
      </c>
    </row>
    <row r="217" s="22" customFormat="1" ht="15" customHeight="1" spans="1:16">
      <c r="A217" s="29" t="s">
        <v>444</v>
      </c>
      <c r="B217" s="32" t="s">
        <v>445</v>
      </c>
      <c r="C217" s="29" t="s">
        <v>41</v>
      </c>
      <c r="D217" s="32" t="s">
        <v>308</v>
      </c>
      <c r="E217" s="29" t="s">
        <v>41</v>
      </c>
      <c r="F217" s="29" t="s">
        <v>443</v>
      </c>
      <c r="G217" s="29" t="s">
        <v>447</v>
      </c>
      <c r="H217" s="77">
        <v>32067.14</v>
      </c>
      <c r="I217" s="77">
        <v>0</v>
      </c>
      <c r="J217" s="77">
        <v>0</v>
      </c>
      <c r="K217" s="77">
        <v>39859.62</v>
      </c>
      <c r="L217" s="77">
        <v>32067.14</v>
      </c>
      <c r="M217" s="29" t="s">
        <v>447</v>
      </c>
      <c r="N217" s="77">
        <v>32067.14</v>
      </c>
      <c r="O217" s="22">
        <f t="shared" si="3"/>
        <v>32067.14</v>
      </c>
      <c r="P217" s="78" t="str">
        <f>IF(O217=0,"",_xlfn.XLOOKUP(D217,'5月份计划'!A:A,'5月份计划'!A:A))</f>
        <v>清河县沁园汽车零部件有限公司</v>
      </c>
    </row>
    <row r="218" s="22" customFormat="1" ht="15" customHeight="1" spans="1:16">
      <c r="A218" s="25" t="s">
        <v>444</v>
      </c>
      <c r="B218" s="28" t="s">
        <v>445</v>
      </c>
      <c r="C218" s="25" t="s">
        <v>41</v>
      </c>
      <c r="D218" s="28" t="s">
        <v>321</v>
      </c>
      <c r="E218" s="25" t="s">
        <v>41</v>
      </c>
      <c r="F218" s="25" t="s">
        <v>443</v>
      </c>
      <c r="G218" s="25" t="s">
        <v>447</v>
      </c>
      <c r="H218" s="76">
        <v>3497.49</v>
      </c>
      <c r="I218" s="76">
        <v>0</v>
      </c>
      <c r="J218" s="76">
        <v>0</v>
      </c>
      <c r="K218" s="76">
        <v>0</v>
      </c>
      <c r="L218" s="76">
        <v>3497.49</v>
      </c>
      <c r="M218" s="25" t="s">
        <v>447</v>
      </c>
      <c r="N218" s="76">
        <v>3497.49</v>
      </c>
      <c r="O218" s="22">
        <f t="shared" si="3"/>
        <v>3497.49</v>
      </c>
      <c r="P218" s="78" t="str">
        <f>IF(O218=0,"",_xlfn.XLOOKUP(D218,'5月份计划'!A:A,'5月份计划'!A:A))</f>
        <v>霸州市汇行汽车零部件有限公司</v>
      </c>
    </row>
    <row r="219" s="22" customFormat="1" ht="15" customHeight="1" spans="1:16">
      <c r="A219" s="29" t="s">
        <v>444</v>
      </c>
      <c r="B219" s="32" t="s">
        <v>445</v>
      </c>
      <c r="C219" s="29" t="s">
        <v>41</v>
      </c>
      <c r="D219" s="32" t="s">
        <v>309</v>
      </c>
      <c r="E219" s="29" t="s">
        <v>41</v>
      </c>
      <c r="F219" s="29" t="s">
        <v>443</v>
      </c>
      <c r="G219" s="29" t="s">
        <v>447</v>
      </c>
      <c r="H219" s="77">
        <v>1622.68</v>
      </c>
      <c r="I219" s="77">
        <v>0</v>
      </c>
      <c r="J219" s="77">
        <v>0</v>
      </c>
      <c r="K219" s="77">
        <v>9736.08</v>
      </c>
      <c r="L219" s="77">
        <v>1622.68</v>
      </c>
      <c r="M219" s="29" t="s">
        <v>447</v>
      </c>
      <c r="N219" s="77">
        <v>1622.68</v>
      </c>
      <c r="O219" s="22">
        <f t="shared" si="3"/>
        <v>1622.68</v>
      </c>
      <c r="P219" s="78" t="str">
        <f>IF(O219=0,"",_xlfn.XLOOKUP(D219,'5月份计划'!A:A,'5月份计划'!A:A))</f>
        <v>新梦顶（上海）贸易有限公司</v>
      </c>
    </row>
    <row r="220" s="22" customFormat="1" ht="15" customHeight="1" spans="1:16">
      <c r="A220" s="25" t="s">
        <v>444</v>
      </c>
      <c r="B220" s="28" t="s">
        <v>445</v>
      </c>
      <c r="C220" s="25" t="s">
        <v>41</v>
      </c>
      <c r="D220" s="28" t="s">
        <v>595</v>
      </c>
      <c r="E220" s="25" t="s">
        <v>41</v>
      </c>
      <c r="F220" s="25" t="s">
        <v>443</v>
      </c>
      <c r="G220" s="25" t="s">
        <v>489</v>
      </c>
      <c r="H220" s="76">
        <v>0</v>
      </c>
      <c r="I220" s="76">
        <v>0</v>
      </c>
      <c r="J220" s="76">
        <v>0</v>
      </c>
      <c r="K220" s="76">
        <v>0</v>
      </c>
      <c r="L220" s="76">
        <v>0</v>
      </c>
      <c r="M220" s="25" t="s">
        <v>489</v>
      </c>
      <c r="N220" s="76">
        <v>0</v>
      </c>
      <c r="O220" s="22">
        <f t="shared" si="3"/>
        <v>0</v>
      </c>
      <c r="P220" s="78" t="str">
        <f>IF(O220=0,"",_xlfn.XLOOKUP(D220,'5月份计划'!A:A,'5月份计划'!A:A))</f>
        <v/>
      </c>
    </row>
    <row r="221" s="22" customFormat="1" ht="15" customHeight="1" spans="1:16">
      <c r="A221" s="29" t="s">
        <v>444</v>
      </c>
      <c r="B221" s="32" t="s">
        <v>445</v>
      </c>
      <c r="C221" s="29" t="s">
        <v>41</v>
      </c>
      <c r="D221" s="32" t="s">
        <v>286</v>
      </c>
      <c r="E221" s="29" t="s">
        <v>41</v>
      </c>
      <c r="F221" s="29" t="s">
        <v>443</v>
      </c>
      <c r="G221" s="29" t="s">
        <v>447</v>
      </c>
      <c r="H221" s="77">
        <v>105580.99</v>
      </c>
      <c r="I221" s="77">
        <v>0</v>
      </c>
      <c r="J221" s="77">
        <v>0</v>
      </c>
      <c r="K221" s="77">
        <v>0</v>
      </c>
      <c r="L221" s="77">
        <v>105580.99</v>
      </c>
      <c r="M221" s="29" t="s">
        <v>447</v>
      </c>
      <c r="N221" s="77">
        <v>105580.99</v>
      </c>
      <c r="O221" s="22">
        <f t="shared" si="3"/>
        <v>105580.99</v>
      </c>
      <c r="P221" s="78" t="str">
        <f>IF(O221=0,"",_xlfn.XLOOKUP(D221,'5月份计划'!A:A,'5月份计划'!A:A))</f>
        <v>俱泰(上海)汽车零部件有限公司</v>
      </c>
    </row>
    <row r="222" s="22" customFormat="1" ht="15" customHeight="1" spans="1:16">
      <c r="A222" s="25" t="s">
        <v>444</v>
      </c>
      <c r="B222" s="28" t="s">
        <v>445</v>
      </c>
      <c r="C222" s="25" t="s">
        <v>41</v>
      </c>
      <c r="D222" s="28" t="s">
        <v>313</v>
      </c>
      <c r="E222" s="25" t="s">
        <v>41</v>
      </c>
      <c r="F222" s="25" t="s">
        <v>443</v>
      </c>
      <c r="G222" s="25" t="s">
        <v>447</v>
      </c>
      <c r="H222" s="76">
        <v>6644.4</v>
      </c>
      <c r="I222" s="76">
        <v>0</v>
      </c>
      <c r="J222" s="76">
        <v>0</v>
      </c>
      <c r="K222" s="76">
        <v>44413.72</v>
      </c>
      <c r="L222" s="76">
        <v>47071.28</v>
      </c>
      <c r="M222" s="25" t="s">
        <v>447</v>
      </c>
      <c r="N222" s="76">
        <v>6644.4</v>
      </c>
      <c r="O222" s="22">
        <f t="shared" si="3"/>
        <v>6644.4</v>
      </c>
      <c r="P222" s="78" t="str">
        <f>IF(O222=0,"",_xlfn.XLOOKUP(D222,'5月份计划'!A:A,'5月份计划'!A:A))</f>
        <v>江苏万金汽车零部件制造有限公</v>
      </c>
    </row>
    <row r="223" s="22" customFormat="1" ht="15" customHeight="1" spans="1:16">
      <c r="A223" s="29" t="s">
        <v>444</v>
      </c>
      <c r="B223" s="32" t="s">
        <v>445</v>
      </c>
      <c r="C223" s="29" t="s">
        <v>41</v>
      </c>
      <c r="D223" s="32" t="s">
        <v>315</v>
      </c>
      <c r="E223" s="29" t="s">
        <v>41</v>
      </c>
      <c r="F223" s="29" t="s">
        <v>443</v>
      </c>
      <c r="G223" s="29" t="s">
        <v>447</v>
      </c>
      <c r="H223" s="77">
        <v>14543.1</v>
      </c>
      <c r="I223" s="77">
        <v>0</v>
      </c>
      <c r="J223" s="77">
        <v>0</v>
      </c>
      <c r="K223" s="77">
        <v>3305.25</v>
      </c>
      <c r="L223" s="77">
        <v>17848.35</v>
      </c>
      <c r="M223" s="29" t="s">
        <v>447</v>
      </c>
      <c r="N223" s="77">
        <v>14543.1</v>
      </c>
      <c r="O223" s="22">
        <f t="shared" si="3"/>
        <v>14543.1</v>
      </c>
      <c r="P223" s="78" t="str">
        <f>IF(O223=0,"",_xlfn.XLOOKUP(D223,'5月份计划'!A:A,'5月份计划'!A:A))</f>
        <v>江苏凌派通信科技有限公司</v>
      </c>
    </row>
    <row r="224" s="22" customFormat="1" ht="15" customHeight="1" spans="1:16">
      <c r="A224" s="25" t="s">
        <v>444</v>
      </c>
      <c r="B224" s="28" t="s">
        <v>445</v>
      </c>
      <c r="C224" s="25" t="s">
        <v>41</v>
      </c>
      <c r="D224" s="28" t="s">
        <v>596</v>
      </c>
      <c r="E224" s="25" t="s">
        <v>41</v>
      </c>
      <c r="F224" s="25" t="s">
        <v>443</v>
      </c>
      <c r="G224" s="25" t="s">
        <v>489</v>
      </c>
      <c r="H224" s="76">
        <v>0</v>
      </c>
      <c r="I224" s="76">
        <v>0</v>
      </c>
      <c r="J224" s="76">
        <v>0</v>
      </c>
      <c r="K224" s="76">
        <v>0</v>
      </c>
      <c r="L224" s="76">
        <v>0</v>
      </c>
      <c r="M224" s="25" t="s">
        <v>489</v>
      </c>
      <c r="N224" s="76">
        <v>0</v>
      </c>
      <c r="O224" s="22">
        <f t="shared" si="3"/>
        <v>0</v>
      </c>
      <c r="P224" s="78" t="str">
        <f>IF(O224=0,"",_xlfn.XLOOKUP(D224,'5月份计划'!A:A,'5月份计划'!A:A))</f>
        <v/>
      </c>
    </row>
    <row r="225" s="22" customFormat="1" ht="15" customHeight="1" spans="1:16">
      <c r="A225" s="29" t="s">
        <v>444</v>
      </c>
      <c r="B225" s="32" t="s">
        <v>445</v>
      </c>
      <c r="C225" s="29" t="s">
        <v>41</v>
      </c>
      <c r="D225" s="32" t="s">
        <v>599</v>
      </c>
      <c r="E225" s="29" t="s">
        <v>41</v>
      </c>
      <c r="F225" s="29" t="s">
        <v>443</v>
      </c>
      <c r="G225" s="29" t="s">
        <v>447</v>
      </c>
      <c r="H225" s="77">
        <v>15000</v>
      </c>
      <c r="I225" s="77">
        <v>0</v>
      </c>
      <c r="J225" s="77">
        <v>0</v>
      </c>
      <c r="K225" s="77">
        <v>60000</v>
      </c>
      <c r="L225" s="77">
        <v>34000</v>
      </c>
      <c r="M225" s="29" t="s">
        <v>447</v>
      </c>
      <c r="N225" s="77">
        <v>15000</v>
      </c>
      <c r="O225" s="22">
        <f t="shared" si="3"/>
        <v>15000</v>
      </c>
      <c r="P225" s="78" t="e">
        <f>IF(O225=0,"",_xlfn.XLOOKUP(D225,'5月份计划'!A:A,'5月份计划'!A:A))</f>
        <v>#N/A</v>
      </c>
    </row>
    <row r="226" s="22" customFormat="1" ht="15" customHeight="1" spans="1:16">
      <c r="A226" s="25" t="s">
        <v>444</v>
      </c>
      <c r="B226" s="28" t="s">
        <v>445</v>
      </c>
      <c r="C226" s="25" t="s">
        <v>41</v>
      </c>
      <c r="D226" s="28" t="s">
        <v>290</v>
      </c>
      <c r="E226" s="25" t="s">
        <v>41</v>
      </c>
      <c r="F226" s="25" t="s">
        <v>443</v>
      </c>
      <c r="G226" s="25" t="s">
        <v>447</v>
      </c>
      <c r="H226" s="76">
        <v>37777.01</v>
      </c>
      <c r="I226" s="76">
        <v>0</v>
      </c>
      <c r="J226" s="76">
        <v>45602.28</v>
      </c>
      <c r="K226" s="76">
        <v>0</v>
      </c>
      <c r="L226" s="76">
        <v>83379.29</v>
      </c>
      <c r="M226" s="25" t="s">
        <v>447</v>
      </c>
      <c r="N226" s="76">
        <v>83379.29</v>
      </c>
      <c r="O226" s="22">
        <f t="shared" si="3"/>
        <v>83379.29</v>
      </c>
      <c r="P226" s="78" t="str">
        <f>IF(O226=0,"",_xlfn.XLOOKUP(D226,'5月份计划'!A:A,'5月份计划'!A:A))</f>
        <v>江阴同威科技有限公司</v>
      </c>
    </row>
    <row r="227" s="22" customFormat="1" ht="15" customHeight="1" spans="1:16">
      <c r="A227" s="29" t="s">
        <v>444</v>
      </c>
      <c r="B227" s="32" t="s">
        <v>445</v>
      </c>
      <c r="C227" s="29" t="s">
        <v>41</v>
      </c>
      <c r="D227" s="32" t="s">
        <v>319</v>
      </c>
      <c r="E227" s="29" t="s">
        <v>41</v>
      </c>
      <c r="F227" s="29" t="s">
        <v>443</v>
      </c>
      <c r="G227" s="29" t="s">
        <v>447</v>
      </c>
      <c r="H227" s="77">
        <v>5720.63</v>
      </c>
      <c r="I227" s="77">
        <v>0</v>
      </c>
      <c r="J227" s="77">
        <v>0</v>
      </c>
      <c r="K227" s="77">
        <v>0</v>
      </c>
      <c r="L227" s="77">
        <v>5720.63</v>
      </c>
      <c r="M227" s="29" t="s">
        <v>447</v>
      </c>
      <c r="N227" s="77">
        <v>5720.63</v>
      </c>
      <c r="O227" s="22">
        <f t="shared" si="3"/>
        <v>5720.63</v>
      </c>
      <c r="P227" s="78" t="str">
        <f>IF(O227=0,"",_xlfn.XLOOKUP(D227,'5月份计划'!A:A,'5月份计划'!A:A))</f>
        <v>昆山吉山会津塑料工业股份有限</v>
      </c>
    </row>
    <row r="228" s="22" customFormat="1" ht="15" customHeight="1" spans="1:16">
      <c r="A228" s="25" t="s">
        <v>444</v>
      </c>
      <c r="B228" s="28" t="s">
        <v>445</v>
      </c>
      <c r="C228" s="25" t="s">
        <v>41</v>
      </c>
      <c r="D228" s="28" t="s">
        <v>316</v>
      </c>
      <c r="E228" s="25" t="s">
        <v>41</v>
      </c>
      <c r="F228" s="25" t="s">
        <v>443</v>
      </c>
      <c r="G228" s="25" t="s">
        <v>447</v>
      </c>
      <c r="H228" s="76">
        <v>21022.78</v>
      </c>
      <c r="I228" s="76">
        <v>0</v>
      </c>
      <c r="J228" s="76">
        <v>0</v>
      </c>
      <c r="K228" s="76">
        <v>0</v>
      </c>
      <c r="L228" s="76">
        <v>21022.78</v>
      </c>
      <c r="M228" s="25" t="s">
        <v>447</v>
      </c>
      <c r="N228" s="76">
        <v>21022.78</v>
      </c>
      <c r="O228" s="22">
        <f t="shared" si="3"/>
        <v>21022.78</v>
      </c>
      <c r="P228" s="78" t="str">
        <f>IF(O228=0,"",_xlfn.XLOOKUP(D228,'5月份计划'!A:A,'5月份计划'!A:A))</f>
        <v>无锡中天汽车部件有限公司</v>
      </c>
    </row>
    <row r="229" s="22" customFormat="1" ht="15" customHeight="1" spans="1:16">
      <c r="A229" s="29" t="s">
        <v>444</v>
      </c>
      <c r="B229" s="32" t="s">
        <v>445</v>
      </c>
      <c r="C229" s="29" t="s">
        <v>41</v>
      </c>
      <c r="D229" s="32" t="s">
        <v>289</v>
      </c>
      <c r="E229" s="29" t="s">
        <v>41</v>
      </c>
      <c r="F229" s="29" t="s">
        <v>443</v>
      </c>
      <c r="G229" s="29" t="s">
        <v>447</v>
      </c>
      <c r="H229" s="77">
        <v>7739.9</v>
      </c>
      <c r="I229" s="77">
        <v>0</v>
      </c>
      <c r="J229" s="77">
        <v>0</v>
      </c>
      <c r="K229" s="77">
        <v>0</v>
      </c>
      <c r="L229" s="77">
        <v>7739.9</v>
      </c>
      <c r="M229" s="29" t="s">
        <v>447</v>
      </c>
      <c r="N229" s="77">
        <v>7739.9</v>
      </c>
      <c r="O229" s="22">
        <f t="shared" si="3"/>
        <v>7739.9</v>
      </c>
      <c r="P229" s="78" t="str">
        <f>IF(O229=0,"",_xlfn.XLOOKUP(D229,'5月份计划'!A:A,'5月份计划'!A:A))</f>
        <v>维克罗（中国）搭扣系统有限公</v>
      </c>
    </row>
    <row r="230" s="22" customFormat="1" ht="15" customHeight="1" spans="1:16">
      <c r="A230" s="25" t="s">
        <v>444</v>
      </c>
      <c r="B230" s="28" t="s">
        <v>445</v>
      </c>
      <c r="C230" s="25" t="s">
        <v>41</v>
      </c>
      <c r="D230" s="28" t="s">
        <v>410</v>
      </c>
      <c r="E230" s="25" t="s">
        <v>41</v>
      </c>
      <c r="F230" s="25" t="s">
        <v>443</v>
      </c>
      <c r="G230" s="25" t="s">
        <v>489</v>
      </c>
      <c r="H230" s="76">
        <v>0</v>
      </c>
      <c r="I230" s="76">
        <v>0</v>
      </c>
      <c r="J230" s="76">
        <v>0</v>
      </c>
      <c r="K230" s="76">
        <v>94880</v>
      </c>
      <c r="L230" s="76">
        <v>0</v>
      </c>
      <c r="M230" s="25" t="s">
        <v>489</v>
      </c>
      <c r="N230" s="76">
        <v>0</v>
      </c>
      <c r="O230" s="22">
        <f t="shared" si="3"/>
        <v>0</v>
      </c>
      <c r="P230" s="78" t="str">
        <f>IF(O230=0,"",_xlfn.XLOOKUP(D230,'5月份计划'!A:A,'5月份计划'!A:A))</f>
        <v/>
      </c>
    </row>
    <row r="231" s="22" customFormat="1" ht="15" customHeight="1" spans="1:16">
      <c r="A231" s="29" t="s">
        <v>444</v>
      </c>
      <c r="B231" s="32" t="s">
        <v>445</v>
      </c>
      <c r="C231" s="29" t="s">
        <v>41</v>
      </c>
      <c r="D231" s="32" t="s">
        <v>597</v>
      </c>
      <c r="E231" s="29" t="s">
        <v>41</v>
      </c>
      <c r="F231" s="29" t="s">
        <v>443</v>
      </c>
      <c r="G231" s="29" t="s">
        <v>489</v>
      </c>
      <c r="H231" s="77">
        <v>0</v>
      </c>
      <c r="I231" s="77">
        <v>0</v>
      </c>
      <c r="J231" s="77">
        <v>0</v>
      </c>
      <c r="K231" s="77">
        <v>0</v>
      </c>
      <c r="L231" s="77">
        <v>0</v>
      </c>
      <c r="M231" s="29" t="s">
        <v>489</v>
      </c>
      <c r="N231" s="77">
        <v>0</v>
      </c>
      <c r="O231" s="22">
        <f t="shared" si="3"/>
        <v>0</v>
      </c>
      <c r="P231" s="78" t="str">
        <f>IF(O231=0,"",_xlfn.XLOOKUP(D231,'5月份计划'!A:A,'5月份计划'!A:A))</f>
        <v/>
      </c>
    </row>
    <row r="232" s="22" customFormat="1" ht="15" customHeight="1" spans="1:16">
      <c r="A232" s="25" t="s">
        <v>444</v>
      </c>
      <c r="B232" s="28" t="s">
        <v>445</v>
      </c>
      <c r="C232" s="25" t="s">
        <v>41</v>
      </c>
      <c r="D232" s="28" t="s">
        <v>598</v>
      </c>
      <c r="E232" s="25" t="s">
        <v>41</v>
      </c>
      <c r="F232" s="25" t="s">
        <v>443</v>
      </c>
      <c r="G232" s="25" t="s">
        <v>489</v>
      </c>
      <c r="H232" s="76">
        <v>0</v>
      </c>
      <c r="I232" s="76">
        <v>0</v>
      </c>
      <c r="J232" s="76">
        <v>0</v>
      </c>
      <c r="K232" s="76">
        <v>0</v>
      </c>
      <c r="L232" s="76">
        <v>0</v>
      </c>
      <c r="M232" s="25" t="s">
        <v>489</v>
      </c>
      <c r="N232" s="76">
        <v>0</v>
      </c>
      <c r="O232" s="22">
        <f t="shared" si="3"/>
        <v>0</v>
      </c>
      <c r="P232" s="78" t="str">
        <f>IF(O232=0,"",_xlfn.XLOOKUP(D232,'5月份计划'!A:A,'5月份计划'!A:A))</f>
        <v/>
      </c>
    </row>
    <row r="233" s="22" customFormat="1" ht="15" customHeight="1" spans="1:16">
      <c r="A233" s="29" t="s">
        <v>444</v>
      </c>
      <c r="B233" s="32" t="s">
        <v>445</v>
      </c>
      <c r="C233" s="29" t="s">
        <v>41</v>
      </c>
      <c r="D233" s="32" t="s">
        <v>411</v>
      </c>
      <c r="E233" s="29" t="s">
        <v>41</v>
      </c>
      <c r="F233" s="29" t="s">
        <v>443</v>
      </c>
      <c r="G233" s="29" t="s">
        <v>489</v>
      </c>
      <c r="H233" s="77">
        <v>0</v>
      </c>
      <c r="I233" s="77">
        <v>0</v>
      </c>
      <c r="J233" s="77">
        <v>0</v>
      </c>
      <c r="K233" s="77">
        <v>39034.81</v>
      </c>
      <c r="L233" s="77">
        <v>0</v>
      </c>
      <c r="M233" s="29" t="s">
        <v>489</v>
      </c>
      <c r="N233" s="77">
        <v>0</v>
      </c>
      <c r="O233" s="22">
        <f t="shared" si="3"/>
        <v>0</v>
      </c>
      <c r="P233" s="78" t="str">
        <f>IF(O233=0,"",_xlfn.XLOOKUP(D233,'5月份计划'!A:A,'5月份计划'!A:A))</f>
        <v/>
      </c>
    </row>
    <row r="234" s="22" customFormat="1" ht="15" customHeight="1" spans="1:16">
      <c r="A234" s="25" t="s">
        <v>444</v>
      </c>
      <c r="B234" s="28" t="s">
        <v>445</v>
      </c>
      <c r="C234" s="25" t="s">
        <v>41</v>
      </c>
      <c r="D234" s="28" t="s">
        <v>320</v>
      </c>
      <c r="E234" s="25" t="s">
        <v>41</v>
      </c>
      <c r="F234" s="25" t="s">
        <v>443</v>
      </c>
      <c r="G234" s="25" t="s">
        <v>447</v>
      </c>
      <c r="H234" s="76">
        <v>76877.75</v>
      </c>
      <c r="I234" s="76">
        <v>0</v>
      </c>
      <c r="J234" s="76">
        <v>4018.39</v>
      </c>
      <c r="K234" s="76">
        <v>0</v>
      </c>
      <c r="L234" s="76">
        <v>80896.14</v>
      </c>
      <c r="M234" s="25" t="s">
        <v>447</v>
      </c>
      <c r="N234" s="76">
        <v>80896.14</v>
      </c>
      <c r="O234" s="22">
        <f t="shared" si="3"/>
        <v>80896.14</v>
      </c>
      <c r="P234" s="78" t="str">
        <f>IF(O234=0,"",_xlfn.XLOOKUP(D234,'5月份计划'!A:A,'5月份计划'!A:A))</f>
        <v>武汉凯密科汽车零部件有限公司</v>
      </c>
    </row>
    <row r="235" s="22" customFormat="1" ht="15" customHeight="1" spans="1:16">
      <c r="A235" s="29" t="s">
        <v>444</v>
      </c>
      <c r="B235" s="32" t="s">
        <v>445</v>
      </c>
      <c r="C235" s="29" t="s">
        <v>41</v>
      </c>
      <c r="D235" s="32" t="s">
        <v>288</v>
      </c>
      <c r="E235" s="29" t="s">
        <v>41</v>
      </c>
      <c r="F235" s="29" t="s">
        <v>443</v>
      </c>
      <c r="G235" s="29" t="s">
        <v>447</v>
      </c>
      <c r="H235" s="77">
        <v>39631.36</v>
      </c>
      <c r="I235" s="77">
        <v>0</v>
      </c>
      <c r="J235" s="77">
        <v>30494.08</v>
      </c>
      <c r="K235" s="77">
        <v>0</v>
      </c>
      <c r="L235" s="77">
        <v>70125.44</v>
      </c>
      <c r="M235" s="29" t="s">
        <v>447</v>
      </c>
      <c r="N235" s="77">
        <v>70125.44</v>
      </c>
      <c r="O235" s="22">
        <f t="shared" si="3"/>
        <v>70125.44</v>
      </c>
      <c r="P235" s="78" t="str">
        <f>IF(O235=0,"",_xlfn.XLOOKUP(D235,'5月份计划'!A:A,'5月份计划'!A:A))</f>
        <v>广州市三泰汽车内饰材料有限公</v>
      </c>
    </row>
    <row r="236" spans="1:16">
      <c r="A236" s="32" t="s">
        <v>444</v>
      </c>
      <c r="B236" s="32" t="s">
        <v>445</v>
      </c>
      <c r="C236" s="32" t="s">
        <v>41</v>
      </c>
      <c r="D236" s="32" t="s">
        <v>291</v>
      </c>
      <c r="E236" s="32" t="s">
        <v>41</v>
      </c>
      <c r="F236" s="32" t="s">
        <v>443</v>
      </c>
      <c r="G236" s="32" t="s">
        <v>447</v>
      </c>
      <c r="H236" s="76">
        <v>72279.84</v>
      </c>
      <c r="I236" s="76">
        <v>0</v>
      </c>
      <c r="J236" s="76">
        <v>2034</v>
      </c>
      <c r="K236" s="76">
        <v>0</v>
      </c>
      <c r="L236" s="76">
        <v>74313.84</v>
      </c>
      <c r="M236" s="76" t="s">
        <v>447</v>
      </c>
      <c r="N236" s="76">
        <v>74313.84</v>
      </c>
      <c r="O236" s="76">
        <f t="shared" si="3"/>
        <v>74313.84</v>
      </c>
      <c r="P236" s="78" t="str">
        <f>IF(O236=0,"",_xlfn.XLOOKUP(D236,'5月份计划'!A:A,'5月份计划'!A:A))</f>
        <v>深圳市新和荣无纺布有限公司</v>
      </c>
    </row>
    <row r="237" spans="1:16">
      <c r="A237" s="22" t="s">
        <v>444</v>
      </c>
      <c r="B237" s="22" t="s">
        <v>445</v>
      </c>
      <c r="C237" s="22" t="s">
        <v>41</v>
      </c>
      <c r="D237" s="22" t="s">
        <v>287</v>
      </c>
      <c r="E237" s="22" t="s">
        <v>41</v>
      </c>
      <c r="F237" s="22" t="s">
        <v>443</v>
      </c>
      <c r="G237" s="22" t="s">
        <v>447</v>
      </c>
      <c r="H237" s="22">
        <v>55019.85</v>
      </c>
      <c r="I237" s="22">
        <v>0</v>
      </c>
      <c r="J237" s="22">
        <v>0</v>
      </c>
      <c r="K237" s="22">
        <v>0</v>
      </c>
      <c r="L237" s="22">
        <v>55019.85</v>
      </c>
      <c r="M237" s="22" t="s">
        <v>447</v>
      </c>
      <c r="N237" s="22">
        <v>55019.85</v>
      </c>
      <c r="O237" s="76">
        <f t="shared" si="3"/>
        <v>55019.85</v>
      </c>
      <c r="P237" s="78" t="str">
        <f>IF(O237=0,"",_xlfn.XLOOKUP(D237,'5月份计划'!A:A,'5月份计划'!A:A))</f>
        <v>广州自强汽车零部件有限公司</v>
      </c>
    </row>
    <row r="238" spans="1:16">
      <c r="A238" s="22" t="s">
        <v>444</v>
      </c>
      <c r="B238" s="22" t="s">
        <v>445</v>
      </c>
      <c r="C238" s="22" t="s">
        <v>41</v>
      </c>
      <c r="D238" s="22" t="s">
        <v>240</v>
      </c>
      <c r="E238" s="22" t="s">
        <v>41</v>
      </c>
      <c r="F238" s="22" t="s">
        <v>443</v>
      </c>
      <c r="G238" s="22" t="s">
        <v>447</v>
      </c>
      <c r="H238" s="22">
        <v>235918.22</v>
      </c>
      <c r="I238" s="22">
        <v>0</v>
      </c>
      <c r="J238" s="22">
        <v>188791.59</v>
      </c>
      <c r="K238" s="22">
        <v>60549.92</v>
      </c>
      <c r="L238" s="22">
        <v>426563.01</v>
      </c>
      <c r="M238" s="22" t="s">
        <v>447</v>
      </c>
      <c r="N238" s="22">
        <v>424709.81</v>
      </c>
      <c r="O238" s="76">
        <f t="shared" si="3"/>
        <v>424709.81</v>
      </c>
      <c r="P238" s="78" t="str">
        <f>IF(O238=0,"",_xlfn.XLOOKUP(D238,'5月份计划'!A:A,'5月份计划'!A:A))</f>
        <v>重庆厚元汽车配件有限公司</v>
      </c>
    </row>
    <row r="239" spans="1:16">
      <c r="A239" s="22" t="s">
        <v>444</v>
      </c>
      <c r="B239" s="22" t="s">
        <v>445</v>
      </c>
      <c r="C239" s="22" t="s">
        <v>41</v>
      </c>
      <c r="D239" s="22" t="s">
        <v>318</v>
      </c>
      <c r="E239" s="22" t="s">
        <v>41</v>
      </c>
      <c r="F239" s="22" t="s">
        <v>443</v>
      </c>
      <c r="G239" s="22" t="s">
        <v>447</v>
      </c>
      <c r="H239" s="22">
        <v>380871.21</v>
      </c>
      <c r="I239" s="22">
        <v>143124.1</v>
      </c>
      <c r="J239" s="22">
        <v>145401.62</v>
      </c>
      <c r="K239" s="22">
        <v>143124.1</v>
      </c>
      <c r="L239" s="22">
        <v>526272.83</v>
      </c>
      <c r="M239" s="22" t="s">
        <v>447</v>
      </c>
      <c r="N239" s="22">
        <v>383148.73</v>
      </c>
      <c r="O239" s="76">
        <f t="shared" si="3"/>
        <v>383148.73</v>
      </c>
      <c r="P239" s="78" t="str">
        <f>IF(O239=0,"",_xlfn.XLOOKUP(D239,'5月份计划'!A:A,'5月份计划'!A:A))</f>
        <v>重庆品高弹簧有限公司</v>
      </c>
    </row>
  </sheetData>
  <autoFilter xmlns:etc="http://www.wps.cn/officeDocument/2017/etCustomData" ref="A1:P239" etc:filterBottomFollowUsedRange="0">
    <filterColumn colId="3">
      <filters blank="1">
        <filter val="黄骅市成卓汽车部件厂"/>
        <filter val="株洲江淮叉车有限公司"/>
        <filter val="浙江富昌泰汽车零部件有限公司"/>
        <filter val="德州志鹏海绵制品有限公司"/>
        <filter val="江苏力乐汽车部件股份有限公司"/>
        <filter val="湖北欣辰达商贸有限公司"/>
        <filter val="沧州旭兴五金制品有限公司"/>
        <filter val="湖南瑞安汽车零部件有限公司"/>
        <filter val="湖南驷马机械有限公司"/>
        <filter val="合肥都维自动给料设备有限公司"/>
        <filter val="廊坊华文机电设备有限公司"/>
        <filter val="江苏凌派通信科技有限公司"/>
        <filter val="河北新强力机械制造有限公司"/>
        <filter val="广州市信征汽车零件有限公司"/>
        <filter val="安徽楚江特钢有限公司"/>
        <filter val="黄骅市峰霞科技有限公司"/>
        <filter val="南皮县泰航五金制造有限公司"/>
        <filter val="北京德实汽车饰件有限公司"/>
        <filter val="株洲国铁实业有限公司"/>
        <filter val="东莞市君赢机械制造有限公司"/>
        <filter val="湖南益泰安环技术咨询有限公司"/>
        <filter val="河北岳钢数控设备有限公司"/>
        <filter val="广州市永达汽车用品有限公司"/>
        <filter val="十堰市盈旭工贸有限公司"/>
        <filter val="吉林省方舟电子科技有限公司"/>
        <filter val="株洲美佳机械实业有限公司"/>
        <filter val="上海怀德机电有限公司"/>
        <filter val="停用-湘乡简美工贸有限公司"/>
        <filter val="湖南松柏模具有限公司"/>
        <filter val="湖北伟士通汽车零件有限公司"/>
        <filter val="江西北汽海纳川星徽汽车部件有"/>
        <filter val="湖南天平正大有限责任会计事务"/>
        <filter val="佛山市顺德区勒流华通机电设备"/>
        <filter val="威县永盛汽车配件制造有限公司"/>
        <filter val="湖南易兹自动化有限公司"/>
        <filter val="永州巴佛莱特汽车饰品有限公司"/>
        <filter val="株洲县德鲲物流有限责任公司"/>
        <filter val="北京瑞隆祥模具有限公司"/>
        <filter val="湘潭众冠五金有限公司"/>
        <filter val="广州市盈尔安防火材料有限公司"/>
        <filter val="湖南诚俊自动化科技有限公司"/>
        <filter val="台州市黄岩增益模塑有限公司"/>
        <filter val="北京盛奥金华包装有限公司"/>
        <filter val="河北方基恒达汽车部件有限公司"/>
        <filter val="株洲市凡美斯汽车配件有限公司"/>
        <filter val="湖北瑞彼德自动化有限公司"/>
        <filter val="安莘供应链管理（上海）有限公"/>
        <filter val="浙江华悦汽车零部件股份有限公"/>
        <filter val="湖南兴天宏实业有限公司"/>
        <filter val="安徽汉升工业部件股份有限公司"/>
        <filter val="山东锐王工业科技有限公司"/>
        <filter val="株洲市华霖机电有限公司"/>
        <filter val="河北安闻汽车零部件有限公司"/>
        <filter val="长春超力内饰件有限公司"/>
        <filter val="醴陵广仁环保科技有限公司"/>
        <filter val="俱泰(上海)汽车零部件有限公司"/>
        <filter val="武汉金悦力化工科技有限公司"/>
        <filter val="上海江川国际贸易有限公司"/>
        <filter val="湖南裕腾兴汽车配件有限公司"/>
        <filter val="北京浦东三浦标准件有限公司"/>
        <filter val="山东鼎昌智能科技有限公司"/>
        <filter val="安路普（北京）汽车技术有限公"/>
        <filter val="景德镇市骏达汽车零部件有限公"/>
        <filter val="沧州宇诺五金制造有限公司"/>
        <filter val="沧州强宇五金制造有限公司"/>
        <filter val="易格斯(上海)拖链系统有限公司"/>
        <filter val="广州吉中汽车内饰系统有限公司"/>
        <filter val="株洲恒博工贸有限公司"/>
        <filter val="黄骅市雍丰塑料制品有限公司"/>
        <filter val="江阴长青工艺品有限公司"/>
        <filter val="厦门凯平化工有限公司"/>
        <filter val="长沙享鑫机械有限公司"/>
        <filter val="黄骅市建昌塑料制品有限公司"/>
        <filter val="武汉德锐隆科技有限公司"/>
        <filter val="河北莫特美橡塑科技有限公司"/>
        <filter val="株洲飞马橡胶实业有限公司"/>
        <filter val="沧州华联钢管有限公司"/>
        <filter val="湘潭市得力焊材有限公司"/>
        <filter val="重庆光大产业有限公司"/>
        <filter val="湖南容正环保科技有限公司"/>
        <filter val="万华化学（烟台）销售有限公司"/>
        <filter val="武汉信测标准技术服务有限公司"/>
        <filter val="湘乡简美工贸有限公司"/>
        <filter val="芜湖金安世腾汽车安全系统有限"/>
        <filter val="霸州市自强汽车零部件厂"/>
        <filter val="广州市耀林汽车装备有限公司"/>
        <filter val="江苏全盛座舱技术股份有限公司"/>
        <filter val="浙江维日托自动化科技有限公司"/>
        <filter val="盐城默成汽车内饰科技有限公司"/>
        <filter val="常州宝虎汽车配件有限公司"/>
        <filter val="湖南蝴蝶智能科技有限公司"/>
        <filter val="武汉凯密科汽车零部件有限公司"/>
        <filter val="宁波威源软件有限公司"/>
        <filter val="广州可卓材料科技有限公司"/>
        <filter val="霸州市政锦五金制品有限公司"/>
        <filter val="吉林省德邦汽车电子有限公司"/>
        <filter val="江阴市诚信模具有限公司"/>
        <filter val="厦门劲亨五金工业有限公司"/>
        <filter val="芜湖市卓人汽车配件有限责任公"/>
        <filter val="胜华波汽车电器（滁州）有限公"/>
        <filter val="麦格纳宏立汽车系统集团有限公"/>
        <filter val="浙江松原汽车安全系统股份有限"/>
        <filter val="广州市耐迪涂料有限公司"/>
        <filter val="江西昌兴汽车配件有限公司"/>
        <filter val="湖南金能安全科技有限责任公司"/>
        <filter val="新梦顶（上海）贸易有限公司"/>
        <filter val="湖南奥瑞格工贸有限公司"/>
        <filter val="浙江龙生汽车部件有限公司"/>
        <filter val="上海秉直精密机械有限公司"/>
        <filter val="重庆聚贤汽车零部件制造有限公"/>
        <filter val="陕西擎创艺汽车零配件制造有限"/>
        <filter val="株洲铖亿轨道交通技术有限"/>
        <filter val="江阴同威科技有限公司"/>
        <filter val="株洲博锐服装辅料有限公司"/>
        <filter val="徐州睿轴琦机械设备有限公司"/>
        <filter val="江西国匠汽车部件有限公司"/>
        <filter val="潍坊鑫腾物流有限公司"/>
        <filter val="天津力登维汽车部件有限公司"/>
        <filter val="上海绽奇汽车部件有限公司"/>
        <filter val="广东佰匠模具科技有限公司"/>
        <filter val="厦门市三友和机械有限公司"/>
        <filter val="景德镇市劲元汽车配件有限公司"/>
        <filter val="深州市安广顺机械配件有限公司"/>
        <filter val="江阴常青模具有限公司"/>
        <filter val="景德镇市凯达汽车配件有限公司"/>
        <filter val="长沙市自翔机械有限公司"/>
        <filter val="深州市晶立泰机械配件有限公司"/>
        <filter val="张家港保税区得英达利化工材料"/>
        <filter val="太航常青汽车安全系统(苏州)股"/>
        <filter val="无锡中天汽车部件有限公司"/>
        <filter val="山东蓝星东大有限公司"/>
        <filter val="江苏忠明祥和精工股份有限公司"/>
        <filter val="广州市三泰汽车内饰材料有限公"/>
        <filter val="维克罗（中国）搭扣系统有限公"/>
        <filter val="永州市巴佛莱特车辆饰件有限公"/>
        <filter val="江阴市达尔安汽车内饰科技"/>
        <filter val="重庆厚元汽车配件有限公司"/>
        <filter val="重庆乐康汽车配件有限公司"/>
        <filter val="重庆幻速汽车配件有限公司"/>
        <filter val="天津鑫淼塑料制品有限公司"/>
        <filter val="上海明芳汽车零件有限公司"/>
        <filter val="重庆市宏立摩托车制造有限公司"/>
        <filter val="无锡永泰模具制造有限公司"/>
        <filter val="常州立天汽车零部件有限公司"/>
        <filter val="株洲诺亿模具制造有限公司"/>
        <filter val="天津琪安科技有限公司"/>
        <filter val="江门东科化工有限公司"/>
        <filter val="慈溪市维克多自控元件有限公司"/>
        <filter val="德清三和塑胶有限公司"/>
        <filter val="长春赛诺汽车材料有限公"/>
        <filter val="黄骅市鑫昌五金制品厂"/>
        <filter val="赵五祥"/>
        <filter val="佳化化学（滨州）有限公司"/>
        <filter val="芜湖海川汽车部件有限公司"/>
        <filter val="株洲诚康实业有限责任公司"/>
        <filter val="上海凯密克新材料有限公司"/>
        <filter val="北京兴达恒源商贸有限公司"/>
        <filter val="广州自强汽车零部件有限公司"/>
        <filter val="昆山佰益通仓储设备有限公司"/>
        <filter val="广州永晔化工科技有限公司"/>
        <filter val="深圳市新和荣无纺布有限公司"/>
        <filter val="上海衡驰化工有限公司"/>
        <filter val="北京江森汽车部件有限公司"/>
        <filter val="黄骅市泽方模具有限公司"/>
        <filter val="深圳市和和机械有限公司"/>
        <filter val="海兴中盛弹簧有限公司"/>
        <filter val="湖南凌天汽车零部件有限公司"/>
        <filter val="株洲恺撒机电有限公司"/>
        <filter val="上海庆利机械设备有限公司"/>
        <filter val="佛吉亚（无锡）座椅部件有限公"/>
        <filter val="江苏万金汽车零部件制造有限公"/>
        <filter val="江西省仁义航空机械加工有限公"/>
        <filter val="山东金达汽车部件制造股份有限"/>
        <filter val="江阴市达尔安汽车内饰科技有限"/>
        <filter val="张家港环球塑料机械厂"/>
        <filter val="沧州临港明康汽车配件有限公司"/>
        <filter val="廊坊市烁鑫汽车配件有限公司"/>
        <filter val="上海菱林自动化科技有限公司"/>
        <filter val="文安县德实汽车配件有限公司"/>
        <filter val="浙江泰极信汽车部件有限公司"/>
        <filter val="东莞市博仪自动化科技有限公司"/>
        <filter val="景德镇市乾立运输有限公司"/>
        <filter val="惠州市唐群座椅科技股份有限公"/>
        <filter val="湖南道同生态环境科技有限公司"/>
        <filter val="黄骅市荣丰塑料模具有限公司"/>
        <filter val="湖南鸿骏机电有限公司"/>
        <filter val="湖南鑫起人力资源管理有限公司"/>
        <filter val="天津国际铁工焊接装备有限公司"/>
        <filter val="湖南博恒机械设备有限公司"/>
        <filter val="湖南中道机械设备有限公司"/>
        <filter val="黄骅市震雄塑料模具有限公司"/>
        <filter val="广州松兴电气股份有限公司"/>
        <filter val="株洲和元智能科技有限公司"/>
        <filter val="湖南金远东汽车部件有限公司"/>
        <filter val="重庆渝融兴汽车配件有限公司"/>
        <filter val="北京美好生活家居用品有限公司"/>
        <filter val="北京市橡塑减震器材厂"/>
        <filter val="湖南精正设备制造有限公司"/>
        <filter val="湘潭市忠强气体有限公司"/>
        <filter val="湖南诺亿科技有限公司"/>
        <filter val="长沙真旺钢铁贸易有限公司"/>
        <filter val="广州熙锐自动化设备有限公司"/>
        <filter val="山东鼎信新材料科技有限公司"/>
        <filter val="株洲博雅实业有限公司"/>
        <filter val="保定兆龙通用电器塑业有限公司"/>
        <filter val="株洲锐昌再生资源有限公司"/>
        <filter val="东莞市双和机车拉索有限公司"/>
        <filter val="新发展（长春）汽车自控系统有"/>
        <filter val="汇阅（上海）新材料科技有限公"/>
        <filter val="湘潭湘和汽车零部件制造有限公"/>
        <filter val="昆山吉山会津塑料工业股份有限"/>
        <filter val="黄骅市正大纺织机械配件厂"/>
        <filter val="泊头市捷润五金制品有限公司"/>
        <filter val="株洲市华龙特种气体有限公司"/>
        <filter val="重庆品高弹簧有限公司"/>
        <filter val="溧阳鑫岩汽车零部件有限公司"/>
        <filter val="黄骅市万昌五金制品有限公司"/>
        <filter val="无锡市康尼化工有限公司"/>
        <filter val="长沙晶丰轻钢结构工程有限公司"/>
        <filter val="浙江光安标准件有限公司"/>
        <filter val="湖南星宇龙机械有限公司"/>
        <filter val="株洲久润物资贸易有限公司"/>
        <filter val="衡阳县标准件厂株洲销售处"/>
        <filter val="长春富维安道拓汽车金属零部件"/>
        <filter val="长沙市跨越物流有限公司"/>
        <filter val="广州添亿高分子材料有限公司"/>
        <filter val="长沙浩睿精密机械有限公司"/>
        <filter val="潍坊光华荣昌汽车技术有限公司"/>
        <filter val="西安光华荣昌汽车部件有限公司"/>
        <filter val="东莞市高泰检测仪器有限公司"/>
        <filter val="黄骅市广亿汽车部件有限公司"/>
        <filter val="清河县沁园汽车零部件有限公司"/>
        <filter val="黄骅市汇铭汽车部件有限公司"/>
        <filter val="霸州市汇行汽车零部件有限公司"/>
      </filters>
    </filterColumn>
    <extLst/>
  </autoFilter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/>
  <dimension ref="A1:P241"/>
  <sheetViews>
    <sheetView workbookViewId="0">
      <pane xSplit="28725" topLeftCell="Q1" activePane="topLeft"/>
      <selection activeCell="H24" sqref="H24"/>
      <selection pane="topRight"/>
    </sheetView>
  </sheetViews>
  <sheetFormatPr defaultColWidth="8" defaultRowHeight="12.75"/>
  <cols>
    <col min="1" max="1" width="7.75" style="22" customWidth="1"/>
    <col min="2" max="2" width="15.75" style="22" customWidth="1"/>
    <col min="3" max="3" width="9.375" style="22" customWidth="1"/>
    <col min="4" max="4" width="23.125" style="22" customWidth="1"/>
    <col min="5" max="6" width="7.75" style="22" customWidth="1"/>
    <col min="7" max="7" width="8.125" style="22" customWidth="1"/>
    <col min="8" max="8" width="10.75" style="22" customWidth="1"/>
    <col min="9" max="10" width="12.375" style="22" customWidth="1"/>
    <col min="11" max="12" width="10.875" style="22" customWidth="1"/>
    <col min="13" max="13" width="8.125" style="22" customWidth="1"/>
    <col min="14" max="14" width="10.75" style="22" customWidth="1"/>
    <col min="15" max="15" width="12.25" style="22"/>
    <col min="16" max="16" width="26.875" style="22" customWidth="1"/>
    <col min="17" max="16384" width="8" style="22"/>
  </cols>
  <sheetData>
    <row r="1" s="22" customFormat="1" spans="1:14">
      <c r="A1" s="23" t="s">
        <v>429</v>
      </c>
      <c r="B1" s="23" t="s">
        <v>430</v>
      </c>
      <c r="C1" s="23" t="s">
        <v>431</v>
      </c>
      <c r="D1" s="23" t="s">
        <v>432</v>
      </c>
      <c r="E1" s="23" t="s">
        <v>433</v>
      </c>
      <c r="F1" s="23" t="s">
        <v>434</v>
      </c>
      <c r="G1" s="23" t="s">
        <v>435</v>
      </c>
      <c r="H1" s="24" t="s">
        <v>436</v>
      </c>
      <c r="I1" s="24" t="s">
        <v>437</v>
      </c>
      <c r="J1" s="24" t="s">
        <v>438</v>
      </c>
      <c r="K1" s="24" t="s">
        <v>439</v>
      </c>
      <c r="L1" s="24" t="s">
        <v>440</v>
      </c>
      <c r="M1" s="23" t="s">
        <v>435</v>
      </c>
      <c r="N1" s="24" t="s">
        <v>441</v>
      </c>
    </row>
    <row r="2" s="22" customFormat="1" ht="15" customHeight="1" spans="1:14">
      <c r="A2" s="25" t="s">
        <v>41</v>
      </c>
      <c r="B2" s="28" t="s">
        <v>41</v>
      </c>
      <c r="C2" s="25" t="s">
        <v>41</v>
      </c>
      <c r="D2" s="28" t="s">
        <v>41</v>
      </c>
      <c r="E2" s="25" t="s">
        <v>41</v>
      </c>
      <c r="F2" s="25" t="s">
        <v>443</v>
      </c>
      <c r="G2" s="25" t="s">
        <v>41</v>
      </c>
      <c r="H2" s="76">
        <v>-33520679.43</v>
      </c>
      <c r="I2" s="76">
        <v>18131604.69</v>
      </c>
      <c r="J2" s="76">
        <v>21109871.01</v>
      </c>
      <c r="K2" s="76">
        <v>74974076.08</v>
      </c>
      <c r="L2" s="76">
        <v>81638725.11</v>
      </c>
      <c r="M2" s="25" t="s">
        <v>41</v>
      </c>
      <c r="N2" s="76">
        <v>-36498945.75</v>
      </c>
    </row>
    <row r="3" s="22" customFormat="1" ht="15" customHeight="1" spans="1:14">
      <c r="A3" s="29" t="s">
        <v>444</v>
      </c>
      <c r="B3" s="32" t="s">
        <v>445</v>
      </c>
      <c r="C3" s="29" t="s">
        <v>41</v>
      </c>
      <c r="D3" s="32" t="s">
        <v>41</v>
      </c>
      <c r="E3" s="29" t="s">
        <v>492</v>
      </c>
      <c r="F3" s="29" t="s">
        <v>443</v>
      </c>
      <c r="G3" s="29" t="s">
        <v>447</v>
      </c>
      <c r="H3" s="77">
        <v>0</v>
      </c>
      <c r="I3" s="77">
        <v>1624620.14</v>
      </c>
      <c r="J3" s="77">
        <v>1624620.14</v>
      </c>
      <c r="K3" s="77">
        <v>12411383.28</v>
      </c>
      <c r="L3" s="77">
        <v>12411383.28</v>
      </c>
      <c r="M3" s="29" t="s">
        <v>447</v>
      </c>
      <c r="N3" s="77">
        <v>0</v>
      </c>
    </row>
    <row r="4" s="22" customFormat="1" ht="15" customHeight="1" spans="1:16">
      <c r="A4" s="25" t="s">
        <v>444</v>
      </c>
      <c r="B4" s="28" t="s">
        <v>445</v>
      </c>
      <c r="C4" s="25" t="s">
        <v>41</v>
      </c>
      <c r="D4" s="28" t="s">
        <v>493</v>
      </c>
      <c r="E4" s="25" t="s">
        <v>41</v>
      </c>
      <c r="F4" s="25" t="s">
        <v>443</v>
      </c>
      <c r="G4" s="25" t="s">
        <v>489</v>
      </c>
      <c r="H4" s="76">
        <v>0</v>
      </c>
      <c r="I4" s="76">
        <v>0</v>
      </c>
      <c r="J4" s="76">
        <v>0</v>
      </c>
      <c r="K4" s="76">
        <v>0</v>
      </c>
      <c r="L4" s="76">
        <v>0</v>
      </c>
      <c r="M4" s="25" t="s">
        <v>489</v>
      </c>
      <c r="N4" s="76">
        <v>0</v>
      </c>
      <c r="O4" s="22">
        <f t="shared" ref="O4:O67" si="0">IF(M4="贷",N4,-N4)</f>
        <v>0</v>
      </c>
      <c r="P4" s="78" t="str">
        <f>IF(O4=0,"",_xlfn.XLOOKUP(D4,'6月份计划'!A:A,'6月份计划'!A:A))</f>
        <v/>
      </c>
    </row>
    <row r="5" s="22" customFormat="1" ht="15" customHeight="1" spans="1:16">
      <c r="A5" s="25" t="s">
        <v>444</v>
      </c>
      <c r="B5" s="28" t="s">
        <v>445</v>
      </c>
      <c r="C5" s="25" t="s">
        <v>41</v>
      </c>
      <c r="D5" s="28" t="s">
        <v>446</v>
      </c>
      <c r="E5" s="25" t="s">
        <v>41</v>
      </c>
      <c r="F5" s="25" t="s">
        <v>443</v>
      </c>
      <c r="G5" s="25" t="s">
        <v>447</v>
      </c>
      <c r="H5" s="76">
        <v>16378529.46</v>
      </c>
      <c r="I5" s="76">
        <v>0</v>
      </c>
      <c r="J5" s="76">
        <v>980362.31</v>
      </c>
      <c r="K5" s="76">
        <v>0</v>
      </c>
      <c r="L5" s="76">
        <v>8953955.2</v>
      </c>
      <c r="M5" s="25" t="s">
        <v>447</v>
      </c>
      <c r="N5" s="76">
        <v>17358891.77</v>
      </c>
      <c r="O5" s="22">
        <f t="shared" si="0"/>
        <v>17358891.77</v>
      </c>
      <c r="P5" s="78" t="e">
        <f>IF(O5=0,"",_xlfn.XLOOKUP(D5,'6月份计划'!A:A,'6月份计划'!A:A))</f>
        <v>#N/A</v>
      </c>
    </row>
    <row r="6" s="22" customFormat="1" ht="15" customHeight="1" spans="1:16">
      <c r="A6" s="29" t="s">
        <v>444</v>
      </c>
      <c r="B6" s="32" t="s">
        <v>445</v>
      </c>
      <c r="C6" s="29" t="s">
        <v>41</v>
      </c>
      <c r="D6" s="32" t="s">
        <v>414</v>
      </c>
      <c r="E6" s="29" t="s">
        <v>41</v>
      </c>
      <c r="F6" s="29" t="s">
        <v>443</v>
      </c>
      <c r="G6" s="29" t="s">
        <v>489</v>
      </c>
      <c r="H6" s="77">
        <v>0</v>
      </c>
      <c r="I6" s="77">
        <v>0</v>
      </c>
      <c r="J6" s="77">
        <v>0</v>
      </c>
      <c r="K6" s="77">
        <v>0</v>
      </c>
      <c r="L6" s="77">
        <v>0</v>
      </c>
      <c r="M6" s="29" t="s">
        <v>489</v>
      </c>
      <c r="N6" s="77">
        <v>0</v>
      </c>
      <c r="O6" s="22">
        <f t="shared" si="0"/>
        <v>0</v>
      </c>
      <c r="P6" s="78" t="str">
        <f>IF(O6=0,"",_xlfn.XLOOKUP(D6,'6月份计划'!A:A,'6月份计划'!A:A))</f>
        <v/>
      </c>
    </row>
    <row r="7" s="22" customFormat="1" ht="15" customHeight="1" spans="1:16">
      <c r="A7" s="25" t="s">
        <v>444</v>
      </c>
      <c r="B7" s="28" t="s">
        <v>445</v>
      </c>
      <c r="C7" s="25" t="s">
        <v>41</v>
      </c>
      <c r="D7" s="28" t="s">
        <v>448</v>
      </c>
      <c r="E7" s="25" t="s">
        <v>41</v>
      </c>
      <c r="F7" s="25" t="s">
        <v>443</v>
      </c>
      <c r="G7" s="25" t="s">
        <v>447</v>
      </c>
      <c r="H7" s="76">
        <v>80.3</v>
      </c>
      <c r="I7" s="76">
        <v>0</v>
      </c>
      <c r="J7" s="76">
        <v>0</v>
      </c>
      <c r="K7" s="76">
        <v>0</v>
      </c>
      <c r="L7" s="76">
        <v>0</v>
      </c>
      <c r="M7" s="25" t="s">
        <v>447</v>
      </c>
      <c r="N7" s="76">
        <v>80.3</v>
      </c>
      <c r="O7" s="22">
        <f t="shared" si="0"/>
        <v>80.3</v>
      </c>
      <c r="P7" s="78" t="e">
        <f>IF(O7=0,"",_xlfn.XLOOKUP(D7,'6月份计划'!A:A,'6月份计划'!A:A))</f>
        <v>#N/A</v>
      </c>
    </row>
    <row r="8" s="22" customFormat="1" ht="15" customHeight="1" spans="1:16">
      <c r="A8" s="29" t="s">
        <v>444</v>
      </c>
      <c r="B8" s="32" t="s">
        <v>445</v>
      </c>
      <c r="C8" s="29" t="s">
        <v>41</v>
      </c>
      <c r="D8" s="32" t="s">
        <v>494</v>
      </c>
      <c r="E8" s="29" t="s">
        <v>41</v>
      </c>
      <c r="F8" s="29" t="s">
        <v>443</v>
      </c>
      <c r="G8" s="29" t="s">
        <v>489</v>
      </c>
      <c r="H8" s="77">
        <v>0</v>
      </c>
      <c r="I8" s="77">
        <v>0</v>
      </c>
      <c r="J8" s="77">
        <v>0</v>
      </c>
      <c r="K8" s="77">
        <v>0</v>
      </c>
      <c r="L8" s="77">
        <v>0</v>
      </c>
      <c r="M8" s="29" t="s">
        <v>489</v>
      </c>
      <c r="N8" s="77">
        <v>0</v>
      </c>
      <c r="O8" s="22">
        <f t="shared" si="0"/>
        <v>0</v>
      </c>
      <c r="P8" s="78" t="str">
        <f>IF(O8=0,"",_xlfn.XLOOKUP(D8,'6月份计划'!A:A,'6月份计划'!A:A))</f>
        <v/>
      </c>
    </row>
    <row r="9" s="22" customFormat="1" ht="15" customHeight="1" spans="1:16">
      <c r="A9" s="25" t="s">
        <v>444</v>
      </c>
      <c r="B9" s="28" t="s">
        <v>445</v>
      </c>
      <c r="C9" s="25" t="s">
        <v>41</v>
      </c>
      <c r="D9" s="28" t="s">
        <v>495</v>
      </c>
      <c r="E9" s="25" t="s">
        <v>41</v>
      </c>
      <c r="F9" s="25" t="s">
        <v>443</v>
      </c>
      <c r="G9" s="25" t="s">
        <v>489</v>
      </c>
      <c r="H9" s="76">
        <v>0</v>
      </c>
      <c r="I9" s="76">
        <v>0</v>
      </c>
      <c r="J9" s="76">
        <v>0</v>
      </c>
      <c r="K9" s="76">
        <v>0</v>
      </c>
      <c r="L9" s="76">
        <v>0</v>
      </c>
      <c r="M9" s="25" t="s">
        <v>489</v>
      </c>
      <c r="N9" s="76">
        <v>0</v>
      </c>
      <c r="O9" s="22">
        <f t="shared" si="0"/>
        <v>0</v>
      </c>
      <c r="P9" s="78" t="str">
        <f>IF(O9=0,"",_xlfn.XLOOKUP(D9,'6月份计划'!A:A,'6月份计划'!A:A))</f>
        <v/>
      </c>
    </row>
    <row r="10" s="22" customFormat="1" ht="15" customHeight="1" spans="1:16">
      <c r="A10" s="29" t="s">
        <v>444</v>
      </c>
      <c r="B10" s="32" t="s">
        <v>445</v>
      </c>
      <c r="C10" s="29" t="s">
        <v>41</v>
      </c>
      <c r="D10" s="32" t="s">
        <v>449</v>
      </c>
      <c r="E10" s="29" t="s">
        <v>41</v>
      </c>
      <c r="F10" s="29" t="s">
        <v>443</v>
      </c>
      <c r="G10" s="29" t="s">
        <v>447</v>
      </c>
      <c r="H10" s="77">
        <v>23367.17</v>
      </c>
      <c r="I10" s="77">
        <v>0</v>
      </c>
      <c r="J10" s="77">
        <v>0</v>
      </c>
      <c r="K10" s="77">
        <v>0</v>
      </c>
      <c r="L10" s="77">
        <v>0</v>
      </c>
      <c r="M10" s="29" t="s">
        <v>447</v>
      </c>
      <c r="N10" s="77">
        <v>23367.17</v>
      </c>
      <c r="O10" s="22">
        <f t="shared" si="0"/>
        <v>23367.17</v>
      </c>
      <c r="P10" s="78" t="e">
        <f>IF(O10=0,"",_xlfn.XLOOKUP(D10,'6月份计划'!A:A,'6月份计划'!A:A))</f>
        <v>#N/A</v>
      </c>
    </row>
    <row r="11" s="22" customFormat="1" ht="15" customHeight="1" spans="1:16">
      <c r="A11" s="25" t="s">
        <v>444</v>
      </c>
      <c r="B11" s="28" t="s">
        <v>445</v>
      </c>
      <c r="C11" s="25" t="s">
        <v>41</v>
      </c>
      <c r="D11" s="28" t="s">
        <v>450</v>
      </c>
      <c r="E11" s="25" t="s">
        <v>41</v>
      </c>
      <c r="F11" s="25" t="s">
        <v>443</v>
      </c>
      <c r="G11" s="25" t="s">
        <v>447</v>
      </c>
      <c r="H11" s="76">
        <v>9685.4</v>
      </c>
      <c r="I11" s="76">
        <v>0</v>
      </c>
      <c r="J11" s="76">
        <v>0</v>
      </c>
      <c r="K11" s="76">
        <v>0</v>
      </c>
      <c r="L11" s="76">
        <v>0</v>
      </c>
      <c r="M11" s="25" t="s">
        <v>447</v>
      </c>
      <c r="N11" s="76">
        <v>9685.4</v>
      </c>
      <c r="O11" s="22">
        <f t="shared" si="0"/>
        <v>9685.4</v>
      </c>
      <c r="P11" s="78" t="e">
        <f>IF(O11=0,"",_xlfn.XLOOKUP(D11,'6月份计划'!A:A,'6月份计划'!A:A))</f>
        <v>#N/A</v>
      </c>
    </row>
    <row r="12" s="22" customFormat="1" ht="15" customHeight="1" spans="1:16">
      <c r="A12" s="29" t="s">
        <v>444</v>
      </c>
      <c r="B12" s="32" t="s">
        <v>445</v>
      </c>
      <c r="C12" s="29" t="s">
        <v>41</v>
      </c>
      <c r="D12" s="32" t="s">
        <v>241</v>
      </c>
      <c r="E12" s="29" t="s">
        <v>41</v>
      </c>
      <c r="F12" s="29" t="s">
        <v>443</v>
      </c>
      <c r="G12" s="29" t="s">
        <v>447</v>
      </c>
      <c r="H12" s="77">
        <v>60978.3</v>
      </c>
      <c r="I12" s="77">
        <v>40000</v>
      </c>
      <c r="J12" s="77">
        <v>23708.98</v>
      </c>
      <c r="K12" s="77">
        <v>562419.7</v>
      </c>
      <c r="L12" s="77">
        <v>184687.28</v>
      </c>
      <c r="M12" s="29" t="s">
        <v>447</v>
      </c>
      <c r="N12" s="77">
        <v>44687.28</v>
      </c>
      <c r="O12" s="22">
        <f t="shared" si="0"/>
        <v>44687.28</v>
      </c>
      <c r="P12" s="78" t="str">
        <f>IF(O12=0,"",_xlfn.XLOOKUP(D12,'6月份计划'!A:A,'6月份计划'!A:A))</f>
        <v>天津琪安科技有限公司</v>
      </c>
    </row>
    <row r="13" s="22" customFormat="1" ht="15" customHeight="1" spans="1:16">
      <c r="A13" s="25" t="s">
        <v>444</v>
      </c>
      <c r="B13" s="28" t="s">
        <v>445</v>
      </c>
      <c r="C13" s="25" t="s">
        <v>41</v>
      </c>
      <c r="D13" s="28" t="s">
        <v>242</v>
      </c>
      <c r="E13" s="25" t="s">
        <v>41</v>
      </c>
      <c r="F13" s="25" t="s">
        <v>443</v>
      </c>
      <c r="G13" s="25" t="s">
        <v>447</v>
      </c>
      <c r="H13" s="76">
        <v>96001.91</v>
      </c>
      <c r="I13" s="76">
        <v>50000</v>
      </c>
      <c r="J13" s="76">
        <v>21952.92</v>
      </c>
      <c r="K13" s="76">
        <v>289588.75</v>
      </c>
      <c r="L13" s="76">
        <v>167954.83</v>
      </c>
      <c r="M13" s="25" t="s">
        <v>447</v>
      </c>
      <c r="N13" s="76">
        <v>67954.83</v>
      </c>
      <c r="O13" s="22">
        <f t="shared" si="0"/>
        <v>67954.83</v>
      </c>
      <c r="P13" s="78" t="str">
        <f>IF(O13=0,"",_xlfn.XLOOKUP(D13,'6月份计划'!A:A,'6月份计划'!A:A))</f>
        <v>黄骅市广亿汽车部件有限公司</v>
      </c>
    </row>
    <row r="14" s="22" customFormat="1" ht="15" customHeight="1" spans="1:16">
      <c r="A14" s="29" t="s">
        <v>444</v>
      </c>
      <c r="B14" s="32" t="s">
        <v>445</v>
      </c>
      <c r="C14" s="29" t="s">
        <v>41</v>
      </c>
      <c r="D14" s="32" t="s">
        <v>496</v>
      </c>
      <c r="E14" s="29" t="s">
        <v>41</v>
      </c>
      <c r="F14" s="29" t="s">
        <v>443</v>
      </c>
      <c r="G14" s="29" t="s">
        <v>489</v>
      </c>
      <c r="H14" s="77">
        <v>0</v>
      </c>
      <c r="I14" s="77">
        <v>0</v>
      </c>
      <c r="J14" s="77">
        <v>0</v>
      </c>
      <c r="K14" s="77">
        <v>0</v>
      </c>
      <c r="L14" s="77">
        <v>0</v>
      </c>
      <c r="M14" s="29" t="s">
        <v>489</v>
      </c>
      <c r="N14" s="77">
        <v>0</v>
      </c>
      <c r="O14" s="22">
        <f t="shared" si="0"/>
        <v>0</v>
      </c>
      <c r="P14" s="78" t="str">
        <f>IF(O14=0,"",_xlfn.XLOOKUP(D14,'6月份计划'!A:A,'6月份计划'!A:A))</f>
        <v/>
      </c>
    </row>
    <row r="15" s="22" customFormat="1" ht="15" customHeight="1" spans="1:16">
      <c r="A15" s="25" t="s">
        <v>444</v>
      </c>
      <c r="B15" s="28" t="s">
        <v>445</v>
      </c>
      <c r="C15" s="25" t="s">
        <v>41</v>
      </c>
      <c r="D15" s="28" t="s">
        <v>243</v>
      </c>
      <c r="E15" s="25" t="s">
        <v>41</v>
      </c>
      <c r="F15" s="25" t="s">
        <v>443</v>
      </c>
      <c r="G15" s="25" t="s">
        <v>447</v>
      </c>
      <c r="H15" s="76">
        <v>112578.13</v>
      </c>
      <c r="I15" s="76">
        <v>20000</v>
      </c>
      <c r="J15" s="76">
        <v>0</v>
      </c>
      <c r="K15" s="76">
        <v>147350.41</v>
      </c>
      <c r="L15" s="76">
        <v>129486.41</v>
      </c>
      <c r="M15" s="25" t="s">
        <v>447</v>
      </c>
      <c r="N15" s="76">
        <v>92578.13</v>
      </c>
      <c r="O15" s="22">
        <f t="shared" si="0"/>
        <v>92578.13</v>
      </c>
      <c r="P15" s="78" t="str">
        <f>IF(O15=0,"",_xlfn.XLOOKUP(D15,'6月份计划'!A:A,'6月份计划'!A:A))</f>
        <v>霸州市自强汽车零部件厂</v>
      </c>
    </row>
    <row r="16" s="22" customFormat="1" ht="15" customHeight="1" spans="1:16">
      <c r="A16" s="29" t="s">
        <v>444</v>
      </c>
      <c r="B16" s="32" t="s">
        <v>445</v>
      </c>
      <c r="C16" s="29" t="s">
        <v>41</v>
      </c>
      <c r="D16" s="32" t="s">
        <v>297</v>
      </c>
      <c r="E16" s="29" t="s">
        <v>41</v>
      </c>
      <c r="F16" s="29" t="s">
        <v>443</v>
      </c>
      <c r="G16" s="29" t="s">
        <v>447</v>
      </c>
      <c r="H16" s="77">
        <v>13615.37</v>
      </c>
      <c r="I16" s="77">
        <v>0</v>
      </c>
      <c r="J16" s="77">
        <v>11718.84</v>
      </c>
      <c r="K16" s="77">
        <v>50158.62</v>
      </c>
      <c r="L16" s="77">
        <v>29002.19</v>
      </c>
      <c r="M16" s="29" t="s">
        <v>447</v>
      </c>
      <c r="N16" s="77">
        <v>25334.21</v>
      </c>
      <c r="O16" s="22">
        <f t="shared" si="0"/>
        <v>25334.21</v>
      </c>
      <c r="P16" s="78" t="str">
        <f>IF(O16=0,"",_xlfn.XLOOKUP(D16,'6月份计划'!A:A,'6月份计划'!A:A))</f>
        <v>海兴中盛弹簧有限公司</v>
      </c>
    </row>
    <row r="17" s="22" customFormat="1" ht="15" customHeight="1" spans="1:16">
      <c r="A17" s="25" t="s">
        <v>444</v>
      </c>
      <c r="B17" s="28" t="s">
        <v>445</v>
      </c>
      <c r="C17" s="25" t="s">
        <v>41</v>
      </c>
      <c r="D17" s="28" t="s">
        <v>497</v>
      </c>
      <c r="E17" s="25" t="s">
        <v>41</v>
      </c>
      <c r="F17" s="25" t="s">
        <v>443</v>
      </c>
      <c r="G17" s="25" t="s">
        <v>489</v>
      </c>
      <c r="H17" s="76">
        <v>0</v>
      </c>
      <c r="I17" s="76">
        <v>0</v>
      </c>
      <c r="J17" s="76">
        <v>0</v>
      </c>
      <c r="K17" s="76">
        <v>0</v>
      </c>
      <c r="L17" s="76">
        <v>0</v>
      </c>
      <c r="M17" s="25" t="s">
        <v>489</v>
      </c>
      <c r="N17" s="76">
        <v>0</v>
      </c>
      <c r="O17" s="22">
        <f t="shared" si="0"/>
        <v>0</v>
      </c>
      <c r="P17" s="78" t="str">
        <f>IF(O17=0,"",_xlfn.XLOOKUP(D17,'6月份计划'!A:A,'6月份计划'!A:A))</f>
        <v/>
      </c>
    </row>
    <row r="18" s="22" customFormat="1" ht="15" customHeight="1" spans="1:16">
      <c r="A18" s="29" t="s">
        <v>444</v>
      </c>
      <c r="B18" s="32" t="s">
        <v>445</v>
      </c>
      <c r="C18" s="29" t="s">
        <v>41</v>
      </c>
      <c r="D18" s="32" t="s">
        <v>498</v>
      </c>
      <c r="E18" s="29" t="s">
        <v>41</v>
      </c>
      <c r="F18" s="29" t="s">
        <v>443</v>
      </c>
      <c r="G18" s="29" t="s">
        <v>489</v>
      </c>
      <c r="H18" s="77">
        <v>0</v>
      </c>
      <c r="I18" s="77">
        <v>0</v>
      </c>
      <c r="J18" s="77">
        <v>0</v>
      </c>
      <c r="K18" s="77">
        <v>0</v>
      </c>
      <c r="L18" s="77">
        <v>0</v>
      </c>
      <c r="M18" s="29" t="s">
        <v>489</v>
      </c>
      <c r="N18" s="77">
        <v>0</v>
      </c>
      <c r="O18" s="22">
        <f t="shared" si="0"/>
        <v>0</v>
      </c>
      <c r="P18" s="78" t="str">
        <f>IF(O18=0,"",_xlfn.XLOOKUP(D18,'6月份计划'!A:A,'6月份计划'!A:A))</f>
        <v/>
      </c>
    </row>
    <row r="19" s="22" customFormat="1" ht="15" customHeight="1" spans="1:16">
      <c r="A19" s="25" t="s">
        <v>444</v>
      </c>
      <c r="B19" s="28" t="s">
        <v>445</v>
      </c>
      <c r="C19" s="25" t="s">
        <v>41</v>
      </c>
      <c r="D19" s="28" t="s">
        <v>451</v>
      </c>
      <c r="E19" s="25" t="s">
        <v>41</v>
      </c>
      <c r="F19" s="25" t="s">
        <v>443</v>
      </c>
      <c r="G19" s="25" t="s">
        <v>447</v>
      </c>
      <c r="H19" s="76">
        <v>28403004.46</v>
      </c>
      <c r="I19" s="76">
        <v>0</v>
      </c>
      <c r="J19" s="76">
        <v>0</v>
      </c>
      <c r="K19" s="76">
        <v>700000</v>
      </c>
      <c r="L19" s="76">
        <v>-192809</v>
      </c>
      <c r="M19" s="25" t="s">
        <v>447</v>
      </c>
      <c r="N19" s="76">
        <v>28403004.46</v>
      </c>
      <c r="O19" s="22">
        <f t="shared" si="0"/>
        <v>28403004.46</v>
      </c>
      <c r="P19" s="78" t="e">
        <f>IF(O19=0,"",_xlfn.XLOOKUP(D19,'6月份计划'!A:A,'6月份计划'!A:A))</f>
        <v>#N/A</v>
      </c>
    </row>
    <row r="20" s="22" customFormat="1" ht="15" customHeight="1" spans="1:16">
      <c r="A20" s="29" t="s">
        <v>444</v>
      </c>
      <c r="B20" s="32" t="s">
        <v>445</v>
      </c>
      <c r="C20" s="29" t="s">
        <v>41</v>
      </c>
      <c r="D20" s="32" t="s">
        <v>499</v>
      </c>
      <c r="E20" s="29" t="s">
        <v>41</v>
      </c>
      <c r="F20" s="29" t="s">
        <v>443</v>
      </c>
      <c r="G20" s="29" t="s">
        <v>489</v>
      </c>
      <c r="H20" s="77">
        <v>0</v>
      </c>
      <c r="I20" s="77">
        <v>0</v>
      </c>
      <c r="J20" s="77">
        <v>0</v>
      </c>
      <c r="K20" s="77">
        <v>0</v>
      </c>
      <c r="L20" s="77">
        <v>0</v>
      </c>
      <c r="M20" s="29" t="s">
        <v>489</v>
      </c>
      <c r="N20" s="77">
        <v>0</v>
      </c>
      <c r="O20" s="22">
        <f t="shared" si="0"/>
        <v>0</v>
      </c>
      <c r="P20" s="78" t="str">
        <f>IF(O20=0,"",_xlfn.XLOOKUP(D20,'6月份计划'!A:A,'6月份计划'!A:A))</f>
        <v/>
      </c>
    </row>
    <row r="21" s="22" customFormat="1" ht="15" customHeight="1" spans="1:16">
      <c r="A21" s="25" t="s">
        <v>444</v>
      </c>
      <c r="B21" s="28" t="s">
        <v>445</v>
      </c>
      <c r="C21" s="25" t="s">
        <v>41</v>
      </c>
      <c r="D21" s="28" t="s">
        <v>500</v>
      </c>
      <c r="E21" s="25" t="s">
        <v>41</v>
      </c>
      <c r="F21" s="25" t="s">
        <v>443</v>
      </c>
      <c r="G21" s="25" t="s">
        <v>489</v>
      </c>
      <c r="H21" s="76">
        <v>0</v>
      </c>
      <c r="I21" s="76">
        <v>0</v>
      </c>
      <c r="J21" s="76">
        <v>0</v>
      </c>
      <c r="K21" s="76">
        <v>0</v>
      </c>
      <c r="L21" s="76">
        <v>0</v>
      </c>
      <c r="M21" s="25" t="s">
        <v>489</v>
      </c>
      <c r="N21" s="76">
        <v>0</v>
      </c>
      <c r="O21" s="22">
        <f t="shared" si="0"/>
        <v>0</v>
      </c>
      <c r="P21" s="78" t="str">
        <f>IF(O21=0,"",_xlfn.XLOOKUP(D21,'6月份计划'!A:A,'6月份计划'!A:A))</f>
        <v/>
      </c>
    </row>
    <row r="22" s="22" customFormat="1" ht="15" customHeight="1" spans="1:16">
      <c r="A22" s="29" t="s">
        <v>444</v>
      </c>
      <c r="B22" s="32" t="s">
        <v>445</v>
      </c>
      <c r="C22" s="29" t="s">
        <v>41</v>
      </c>
      <c r="D22" s="32" t="s">
        <v>244</v>
      </c>
      <c r="E22" s="29" t="s">
        <v>41</v>
      </c>
      <c r="F22" s="29" t="s">
        <v>443</v>
      </c>
      <c r="G22" s="29" t="s">
        <v>447</v>
      </c>
      <c r="H22" s="77">
        <v>113483.98</v>
      </c>
      <c r="I22" s="77">
        <v>50000</v>
      </c>
      <c r="J22" s="77">
        <v>18425.55</v>
      </c>
      <c r="K22" s="77">
        <v>422055.59</v>
      </c>
      <c r="L22" s="77">
        <v>210511.2</v>
      </c>
      <c r="M22" s="29" t="s">
        <v>447</v>
      </c>
      <c r="N22" s="77">
        <v>81909.53</v>
      </c>
      <c r="O22" s="22">
        <f t="shared" si="0"/>
        <v>81909.53</v>
      </c>
      <c r="P22" s="78" t="str">
        <f>IF(O22=0,"",_xlfn.XLOOKUP(D22,'6月份计划'!A:A,'6月份计划'!A:A))</f>
        <v>沧州临港明康汽车配件有限公司</v>
      </c>
    </row>
    <row r="23" s="22" customFormat="1" ht="15" customHeight="1" spans="1:16">
      <c r="A23" s="25" t="s">
        <v>444</v>
      </c>
      <c r="B23" s="28" t="s">
        <v>445</v>
      </c>
      <c r="C23" s="25" t="s">
        <v>41</v>
      </c>
      <c r="D23" s="28" t="s">
        <v>245</v>
      </c>
      <c r="E23" s="25" t="s">
        <v>41</v>
      </c>
      <c r="F23" s="25" t="s">
        <v>443</v>
      </c>
      <c r="G23" s="25" t="s">
        <v>447</v>
      </c>
      <c r="H23" s="76">
        <v>128791.43</v>
      </c>
      <c r="I23" s="76">
        <v>50000</v>
      </c>
      <c r="J23" s="76">
        <v>32444.38</v>
      </c>
      <c r="K23" s="76">
        <v>349395</v>
      </c>
      <c r="L23" s="76">
        <v>232613.16</v>
      </c>
      <c r="M23" s="25" t="s">
        <v>447</v>
      </c>
      <c r="N23" s="76">
        <v>111235.81</v>
      </c>
      <c r="O23" s="22">
        <f t="shared" si="0"/>
        <v>111235.81</v>
      </c>
      <c r="P23" s="78" t="str">
        <f>IF(O23=0,"",_xlfn.XLOOKUP(D23,'6月份计划'!A:A,'6月份计划'!A:A))</f>
        <v>黄骅市建昌塑料制品有限公司</v>
      </c>
    </row>
    <row r="24" s="22" customFormat="1" ht="15" customHeight="1" spans="1:16">
      <c r="A24" s="29" t="s">
        <v>444</v>
      </c>
      <c r="B24" s="32" t="s">
        <v>445</v>
      </c>
      <c r="C24" s="29" t="s">
        <v>41</v>
      </c>
      <c r="D24" s="32" t="s">
        <v>283</v>
      </c>
      <c r="E24" s="29" t="s">
        <v>41</v>
      </c>
      <c r="F24" s="29" t="s">
        <v>443</v>
      </c>
      <c r="G24" s="29" t="s">
        <v>447</v>
      </c>
      <c r="H24" s="77">
        <v>33189.12</v>
      </c>
      <c r="I24" s="77">
        <v>11526</v>
      </c>
      <c r="J24" s="77">
        <v>8532.8</v>
      </c>
      <c r="K24" s="77">
        <v>43222.26</v>
      </c>
      <c r="L24" s="77">
        <v>50366.42</v>
      </c>
      <c r="M24" s="29" t="s">
        <v>447</v>
      </c>
      <c r="N24" s="77">
        <v>30195.92</v>
      </c>
      <c r="O24" s="22">
        <f t="shared" si="0"/>
        <v>30195.92</v>
      </c>
      <c r="P24" s="78" t="str">
        <f>IF(O24=0,"",_xlfn.XLOOKUP(D24,'6月份计划'!A:A,'6月份计划'!A:A))</f>
        <v>黄骅市成卓汽车部件厂</v>
      </c>
    </row>
    <row r="25" s="22" customFormat="1" ht="15" customHeight="1" spans="1:16">
      <c r="A25" s="25" t="s">
        <v>444</v>
      </c>
      <c r="B25" s="28" t="s">
        <v>445</v>
      </c>
      <c r="C25" s="25" t="s">
        <v>41</v>
      </c>
      <c r="D25" s="28" t="s">
        <v>501</v>
      </c>
      <c r="E25" s="25" t="s">
        <v>41</v>
      </c>
      <c r="F25" s="25" t="s">
        <v>443</v>
      </c>
      <c r="G25" s="25" t="s">
        <v>489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25" t="s">
        <v>489</v>
      </c>
      <c r="N25" s="76">
        <v>0</v>
      </c>
      <c r="O25" s="22">
        <f t="shared" si="0"/>
        <v>0</v>
      </c>
      <c r="P25" s="78" t="str">
        <f>IF(O25=0,"",_xlfn.XLOOKUP(D25,'6月份计划'!A:A,'6月份计划'!A:A))</f>
        <v/>
      </c>
    </row>
    <row r="26" s="22" customFormat="1" ht="15" customHeight="1" spans="1:16">
      <c r="A26" s="29" t="s">
        <v>444</v>
      </c>
      <c r="B26" s="32" t="s">
        <v>445</v>
      </c>
      <c r="C26" s="29" t="s">
        <v>41</v>
      </c>
      <c r="D26" s="32" t="s">
        <v>502</v>
      </c>
      <c r="E26" s="29" t="s">
        <v>41</v>
      </c>
      <c r="F26" s="29" t="s">
        <v>443</v>
      </c>
      <c r="G26" s="29" t="s">
        <v>489</v>
      </c>
      <c r="H26" s="77">
        <v>0</v>
      </c>
      <c r="I26" s="77">
        <v>0</v>
      </c>
      <c r="J26" s="77">
        <v>0</v>
      </c>
      <c r="K26" s="77">
        <v>0</v>
      </c>
      <c r="L26" s="77">
        <v>0</v>
      </c>
      <c r="M26" s="29" t="s">
        <v>489</v>
      </c>
      <c r="N26" s="77">
        <v>0</v>
      </c>
      <c r="O26" s="22">
        <f t="shared" si="0"/>
        <v>0</v>
      </c>
      <c r="P26" s="78" t="str">
        <f>IF(O26=0,"",_xlfn.XLOOKUP(D26,'6月份计划'!A:A,'6月份计划'!A:A))</f>
        <v/>
      </c>
    </row>
    <row r="27" s="22" customFormat="1" ht="15" customHeight="1" spans="1:16">
      <c r="A27" s="25" t="s">
        <v>444</v>
      </c>
      <c r="B27" s="28" t="s">
        <v>445</v>
      </c>
      <c r="C27" s="25" t="s">
        <v>41</v>
      </c>
      <c r="D27" s="28" t="s">
        <v>452</v>
      </c>
      <c r="E27" s="25" t="s">
        <v>41</v>
      </c>
      <c r="F27" s="25" t="s">
        <v>443</v>
      </c>
      <c r="G27" s="25" t="s">
        <v>447</v>
      </c>
      <c r="H27" s="76">
        <v>5200.09</v>
      </c>
      <c r="I27" s="76">
        <v>0</v>
      </c>
      <c r="J27" s="76">
        <v>0</v>
      </c>
      <c r="K27" s="76">
        <v>0</v>
      </c>
      <c r="L27" s="76">
        <v>0</v>
      </c>
      <c r="M27" s="25" t="s">
        <v>447</v>
      </c>
      <c r="N27" s="76">
        <v>5200.09</v>
      </c>
      <c r="O27" s="22">
        <f t="shared" si="0"/>
        <v>5200.09</v>
      </c>
      <c r="P27" s="78" t="e">
        <f>IF(O27=0,"",_xlfn.XLOOKUP(D27,'6月份计划'!A:A,'6月份计划'!A:A))</f>
        <v>#N/A</v>
      </c>
    </row>
    <row r="28" s="22" customFormat="1" ht="15" customHeight="1" spans="1:16">
      <c r="A28" s="29" t="s">
        <v>444</v>
      </c>
      <c r="B28" s="32" t="s">
        <v>445</v>
      </c>
      <c r="C28" s="29" t="s">
        <v>41</v>
      </c>
      <c r="D28" s="32" t="s">
        <v>312</v>
      </c>
      <c r="E28" s="29" t="s">
        <v>41</v>
      </c>
      <c r="F28" s="29" t="s">
        <v>443</v>
      </c>
      <c r="G28" s="29" t="s">
        <v>489</v>
      </c>
      <c r="H28" s="77">
        <v>0</v>
      </c>
      <c r="I28" s="77">
        <v>0</v>
      </c>
      <c r="J28" s="77">
        <v>0</v>
      </c>
      <c r="K28" s="77">
        <v>9715.91</v>
      </c>
      <c r="L28" s="77">
        <v>5705.37</v>
      </c>
      <c r="M28" s="29" t="s">
        <v>489</v>
      </c>
      <c r="N28" s="77">
        <v>0</v>
      </c>
      <c r="O28" s="22">
        <f t="shared" si="0"/>
        <v>0</v>
      </c>
      <c r="P28" s="78" t="str">
        <f>IF(O28=0,"",_xlfn.XLOOKUP(D28,'6月份计划'!A:A,'6月份计划'!A:A))</f>
        <v/>
      </c>
    </row>
    <row r="29" s="22" customFormat="1" ht="15" customHeight="1" spans="1:16">
      <c r="A29" s="25" t="s">
        <v>444</v>
      </c>
      <c r="B29" s="28" t="s">
        <v>445</v>
      </c>
      <c r="C29" s="25" t="s">
        <v>41</v>
      </c>
      <c r="D29" s="28" t="s">
        <v>503</v>
      </c>
      <c r="E29" s="25" t="s">
        <v>41</v>
      </c>
      <c r="F29" s="25" t="s">
        <v>443</v>
      </c>
      <c r="G29" s="25" t="s">
        <v>489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25" t="s">
        <v>489</v>
      </c>
      <c r="N29" s="76">
        <v>0</v>
      </c>
      <c r="O29" s="22">
        <f t="shared" si="0"/>
        <v>0</v>
      </c>
      <c r="P29" s="78" t="str">
        <f>IF(O29=0,"",_xlfn.XLOOKUP(D29,'6月份计划'!A:A,'6月份计划'!A:A))</f>
        <v/>
      </c>
    </row>
    <row r="30" s="22" customFormat="1" ht="15" customHeight="1" spans="1:16">
      <c r="A30" s="29" t="s">
        <v>444</v>
      </c>
      <c r="B30" s="32" t="s">
        <v>445</v>
      </c>
      <c r="C30" s="29" t="s">
        <v>41</v>
      </c>
      <c r="D30" s="32" t="s">
        <v>280</v>
      </c>
      <c r="E30" s="29" t="s">
        <v>41</v>
      </c>
      <c r="F30" s="29" t="s">
        <v>443</v>
      </c>
      <c r="G30" s="29" t="s">
        <v>447</v>
      </c>
      <c r="H30" s="77">
        <v>69612.98</v>
      </c>
      <c r="I30" s="77">
        <v>20165.3</v>
      </c>
      <c r="J30" s="77">
        <v>55294.29</v>
      </c>
      <c r="K30" s="77">
        <v>188987.3</v>
      </c>
      <c r="L30" s="77">
        <v>161123.77</v>
      </c>
      <c r="M30" s="29" t="s">
        <v>447</v>
      </c>
      <c r="N30" s="77">
        <v>104741.97</v>
      </c>
      <c r="O30" s="22">
        <f t="shared" si="0"/>
        <v>104741.97</v>
      </c>
      <c r="P30" s="78" t="str">
        <f>IF(O30=0,"",_xlfn.XLOOKUP(D30,'6月份计划'!A:A,'6月份计划'!A:A))</f>
        <v>文安县德实汽车配件有限公司</v>
      </c>
    </row>
    <row r="31" s="22" customFormat="1" ht="15" customHeight="1" spans="1:16">
      <c r="A31" s="25" t="s">
        <v>444</v>
      </c>
      <c r="B31" s="28" t="s">
        <v>445</v>
      </c>
      <c r="C31" s="25" t="s">
        <v>41</v>
      </c>
      <c r="D31" s="28" t="s">
        <v>504</v>
      </c>
      <c r="E31" s="25" t="s">
        <v>41</v>
      </c>
      <c r="F31" s="25" t="s">
        <v>443</v>
      </c>
      <c r="G31" s="25" t="s">
        <v>489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25" t="s">
        <v>489</v>
      </c>
      <c r="N31" s="76">
        <v>0</v>
      </c>
      <c r="O31" s="22">
        <f t="shared" si="0"/>
        <v>0</v>
      </c>
      <c r="P31" s="78" t="str">
        <f>IF(O31=0,"",_xlfn.XLOOKUP(D31,'6月份计划'!A:A,'6月份计划'!A:A))</f>
        <v/>
      </c>
    </row>
    <row r="32" s="22" customFormat="1" ht="15" customHeight="1" spans="1:16">
      <c r="A32" s="29" t="s">
        <v>444</v>
      </c>
      <c r="B32" s="32" t="s">
        <v>445</v>
      </c>
      <c r="C32" s="29" t="s">
        <v>41</v>
      </c>
      <c r="D32" s="32" t="s">
        <v>246</v>
      </c>
      <c r="E32" s="29" t="s">
        <v>41</v>
      </c>
      <c r="F32" s="29" t="s">
        <v>443</v>
      </c>
      <c r="G32" s="29" t="s">
        <v>447</v>
      </c>
      <c r="H32" s="77">
        <v>116300.99</v>
      </c>
      <c r="I32" s="77">
        <v>50000</v>
      </c>
      <c r="J32" s="77">
        <v>11158.92</v>
      </c>
      <c r="K32" s="77">
        <v>329030.41</v>
      </c>
      <c r="L32" s="77">
        <v>202555.17</v>
      </c>
      <c r="M32" s="29" t="s">
        <v>447</v>
      </c>
      <c r="N32" s="77">
        <v>77459.91</v>
      </c>
      <c r="O32" s="22">
        <f t="shared" si="0"/>
        <v>77459.91</v>
      </c>
      <c r="P32" s="78" t="str">
        <f>IF(O32=0,"",_xlfn.XLOOKUP(D32,'6月份计划'!A:A,'6月份计划'!A:A))</f>
        <v>廊坊市烁鑫汽车配件有限公司</v>
      </c>
    </row>
    <row r="33" s="22" customFormat="1" ht="15" customHeight="1" spans="1:16">
      <c r="A33" s="25" t="s">
        <v>444</v>
      </c>
      <c r="B33" s="28" t="s">
        <v>445</v>
      </c>
      <c r="C33" s="25" t="s">
        <v>41</v>
      </c>
      <c r="D33" s="28" t="s">
        <v>505</v>
      </c>
      <c r="E33" s="25" t="s">
        <v>41</v>
      </c>
      <c r="F33" s="25" t="s">
        <v>443</v>
      </c>
      <c r="G33" s="25" t="s">
        <v>489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  <c r="M33" s="25" t="s">
        <v>489</v>
      </c>
      <c r="N33" s="76">
        <v>0</v>
      </c>
      <c r="O33" s="22">
        <f t="shared" si="0"/>
        <v>0</v>
      </c>
      <c r="P33" s="78" t="str">
        <f>IF(O33=0,"",_xlfn.XLOOKUP(D33,'6月份计划'!A:A,'6月份计划'!A:A))</f>
        <v/>
      </c>
    </row>
    <row r="34" s="22" customFormat="1" ht="15" customHeight="1" spans="1:16">
      <c r="A34" s="29" t="s">
        <v>444</v>
      </c>
      <c r="B34" s="32" t="s">
        <v>445</v>
      </c>
      <c r="C34" s="29" t="s">
        <v>41</v>
      </c>
      <c r="D34" s="32" t="s">
        <v>506</v>
      </c>
      <c r="E34" s="29" t="s">
        <v>41</v>
      </c>
      <c r="F34" s="29" t="s">
        <v>443</v>
      </c>
      <c r="G34" s="29" t="s">
        <v>489</v>
      </c>
      <c r="H34" s="77">
        <v>0</v>
      </c>
      <c r="I34" s="77">
        <v>0</v>
      </c>
      <c r="J34" s="77">
        <v>0</v>
      </c>
      <c r="K34" s="77">
        <v>0</v>
      </c>
      <c r="L34" s="77">
        <v>0</v>
      </c>
      <c r="M34" s="29" t="s">
        <v>489</v>
      </c>
      <c r="N34" s="77">
        <v>0</v>
      </c>
      <c r="O34" s="22">
        <f t="shared" si="0"/>
        <v>0</v>
      </c>
      <c r="P34" s="78" t="str">
        <f>IF(O34=0,"",_xlfn.XLOOKUP(D34,'6月份计划'!A:A,'6月份计划'!A:A))</f>
        <v/>
      </c>
    </row>
    <row r="35" s="22" customFormat="1" ht="15" customHeight="1" spans="1:16">
      <c r="A35" s="25" t="s">
        <v>444</v>
      </c>
      <c r="B35" s="28" t="s">
        <v>445</v>
      </c>
      <c r="C35" s="25" t="s">
        <v>41</v>
      </c>
      <c r="D35" s="28" t="s">
        <v>507</v>
      </c>
      <c r="E35" s="25" t="s">
        <v>41</v>
      </c>
      <c r="F35" s="25" t="s">
        <v>443</v>
      </c>
      <c r="G35" s="25" t="s">
        <v>489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25" t="s">
        <v>489</v>
      </c>
      <c r="N35" s="76">
        <v>0</v>
      </c>
      <c r="O35" s="22">
        <f t="shared" si="0"/>
        <v>0</v>
      </c>
      <c r="P35" s="78" t="str">
        <f>IF(O35=0,"",_xlfn.XLOOKUP(D35,'6月份计划'!A:A,'6月份计划'!A:A))</f>
        <v/>
      </c>
    </row>
    <row r="36" s="22" customFormat="1" ht="15" customHeight="1" spans="1:16">
      <c r="A36" s="29" t="s">
        <v>444</v>
      </c>
      <c r="B36" s="32" t="s">
        <v>445</v>
      </c>
      <c r="C36" s="29" t="s">
        <v>41</v>
      </c>
      <c r="D36" s="32" t="s">
        <v>508</v>
      </c>
      <c r="E36" s="29" t="s">
        <v>41</v>
      </c>
      <c r="F36" s="29" t="s">
        <v>443</v>
      </c>
      <c r="G36" s="29" t="s">
        <v>489</v>
      </c>
      <c r="H36" s="77">
        <v>0</v>
      </c>
      <c r="I36" s="77">
        <v>0</v>
      </c>
      <c r="J36" s="77">
        <v>0</v>
      </c>
      <c r="K36" s="77">
        <v>0</v>
      </c>
      <c r="L36" s="77">
        <v>0</v>
      </c>
      <c r="M36" s="29" t="s">
        <v>489</v>
      </c>
      <c r="N36" s="77">
        <v>0</v>
      </c>
      <c r="O36" s="22">
        <f t="shared" si="0"/>
        <v>0</v>
      </c>
      <c r="P36" s="78" t="str">
        <f>IF(O36=0,"",_xlfn.XLOOKUP(D36,'6月份计划'!A:A,'6月份计划'!A:A))</f>
        <v/>
      </c>
    </row>
    <row r="37" s="22" customFormat="1" ht="15" customHeight="1" spans="1:16">
      <c r="A37" s="25" t="s">
        <v>444</v>
      </c>
      <c r="B37" s="28" t="s">
        <v>445</v>
      </c>
      <c r="C37" s="25" t="s">
        <v>41</v>
      </c>
      <c r="D37" s="28" t="s">
        <v>247</v>
      </c>
      <c r="E37" s="25" t="s">
        <v>41</v>
      </c>
      <c r="F37" s="25" t="s">
        <v>443</v>
      </c>
      <c r="G37" s="25" t="s">
        <v>447</v>
      </c>
      <c r="H37" s="76">
        <v>40395.11</v>
      </c>
      <c r="I37" s="76">
        <v>40000</v>
      </c>
      <c r="J37" s="76">
        <v>49663.64</v>
      </c>
      <c r="K37" s="76">
        <v>79977.88</v>
      </c>
      <c r="L37" s="76">
        <v>90058.75</v>
      </c>
      <c r="M37" s="25" t="s">
        <v>447</v>
      </c>
      <c r="N37" s="76">
        <v>50058.75</v>
      </c>
      <c r="O37" s="22">
        <f t="shared" si="0"/>
        <v>50058.75</v>
      </c>
      <c r="P37" s="78" t="str">
        <f>IF(O37=0,"",_xlfn.XLOOKUP(D37,'6月份计划'!A:A,'6月份计划'!A:A))</f>
        <v>黄骅市汇铭汽车部件有限公司</v>
      </c>
    </row>
    <row r="38" s="22" customFormat="1" ht="15" customHeight="1" spans="1:16">
      <c r="A38" s="29" t="s">
        <v>444</v>
      </c>
      <c r="B38" s="32" t="s">
        <v>445</v>
      </c>
      <c r="C38" s="29" t="s">
        <v>41</v>
      </c>
      <c r="D38" s="32" t="s">
        <v>509</v>
      </c>
      <c r="E38" s="29" t="s">
        <v>41</v>
      </c>
      <c r="F38" s="29" t="s">
        <v>443</v>
      </c>
      <c r="G38" s="29" t="s">
        <v>489</v>
      </c>
      <c r="H38" s="77">
        <v>0</v>
      </c>
      <c r="I38" s="77">
        <v>0</v>
      </c>
      <c r="J38" s="77">
        <v>0</v>
      </c>
      <c r="K38" s="77">
        <v>0</v>
      </c>
      <c r="L38" s="77">
        <v>0</v>
      </c>
      <c r="M38" s="29" t="s">
        <v>489</v>
      </c>
      <c r="N38" s="77">
        <v>0</v>
      </c>
      <c r="O38" s="22">
        <f t="shared" si="0"/>
        <v>0</v>
      </c>
      <c r="P38" s="78" t="str">
        <f>IF(O38=0,"",_xlfn.XLOOKUP(D38,'6月份计划'!A:A,'6月份计划'!A:A))</f>
        <v/>
      </c>
    </row>
    <row r="39" s="22" customFormat="1" ht="15" customHeight="1" spans="1:16">
      <c r="A39" s="25" t="s">
        <v>444</v>
      </c>
      <c r="B39" s="28" t="s">
        <v>445</v>
      </c>
      <c r="C39" s="25" t="s">
        <v>41</v>
      </c>
      <c r="D39" s="28" t="s">
        <v>510</v>
      </c>
      <c r="E39" s="25" t="s">
        <v>41</v>
      </c>
      <c r="F39" s="25" t="s">
        <v>443</v>
      </c>
      <c r="G39" s="25" t="s">
        <v>489</v>
      </c>
      <c r="H39" s="76">
        <v>0</v>
      </c>
      <c r="I39" s="76">
        <v>0</v>
      </c>
      <c r="J39" s="76">
        <v>0</v>
      </c>
      <c r="K39" s="76">
        <v>0</v>
      </c>
      <c r="L39" s="76">
        <v>0</v>
      </c>
      <c r="M39" s="25" t="s">
        <v>489</v>
      </c>
      <c r="N39" s="76">
        <v>0</v>
      </c>
      <c r="O39" s="22">
        <f t="shared" si="0"/>
        <v>0</v>
      </c>
      <c r="P39" s="78" t="str">
        <f>IF(O39=0,"",_xlfn.XLOOKUP(D39,'6月份计划'!A:A,'6月份计划'!A:A))</f>
        <v/>
      </c>
    </row>
    <row r="40" s="22" customFormat="1" ht="15" customHeight="1" spans="1:16">
      <c r="A40" s="29" t="s">
        <v>444</v>
      </c>
      <c r="B40" s="32" t="s">
        <v>445</v>
      </c>
      <c r="C40" s="29" t="s">
        <v>41</v>
      </c>
      <c r="D40" s="32" t="s">
        <v>248</v>
      </c>
      <c r="E40" s="29" t="s">
        <v>41</v>
      </c>
      <c r="F40" s="29" t="s">
        <v>443</v>
      </c>
      <c r="G40" s="29" t="s">
        <v>447</v>
      </c>
      <c r="H40" s="77">
        <v>312080.68</v>
      </c>
      <c r="I40" s="77">
        <v>0</v>
      </c>
      <c r="J40" s="77">
        <v>0</v>
      </c>
      <c r="K40" s="77">
        <v>1430369.82</v>
      </c>
      <c r="L40" s="77">
        <v>884228.62</v>
      </c>
      <c r="M40" s="29" t="s">
        <v>447</v>
      </c>
      <c r="N40" s="77">
        <v>312080.68</v>
      </c>
      <c r="O40" s="22">
        <f t="shared" si="0"/>
        <v>312080.68</v>
      </c>
      <c r="P40" s="78" t="str">
        <f>IF(O40=0,"",_xlfn.XLOOKUP(D40,'6月份计划'!A:A,'6月份计划'!A:A))</f>
        <v>上海明芳汽车零件有限公司</v>
      </c>
    </row>
    <row r="41" s="22" customFormat="1" ht="15" customHeight="1" spans="1:16">
      <c r="A41" s="25" t="s">
        <v>444</v>
      </c>
      <c r="B41" s="28" t="s">
        <v>445</v>
      </c>
      <c r="C41" s="25" t="s">
        <v>41</v>
      </c>
      <c r="D41" s="28" t="s">
        <v>511</v>
      </c>
      <c r="E41" s="25" t="s">
        <v>41</v>
      </c>
      <c r="F41" s="25" t="s">
        <v>443</v>
      </c>
      <c r="G41" s="25" t="s">
        <v>489</v>
      </c>
      <c r="H41" s="76">
        <v>0</v>
      </c>
      <c r="I41" s="76">
        <v>0</v>
      </c>
      <c r="J41" s="76">
        <v>0</v>
      </c>
      <c r="K41" s="76">
        <v>0</v>
      </c>
      <c r="L41" s="76">
        <v>0</v>
      </c>
      <c r="M41" s="25" t="s">
        <v>489</v>
      </c>
      <c r="N41" s="76">
        <v>0</v>
      </c>
      <c r="O41" s="22">
        <f t="shared" si="0"/>
        <v>0</v>
      </c>
      <c r="P41" s="78" t="str">
        <f>IF(O41=0,"",_xlfn.XLOOKUP(D41,'6月份计划'!A:A,'6月份计划'!A:A))</f>
        <v/>
      </c>
    </row>
    <row r="42" s="22" customFormat="1" ht="15" customHeight="1" spans="1:16">
      <c r="A42" s="29" t="s">
        <v>444</v>
      </c>
      <c r="B42" s="32" t="s">
        <v>445</v>
      </c>
      <c r="C42" s="29" t="s">
        <v>41</v>
      </c>
      <c r="D42" s="32" t="s">
        <v>279</v>
      </c>
      <c r="E42" s="29" t="s">
        <v>41</v>
      </c>
      <c r="F42" s="29" t="s">
        <v>443</v>
      </c>
      <c r="G42" s="29" t="s">
        <v>447</v>
      </c>
      <c r="H42" s="77">
        <v>13932.9</v>
      </c>
      <c r="I42" s="77">
        <v>0</v>
      </c>
      <c r="J42" s="77">
        <v>0</v>
      </c>
      <c r="K42" s="77">
        <v>0</v>
      </c>
      <c r="L42" s="77">
        <v>0</v>
      </c>
      <c r="M42" s="29" t="s">
        <v>447</v>
      </c>
      <c r="N42" s="77">
        <v>13932.9</v>
      </c>
      <c r="O42" s="22">
        <f t="shared" si="0"/>
        <v>13932.9</v>
      </c>
      <c r="P42" s="78" t="str">
        <f>IF(O42=0,"",_xlfn.XLOOKUP(D42,'6月份计划'!A:A,'6月份计划'!A:A))</f>
        <v>上海秉直精密机械有限公司</v>
      </c>
    </row>
    <row r="43" s="22" customFormat="1" ht="15" customHeight="1" spans="1:16">
      <c r="A43" s="25" t="s">
        <v>444</v>
      </c>
      <c r="B43" s="28" t="s">
        <v>445</v>
      </c>
      <c r="C43" s="25" t="s">
        <v>41</v>
      </c>
      <c r="D43" s="28" t="s">
        <v>512</v>
      </c>
      <c r="E43" s="25" t="s">
        <v>41</v>
      </c>
      <c r="F43" s="25" t="s">
        <v>443</v>
      </c>
      <c r="G43" s="25" t="s">
        <v>489</v>
      </c>
      <c r="H43" s="76">
        <v>0</v>
      </c>
      <c r="I43" s="76">
        <v>0</v>
      </c>
      <c r="J43" s="76">
        <v>0</v>
      </c>
      <c r="K43" s="76">
        <v>0</v>
      </c>
      <c r="L43" s="76">
        <v>0</v>
      </c>
      <c r="M43" s="25" t="s">
        <v>489</v>
      </c>
      <c r="N43" s="76">
        <v>0</v>
      </c>
      <c r="O43" s="22">
        <f t="shared" si="0"/>
        <v>0</v>
      </c>
      <c r="P43" s="78" t="str">
        <f>IF(O43=0,"",_xlfn.XLOOKUP(D43,'6月份计划'!A:A,'6月份计划'!A:A))</f>
        <v/>
      </c>
    </row>
    <row r="44" s="22" customFormat="1" ht="15" customHeight="1" spans="1:16">
      <c r="A44" s="29" t="s">
        <v>444</v>
      </c>
      <c r="B44" s="32" t="s">
        <v>445</v>
      </c>
      <c r="C44" s="29" t="s">
        <v>41</v>
      </c>
      <c r="D44" s="32" t="s">
        <v>249</v>
      </c>
      <c r="E44" s="29" t="s">
        <v>41</v>
      </c>
      <c r="F44" s="29" t="s">
        <v>443</v>
      </c>
      <c r="G44" s="29" t="s">
        <v>447</v>
      </c>
      <c r="H44" s="77">
        <v>235076.16</v>
      </c>
      <c r="I44" s="77">
        <v>80000</v>
      </c>
      <c r="J44" s="77">
        <v>47679.21</v>
      </c>
      <c r="K44" s="77">
        <v>1610823.01</v>
      </c>
      <c r="L44" s="77">
        <v>957214.7</v>
      </c>
      <c r="M44" s="29" t="s">
        <v>447</v>
      </c>
      <c r="N44" s="77">
        <v>202755.37</v>
      </c>
      <c r="O44" s="22">
        <f t="shared" si="0"/>
        <v>202755.37</v>
      </c>
      <c r="P44" s="78" t="str">
        <f>IF(O44=0,"",_xlfn.XLOOKUP(D44,'6月份计划'!A:A,'6月份计划'!A:A))</f>
        <v>江苏力乐汽车部件股份有限公司</v>
      </c>
    </row>
    <row r="45" s="22" customFormat="1" ht="15" customHeight="1" spans="1:16">
      <c r="A45" s="25" t="s">
        <v>444</v>
      </c>
      <c r="B45" s="28" t="s">
        <v>445</v>
      </c>
      <c r="C45" s="25" t="s">
        <v>41</v>
      </c>
      <c r="D45" s="28" t="s">
        <v>417</v>
      </c>
      <c r="E45" s="25" t="s">
        <v>41</v>
      </c>
      <c r="F45" s="25" t="s">
        <v>443</v>
      </c>
      <c r="G45" s="25" t="s">
        <v>489</v>
      </c>
      <c r="H45" s="76">
        <v>0</v>
      </c>
      <c r="I45" s="76">
        <v>0</v>
      </c>
      <c r="J45" s="76">
        <v>494.15</v>
      </c>
      <c r="K45" s="76">
        <v>69562.26</v>
      </c>
      <c r="L45" s="76">
        <v>68846.31</v>
      </c>
      <c r="M45" s="25" t="s">
        <v>447</v>
      </c>
      <c r="N45" s="76">
        <v>494.15</v>
      </c>
      <c r="O45" s="22">
        <f t="shared" si="0"/>
        <v>494.15</v>
      </c>
      <c r="P45" s="78" t="e">
        <f>IF(O45=0,"",_xlfn.XLOOKUP(D45,'6月份计划'!A:A,'6月份计划'!A:A))</f>
        <v>#N/A</v>
      </c>
    </row>
    <row r="46" s="22" customFormat="1" ht="15" customHeight="1" spans="1:16">
      <c r="A46" s="29" t="s">
        <v>444</v>
      </c>
      <c r="B46" s="32" t="s">
        <v>445</v>
      </c>
      <c r="C46" s="29" t="s">
        <v>41</v>
      </c>
      <c r="D46" s="32" t="s">
        <v>250</v>
      </c>
      <c r="E46" s="29" t="s">
        <v>41</v>
      </c>
      <c r="F46" s="29" t="s">
        <v>443</v>
      </c>
      <c r="G46" s="29" t="s">
        <v>447</v>
      </c>
      <c r="H46" s="77">
        <v>334299.95</v>
      </c>
      <c r="I46" s="77">
        <v>80000</v>
      </c>
      <c r="J46" s="77">
        <v>103860.05</v>
      </c>
      <c r="K46" s="77">
        <v>1471014.81</v>
      </c>
      <c r="L46" s="77">
        <v>925292.9</v>
      </c>
      <c r="M46" s="29" t="s">
        <v>447</v>
      </c>
      <c r="N46" s="77">
        <v>358160</v>
      </c>
      <c r="O46" s="22">
        <f t="shared" si="0"/>
        <v>358160</v>
      </c>
      <c r="P46" s="78" t="str">
        <f>IF(O46=0,"",_xlfn.XLOOKUP(D46,'6月份计划'!A:A,'6月份计划'!A:A))</f>
        <v>溧阳鑫岩汽车零部件有限公司</v>
      </c>
    </row>
    <row r="47" s="22" customFormat="1" ht="15" customHeight="1" spans="1:16">
      <c r="A47" s="25" t="s">
        <v>444</v>
      </c>
      <c r="B47" s="28" t="s">
        <v>445</v>
      </c>
      <c r="C47" s="25" t="s">
        <v>41</v>
      </c>
      <c r="D47" s="28" t="s">
        <v>311</v>
      </c>
      <c r="E47" s="25" t="s">
        <v>41</v>
      </c>
      <c r="F47" s="25" t="s">
        <v>443</v>
      </c>
      <c r="G47" s="25" t="s">
        <v>447</v>
      </c>
      <c r="H47" s="76">
        <v>235401.6</v>
      </c>
      <c r="I47" s="76">
        <v>0</v>
      </c>
      <c r="J47" s="76">
        <v>0</v>
      </c>
      <c r="K47" s="76">
        <v>266454.1</v>
      </c>
      <c r="L47" s="76">
        <v>501855.6</v>
      </c>
      <c r="M47" s="25" t="s">
        <v>447</v>
      </c>
      <c r="N47" s="76">
        <v>235401.6</v>
      </c>
      <c r="O47" s="22">
        <f t="shared" si="0"/>
        <v>235401.6</v>
      </c>
      <c r="P47" s="78" t="str">
        <f>IF(O47=0,"",_xlfn.XLOOKUP(D47,'6月份计划'!A:A,'6月份计划'!A:A))</f>
        <v>江苏全盛座舱技术股份有限公司</v>
      </c>
    </row>
    <row r="48" s="22" customFormat="1" ht="15" customHeight="1" spans="1:16">
      <c r="A48" s="29" t="s">
        <v>444</v>
      </c>
      <c r="B48" s="32" t="s">
        <v>445</v>
      </c>
      <c r="C48" s="29" t="s">
        <v>41</v>
      </c>
      <c r="D48" s="32" t="s">
        <v>513</v>
      </c>
      <c r="E48" s="29" t="s">
        <v>41</v>
      </c>
      <c r="F48" s="29" t="s">
        <v>443</v>
      </c>
      <c r="G48" s="29" t="s">
        <v>489</v>
      </c>
      <c r="H48" s="77">
        <v>0</v>
      </c>
      <c r="I48" s="77">
        <v>0</v>
      </c>
      <c r="J48" s="77">
        <v>0</v>
      </c>
      <c r="K48" s="77">
        <v>0</v>
      </c>
      <c r="L48" s="77">
        <v>0</v>
      </c>
      <c r="M48" s="29" t="s">
        <v>489</v>
      </c>
      <c r="N48" s="77">
        <v>0</v>
      </c>
      <c r="O48" s="22">
        <f t="shared" si="0"/>
        <v>0</v>
      </c>
      <c r="P48" s="78" t="str">
        <f>IF(O48=0,"",_xlfn.XLOOKUP(D48,'6月份计划'!A:A,'6月份计划'!A:A))</f>
        <v/>
      </c>
    </row>
    <row r="49" s="22" customFormat="1" ht="15" customHeight="1" spans="1:16">
      <c r="A49" s="25" t="s">
        <v>444</v>
      </c>
      <c r="B49" s="28" t="s">
        <v>445</v>
      </c>
      <c r="C49" s="25" t="s">
        <v>41</v>
      </c>
      <c r="D49" s="28" t="s">
        <v>514</v>
      </c>
      <c r="E49" s="25" t="s">
        <v>41</v>
      </c>
      <c r="F49" s="25" t="s">
        <v>443</v>
      </c>
      <c r="G49" s="25" t="s">
        <v>489</v>
      </c>
      <c r="H49" s="76">
        <v>0</v>
      </c>
      <c r="I49" s="76">
        <v>0</v>
      </c>
      <c r="J49" s="76">
        <v>0</v>
      </c>
      <c r="K49" s="76">
        <v>0</v>
      </c>
      <c r="L49" s="76">
        <v>0</v>
      </c>
      <c r="M49" s="25" t="s">
        <v>489</v>
      </c>
      <c r="N49" s="76">
        <v>0</v>
      </c>
      <c r="O49" s="22">
        <f t="shared" si="0"/>
        <v>0</v>
      </c>
      <c r="P49" s="78" t="str">
        <f>IF(O49=0,"",_xlfn.XLOOKUP(D49,'6月份计划'!A:A,'6月份计划'!A:A))</f>
        <v/>
      </c>
    </row>
    <row r="50" s="22" customFormat="1" ht="15" customHeight="1" spans="1:16">
      <c r="A50" s="29" t="s">
        <v>444</v>
      </c>
      <c r="B50" s="32" t="s">
        <v>445</v>
      </c>
      <c r="C50" s="29" t="s">
        <v>41</v>
      </c>
      <c r="D50" s="32" t="s">
        <v>310</v>
      </c>
      <c r="E50" s="29" t="s">
        <v>41</v>
      </c>
      <c r="F50" s="29" t="s">
        <v>443</v>
      </c>
      <c r="G50" s="29" t="s">
        <v>447</v>
      </c>
      <c r="H50" s="77">
        <v>44034.75</v>
      </c>
      <c r="I50" s="77">
        <v>44034.75</v>
      </c>
      <c r="J50" s="77">
        <v>0</v>
      </c>
      <c r="K50" s="77">
        <v>62991.27</v>
      </c>
      <c r="L50" s="77">
        <v>44034.75</v>
      </c>
      <c r="M50" s="29" t="s">
        <v>489</v>
      </c>
      <c r="N50" s="77">
        <v>0</v>
      </c>
      <c r="O50" s="22">
        <f t="shared" si="0"/>
        <v>0</v>
      </c>
      <c r="P50" s="78" t="str">
        <f>IF(O50=0,"",_xlfn.XLOOKUP(D50,'6月份计划'!A:A,'6月份计划'!A:A))</f>
        <v/>
      </c>
    </row>
    <row r="51" s="22" customFormat="1" ht="15" customHeight="1" spans="1:16">
      <c r="A51" s="25" t="s">
        <v>444</v>
      </c>
      <c r="B51" s="28" t="s">
        <v>445</v>
      </c>
      <c r="C51" s="25" t="s">
        <v>41</v>
      </c>
      <c r="D51" s="28" t="s">
        <v>298</v>
      </c>
      <c r="E51" s="25" t="s">
        <v>41</v>
      </c>
      <c r="F51" s="25" t="s">
        <v>443</v>
      </c>
      <c r="G51" s="25" t="s">
        <v>447</v>
      </c>
      <c r="H51" s="76">
        <v>43392</v>
      </c>
      <c r="I51" s="76">
        <v>0</v>
      </c>
      <c r="J51" s="76">
        <v>0</v>
      </c>
      <c r="K51" s="76">
        <v>441766.72</v>
      </c>
      <c r="L51" s="76">
        <v>290473.28</v>
      </c>
      <c r="M51" s="25" t="s">
        <v>447</v>
      </c>
      <c r="N51" s="76">
        <v>43392</v>
      </c>
      <c r="O51" s="22">
        <f t="shared" si="0"/>
        <v>43392</v>
      </c>
      <c r="P51" s="78" t="str">
        <f>IF(O51=0,"",_xlfn.XLOOKUP(D51,'6月份计划'!A:A,'6月份计划'!A:A))</f>
        <v>浙江华悦汽车零部件股份有限公</v>
      </c>
    </row>
    <row r="52" s="22" customFormat="1" ht="15" customHeight="1" spans="1:16">
      <c r="A52" s="29" t="s">
        <v>444</v>
      </c>
      <c r="B52" s="32" t="s">
        <v>445</v>
      </c>
      <c r="C52" s="29" t="s">
        <v>41</v>
      </c>
      <c r="D52" s="32" t="s">
        <v>515</v>
      </c>
      <c r="E52" s="29" t="s">
        <v>41</v>
      </c>
      <c r="F52" s="29" t="s">
        <v>443</v>
      </c>
      <c r="G52" s="29" t="s">
        <v>489</v>
      </c>
      <c r="H52" s="77">
        <v>0</v>
      </c>
      <c r="I52" s="77">
        <v>0</v>
      </c>
      <c r="J52" s="77">
        <v>0</v>
      </c>
      <c r="K52" s="77">
        <v>0</v>
      </c>
      <c r="L52" s="77">
        <v>0</v>
      </c>
      <c r="M52" s="29" t="s">
        <v>489</v>
      </c>
      <c r="N52" s="77">
        <v>0</v>
      </c>
      <c r="O52" s="22">
        <f t="shared" si="0"/>
        <v>0</v>
      </c>
      <c r="P52" s="78" t="str">
        <f>IF(O52=0,"",_xlfn.XLOOKUP(D52,'6月份计划'!A:A,'6月份计划'!A:A))</f>
        <v/>
      </c>
    </row>
    <row r="53" s="22" customFormat="1" ht="15" customHeight="1" spans="1:16">
      <c r="A53" s="25" t="s">
        <v>444</v>
      </c>
      <c r="B53" s="28" t="s">
        <v>445</v>
      </c>
      <c r="C53" s="25" t="s">
        <v>41</v>
      </c>
      <c r="D53" s="28" t="s">
        <v>516</v>
      </c>
      <c r="E53" s="25" t="s">
        <v>41</v>
      </c>
      <c r="F53" s="25" t="s">
        <v>443</v>
      </c>
      <c r="G53" s="25" t="s">
        <v>489</v>
      </c>
      <c r="H53" s="76">
        <v>0</v>
      </c>
      <c r="I53" s="76">
        <v>0</v>
      </c>
      <c r="J53" s="76">
        <v>0</v>
      </c>
      <c r="K53" s="76">
        <v>0</v>
      </c>
      <c r="L53" s="76">
        <v>0</v>
      </c>
      <c r="M53" s="25" t="s">
        <v>489</v>
      </c>
      <c r="N53" s="76">
        <v>0</v>
      </c>
      <c r="O53" s="22">
        <f t="shared" si="0"/>
        <v>0</v>
      </c>
      <c r="P53" s="78" t="str">
        <f>IF(O53=0,"",_xlfn.XLOOKUP(D53,'6月份计划'!A:A,'6月份计划'!A:A))</f>
        <v/>
      </c>
    </row>
    <row r="54" s="22" customFormat="1" ht="15" customHeight="1" spans="1:16">
      <c r="A54" s="29" t="s">
        <v>444</v>
      </c>
      <c r="B54" s="32" t="s">
        <v>445</v>
      </c>
      <c r="C54" s="29" t="s">
        <v>41</v>
      </c>
      <c r="D54" s="32" t="s">
        <v>517</v>
      </c>
      <c r="E54" s="29" t="s">
        <v>41</v>
      </c>
      <c r="F54" s="29" t="s">
        <v>443</v>
      </c>
      <c r="G54" s="29" t="s">
        <v>489</v>
      </c>
      <c r="H54" s="77">
        <v>0</v>
      </c>
      <c r="I54" s="77">
        <v>0</v>
      </c>
      <c r="J54" s="77">
        <v>0</v>
      </c>
      <c r="K54" s="77">
        <v>0</v>
      </c>
      <c r="L54" s="77">
        <v>0</v>
      </c>
      <c r="M54" s="29" t="s">
        <v>489</v>
      </c>
      <c r="N54" s="77">
        <v>0</v>
      </c>
      <c r="O54" s="22">
        <f t="shared" si="0"/>
        <v>0</v>
      </c>
      <c r="P54" s="78" t="str">
        <f>IF(O54=0,"",_xlfn.XLOOKUP(D54,'6月份计划'!A:A,'6月份计划'!A:A))</f>
        <v/>
      </c>
    </row>
    <row r="55" s="22" customFormat="1" ht="15" customHeight="1" spans="1:16">
      <c r="A55" s="25" t="s">
        <v>444</v>
      </c>
      <c r="B55" s="28" t="s">
        <v>445</v>
      </c>
      <c r="C55" s="25" t="s">
        <v>41</v>
      </c>
      <c r="D55" s="28" t="s">
        <v>518</v>
      </c>
      <c r="E55" s="25" t="s">
        <v>41</v>
      </c>
      <c r="F55" s="25" t="s">
        <v>443</v>
      </c>
      <c r="G55" s="25" t="s">
        <v>489</v>
      </c>
      <c r="H55" s="76">
        <v>0</v>
      </c>
      <c r="I55" s="76">
        <v>0</v>
      </c>
      <c r="J55" s="76">
        <v>0</v>
      </c>
      <c r="K55" s="76">
        <v>0</v>
      </c>
      <c r="L55" s="76">
        <v>0</v>
      </c>
      <c r="M55" s="25" t="s">
        <v>489</v>
      </c>
      <c r="N55" s="76">
        <v>0</v>
      </c>
      <c r="O55" s="22">
        <f t="shared" si="0"/>
        <v>0</v>
      </c>
      <c r="P55" s="78" t="str">
        <f>IF(O55=0,"",_xlfn.XLOOKUP(D55,'6月份计划'!A:A,'6月份计划'!A:A))</f>
        <v/>
      </c>
    </row>
    <row r="56" s="22" customFormat="1" ht="15" customHeight="1" spans="1:16">
      <c r="A56" s="29" t="s">
        <v>444</v>
      </c>
      <c r="B56" s="32" t="s">
        <v>445</v>
      </c>
      <c r="C56" s="29" t="s">
        <v>41</v>
      </c>
      <c r="D56" s="32" t="s">
        <v>251</v>
      </c>
      <c r="E56" s="29" t="s">
        <v>41</v>
      </c>
      <c r="F56" s="29" t="s">
        <v>443</v>
      </c>
      <c r="G56" s="29" t="s">
        <v>447</v>
      </c>
      <c r="H56" s="77">
        <v>1463591.13</v>
      </c>
      <c r="I56" s="77">
        <v>858814</v>
      </c>
      <c r="J56" s="77">
        <v>105955.16</v>
      </c>
      <c r="K56" s="77">
        <v>2074236.13</v>
      </c>
      <c r="L56" s="77">
        <v>2607178.29</v>
      </c>
      <c r="M56" s="29" t="s">
        <v>447</v>
      </c>
      <c r="N56" s="77">
        <v>710732.29</v>
      </c>
      <c r="O56" s="22">
        <f t="shared" si="0"/>
        <v>710732.29</v>
      </c>
      <c r="P56" s="78" t="str">
        <f>IF(O56=0,"",_xlfn.XLOOKUP(D56,'6月份计划'!A:A,'6月份计划'!A:A))</f>
        <v>厦门凯平化工有限公司</v>
      </c>
    </row>
    <row r="57" s="22" customFormat="1" ht="15" customHeight="1" spans="1:16">
      <c r="A57" s="25" t="s">
        <v>444</v>
      </c>
      <c r="B57" s="28" t="s">
        <v>445</v>
      </c>
      <c r="C57" s="25" t="s">
        <v>41</v>
      </c>
      <c r="D57" s="28" t="s">
        <v>519</v>
      </c>
      <c r="E57" s="25" t="s">
        <v>41</v>
      </c>
      <c r="F57" s="25" t="s">
        <v>443</v>
      </c>
      <c r="G57" s="25" t="s">
        <v>489</v>
      </c>
      <c r="H57" s="76">
        <v>0</v>
      </c>
      <c r="I57" s="76">
        <v>0</v>
      </c>
      <c r="J57" s="76">
        <v>0</v>
      </c>
      <c r="K57" s="76">
        <v>0</v>
      </c>
      <c r="L57" s="76">
        <v>0</v>
      </c>
      <c r="M57" s="25" t="s">
        <v>489</v>
      </c>
      <c r="N57" s="76">
        <v>0</v>
      </c>
      <c r="O57" s="22">
        <f t="shared" si="0"/>
        <v>0</v>
      </c>
      <c r="P57" s="78" t="str">
        <f>IF(O57=0,"",_xlfn.XLOOKUP(D57,'6月份计划'!A:A,'6月份计划'!A:A))</f>
        <v/>
      </c>
    </row>
    <row r="58" s="22" customFormat="1" ht="15" customHeight="1" spans="1:16">
      <c r="A58" s="29" t="s">
        <v>444</v>
      </c>
      <c r="B58" s="32" t="s">
        <v>445</v>
      </c>
      <c r="C58" s="29" t="s">
        <v>41</v>
      </c>
      <c r="D58" s="32" t="s">
        <v>520</v>
      </c>
      <c r="E58" s="29" t="s">
        <v>41</v>
      </c>
      <c r="F58" s="29" t="s">
        <v>443</v>
      </c>
      <c r="G58" s="29" t="s">
        <v>489</v>
      </c>
      <c r="H58" s="77">
        <v>0</v>
      </c>
      <c r="I58" s="77">
        <v>0</v>
      </c>
      <c r="J58" s="77">
        <v>0</v>
      </c>
      <c r="K58" s="77">
        <v>0</v>
      </c>
      <c r="L58" s="77">
        <v>0</v>
      </c>
      <c r="M58" s="29" t="s">
        <v>489</v>
      </c>
      <c r="N58" s="77">
        <v>0</v>
      </c>
      <c r="O58" s="22">
        <f t="shared" si="0"/>
        <v>0</v>
      </c>
      <c r="P58" s="78" t="str">
        <f>IF(O58=0,"",_xlfn.XLOOKUP(D58,'6月份计划'!A:A,'6月份计划'!A:A))</f>
        <v/>
      </c>
    </row>
    <row r="59" s="22" customFormat="1" ht="15" customHeight="1" spans="1:16">
      <c r="A59" s="25" t="s">
        <v>444</v>
      </c>
      <c r="B59" s="28" t="s">
        <v>445</v>
      </c>
      <c r="C59" s="25" t="s">
        <v>41</v>
      </c>
      <c r="D59" s="28" t="s">
        <v>521</v>
      </c>
      <c r="E59" s="25" t="s">
        <v>41</v>
      </c>
      <c r="F59" s="25" t="s">
        <v>443</v>
      </c>
      <c r="G59" s="25" t="s">
        <v>489</v>
      </c>
      <c r="H59" s="76">
        <v>0</v>
      </c>
      <c r="I59" s="76">
        <v>0</v>
      </c>
      <c r="J59" s="76">
        <v>0</v>
      </c>
      <c r="K59" s="76">
        <v>0</v>
      </c>
      <c r="L59" s="76">
        <v>0</v>
      </c>
      <c r="M59" s="25" t="s">
        <v>489</v>
      </c>
      <c r="N59" s="76">
        <v>0</v>
      </c>
      <c r="O59" s="22">
        <f t="shared" si="0"/>
        <v>0</v>
      </c>
      <c r="P59" s="78" t="str">
        <f>IF(O59=0,"",_xlfn.XLOOKUP(D59,'6月份计划'!A:A,'6月份计划'!A:A))</f>
        <v/>
      </c>
    </row>
    <row r="60" s="22" customFormat="1" ht="15" customHeight="1" spans="1:16">
      <c r="A60" s="29" t="s">
        <v>444</v>
      </c>
      <c r="B60" s="32" t="s">
        <v>445</v>
      </c>
      <c r="C60" s="29" t="s">
        <v>41</v>
      </c>
      <c r="D60" s="32" t="s">
        <v>252</v>
      </c>
      <c r="E60" s="29" t="s">
        <v>41</v>
      </c>
      <c r="F60" s="29" t="s">
        <v>443</v>
      </c>
      <c r="G60" s="29" t="s">
        <v>447</v>
      </c>
      <c r="H60" s="77">
        <v>164520.34</v>
      </c>
      <c r="I60" s="77">
        <v>30000</v>
      </c>
      <c r="J60" s="77">
        <v>72307.87</v>
      </c>
      <c r="K60" s="77">
        <v>519534.44</v>
      </c>
      <c r="L60" s="77">
        <v>319824.99</v>
      </c>
      <c r="M60" s="29" t="s">
        <v>447</v>
      </c>
      <c r="N60" s="77">
        <v>206828.21</v>
      </c>
      <c r="O60" s="22">
        <f t="shared" si="0"/>
        <v>206828.21</v>
      </c>
      <c r="P60" s="78" t="str">
        <f>IF(O60=0,"",_xlfn.XLOOKUP(D60,'6月份计划'!A:A,'6月份计划'!A:A))</f>
        <v>湖北伟士通汽车零件有限公司</v>
      </c>
    </row>
    <row r="61" s="22" customFormat="1" ht="15" customHeight="1" spans="1:16">
      <c r="A61" s="25" t="s">
        <v>444</v>
      </c>
      <c r="B61" s="28" t="s">
        <v>445</v>
      </c>
      <c r="C61" s="25" t="s">
        <v>41</v>
      </c>
      <c r="D61" s="28" t="s">
        <v>253</v>
      </c>
      <c r="E61" s="25" t="s">
        <v>41</v>
      </c>
      <c r="F61" s="25" t="s">
        <v>443</v>
      </c>
      <c r="G61" s="25" t="s">
        <v>447</v>
      </c>
      <c r="H61" s="76">
        <v>267969.53</v>
      </c>
      <c r="I61" s="76">
        <v>80000</v>
      </c>
      <c r="J61" s="76">
        <v>276975.65</v>
      </c>
      <c r="K61" s="76">
        <v>554220.47</v>
      </c>
      <c r="L61" s="76">
        <v>680401.45</v>
      </c>
      <c r="M61" s="25" t="s">
        <v>447</v>
      </c>
      <c r="N61" s="76">
        <v>464945.18</v>
      </c>
      <c r="O61" s="22">
        <f t="shared" si="0"/>
        <v>464945.18</v>
      </c>
      <c r="P61" s="78" t="str">
        <f>IF(O61=0,"",_xlfn.XLOOKUP(D61,'6月份计划'!A:A,'6月份计划'!A:A))</f>
        <v>衡阳县标准件厂株洲销售处</v>
      </c>
    </row>
    <row r="62" s="22" customFormat="1" ht="15" customHeight="1" spans="1:16">
      <c r="A62" s="29" t="s">
        <v>444</v>
      </c>
      <c r="B62" s="32" t="s">
        <v>445</v>
      </c>
      <c r="C62" s="29" t="s">
        <v>41</v>
      </c>
      <c r="D62" s="32" t="s">
        <v>254</v>
      </c>
      <c r="E62" s="29" t="s">
        <v>41</v>
      </c>
      <c r="F62" s="29" t="s">
        <v>443</v>
      </c>
      <c r="G62" s="29" t="s">
        <v>447</v>
      </c>
      <c r="H62" s="77">
        <v>752906.85</v>
      </c>
      <c r="I62" s="77">
        <v>1050000</v>
      </c>
      <c r="J62" s="77">
        <v>1186299.52</v>
      </c>
      <c r="K62" s="77">
        <v>3450000</v>
      </c>
      <c r="L62" s="77">
        <v>3741904.43</v>
      </c>
      <c r="M62" s="29" t="s">
        <v>447</v>
      </c>
      <c r="N62" s="77">
        <v>889206.37</v>
      </c>
      <c r="O62" s="22">
        <f t="shared" si="0"/>
        <v>889206.37</v>
      </c>
      <c r="P62" s="78" t="str">
        <f>IF(O62=0,"",_xlfn.XLOOKUP(D62,'6月份计划'!A:A,'6月份计划'!A:A))</f>
        <v>湖南凌天汽车零部件有限公司</v>
      </c>
    </row>
    <row r="63" s="22" customFormat="1" ht="15" customHeight="1" spans="1:16">
      <c r="A63" s="25" t="s">
        <v>444</v>
      </c>
      <c r="B63" s="28" t="s">
        <v>445</v>
      </c>
      <c r="C63" s="25" t="s">
        <v>41</v>
      </c>
      <c r="D63" s="28" t="s">
        <v>522</v>
      </c>
      <c r="E63" s="25" t="s">
        <v>41</v>
      </c>
      <c r="F63" s="25" t="s">
        <v>443</v>
      </c>
      <c r="G63" s="25" t="s">
        <v>489</v>
      </c>
      <c r="H63" s="76">
        <v>0</v>
      </c>
      <c r="I63" s="76">
        <v>0</v>
      </c>
      <c r="J63" s="76">
        <v>0</v>
      </c>
      <c r="K63" s="76">
        <v>0</v>
      </c>
      <c r="L63" s="76">
        <v>0</v>
      </c>
      <c r="M63" s="25" t="s">
        <v>489</v>
      </c>
      <c r="N63" s="76">
        <v>0</v>
      </c>
      <c r="O63" s="22">
        <f t="shared" si="0"/>
        <v>0</v>
      </c>
      <c r="P63" s="78" t="str">
        <f>IF(O63=0,"",_xlfn.XLOOKUP(D63,'6月份计划'!A:A,'6月份计划'!A:A))</f>
        <v/>
      </c>
    </row>
    <row r="64" s="22" customFormat="1" ht="15" customHeight="1" spans="1:16">
      <c r="A64" s="29" t="s">
        <v>444</v>
      </c>
      <c r="B64" s="32" t="s">
        <v>445</v>
      </c>
      <c r="C64" s="29" t="s">
        <v>41</v>
      </c>
      <c r="D64" s="32" t="s">
        <v>523</v>
      </c>
      <c r="E64" s="29" t="s">
        <v>41</v>
      </c>
      <c r="F64" s="29" t="s">
        <v>443</v>
      </c>
      <c r="G64" s="29" t="s">
        <v>489</v>
      </c>
      <c r="H64" s="77">
        <v>0</v>
      </c>
      <c r="I64" s="77">
        <v>0</v>
      </c>
      <c r="J64" s="77">
        <v>0</v>
      </c>
      <c r="K64" s="77">
        <v>0</v>
      </c>
      <c r="L64" s="77">
        <v>0</v>
      </c>
      <c r="M64" s="29" t="s">
        <v>489</v>
      </c>
      <c r="N64" s="77">
        <v>0</v>
      </c>
      <c r="O64" s="22">
        <f t="shared" si="0"/>
        <v>0</v>
      </c>
      <c r="P64" s="78" t="str">
        <f>IF(O64=0,"",_xlfn.XLOOKUP(D64,'6月份计划'!A:A,'6月份计划'!A:A))</f>
        <v/>
      </c>
    </row>
    <row r="65" s="22" customFormat="1" ht="15" customHeight="1" spans="1:16">
      <c r="A65" s="25" t="s">
        <v>444</v>
      </c>
      <c r="B65" s="28" t="s">
        <v>445</v>
      </c>
      <c r="C65" s="25" t="s">
        <v>41</v>
      </c>
      <c r="D65" s="28" t="s">
        <v>454</v>
      </c>
      <c r="E65" s="25" t="s">
        <v>41</v>
      </c>
      <c r="F65" s="25" t="s">
        <v>443</v>
      </c>
      <c r="G65" s="25" t="s">
        <v>447</v>
      </c>
      <c r="H65" s="76">
        <v>0.5</v>
      </c>
      <c r="I65" s="76">
        <v>0</v>
      </c>
      <c r="J65" s="76">
        <v>0</v>
      </c>
      <c r="K65" s="76">
        <v>101763.51</v>
      </c>
      <c r="L65" s="76">
        <v>0</v>
      </c>
      <c r="M65" s="25" t="s">
        <v>447</v>
      </c>
      <c r="N65" s="76">
        <v>0.5</v>
      </c>
      <c r="O65" s="22">
        <f t="shared" si="0"/>
        <v>0.5</v>
      </c>
      <c r="P65" s="78" t="e">
        <f>IF(O65=0,"",_xlfn.XLOOKUP(D65,'6月份计划'!A:A,'6月份计划'!A:A))</f>
        <v>#N/A</v>
      </c>
    </row>
    <row r="66" s="22" customFormat="1" ht="15" customHeight="1" spans="1:16">
      <c r="A66" s="29" t="s">
        <v>444</v>
      </c>
      <c r="B66" s="32" t="s">
        <v>445</v>
      </c>
      <c r="C66" s="29" t="s">
        <v>41</v>
      </c>
      <c r="D66" s="32" t="s">
        <v>524</v>
      </c>
      <c r="E66" s="29" t="s">
        <v>41</v>
      </c>
      <c r="F66" s="29" t="s">
        <v>443</v>
      </c>
      <c r="G66" s="29" t="s">
        <v>489</v>
      </c>
      <c r="H66" s="77">
        <v>0</v>
      </c>
      <c r="I66" s="77">
        <v>0</v>
      </c>
      <c r="J66" s="77">
        <v>0</v>
      </c>
      <c r="K66" s="77">
        <v>0</v>
      </c>
      <c r="L66" s="77">
        <v>0</v>
      </c>
      <c r="M66" s="29" t="s">
        <v>489</v>
      </c>
      <c r="N66" s="77">
        <v>0</v>
      </c>
      <c r="O66" s="22">
        <f t="shared" si="0"/>
        <v>0</v>
      </c>
      <c r="P66" s="78" t="str">
        <f>IF(O66=0,"",_xlfn.XLOOKUP(D66,'6月份计划'!A:A,'6月份计划'!A:A))</f>
        <v/>
      </c>
    </row>
    <row r="67" s="22" customFormat="1" ht="15" customHeight="1" spans="1:16">
      <c r="A67" s="25" t="s">
        <v>444</v>
      </c>
      <c r="B67" s="28" t="s">
        <v>445</v>
      </c>
      <c r="C67" s="25" t="s">
        <v>41</v>
      </c>
      <c r="D67" s="28" t="s">
        <v>525</v>
      </c>
      <c r="E67" s="25" t="s">
        <v>41</v>
      </c>
      <c r="F67" s="25" t="s">
        <v>443</v>
      </c>
      <c r="G67" s="25" t="s">
        <v>489</v>
      </c>
      <c r="H67" s="76">
        <v>0</v>
      </c>
      <c r="I67" s="76">
        <v>0</v>
      </c>
      <c r="J67" s="76">
        <v>0</v>
      </c>
      <c r="K67" s="76">
        <v>0</v>
      </c>
      <c r="L67" s="76">
        <v>0</v>
      </c>
      <c r="M67" s="25" t="s">
        <v>489</v>
      </c>
      <c r="N67" s="76">
        <v>0</v>
      </c>
      <c r="O67" s="22">
        <f t="shared" si="0"/>
        <v>0</v>
      </c>
      <c r="P67" s="78" t="str">
        <f>IF(O67=0,"",_xlfn.XLOOKUP(D67,'6月份计划'!A:A,'6月份计划'!A:A))</f>
        <v/>
      </c>
    </row>
    <row r="68" s="22" customFormat="1" ht="15" customHeight="1" spans="1:16">
      <c r="A68" s="29" t="s">
        <v>444</v>
      </c>
      <c r="B68" s="32" t="s">
        <v>445</v>
      </c>
      <c r="C68" s="29" t="s">
        <v>41</v>
      </c>
      <c r="D68" s="32" t="s">
        <v>526</v>
      </c>
      <c r="E68" s="29" t="s">
        <v>41</v>
      </c>
      <c r="F68" s="29" t="s">
        <v>443</v>
      </c>
      <c r="G68" s="29" t="s">
        <v>489</v>
      </c>
      <c r="H68" s="77">
        <v>0</v>
      </c>
      <c r="I68" s="77">
        <v>0</v>
      </c>
      <c r="J68" s="77">
        <v>0</v>
      </c>
      <c r="K68" s="77">
        <v>0</v>
      </c>
      <c r="L68" s="77">
        <v>0</v>
      </c>
      <c r="M68" s="29" t="s">
        <v>489</v>
      </c>
      <c r="N68" s="77">
        <v>0</v>
      </c>
      <c r="O68" s="22">
        <f t="shared" ref="O68:O131" si="1">IF(M68="贷",N68,-N68)</f>
        <v>0</v>
      </c>
      <c r="P68" s="78" t="str">
        <f>IF(O68=0,"",_xlfn.XLOOKUP(D68,'6月份计划'!A:A,'6月份计划'!A:A))</f>
        <v/>
      </c>
    </row>
    <row r="69" s="22" customFormat="1" ht="15" customHeight="1" spans="1:16">
      <c r="A69" s="25" t="s">
        <v>444</v>
      </c>
      <c r="B69" s="28" t="s">
        <v>445</v>
      </c>
      <c r="C69" s="25" t="s">
        <v>41</v>
      </c>
      <c r="D69" s="28" t="s">
        <v>527</v>
      </c>
      <c r="E69" s="25" t="s">
        <v>41</v>
      </c>
      <c r="F69" s="25" t="s">
        <v>443</v>
      </c>
      <c r="G69" s="25" t="s">
        <v>489</v>
      </c>
      <c r="H69" s="76">
        <v>0</v>
      </c>
      <c r="I69" s="76">
        <v>0</v>
      </c>
      <c r="J69" s="76">
        <v>0</v>
      </c>
      <c r="K69" s="76">
        <v>0</v>
      </c>
      <c r="L69" s="76">
        <v>0</v>
      </c>
      <c r="M69" s="25" t="s">
        <v>489</v>
      </c>
      <c r="N69" s="76">
        <v>0</v>
      </c>
      <c r="O69" s="22">
        <f t="shared" si="1"/>
        <v>0</v>
      </c>
      <c r="P69" s="78" t="str">
        <f>IF(O69=0,"",_xlfn.XLOOKUP(D69,'6月份计划'!A:A,'6月份计划'!A:A))</f>
        <v/>
      </c>
    </row>
    <row r="70" s="22" customFormat="1" ht="15" customHeight="1" spans="1:16">
      <c r="A70" s="29" t="s">
        <v>444</v>
      </c>
      <c r="B70" s="32" t="s">
        <v>445</v>
      </c>
      <c r="C70" s="29" t="s">
        <v>41</v>
      </c>
      <c r="D70" s="32" t="s">
        <v>528</v>
      </c>
      <c r="E70" s="29" t="s">
        <v>41</v>
      </c>
      <c r="F70" s="29" t="s">
        <v>443</v>
      </c>
      <c r="G70" s="29" t="s">
        <v>489</v>
      </c>
      <c r="H70" s="77">
        <v>0</v>
      </c>
      <c r="I70" s="77">
        <v>0</v>
      </c>
      <c r="J70" s="77">
        <v>0</v>
      </c>
      <c r="K70" s="77">
        <v>0</v>
      </c>
      <c r="L70" s="77">
        <v>0</v>
      </c>
      <c r="M70" s="29" t="s">
        <v>489</v>
      </c>
      <c r="N70" s="77">
        <v>0</v>
      </c>
      <c r="O70" s="22">
        <f t="shared" si="1"/>
        <v>0</v>
      </c>
      <c r="P70" s="78" t="str">
        <f>IF(O70=0,"",_xlfn.XLOOKUP(D70,'6月份计划'!A:A,'6月份计划'!A:A))</f>
        <v/>
      </c>
    </row>
    <row r="71" s="22" customFormat="1" ht="15" customHeight="1" spans="1:16">
      <c r="A71" s="25" t="s">
        <v>444</v>
      </c>
      <c r="B71" s="28" t="s">
        <v>445</v>
      </c>
      <c r="C71" s="25" t="s">
        <v>41</v>
      </c>
      <c r="D71" s="28" t="s">
        <v>529</v>
      </c>
      <c r="E71" s="25" t="s">
        <v>41</v>
      </c>
      <c r="F71" s="25" t="s">
        <v>443</v>
      </c>
      <c r="G71" s="25" t="s">
        <v>489</v>
      </c>
      <c r="H71" s="76">
        <v>0</v>
      </c>
      <c r="I71" s="76">
        <v>0</v>
      </c>
      <c r="J71" s="76">
        <v>0</v>
      </c>
      <c r="K71" s="76">
        <v>0</v>
      </c>
      <c r="L71" s="76">
        <v>0</v>
      </c>
      <c r="M71" s="25" t="s">
        <v>489</v>
      </c>
      <c r="N71" s="76">
        <v>0</v>
      </c>
      <c r="O71" s="22">
        <f t="shared" si="1"/>
        <v>0</v>
      </c>
      <c r="P71" s="78" t="str">
        <f>IF(O71=0,"",_xlfn.XLOOKUP(D71,'6月份计划'!A:A,'6月份计划'!A:A))</f>
        <v/>
      </c>
    </row>
    <row r="72" s="22" customFormat="1" ht="15" customHeight="1" spans="1:16">
      <c r="A72" s="29" t="s">
        <v>444</v>
      </c>
      <c r="B72" s="32" t="s">
        <v>445</v>
      </c>
      <c r="C72" s="29" t="s">
        <v>41</v>
      </c>
      <c r="D72" s="32" t="s">
        <v>530</v>
      </c>
      <c r="E72" s="29" t="s">
        <v>41</v>
      </c>
      <c r="F72" s="29" t="s">
        <v>443</v>
      </c>
      <c r="G72" s="29" t="s">
        <v>489</v>
      </c>
      <c r="H72" s="77">
        <v>0</v>
      </c>
      <c r="I72" s="77">
        <v>0</v>
      </c>
      <c r="J72" s="77">
        <v>0</v>
      </c>
      <c r="K72" s="77">
        <v>0</v>
      </c>
      <c r="L72" s="77">
        <v>0</v>
      </c>
      <c r="M72" s="29" t="s">
        <v>489</v>
      </c>
      <c r="N72" s="77">
        <v>0</v>
      </c>
      <c r="O72" s="22">
        <f t="shared" si="1"/>
        <v>0</v>
      </c>
      <c r="P72" s="78" t="str">
        <f>IF(O72=0,"",_xlfn.XLOOKUP(D72,'6月份计划'!A:A,'6月份计划'!A:A))</f>
        <v/>
      </c>
    </row>
    <row r="73" s="22" customFormat="1" ht="15" customHeight="1" spans="1:16">
      <c r="A73" s="25" t="s">
        <v>444</v>
      </c>
      <c r="B73" s="28" t="s">
        <v>445</v>
      </c>
      <c r="C73" s="25" t="s">
        <v>41</v>
      </c>
      <c r="D73" s="28" t="s">
        <v>531</v>
      </c>
      <c r="E73" s="25" t="s">
        <v>41</v>
      </c>
      <c r="F73" s="25" t="s">
        <v>443</v>
      </c>
      <c r="G73" s="25" t="s">
        <v>489</v>
      </c>
      <c r="H73" s="76">
        <v>0</v>
      </c>
      <c r="I73" s="76">
        <v>0</v>
      </c>
      <c r="J73" s="76">
        <v>0</v>
      </c>
      <c r="K73" s="76">
        <v>0</v>
      </c>
      <c r="L73" s="76">
        <v>0</v>
      </c>
      <c r="M73" s="25" t="s">
        <v>489</v>
      </c>
      <c r="N73" s="76">
        <v>0</v>
      </c>
      <c r="O73" s="22">
        <f t="shared" si="1"/>
        <v>0</v>
      </c>
      <c r="P73" s="78" t="str">
        <f>IF(O73=0,"",_xlfn.XLOOKUP(D73,'6月份计划'!A:A,'6月份计划'!A:A))</f>
        <v/>
      </c>
    </row>
    <row r="74" s="22" customFormat="1" ht="15" customHeight="1" spans="1:16">
      <c r="A74" s="29" t="s">
        <v>444</v>
      </c>
      <c r="B74" s="32" t="s">
        <v>445</v>
      </c>
      <c r="C74" s="29" t="s">
        <v>41</v>
      </c>
      <c r="D74" s="32" t="s">
        <v>532</v>
      </c>
      <c r="E74" s="29" t="s">
        <v>41</v>
      </c>
      <c r="F74" s="29" t="s">
        <v>443</v>
      </c>
      <c r="G74" s="29" t="s">
        <v>489</v>
      </c>
      <c r="H74" s="77">
        <v>0</v>
      </c>
      <c r="I74" s="77">
        <v>0</v>
      </c>
      <c r="J74" s="77">
        <v>0</v>
      </c>
      <c r="K74" s="77">
        <v>0</v>
      </c>
      <c r="L74" s="77">
        <v>0</v>
      </c>
      <c r="M74" s="29" t="s">
        <v>489</v>
      </c>
      <c r="N74" s="77">
        <v>0</v>
      </c>
      <c r="O74" s="22">
        <f t="shared" si="1"/>
        <v>0</v>
      </c>
      <c r="P74" s="78" t="str">
        <f>IF(O74=0,"",_xlfn.XLOOKUP(D74,'6月份计划'!A:A,'6月份计划'!A:A))</f>
        <v/>
      </c>
    </row>
    <row r="75" s="22" customFormat="1" ht="15" customHeight="1" spans="1:16">
      <c r="A75" s="25" t="s">
        <v>444</v>
      </c>
      <c r="B75" s="28" t="s">
        <v>445</v>
      </c>
      <c r="C75" s="25" t="s">
        <v>41</v>
      </c>
      <c r="D75" s="28" t="s">
        <v>533</v>
      </c>
      <c r="E75" s="25" t="s">
        <v>41</v>
      </c>
      <c r="F75" s="25" t="s">
        <v>443</v>
      </c>
      <c r="G75" s="25" t="s">
        <v>489</v>
      </c>
      <c r="H75" s="76">
        <v>0</v>
      </c>
      <c r="I75" s="76">
        <v>0</v>
      </c>
      <c r="J75" s="76">
        <v>0</v>
      </c>
      <c r="K75" s="76">
        <v>0</v>
      </c>
      <c r="L75" s="76">
        <v>0</v>
      </c>
      <c r="M75" s="25" t="s">
        <v>489</v>
      </c>
      <c r="N75" s="76">
        <v>0</v>
      </c>
      <c r="O75" s="22">
        <f t="shared" si="1"/>
        <v>0</v>
      </c>
      <c r="P75" s="78" t="str">
        <f>IF(O75=0,"",_xlfn.XLOOKUP(D75,'6月份计划'!A:A,'6月份计划'!A:A))</f>
        <v/>
      </c>
    </row>
    <row r="76" s="22" customFormat="1" ht="15" customHeight="1" spans="1:16">
      <c r="A76" s="29" t="s">
        <v>444</v>
      </c>
      <c r="B76" s="32" t="s">
        <v>445</v>
      </c>
      <c r="C76" s="29" t="s">
        <v>41</v>
      </c>
      <c r="D76" s="32" t="s">
        <v>255</v>
      </c>
      <c r="E76" s="29" t="s">
        <v>41</v>
      </c>
      <c r="F76" s="29" t="s">
        <v>443</v>
      </c>
      <c r="G76" s="29" t="s">
        <v>447</v>
      </c>
      <c r="H76" s="77">
        <v>94329.37</v>
      </c>
      <c r="I76" s="77">
        <v>67848.95</v>
      </c>
      <c r="J76" s="77">
        <v>49949.33</v>
      </c>
      <c r="K76" s="77">
        <v>662675.47</v>
      </c>
      <c r="L76" s="77">
        <v>372759.96</v>
      </c>
      <c r="M76" s="29" t="s">
        <v>447</v>
      </c>
      <c r="N76" s="77">
        <v>76429.75</v>
      </c>
      <c r="O76" s="22">
        <f t="shared" si="1"/>
        <v>76429.75</v>
      </c>
      <c r="P76" s="78" t="str">
        <f>IF(O76=0,"",_xlfn.XLOOKUP(D76,'6月份计划'!A:A,'6月份计划'!A:A))</f>
        <v>重庆光大产业有限公司</v>
      </c>
    </row>
    <row r="77" s="22" customFormat="1" ht="15" customHeight="1" spans="1:16">
      <c r="A77" s="25" t="s">
        <v>444</v>
      </c>
      <c r="B77" s="28" t="s">
        <v>445</v>
      </c>
      <c r="C77" s="25" t="s">
        <v>41</v>
      </c>
      <c r="D77" s="28" t="s">
        <v>256</v>
      </c>
      <c r="E77" s="25" t="s">
        <v>41</v>
      </c>
      <c r="F77" s="25" t="s">
        <v>443</v>
      </c>
      <c r="G77" s="25" t="s">
        <v>447</v>
      </c>
      <c r="H77" s="76">
        <v>3192712.2</v>
      </c>
      <c r="I77" s="76">
        <v>5500000</v>
      </c>
      <c r="J77" s="76">
        <v>5314718.94</v>
      </c>
      <c r="K77" s="76">
        <v>14906463.53</v>
      </c>
      <c r="L77" s="76">
        <v>13019261.3</v>
      </c>
      <c r="M77" s="25" t="s">
        <v>447</v>
      </c>
      <c r="N77" s="76">
        <v>3007431.14</v>
      </c>
      <c r="O77" s="22">
        <f t="shared" si="1"/>
        <v>3007431.14</v>
      </c>
      <c r="P77" s="78" t="str">
        <f>IF(O77=0,"",_xlfn.XLOOKUP(D77,'6月份计划'!A:A,'6月份计划'!A:A))</f>
        <v>湘乡简美工贸有限公司</v>
      </c>
    </row>
    <row r="78" s="22" customFormat="1" ht="15" customHeight="1" spans="1:16">
      <c r="A78" s="29" t="s">
        <v>444</v>
      </c>
      <c r="B78" s="32" t="s">
        <v>445</v>
      </c>
      <c r="C78" s="29" t="s">
        <v>41</v>
      </c>
      <c r="D78" s="32" t="s">
        <v>600</v>
      </c>
      <c r="E78" s="29" t="s">
        <v>41</v>
      </c>
      <c r="F78" s="29" t="s">
        <v>443</v>
      </c>
      <c r="G78" s="29" t="s">
        <v>489</v>
      </c>
      <c r="H78" s="77">
        <v>0</v>
      </c>
      <c r="I78" s="77">
        <v>0</v>
      </c>
      <c r="J78" s="77">
        <v>2607443.59</v>
      </c>
      <c r="K78" s="77">
        <v>0</v>
      </c>
      <c r="L78" s="77">
        <v>2607443.59</v>
      </c>
      <c r="M78" s="29" t="s">
        <v>447</v>
      </c>
      <c r="N78" s="77">
        <v>2607443.59</v>
      </c>
      <c r="O78" s="22">
        <f t="shared" si="1"/>
        <v>2607443.59</v>
      </c>
      <c r="P78" s="78" t="e">
        <f>IF(O78=0,"",_xlfn.XLOOKUP(D78,'6月份计划'!A:A,'6月份计划'!A:A))</f>
        <v>#N/A</v>
      </c>
    </row>
    <row r="79" s="22" customFormat="1" ht="15" customHeight="1" spans="1:16">
      <c r="A79" s="25" t="s">
        <v>444</v>
      </c>
      <c r="B79" s="28" t="s">
        <v>445</v>
      </c>
      <c r="C79" s="25" t="s">
        <v>41</v>
      </c>
      <c r="D79" s="28" t="s">
        <v>534</v>
      </c>
      <c r="E79" s="25" t="s">
        <v>41</v>
      </c>
      <c r="F79" s="25" t="s">
        <v>443</v>
      </c>
      <c r="G79" s="25" t="s">
        <v>489</v>
      </c>
      <c r="H79" s="76">
        <v>0</v>
      </c>
      <c r="I79" s="76">
        <v>0</v>
      </c>
      <c r="J79" s="76">
        <v>0</v>
      </c>
      <c r="K79" s="76">
        <v>82524</v>
      </c>
      <c r="L79" s="76">
        <v>0</v>
      </c>
      <c r="M79" s="25" t="s">
        <v>489</v>
      </c>
      <c r="N79" s="76">
        <v>0</v>
      </c>
      <c r="O79" s="22">
        <f t="shared" si="1"/>
        <v>0</v>
      </c>
      <c r="P79" s="78" t="str">
        <f>IF(O79=0,"",_xlfn.XLOOKUP(D79,'6月份计划'!A:A,'6月份计划'!A:A))</f>
        <v/>
      </c>
    </row>
    <row r="80" s="22" customFormat="1" ht="15" customHeight="1" spans="1:16">
      <c r="A80" s="29" t="s">
        <v>444</v>
      </c>
      <c r="B80" s="32" t="s">
        <v>445</v>
      </c>
      <c r="C80" s="29" t="s">
        <v>41</v>
      </c>
      <c r="D80" s="32" t="s">
        <v>455</v>
      </c>
      <c r="E80" s="29" t="s">
        <v>41</v>
      </c>
      <c r="F80" s="29" t="s">
        <v>443</v>
      </c>
      <c r="G80" s="29" t="s">
        <v>489</v>
      </c>
      <c r="H80" s="77">
        <v>0</v>
      </c>
      <c r="I80" s="77">
        <v>0</v>
      </c>
      <c r="J80" s="77">
        <v>0</v>
      </c>
      <c r="K80" s="77">
        <v>241042</v>
      </c>
      <c r="L80" s="77">
        <v>0</v>
      </c>
      <c r="M80" s="29" t="s">
        <v>489</v>
      </c>
      <c r="N80" s="77">
        <v>0</v>
      </c>
      <c r="O80" s="22">
        <f t="shared" si="1"/>
        <v>0</v>
      </c>
      <c r="P80" s="78" t="str">
        <f>IF(O80=0,"",_xlfn.XLOOKUP(D80,'6月份计划'!A:A,'6月份计划'!A:A))</f>
        <v/>
      </c>
    </row>
    <row r="81" s="22" customFormat="1" ht="15" customHeight="1" spans="1:16">
      <c r="A81" s="25" t="s">
        <v>444</v>
      </c>
      <c r="B81" s="28" t="s">
        <v>445</v>
      </c>
      <c r="C81" s="25" t="s">
        <v>41</v>
      </c>
      <c r="D81" s="28" t="s">
        <v>456</v>
      </c>
      <c r="E81" s="25" t="s">
        <v>41</v>
      </c>
      <c r="F81" s="25" t="s">
        <v>443</v>
      </c>
      <c r="G81" s="25" t="s">
        <v>447</v>
      </c>
      <c r="H81" s="76">
        <v>115723.23</v>
      </c>
      <c r="I81" s="76">
        <v>0</v>
      </c>
      <c r="J81" s="76">
        <v>0</v>
      </c>
      <c r="K81" s="76">
        <v>344500</v>
      </c>
      <c r="L81" s="76">
        <v>144500</v>
      </c>
      <c r="M81" s="25" t="s">
        <v>447</v>
      </c>
      <c r="N81" s="76">
        <v>115723.23</v>
      </c>
      <c r="O81" s="22">
        <f t="shared" si="1"/>
        <v>115723.23</v>
      </c>
      <c r="P81" s="78" t="e">
        <f>IF(O81=0,"",_xlfn.XLOOKUP(D81,'6月份计划'!A:A,'6月份计划'!A:A))</f>
        <v>#N/A</v>
      </c>
    </row>
    <row r="82" s="22" customFormat="1" ht="15" customHeight="1" spans="1:16">
      <c r="A82" s="29" t="s">
        <v>444</v>
      </c>
      <c r="B82" s="32" t="s">
        <v>445</v>
      </c>
      <c r="C82" s="29" t="s">
        <v>41</v>
      </c>
      <c r="D82" s="32" t="s">
        <v>457</v>
      </c>
      <c r="E82" s="29" t="s">
        <v>41</v>
      </c>
      <c r="F82" s="29" t="s">
        <v>443</v>
      </c>
      <c r="G82" s="29" t="s">
        <v>447</v>
      </c>
      <c r="H82" s="77">
        <v>1400</v>
      </c>
      <c r="I82" s="77">
        <v>0</v>
      </c>
      <c r="J82" s="77">
        <v>0</v>
      </c>
      <c r="K82" s="77">
        <v>0</v>
      </c>
      <c r="L82" s="77">
        <v>0</v>
      </c>
      <c r="M82" s="29" t="s">
        <v>447</v>
      </c>
      <c r="N82" s="77">
        <v>1400</v>
      </c>
      <c r="O82" s="22">
        <f t="shared" si="1"/>
        <v>1400</v>
      </c>
      <c r="P82" s="78" t="e">
        <f>IF(O82=0,"",_xlfn.XLOOKUP(D82,'6月份计划'!A:A,'6月份计划'!A:A))</f>
        <v>#N/A</v>
      </c>
    </row>
    <row r="83" s="22" customFormat="1" ht="15" customHeight="1" spans="1:16">
      <c r="A83" s="25" t="s">
        <v>444</v>
      </c>
      <c r="B83" s="28" t="s">
        <v>445</v>
      </c>
      <c r="C83" s="25" t="s">
        <v>41</v>
      </c>
      <c r="D83" s="28" t="s">
        <v>458</v>
      </c>
      <c r="E83" s="25" t="s">
        <v>41</v>
      </c>
      <c r="F83" s="25" t="s">
        <v>443</v>
      </c>
      <c r="G83" s="25" t="s">
        <v>447</v>
      </c>
      <c r="H83" s="76">
        <v>5600</v>
      </c>
      <c r="I83" s="76">
        <v>0</v>
      </c>
      <c r="J83" s="76">
        <v>0</v>
      </c>
      <c r="K83" s="76">
        <v>0</v>
      </c>
      <c r="L83" s="76">
        <v>0</v>
      </c>
      <c r="M83" s="25" t="s">
        <v>447</v>
      </c>
      <c r="N83" s="76">
        <v>5600</v>
      </c>
      <c r="O83" s="22">
        <f t="shared" si="1"/>
        <v>5600</v>
      </c>
      <c r="P83" s="78" t="e">
        <f>IF(O83=0,"",_xlfn.XLOOKUP(D83,'6月份计划'!A:A,'6月份计划'!A:A))</f>
        <v>#N/A</v>
      </c>
    </row>
    <row r="84" s="22" customFormat="1" ht="15" customHeight="1" spans="1:16">
      <c r="A84" s="29" t="s">
        <v>444</v>
      </c>
      <c r="B84" s="32" t="s">
        <v>445</v>
      </c>
      <c r="C84" s="29" t="s">
        <v>41</v>
      </c>
      <c r="D84" s="32" t="s">
        <v>459</v>
      </c>
      <c r="E84" s="29" t="s">
        <v>41</v>
      </c>
      <c r="F84" s="29" t="s">
        <v>443</v>
      </c>
      <c r="G84" s="29" t="s">
        <v>447</v>
      </c>
      <c r="H84" s="77">
        <v>6250</v>
      </c>
      <c r="I84" s="77">
        <v>0</v>
      </c>
      <c r="J84" s="77">
        <v>0</v>
      </c>
      <c r="K84" s="77">
        <v>0</v>
      </c>
      <c r="L84" s="77">
        <v>0</v>
      </c>
      <c r="M84" s="29" t="s">
        <v>447</v>
      </c>
      <c r="N84" s="77">
        <v>6250</v>
      </c>
      <c r="O84" s="22">
        <f t="shared" si="1"/>
        <v>6250</v>
      </c>
      <c r="P84" s="78" t="e">
        <f>IF(O84=0,"",_xlfn.XLOOKUP(D84,'6月份计划'!A:A,'6月份计划'!A:A))</f>
        <v>#N/A</v>
      </c>
    </row>
    <row r="85" s="22" customFormat="1" ht="15" customHeight="1" spans="1:16">
      <c r="A85" s="25" t="s">
        <v>444</v>
      </c>
      <c r="B85" s="28" t="s">
        <v>445</v>
      </c>
      <c r="C85" s="25" t="s">
        <v>41</v>
      </c>
      <c r="D85" s="28" t="s">
        <v>535</v>
      </c>
      <c r="E85" s="25" t="s">
        <v>41</v>
      </c>
      <c r="F85" s="25" t="s">
        <v>443</v>
      </c>
      <c r="G85" s="25" t="s">
        <v>489</v>
      </c>
      <c r="H85" s="76">
        <v>0</v>
      </c>
      <c r="I85" s="76">
        <v>0</v>
      </c>
      <c r="J85" s="76">
        <v>0</v>
      </c>
      <c r="K85" s="76">
        <v>0</v>
      </c>
      <c r="L85" s="76">
        <v>0</v>
      </c>
      <c r="M85" s="25" t="s">
        <v>489</v>
      </c>
      <c r="N85" s="76">
        <v>0</v>
      </c>
      <c r="O85" s="22">
        <f t="shared" si="1"/>
        <v>0</v>
      </c>
      <c r="P85" s="78" t="str">
        <f>IF(O85=0,"",_xlfn.XLOOKUP(D85,'6月份计划'!A:A,'6月份计划'!A:A))</f>
        <v/>
      </c>
    </row>
    <row r="86" s="22" customFormat="1" ht="15" customHeight="1" spans="1:16">
      <c r="A86" s="29" t="s">
        <v>444</v>
      </c>
      <c r="B86" s="32" t="s">
        <v>445</v>
      </c>
      <c r="C86" s="29" t="s">
        <v>41</v>
      </c>
      <c r="D86" s="32" t="s">
        <v>460</v>
      </c>
      <c r="E86" s="29" t="s">
        <v>41</v>
      </c>
      <c r="F86" s="29" t="s">
        <v>443</v>
      </c>
      <c r="G86" s="29" t="s">
        <v>447</v>
      </c>
      <c r="H86" s="77">
        <v>12000</v>
      </c>
      <c r="I86" s="77">
        <v>0</v>
      </c>
      <c r="J86" s="77">
        <v>0</v>
      </c>
      <c r="K86" s="77">
        <v>0</v>
      </c>
      <c r="L86" s="77">
        <v>0</v>
      </c>
      <c r="M86" s="29" t="s">
        <v>447</v>
      </c>
      <c r="N86" s="77">
        <v>12000</v>
      </c>
      <c r="O86" s="22">
        <f t="shared" si="1"/>
        <v>12000</v>
      </c>
      <c r="P86" s="78" t="e">
        <f>IF(O86=0,"",_xlfn.XLOOKUP(D86,'6月份计划'!A:A,'6月份计划'!A:A))</f>
        <v>#N/A</v>
      </c>
    </row>
    <row r="87" s="22" customFormat="1" ht="15" customHeight="1" spans="1:16">
      <c r="A87" s="25" t="s">
        <v>444</v>
      </c>
      <c r="B87" s="28" t="s">
        <v>445</v>
      </c>
      <c r="C87" s="25" t="s">
        <v>41</v>
      </c>
      <c r="D87" s="28" t="s">
        <v>536</v>
      </c>
      <c r="E87" s="25" t="s">
        <v>41</v>
      </c>
      <c r="F87" s="25" t="s">
        <v>443</v>
      </c>
      <c r="G87" s="25" t="s">
        <v>489</v>
      </c>
      <c r="H87" s="76">
        <v>0</v>
      </c>
      <c r="I87" s="76">
        <v>0</v>
      </c>
      <c r="J87" s="76">
        <v>0</v>
      </c>
      <c r="K87" s="76">
        <v>0</v>
      </c>
      <c r="L87" s="76">
        <v>0</v>
      </c>
      <c r="M87" s="25" t="s">
        <v>489</v>
      </c>
      <c r="N87" s="76">
        <v>0</v>
      </c>
      <c r="O87" s="22">
        <f t="shared" si="1"/>
        <v>0</v>
      </c>
      <c r="P87" s="78" t="str">
        <f>IF(O87=0,"",_xlfn.XLOOKUP(D87,'6月份计划'!A:A,'6月份计划'!A:A))</f>
        <v/>
      </c>
    </row>
    <row r="88" s="22" customFormat="1" ht="15" customHeight="1" spans="1:16">
      <c r="A88" s="29" t="s">
        <v>444</v>
      </c>
      <c r="B88" s="32" t="s">
        <v>445</v>
      </c>
      <c r="C88" s="29" t="s">
        <v>41</v>
      </c>
      <c r="D88" s="32" t="s">
        <v>413</v>
      </c>
      <c r="E88" s="29" t="s">
        <v>41</v>
      </c>
      <c r="F88" s="29" t="s">
        <v>443</v>
      </c>
      <c r="G88" s="29" t="s">
        <v>489</v>
      </c>
      <c r="H88" s="77">
        <v>0</v>
      </c>
      <c r="I88" s="77">
        <v>0</v>
      </c>
      <c r="J88" s="77">
        <v>0</v>
      </c>
      <c r="K88" s="77">
        <v>0</v>
      </c>
      <c r="L88" s="77">
        <v>0</v>
      </c>
      <c r="M88" s="29" t="s">
        <v>489</v>
      </c>
      <c r="N88" s="77">
        <v>0</v>
      </c>
      <c r="O88" s="22">
        <f t="shared" si="1"/>
        <v>0</v>
      </c>
      <c r="P88" s="78" t="str">
        <f>IF(O88=0,"",_xlfn.XLOOKUP(D88,'6月份计划'!A:A,'6月份计划'!A:A))</f>
        <v/>
      </c>
    </row>
    <row r="89" s="22" customFormat="1" ht="15" customHeight="1" spans="1:16">
      <c r="A89" s="25" t="s">
        <v>444</v>
      </c>
      <c r="B89" s="28" t="s">
        <v>445</v>
      </c>
      <c r="C89" s="25" t="s">
        <v>41</v>
      </c>
      <c r="D89" s="28" t="s">
        <v>537</v>
      </c>
      <c r="E89" s="25" t="s">
        <v>41</v>
      </c>
      <c r="F89" s="25" t="s">
        <v>443</v>
      </c>
      <c r="G89" s="25" t="s">
        <v>489</v>
      </c>
      <c r="H89" s="76">
        <v>0</v>
      </c>
      <c r="I89" s="76">
        <v>0</v>
      </c>
      <c r="J89" s="76">
        <v>0</v>
      </c>
      <c r="K89" s="76">
        <v>0</v>
      </c>
      <c r="L89" s="76">
        <v>0</v>
      </c>
      <c r="M89" s="25" t="s">
        <v>489</v>
      </c>
      <c r="N89" s="76">
        <v>0</v>
      </c>
      <c r="O89" s="22">
        <f t="shared" si="1"/>
        <v>0</v>
      </c>
      <c r="P89" s="78" t="str">
        <f>IF(O89=0,"",_xlfn.XLOOKUP(D89,'6月份计划'!A:A,'6月份计划'!A:A))</f>
        <v/>
      </c>
    </row>
    <row r="90" s="22" customFormat="1" ht="15" customHeight="1" spans="1:16">
      <c r="A90" s="29" t="s">
        <v>444</v>
      </c>
      <c r="B90" s="32" t="s">
        <v>445</v>
      </c>
      <c r="C90" s="29" t="s">
        <v>41</v>
      </c>
      <c r="D90" s="32" t="s">
        <v>538</v>
      </c>
      <c r="E90" s="29" t="s">
        <v>41</v>
      </c>
      <c r="F90" s="29" t="s">
        <v>443</v>
      </c>
      <c r="G90" s="29" t="s">
        <v>489</v>
      </c>
      <c r="H90" s="77">
        <v>0</v>
      </c>
      <c r="I90" s="77">
        <v>0</v>
      </c>
      <c r="J90" s="77">
        <v>0</v>
      </c>
      <c r="K90" s="77">
        <v>0</v>
      </c>
      <c r="L90" s="77">
        <v>0</v>
      </c>
      <c r="M90" s="29" t="s">
        <v>489</v>
      </c>
      <c r="N90" s="77">
        <v>0</v>
      </c>
      <c r="O90" s="22">
        <f t="shared" si="1"/>
        <v>0</v>
      </c>
      <c r="P90" s="78" t="str">
        <f>IF(O90=0,"",_xlfn.XLOOKUP(D90,'6月份计划'!A:A,'6月份计划'!A:A))</f>
        <v/>
      </c>
    </row>
    <row r="91" s="22" customFormat="1" ht="15" customHeight="1" spans="1:16">
      <c r="A91" s="25" t="s">
        <v>444</v>
      </c>
      <c r="B91" s="28" t="s">
        <v>445</v>
      </c>
      <c r="C91" s="25" t="s">
        <v>41</v>
      </c>
      <c r="D91" s="28" t="s">
        <v>416</v>
      </c>
      <c r="E91" s="25" t="s">
        <v>41</v>
      </c>
      <c r="F91" s="25" t="s">
        <v>443</v>
      </c>
      <c r="G91" s="25" t="s">
        <v>489</v>
      </c>
      <c r="H91" s="76">
        <v>0</v>
      </c>
      <c r="I91" s="76">
        <v>0</v>
      </c>
      <c r="J91" s="76">
        <v>0</v>
      </c>
      <c r="K91" s="76">
        <v>0</v>
      </c>
      <c r="L91" s="76">
        <v>18532</v>
      </c>
      <c r="M91" s="25" t="s">
        <v>489</v>
      </c>
      <c r="N91" s="76">
        <v>0</v>
      </c>
      <c r="O91" s="22">
        <f t="shared" si="1"/>
        <v>0</v>
      </c>
      <c r="P91" s="78" t="str">
        <f>IF(O91=0,"",_xlfn.XLOOKUP(D91,'6月份计划'!A:A,'6月份计划'!A:A))</f>
        <v/>
      </c>
    </row>
    <row r="92" s="22" customFormat="1" ht="15" customHeight="1" spans="1:16">
      <c r="A92" s="29" t="s">
        <v>444</v>
      </c>
      <c r="B92" s="32" t="s">
        <v>445</v>
      </c>
      <c r="C92" s="29" t="s">
        <v>41</v>
      </c>
      <c r="D92" s="32" t="s">
        <v>461</v>
      </c>
      <c r="E92" s="29" t="s">
        <v>41</v>
      </c>
      <c r="F92" s="29" t="s">
        <v>443</v>
      </c>
      <c r="G92" s="29" t="s">
        <v>447</v>
      </c>
      <c r="H92" s="77">
        <v>9600</v>
      </c>
      <c r="I92" s="77">
        <v>0</v>
      </c>
      <c r="J92" s="77">
        <v>0</v>
      </c>
      <c r="K92" s="77">
        <v>0</v>
      </c>
      <c r="L92" s="77">
        <v>0</v>
      </c>
      <c r="M92" s="29" t="s">
        <v>447</v>
      </c>
      <c r="N92" s="77">
        <v>9600</v>
      </c>
      <c r="O92" s="22">
        <f t="shared" si="1"/>
        <v>9600</v>
      </c>
      <c r="P92" s="78" t="e">
        <f>IF(O92=0,"",_xlfn.XLOOKUP(D92,'6月份计划'!A:A,'6月份计划'!A:A))</f>
        <v>#N/A</v>
      </c>
    </row>
    <row r="93" s="22" customFormat="1" ht="15" customHeight="1" spans="1:16">
      <c r="A93" s="25" t="s">
        <v>444</v>
      </c>
      <c r="B93" s="28" t="s">
        <v>445</v>
      </c>
      <c r="C93" s="25" t="s">
        <v>41</v>
      </c>
      <c r="D93" s="28" t="s">
        <v>539</v>
      </c>
      <c r="E93" s="25" t="s">
        <v>41</v>
      </c>
      <c r="F93" s="25" t="s">
        <v>443</v>
      </c>
      <c r="G93" s="25" t="s">
        <v>489</v>
      </c>
      <c r="H93" s="76">
        <v>0</v>
      </c>
      <c r="I93" s="76">
        <v>0</v>
      </c>
      <c r="J93" s="76">
        <v>0</v>
      </c>
      <c r="K93" s="76">
        <v>0</v>
      </c>
      <c r="L93" s="76">
        <v>0</v>
      </c>
      <c r="M93" s="25" t="s">
        <v>489</v>
      </c>
      <c r="N93" s="76">
        <v>0</v>
      </c>
      <c r="O93" s="22">
        <f t="shared" si="1"/>
        <v>0</v>
      </c>
      <c r="P93" s="78" t="str">
        <f>IF(O93=0,"",_xlfn.XLOOKUP(D93,'6月份计划'!A:A,'6月份计划'!A:A))</f>
        <v/>
      </c>
    </row>
    <row r="94" s="22" customFormat="1" ht="15" customHeight="1" spans="1:16">
      <c r="A94" s="29" t="s">
        <v>444</v>
      </c>
      <c r="B94" s="32" t="s">
        <v>445</v>
      </c>
      <c r="C94" s="29" t="s">
        <v>41</v>
      </c>
      <c r="D94" s="32" t="s">
        <v>462</v>
      </c>
      <c r="E94" s="29" t="s">
        <v>41</v>
      </c>
      <c r="F94" s="29" t="s">
        <v>443</v>
      </c>
      <c r="G94" s="29" t="s">
        <v>453</v>
      </c>
      <c r="H94" s="77">
        <v>15365.76</v>
      </c>
      <c r="I94" s="77">
        <v>0</v>
      </c>
      <c r="J94" s="77">
        <v>0</v>
      </c>
      <c r="K94" s="77">
        <v>0</v>
      </c>
      <c r="L94" s="77">
        <v>0</v>
      </c>
      <c r="M94" s="29" t="s">
        <v>453</v>
      </c>
      <c r="N94" s="77">
        <v>15365.76</v>
      </c>
      <c r="O94" s="22">
        <f t="shared" si="1"/>
        <v>-15365.76</v>
      </c>
      <c r="P94" s="78" t="e">
        <f>IF(O94=0,"",_xlfn.XLOOKUP(D94,'6月份计划'!A:A,'6月份计划'!A:A))</f>
        <v>#N/A</v>
      </c>
    </row>
    <row r="95" s="22" customFormat="1" ht="15" customHeight="1" spans="1:16">
      <c r="A95" s="25" t="s">
        <v>444</v>
      </c>
      <c r="B95" s="28" t="s">
        <v>445</v>
      </c>
      <c r="C95" s="25" t="s">
        <v>41</v>
      </c>
      <c r="D95" s="28" t="s">
        <v>463</v>
      </c>
      <c r="E95" s="25" t="s">
        <v>41</v>
      </c>
      <c r="F95" s="25" t="s">
        <v>443</v>
      </c>
      <c r="G95" s="25" t="s">
        <v>447</v>
      </c>
      <c r="H95" s="76">
        <v>2200</v>
      </c>
      <c r="I95" s="76">
        <v>0</v>
      </c>
      <c r="J95" s="76">
        <v>0</v>
      </c>
      <c r="K95" s="76">
        <v>0</v>
      </c>
      <c r="L95" s="76">
        <v>0</v>
      </c>
      <c r="M95" s="25" t="s">
        <v>447</v>
      </c>
      <c r="N95" s="76">
        <v>2200</v>
      </c>
      <c r="O95" s="22">
        <f t="shared" si="1"/>
        <v>2200</v>
      </c>
      <c r="P95" s="78" t="e">
        <f>IF(O95=0,"",_xlfn.XLOOKUP(D95,'6月份计划'!A:A,'6月份计划'!A:A))</f>
        <v>#N/A</v>
      </c>
    </row>
    <row r="96" s="22" customFormat="1" ht="15" customHeight="1" spans="1:16">
      <c r="A96" s="25" t="s">
        <v>444</v>
      </c>
      <c r="B96" s="28" t="s">
        <v>445</v>
      </c>
      <c r="C96" s="25" t="s">
        <v>41</v>
      </c>
      <c r="D96" s="28" t="s">
        <v>464</v>
      </c>
      <c r="E96" s="25" t="s">
        <v>41</v>
      </c>
      <c r="F96" s="25" t="s">
        <v>443</v>
      </c>
      <c r="G96" s="25" t="s">
        <v>447</v>
      </c>
      <c r="H96" s="76">
        <v>6340</v>
      </c>
      <c r="I96" s="76">
        <v>0</v>
      </c>
      <c r="J96" s="76">
        <v>0</v>
      </c>
      <c r="K96" s="76">
        <v>0</v>
      </c>
      <c r="L96" s="76">
        <v>0</v>
      </c>
      <c r="M96" s="25" t="s">
        <v>447</v>
      </c>
      <c r="N96" s="76">
        <v>6340</v>
      </c>
      <c r="O96" s="22">
        <f t="shared" si="1"/>
        <v>6340</v>
      </c>
      <c r="P96" s="78" t="e">
        <f>IF(O96=0,"",_xlfn.XLOOKUP(D96,'6月份计划'!A:A,'6月份计划'!A:A))</f>
        <v>#N/A</v>
      </c>
    </row>
    <row r="97" s="22" customFormat="1" ht="15" customHeight="1" spans="1:16">
      <c r="A97" s="29" t="s">
        <v>444</v>
      </c>
      <c r="B97" s="32" t="s">
        <v>445</v>
      </c>
      <c r="C97" s="29" t="s">
        <v>41</v>
      </c>
      <c r="D97" s="32" t="s">
        <v>465</v>
      </c>
      <c r="E97" s="29" t="s">
        <v>41</v>
      </c>
      <c r="F97" s="29" t="s">
        <v>443</v>
      </c>
      <c r="G97" s="29" t="s">
        <v>447</v>
      </c>
      <c r="H97" s="77">
        <v>30585</v>
      </c>
      <c r="I97" s="77">
        <v>0</v>
      </c>
      <c r="J97" s="77">
        <v>0</v>
      </c>
      <c r="K97" s="77">
        <v>0</v>
      </c>
      <c r="L97" s="77">
        <v>0</v>
      </c>
      <c r="M97" s="29" t="s">
        <v>447</v>
      </c>
      <c r="N97" s="77">
        <v>30585</v>
      </c>
      <c r="O97" s="22">
        <f t="shared" si="1"/>
        <v>30585</v>
      </c>
      <c r="P97" s="78" t="e">
        <f>IF(O97=0,"",_xlfn.XLOOKUP(D97,'6月份计划'!A:A,'6月份计划'!A:A))</f>
        <v>#N/A</v>
      </c>
    </row>
    <row r="98" s="22" customFormat="1" ht="15" customHeight="1" spans="1:16">
      <c r="A98" s="25" t="s">
        <v>444</v>
      </c>
      <c r="B98" s="28" t="s">
        <v>445</v>
      </c>
      <c r="C98" s="25" t="s">
        <v>41</v>
      </c>
      <c r="D98" s="28" t="s">
        <v>257</v>
      </c>
      <c r="E98" s="25" t="s">
        <v>41</v>
      </c>
      <c r="F98" s="25" t="s">
        <v>443</v>
      </c>
      <c r="G98" s="25" t="s">
        <v>453</v>
      </c>
      <c r="H98" s="76">
        <v>39.99</v>
      </c>
      <c r="I98" s="76">
        <v>0</v>
      </c>
      <c r="J98" s="76">
        <v>0</v>
      </c>
      <c r="K98" s="76">
        <v>288131.92</v>
      </c>
      <c r="L98" s="76">
        <v>512604.16</v>
      </c>
      <c r="M98" s="25" t="s">
        <v>453</v>
      </c>
      <c r="N98" s="76">
        <v>39.99</v>
      </c>
      <c r="O98" s="22">
        <f t="shared" si="1"/>
        <v>-39.99</v>
      </c>
      <c r="P98" s="78" t="str">
        <f>IF(O98=0,"",_xlfn.XLOOKUP(D98,'6月份计划'!A:A,'6月份计划'!A:A))</f>
        <v>佛吉亚（无锡）座椅部件有限公</v>
      </c>
    </row>
    <row r="99" s="22" customFormat="1" ht="15" customHeight="1" spans="1:16">
      <c r="A99" s="29" t="s">
        <v>444</v>
      </c>
      <c r="B99" s="32" t="s">
        <v>445</v>
      </c>
      <c r="C99" s="29" t="s">
        <v>41</v>
      </c>
      <c r="D99" s="32" t="s">
        <v>540</v>
      </c>
      <c r="E99" s="29" t="s">
        <v>41</v>
      </c>
      <c r="F99" s="29" t="s">
        <v>443</v>
      </c>
      <c r="G99" s="29" t="s">
        <v>489</v>
      </c>
      <c r="H99" s="77">
        <v>0</v>
      </c>
      <c r="I99" s="77">
        <v>0</v>
      </c>
      <c r="J99" s="77">
        <v>0</v>
      </c>
      <c r="K99" s="77">
        <v>0</v>
      </c>
      <c r="L99" s="77">
        <v>0</v>
      </c>
      <c r="M99" s="29" t="s">
        <v>489</v>
      </c>
      <c r="N99" s="77">
        <v>0</v>
      </c>
      <c r="O99" s="22">
        <f t="shared" si="1"/>
        <v>0</v>
      </c>
      <c r="P99" s="78" t="str">
        <f>IF(O99=0,"",_xlfn.XLOOKUP(D99,'6月份计划'!A:A,'6月份计划'!A:A))</f>
        <v/>
      </c>
    </row>
    <row r="100" s="22" customFormat="1" ht="15" customHeight="1" spans="1:16">
      <c r="A100" s="25" t="s">
        <v>444</v>
      </c>
      <c r="B100" s="28" t="s">
        <v>445</v>
      </c>
      <c r="C100" s="25" t="s">
        <v>41</v>
      </c>
      <c r="D100" s="28" t="s">
        <v>541</v>
      </c>
      <c r="E100" s="25" t="s">
        <v>41</v>
      </c>
      <c r="F100" s="25" t="s">
        <v>443</v>
      </c>
      <c r="G100" s="25" t="s">
        <v>489</v>
      </c>
      <c r="H100" s="76">
        <v>0</v>
      </c>
      <c r="I100" s="76">
        <v>0</v>
      </c>
      <c r="J100" s="76">
        <v>0</v>
      </c>
      <c r="K100" s="76">
        <v>0</v>
      </c>
      <c r="L100" s="76">
        <v>0</v>
      </c>
      <c r="M100" s="25" t="s">
        <v>489</v>
      </c>
      <c r="N100" s="76">
        <v>0</v>
      </c>
      <c r="O100" s="22">
        <f t="shared" si="1"/>
        <v>0</v>
      </c>
      <c r="P100" s="78" t="str">
        <f>IF(O100=0,"",_xlfn.XLOOKUP(D100,'6月份计划'!A:A,'6月份计划'!A:A))</f>
        <v/>
      </c>
    </row>
    <row r="101" s="22" customFormat="1" ht="15" customHeight="1" spans="1:16">
      <c r="A101" s="29" t="s">
        <v>444</v>
      </c>
      <c r="B101" s="32" t="s">
        <v>445</v>
      </c>
      <c r="C101" s="29" t="s">
        <v>41</v>
      </c>
      <c r="D101" s="32" t="s">
        <v>542</v>
      </c>
      <c r="E101" s="29" t="s">
        <v>41</v>
      </c>
      <c r="F101" s="29" t="s">
        <v>443</v>
      </c>
      <c r="G101" s="29" t="s">
        <v>489</v>
      </c>
      <c r="H101" s="77">
        <v>0</v>
      </c>
      <c r="I101" s="77">
        <v>0</v>
      </c>
      <c r="J101" s="77">
        <v>0</v>
      </c>
      <c r="K101" s="77">
        <v>0</v>
      </c>
      <c r="L101" s="77">
        <v>0</v>
      </c>
      <c r="M101" s="29" t="s">
        <v>489</v>
      </c>
      <c r="N101" s="77">
        <v>0</v>
      </c>
      <c r="O101" s="22">
        <f t="shared" si="1"/>
        <v>0</v>
      </c>
      <c r="P101" s="78" t="str">
        <f>IF(O101=0,"",_xlfn.XLOOKUP(D101,'6月份计划'!A:A,'6月份计划'!A:A))</f>
        <v/>
      </c>
    </row>
    <row r="102" s="22" customFormat="1" ht="15" customHeight="1" spans="1:16">
      <c r="A102" s="25" t="s">
        <v>444</v>
      </c>
      <c r="B102" s="28" t="s">
        <v>445</v>
      </c>
      <c r="C102" s="25" t="s">
        <v>41</v>
      </c>
      <c r="D102" s="28" t="s">
        <v>543</v>
      </c>
      <c r="E102" s="25" t="s">
        <v>41</v>
      </c>
      <c r="F102" s="25" t="s">
        <v>443</v>
      </c>
      <c r="G102" s="25" t="s">
        <v>489</v>
      </c>
      <c r="H102" s="76">
        <v>0</v>
      </c>
      <c r="I102" s="76">
        <v>0</v>
      </c>
      <c r="J102" s="76">
        <v>0</v>
      </c>
      <c r="K102" s="76">
        <v>0</v>
      </c>
      <c r="L102" s="76">
        <v>0</v>
      </c>
      <c r="M102" s="25" t="s">
        <v>489</v>
      </c>
      <c r="N102" s="76">
        <v>0</v>
      </c>
      <c r="O102" s="22">
        <f t="shared" si="1"/>
        <v>0</v>
      </c>
      <c r="P102" s="78" t="str">
        <f>IF(O102=0,"",_xlfn.XLOOKUP(D102,'6月份计划'!A:A,'6月份计划'!A:A))</f>
        <v/>
      </c>
    </row>
    <row r="103" s="22" customFormat="1" ht="15" customHeight="1" spans="1:16">
      <c r="A103" s="29" t="s">
        <v>444</v>
      </c>
      <c r="B103" s="32" t="s">
        <v>445</v>
      </c>
      <c r="C103" s="29" t="s">
        <v>41</v>
      </c>
      <c r="D103" s="32" t="s">
        <v>278</v>
      </c>
      <c r="E103" s="29" t="s">
        <v>41</v>
      </c>
      <c r="F103" s="29" t="s">
        <v>443</v>
      </c>
      <c r="G103" s="29" t="s">
        <v>447</v>
      </c>
      <c r="H103" s="77">
        <v>5279.36</v>
      </c>
      <c r="I103" s="77">
        <v>0</v>
      </c>
      <c r="J103" s="77">
        <v>5279.36</v>
      </c>
      <c r="K103" s="77">
        <v>35635.68</v>
      </c>
      <c r="L103" s="77">
        <v>21117.44</v>
      </c>
      <c r="M103" s="29" t="s">
        <v>447</v>
      </c>
      <c r="N103" s="77">
        <v>10558.72</v>
      </c>
      <c r="O103" s="22">
        <f t="shared" si="1"/>
        <v>10558.72</v>
      </c>
      <c r="P103" s="78" t="str">
        <f>IF(O103=0,"",_xlfn.XLOOKUP(D103,'6月份计划'!A:A,'6月份计划'!A:A))</f>
        <v>重庆渝融兴汽车配件有限公司</v>
      </c>
    </row>
    <row r="104" s="22" customFormat="1" ht="15" customHeight="1" spans="1:16">
      <c r="A104" s="25" t="s">
        <v>444</v>
      </c>
      <c r="B104" s="28" t="s">
        <v>445</v>
      </c>
      <c r="C104" s="25" t="s">
        <v>41</v>
      </c>
      <c r="D104" s="28" t="s">
        <v>412</v>
      </c>
      <c r="E104" s="25" t="s">
        <v>41</v>
      </c>
      <c r="F104" s="25" t="s">
        <v>443</v>
      </c>
      <c r="G104" s="25" t="s">
        <v>447</v>
      </c>
      <c r="H104" s="76">
        <v>2729.85</v>
      </c>
      <c r="I104" s="76">
        <v>0</v>
      </c>
      <c r="J104" s="76">
        <v>723.2</v>
      </c>
      <c r="K104" s="76">
        <v>15083.24</v>
      </c>
      <c r="L104" s="76">
        <v>10994.67</v>
      </c>
      <c r="M104" s="25" t="s">
        <v>447</v>
      </c>
      <c r="N104" s="76">
        <v>3453.05</v>
      </c>
      <c r="O104" s="22">
        <f t="shared" si="1"/>
        <v>3453.05</v>
      </c>
      <c r="P104" s="78" t="e">
        <f>IF(O104=0,"",_xlfn.XLOOKUP(D104,'6月份计划'!A:A,'6月份计划'!A:A))</f>
        <v>#N/A</v>
      </c>
    </row>
    <row r="105" s="22" customFormat="1" ht="15" customHeight="1" spans="1:16">
      <c r="A105" s="29" t="s">
        <v>444</v>
      </c>
      <c r="B105" s="32" t="s">
        <v>445</v>
      </c>
      <c r="C105" s="29" t="s">
        <v>41</v>
      </c>
      <c r="D105" s="32" t="s">
        <v>258</v>
      </c>
      <c r="E105" s="29" t="s">
        <v>41</v>
      </c>
      <c r="F105" s="29" t="s">
        <v>443</v>
      </c>
      <c r="G105" s="29" t="s">
        <v>447</v>
      </c>
      <c r="H105" s="77">
        <v>747759.53</v>
      </c>
      <c r="I105" s="77">
        <v>0</v>
      </c>
      <c r="J105" s="77">
        <v>0</v>
      </c>
      <c r="K105" s="77">
        <v>799769.99</v>
      </c>
      <c r="L105" s="77">
        <v>808776.3</v>
      </c>
      <c r="M105" s="29" t="s">
        <v>447</v>
      </c>
      <c r="N105" s="77">
        <v>747759.53</v>
      </c>
      <c r="O105" s="22">
        <f t="shared" si="1"/>
        <v>747759.53</v>
      </c>
      <c r="P105" s="78" t="str">
        <f>IF(O105=0,"",_xlfn.XLOOKUP(D105,'6月份计划'!A:A,'6月份计划'!A:A))</f>
        <v>吉林省德邦汽车电子有限公司</v>
      </c>
    </row>
    <row r="106" s="22" customFormat="1" ht="15" customHeight="1" spans="1:16">
      <c r="A106" s="25" t="s">
        <v>444</v>
      </c>
      <c r="B106" s="28" t="s">
        <v>445</v>
      </c>
      <c r="C106" s="25" t="s">
        <v>41</v>
      </c>
      <c r="D106" s="28" t="s">
        <v>259</v>
      </c>
      <c r="E106" s="25" t="s">
        <v>41</v>
      </c>
      <c r="F106" s="25" t="s">
        <v>443</v>
      </c>
      <c r="G106" s="25" t="s">
        <v>447</v>
      </c>
      <c r="H106" s="76">
        <v>906803.72</v>
      </c>
      <c r="I106" s="76">
        <v>0</v>
      </c>
      <c r="J106" s="76">
        <v>50996.9</v>
      </c>
      <c r="K106" s="76">
        <v>1027392.18</v>
      </c>
      <c r="L106" s="76">
        <v>1199443.21</v>
      </c>
      <c r="M106" s="25" t="s">
        <v>447</v>
      </c>
      <c r="N106" s="76">
        <v>957800.62</v>
      </c>
      <c r="O106" s="22">
        <f t="shared" si="1"/>
        <v>957800.62</v>
      </c>
      <c r="P106" s="78" t="str">
        <f>IF(O106=0,"",_xlfn.XLOOKUP(D106,'6月份计划'!A:A,'6月份计划'!A:A))</f>
        <v>吉林省方舟电子科技有限公司</v>
      </c>
    </row>
    <row r="107" s="22" customFormat="1" ht="15" customHeight="1" spans="1:16">
      <c r="A107" s="29" t="s">
        <v>444</v>
      </c>
      <c r="B107" s="32" t="s">
        <v>445</v>
      </c>
      <c r="C107" s="29" t="s">
        <v>41</v>
      </c>
      <c r="D107" s="32" t="s">
        <v>299</v>
      </c>
      <c r="E107" s="29" t="s">
        <v>41</v>
      </c>
      <c r="F107" s="29" t="s">
        <v>443</v>
      </c>
      <c r="G107" s="29" t="s">
        <v>447</v>
      </c>
      <c r="H107" s="77">
        <v>735340.16</v>
      </c>
      <c r="I107" s="77">
        <v>0</v>
      </c>
      <c r="J107" s="77">
        <v>0</v>
      </c>
      <c r="K107" s="77">
        <v>821828.49</v>
      </c>
      <c r="L107" s="77">
        <v>1269734.22</v>
      </c>
      <c r="M107" s="29" t="s">
        <v>447</v>
      </c>
      <c r="N107" s="77">
        <v>735340.16</v>
      </c>
      <c r="O107" s="22">
        <f t="shared" si="1"/>
        <v>735340.16</v>
      </c>
      <c r="P107" s="78" t="str">
        <f>IF(O107=0,"",_xlfn.XLOOKUP(D107,'6月份计划'!A:A,'6月份计划'!A:A))</f>
        <v>长春富维安道拓汽车金属零部件</v>
      </c>
    </row>
    <row r="108" s="22" customFormat="1" ht="15" customHeight="1" spans="1:16">
      <c r="A108" s="25" t="s">
        <v>444</v>
      </c>
      <c r="B108" s="28" t="s">
        <v>445</v>
      </c>
      <c r="C108" s="25" t="s">
        <v>41</v>
      </c>
      <c r="D108" s="28" t="s">
        <v>544</v>
      </c>
      <c r="E108" s="25" t="s">
        <v>41</v>
      </c>
      <c r="F108" s="25" t="s">
        <v>443</v>
      </c>
      <c r="G108" s="25" t="s">
        <v>489</v>
      </c>
      <c r="H108" s="76">
        <v>0</v>
      </c>
      <c r="I108" s="76">
        <v>0</v>
      </c>
      <c r="J108" s="76">
        <v>0</v>
      </c>
      <c r="K108" s="76">
        <v>0</v>
      </c>
      <c r="L108" s="76">
        <v>0</v>
      </c>
      <c r="M108" s="25" t="s">
        <v>489</v>
      </c>
      <c r="N108" s="76">
        <v>0</v>
      </c>
      <c r="O108" s="22">
        <f t="shared" si="1"/>
        <v>0</v>
      </c>
      <c r="P108" s="78" t="str">
        <f>IF(O108=0,"",_xlfn.XLOOKUP(D108,'6月份计划'!A:A,'6月份计划'!A:A))</f>
        <v/>
      </c>
    </row>
    <row r="109" s="22" customFormat="1" ht="15" customHeight="1" spans="1:16">
      <c r="A109" s="29" t="s">
        <v>444</v>
      </c>
      <c r="B109" s="32" t="s">
        <v>445</v>
      </c>
      <c r="C109" s="29" t="s">
        <v>41</v>
      </c>
      <c r="D109" s="32" t="s">
        <v>415</v>
      </c>
      <c r="E109" s="29" t="s">
        <v>41</v>
      </c>
      <c r="F109" s="29" t="s">
        <v>443</v>
      </c>
      <c r="G109" s="29" t="s">
        <v>489</v>
      </c>
      <c r="H109" s="77">
        <v>0</v>
      </c>
      <c r="I109" s="77">
        <v>0</v>
      </c>
      <c r="J109" s="77">
        <v>0</v>
      </c>
      <c r="K109" s="77">
        <v>0</v>
      </c>
      <c r="L109" s="77">
        <v>0</v>
      </c>
      <c r="M109" s="29" t="s">
        <v>489</v>
      </c>
      <c r="N109" s="77">
        <v>0</v>
      </c>
      <c r="O109" s="22">
        <f t="shared" si="1"/>
        <v>0</v>
      </c>
      <c r="P109" s="78" t="str">
        <f>IF(O109=0,"",_xlfn.XLOOKUP(D109,'6月份计划'!A:A,'6月份计划'!A:A))</f>
        <v/>
      </c>
    </row>
    <row r="110" s="22" customFormat="1" ht="15" customHeight="1" spans="1:16">
      <c r="A110" s="25" t="s">
        <v>444</v>
      </c>
      <c r="B110" s="28" t="s">
        <v>445</v>
      </c>
      <c r="C110" s="25" t="s">
        <v>41</v>
      </c>
      <c r="D110" s="28" t="s">
        <v>260</v>
      </c>
      <c r="E110" s="25" t="s">
        <v>41</v>
      </c>
      <c r="F110" s="25" t="s">
        <v>443</v>
      </c>
      <c r="G110" s="25" t="s">
        <v>447</v>
      </c>
      <c r="H110" s="76">
        <v>244189.04</v>
      </c>
      <c r="I110" s="76">
        <v>0</v>
      </c>
      <c r="J110" s="76">
        <v>35218.55</v>
      </c>
      <c r="K110" s="76">
        <v>672067.01</v>
      </c>
      <c r="L110" s="76">
        <v>427767.85</v>
      </c>
      <c r="M110" s="25" t="s">
        <v>447</v>
      </c>
      <c r="N110" s="76">
        <v>279407.59</v>
      </c>
      <c r="O110" s="22">
        <f t="shared" si="1"/>
        <v>279407.59</v>
      </c>
      <c r="P110" s="78" t="str">
        <f>IF(O110=0,"",_xlfn.XLOOKUP(D110,'6月份计划'!A:A,'6月份计划'!A:A))</f>
        <v>黄骅市雍丰塑料制品有限公司</v>
      </c>
    </row>
    <row r="111" s="22" customFormat="1" ht="15" customHeight="1" spans="1:16">
      <c r="A111" s="29" t="s">
        <v>444</v>
      </c>
      <c r="B111" s="32" t="s">
        <v>445</v>
      </c>
      <c r="C111" s="29" t="s">
        <v>41</v>
      </c>
      <c r="D111" s="32" t="s">
        <v>545</v>
      </c>
      <c r="E111" s="29" t="s">
        <v>41</v>
      </c>
      <c r="F111" s="29" t="s">
        <v>443</v>
      </c>
      <c r="G111" s="29" t="s">
        <v>489</v>
      </c>
      <c r="H111" s="77">
        <v>0</v>
      </c>
      <c r="I111" s="77">
        <v>0</v>
      </c>
      <c r="J111" s="77">
        <v>0</v>
      </c>
      <c r="K111" s="77">
        <v>0</v>
      </c>
      <c r="L111" s="77">
        <v>0</v>
      </c>
      <c r="M111" s="29" t="s">
        <v>489</v>
      </c>
      <c r="N111" s="77">
        <v>0</v>
      </c>
      <c r="O111" s="22">
        <f t="shared" si="1"/>
        <v>0</v>
      </c>
      <c r="P111" s="78" t="str">
        <f>IF(O111=0,"",_xlfn.XLOOKUP(D111,'6月份计划'!A:A,'6月份计划'!A:A))</f>
        <v/>
      </c>
    </row>
    <row r="112" s="22" customFormat="1" ht="15" customHeight="1" spans="1:16">
      <c r="A112" s="25" t="s">
        <v>444</v>
      </c>
      <c r="B112" s="28" t="s">
        <v>445</v>
      </c>
      <c r="C112" s="25" t="s">
        <v>41</v>
      </c>
      <c r="D112" s="28" t="s">
        <v>466</v>
      </c>
      <c r="E112" s="25" t="s">
        <v>41</v>
      </c>
      <c r="F112" s="25" t="s">
        <v>443</v>
      </c>
      <c r="G112" s="25" t="s">
        <v>447</v>
      </c>
      <c r="H112" s="76">
        <v>1508.81</v>
      </c>
      <c r="I112" s="76">
        <v>0</v>
      </c>
      <c r="J112" s="76">
        <v>0</v>
      </c>
      <c r="K112" s="76">
        <v>0</v>
      </c>
      <c r="L112" s="76">
        <v>0</v>
      </c>
      <c r="M112" s="25" t="s">
        <v>447</v>
      </c>
      <c r="N112" s="76">
        <v>1508.81</v>
      </c>
      <c r="O112" s="22">
        <f t="shared" si="1"/>
        <v>1508.81</v>
      </c>
      <c r="P112" s="78" t="e">
        <f>IF(O112=0,"",_xlfn.XLOOKUP(D112,'6月份计划'!A:A,'6月份计划'!A:A))</f>
        <v>#N/A</v>
      </c>
    </row>
    <row r="113" s="22" customFormat="1" ht="15" customHeight="1" spans="1:16">
      <c r="A113" s="29" t="s">
        <v>444</v>
      </c>
      <c r="B113" s="32" t="s">
        <v>445</v>
      </c>
      <c r="C113" s="29" t="s">
        <v>41</v>
      </c>
      <c r="D113" s="32" t="s">
        <v>467</v>
      </c>
      <c r="E113" s="29" t="s">
        <v>41</v>
      </c>
      <c r="F113" s="29" t="s">
        <v>443</v>
      </c>
      <c r="G113" s="29" t="s">
        <v>447</v>
      </c>
      <c r="H113" s="77">
        <v>19684</v>
      </c>
      <c r="I113" s="77">
        <v>0</v>
      </c>
      <c r="J113" s="77">
        <v>0</v>
      </c>
      <c r="K113" s="77">
        <v>0</v>
      </c>
      <c r="L113" s="77">
        <v>0</v>
      </c>
      <c r="M113" s="29" t="s">
        <v>447</v>
      </c>
      <c r="N113" s="77">
        <v>19684</v>
      </c>
      <c r="O113" s="22">
        <f t="shared" si="1"/>
        <v>19684</v>
      </c>
      <c r="P113" s="78" t="e">
        <f>IF(O113=0,"",_xlfn.XLOOKUP(D113,'6月份计划'!A:A,'6月份计划'!A:A))</f>
        <v>#N/A</v>
      </c>
    </row>
    <row r="114" s="22" customFormat="1" ht="15" customHeight="1" spans="1:16">
      <c r="A114" s="25" t="s">
        <v>444</v>
      </c>
      <c r="B114" s="28" t="s">
        <v>445</v>
      </c>
      <c r="C114" s="25" t="s">
        <v>41</v>
      </c>
      <c r="D114" s="28" t="s">
        <v>306</v>
      </c>
      <c r="E114" s="25" t="s">
        <v>41</v>
      </c>
      <c r="F114" s="25" t="s">
        <v>443</v>
      </c>
      <c r="G114" s="25" t="s">
        <v>447</v>
      </c>
      <c r="H114" s="76">
        <v>42284.6</v>
      </c>
      <c r="I114" s="76">
        <v>22494.91</v>
      </c>
      <c r="J114" s="76">
        <v>0</v>
      </c>
      <c r="K114" s="76">
        <v>125059.36</v>
      </c>
      <c r="L114" s="76">
        <v>104755.52</v>
      </c>
      <c r="M114" s="25" t="s">
        <v>447</v>
      </c>
      <c r="N114" s="76">
        <v>19789.69</v>
      </c>
      <c r="O114" s="22">
        <f t="shared" si="1"/>
        <v>19789.69</v>
      </c>
      <c r="P114" s="78" t="str">
        <f>IF(O114=0,"",_xlfn.XLOOKUP(D114,'6月份计划'!A:A,'6月份计划'!A:A))</f>
        <v>江苏忠明祥和精工股份有限公司</v>
      </c>
    </row>
    <row r="115" s="22" customFormat="1" ht="15" customHeight="1" spans="1:16">
      <c r="A115" s="29" t="s">
        <v>444</v>
      </c>
      <c r="B115" s="32" t="s">
        <v>445</v>
      </c>
      <c r="C115" s="29" t="s">
        <v>41</v>
      </c>
      <c r="D115" s="32" t="s">
        <v>468</v>
      </c>
      <c r="E115" s="29" t="s">
        <v>41</v>
      </c>
      <c r="F115" s="29" t="s">
        <v>443</v>
      </c>
      <c r="G115" s="29" t="s">
        <v>447</v>
      </c>
      <c r="H115" s="77">
        <v>23.19</v>
      </c>
      <c r="I115" s="77">
        <v>0</v>
      </c>
      <c r="J115" s="77">
        <v>0</v>
      </c>
      <c r="K115" s="77">
        <v>0</v>
      </c>
      <c r="L115" s="77">
        <v>0</v>
      </c>
      <c r="M115" s="29" t="s">
        <v>447</v>
      </c>
      <c r="N115" s="77">
        <v>23.19</v>
      </c>
      <c r="O115" s="22">
        <f t="shared" si="1"/>
        <v>23.19</v>
      </c>
      <c r="P115" s="78" t="e">
        <f>IF(O115=0,"",_xlfn.XLOOKUP(D115,'6月份计划'!A:A,'6月份计划'!A:A))</f>
        <v>#N/A</v>
      </c>
    </row>
    <row r="116" s="22" customFormat="1" ht="15" customHeight="1" spans="1:16">
      <c r="A116" s="25" t="s">
        <v>444</v>
      </c>
      <c r="B116" s="28" t="s">
        <v>445</v>
      </c>
      <c r="C116" s="25" t="s">
        <v>41</v>
      </c>
      <c r="D116" s="28" t="s">
        <v>469</v>
      </c>
      <c r="E116" s="25" t="s">
        <v>41</v>
      </c>
      <c r="F116" s="25" t="s">
        <v>443</v>
      </c>
      <c r="G116" s="25" t="s">
        <v>447</v>
      </c>
      <c r="H116" s="76">
        <v>5878.26</v>
      </c>
      <c r="I116" s="76">
        <v>0</v>
      </c>
      <c r="J116" s="76">
        <v>0</v>
      </c>
      <c r="K116" s="76">
        <v>0</v>
      </c>
      <c r="L116" s="76">
        <v>0</v>
      </c>
      <c r="M116" s="25" t="s">
        <v>447</v>
      </c>
      <c r="N116" s="76">
        <v>5878.26</v>
      </c>
      <c r="O116" s="22">
        <f t="shared" si="1"/>
        <v>5878.26</v>
      </c>
      <c r="P116" s="78" t="e">
        <f>IF(O116=0,"",_xlfn.XLOOKUP(D116,'6月份计划'!A:A,'6月份计划'!A:A))</f>
        <v>#N/A</v>
      </c>
    </row>
    <row r="117" s="22" customFormat="1" ht="15" customHeight="1" spans="1:16">
      <c r="A117" s="29" t="s">
        <v>444</v>
      </c>
      <c r="B117" s="32" t="s">
        <v>445</v>
      </c>
      <c r="C117" s="29" t="s">
        <v>41</v>
      </c>
      <c r="D117" s="32" t="s">
        <v>546</v>
      </c>
      <c r="E117" s="29" t="s">
        <v>41</v>
      </c>
      <c r="F117" s="29" t="s">
        <v>443</v>
      </c>
      <c r="G117" s="29" t="s">
        <v>489</v>
      </c>
      <c r="H117" s="77">
        <v>0</v>
      </c>
      <c r="I117" s="77">
        <v>0</v>
      </c>
      <c r="J117" s="77">
        <v>0</v>
      </c>
      <c r="K117" s="77">
        <v>0</v>
      </c>
      <c r="L117" s="77">
        <v>0</v>
      </c>
      <c r="M117" s="29" t="s">
        <v>489</v>
      </c>
      <c r="N117" s="77">
        <v>0</v>
      </c>
      <c r="O117" s="22">
        <f t="shared" si="1"/>
        <v>0</v>
      </c>
      <c r="P117" s="78" t="str">
        <f>IF(O117=0,"",_xlfn.XLOOKUP(D117,'6月份计划'!A:A,'6月份计划'!A:A))</f>
        <v/>
      </c>
    </row>
    <row r="118" s="22" customFormat="1" ht="15" customHeight="1" spans="1:16">
      <c r="A118" s="25" t="s">
        <v>444</v>
      </c>
      <c r="B118" s="28" t="s">
        <v>445</v>
      </c>
      <c r="C118" s="25" t="s">
        <v>41</v>
      </c>
      <c r="D118" s="28" t="s">
        <v>547</v>
      </c>
      <c r="E118" s="25" t="s">
        <v>41</v>
      </c>
      <c r="F118" s="25" t="s">
        <v>443</v>
      </c>
      <c r="G118" s="25" t="s">
        <v>489</v>
      </c>
      <c r="H118" s="76">
        <v>0</v>
      </c>
      <c r="I118" s="76">
        <v>0</v>
      </c>
      <c r="J118" s="76">
        <v>0</v>
      </c>
      <c r="K118" s="76">
        <v>0</v>
      </c>
      <c r="L118" s="76">
        <v>0</v>
      </c>
      <c r="M118" s="25" t="s">
        <v>489</v>
      </c>
      <c r="N118" s="76">
        <v>0</v>
      </c>
      <c r="O118" s="22">
        <f t="shared" si="1"/>
        <v>0</v>
      </c>
      <c r="P118" s="78" t="str">
        <f>IF(O118=0,"",_xlfn.XLOOKUP(D118,'6月份计划'!A:A,'6月份计划'!A:A))</f>
        <v/>
      </c>
    </row>
    <row r="119" s="22" customFormat="1" ht="15" customHeight="1" spans="1:16">
      <c r="A119" s="29" t="s">
        <v>444</v>
      </c>
      <c r="B119" s="32" t="s">
        <v>445</v>
      </c>
      <c r="C119" s="29" t="s">
        <v>41</v>
      </c>
      <c r="D119" s="32" t="s">
        <v>470</v>
      </c>
      <c r="E119" s="29" t="s">
        <v>41</v>
      </c>
      <c r="F119" s="29" t="s">
        <v>443</v>
      </c>
      <c r="G119" s="29" t="s">
        <v>447</v>
      </c>
      <c r="H119" s="77">
        <v>65450</v>
      </c>
      <c r="I119" s="77">
        <v>0</v>
      </c>
      <c r="J119" s="77">
        <v>0</v>
      </c>
      <c r="K119" s="77">
        <v>0</v>
      </c>
      <c r="L119" s="77">
        <v>0</v>
      </c>
      <c r="M119" s="29" t="s">
        <v>447</v>
      </c>
      <c r="N119" s="77">
        <v>65450</v>
      </c>
      <c r="O119" s="22">
        <f t="shared" si="1"/>
        <v>65450</v>
      </c>
      <c r="P119" s="78" t="e">
        <f>IF(O119=0,"",_xlfn.XLOOKUP(D119,'6月份计划'!A:A,'6月份计划'!A:A))</f>
        <v>#N/A</v>
      </c>
    </row>
    <row r="120" s="22" customFormat="1" ht="15" customHeight="1" spans="1:16">
      <c r="A120" s="25" t="s">
        <v>444</v>
      </c>
      <c r="B120" s="28" t="s">
        <v>445</v>
      </c>
      <c r="C120" s="25" t="s">
        <v>41</v>
      </c>
      <c r="D120" s="28" t="s">
        <v>548</v>
      </c>
      <c r="E120" s="25" t="s">
        <v>41</v>
      </c>
      <c r="F120" s="25" t="s">
        <v>443</v>
      </c>
      <c r="G120" s="25" t="s">
        <v>489</v>
      </c>
      <c r="H120" s="76">
        <v>0</v>
      </c>
      <c r="I120" s="76">
        <v>0</v>
      </c>
      <c r="J120" s="76">
        <v>0</v>
      </c>
      <c r="K120" s="76">
        <v>0</v>
      </c>
      <c r="L120" s="76">
        <v>0</v>
      </c>
      <c r="M120" s="25" t="s">
        <v>489</v>
      </c>
      <c r="N120" s="76">
        <v>0</v>
      </c>
      <c r="O120" s="22">
        <f t="shared" si="1"/>
        <v>0</v>
      </c>
      <c r="P120" s="78" t="str">
        <f>IF(O120=0,"",_xlfn.XLOOKUP(D120,'6月份计划'!A:A,'6月份计划'!A:A))</f>
        <v/>
      </c>
    </row>
    <row r="121" s="22" customFormat="1" ht="15" customHeight="1" spans="1:16">
      <c r="A121" s="29" t="s">
        <v>444</v>
      </c>
      <c r="B121" s="32" t="s">
        <v>445</v>
      </c>
      <c r="C121" s="29" t="s">
        <v>41</v>
      </c>
      <c r="D121" s="32" t="s">
        <v>471</v>
      </c>
      <c r="E121" s="29" t="s">
        <v>41</v>
      </c>
      <c r="F121" s="29" t="s">
        <v>443</v>
      </c>
      <c r="G121" s="29" t="s">
        <v>447</v>
      </c>
      <c r="H121" s="77">
        <v>61614.37</v>
      </c>
      <c r="I121" s="77">
        <v>0</v>
      </c>
      <c r="J121" s="77">
        <v>0</v>
      </c>
      <c r="K121" s="77">
        <v>0</v>
      </c>
      <c r="L121" s="77">
        <v>0</v>
      </c>
      <c r="M121" s="29" t="s">
        <v>447</v>
      </c>
      <c r="N121" s="77">
        <v>61614.37</v>
      </c>
      <c r="O121" s="22">
        <f t="shared" si="1"/>
        <v>61614.37</v>
      </c>
      <c r="P121" s="78" t="e">
        <f>IF(O121=0,"",_xlfn.XLOOKUP(D121,'6月份计划'!A:A,'6月份计划'!A:A))</f>
        <v>#N/A</v>
      </c>
    </row>
    <row r="122" s="22" customFormat="1" ht="15" customHeight="1" spans="1:16">
      <c r="A122" s="25" t="s">
        <v>444</v>
      </c>
      <c r="B122" s="28" t="s">
        <v>445</v>
      </c>
      <c r="C122" s="25" t="s">
        <v>41</v>
      </c>
      <c r="D122" s="28" t="s">
        <v>549</v>
      </c>
      <c r="E122" s="25" t="s">
        <v>41</v>
      </c>
      <c r="F122" s="25" t="s">
        <v>443</v>
      </c>
      <c r="G122" s="25" t="s">
        <v>489</v>
      </c>
      <c r="H122" s="76">
        <v>0</v>
      </c>
      <c r="I122" s="76">
        <v>0</v>
      </c>
      <c r="J122" s="76">
        <v>0</v>
      </c>
      <c r="K122" s="76">
        <v>0</v>
      </c>
      <c r="L122" s="76">
        <v>0</v>
      </c>
      <c r="M122" s="25" t="s">
        <v>489</v>
      </c>
      <c r="N122" s="76">
        <v>0</v>
      </c>
      <c r="O122" s="22">
        <f t="shared" si="1"/>
        <v>0</v>
      </c>
      <c r="P122" s="78" t="str">
        <f>IF(O122=0,"",_xlfn.XLOOKUP(D122,'6月份计划'!A:A,'6月份计划'!A:A))</f>
        <v/>
      </c>
    </row>
    <row r="123" s="22" customFormat="1" ht="15" customHeight="1" spans="1:16">
      <c r="A123" s="29" t="s">
        <v>444</v>
      </c>
      <c r="B123" s="32" t="s">
        <v>445</v>
      </c>
      <c r="C123" s="29" t="s">
        <v>41</v>
      </c>
      <c r="D123" s="32" t="s">
        <v>261</v>
      </c>
      <c r="E123" s="29" t="s">
        <v>41</v>
      </c>
      <c r="F123" s="29" t="s">
        <v>443</v>
      </c>
      <c r="G123" s="29" t="s">
        <v>447</v>
      </c>
      <c r="H123" s="77">
        <v>614985.11</v>
      </c>
      <c r="I123" s="77">
        <v>200000</v>
      </c>
      <c r="J123" s="77">
        <v>0</v>
      </c>
      <c r="K123" s="77">
        <v>1400000</v>
      </c>
      <c r="L123" s="77">
        <v>711388.5</v>
      </c>
      <c r="M123" s="29" t="s">
        <v>447</v>
      </c>
      <c r="N123" s="77">
        <v>414985.11</v>
      </c>
      <c r="O123" s="22">
        <f t="shared" si="1"/>
        <v>414985.11</v>
      </c>
      <c r="P123" s="78" t="str">
        <f>IF(O123=0,"",_xlfn.XLOOKUP(D123,'6月份计划'!A:A,'6月份计划'!A:A))</f>
        <v>景德镇市乾立运输有限公司</v>
      </c>
    </row>
    <row r="124" s="22" customFormat="1" ht="15" customHeight="1" spans="1:16">
      <c r="A124" s="25" t="s">
        <v>444</v>
      </c>
      <c r="B124" s="28" t="s">
        <v>445</v>
      </c>
      <c r="C124" s="25" t="s">
        <v>41</v>
      </c>
      <c r="D124" s="28" t="s">
        <v>550</v>
      </c>
      <c r="E124" s="25" t="s">
        <v>41</v>
      </c>
      <c r="F124" s="25" t="s">
        <v>443</v>
      </c>
      <c r="G124" s="25" t="s">
        <v>489</v>
      </c>
      <c r="H124" s="76">
        <v>0</v>
      </c>
      <c r="I124" s="76">
        <v>0</v>
      </c>
      <c r="J124" s="76">
        <v>0</v>
      </c>
      <c r="K124" s="76">
        <v>0</v>
      </c>
      <c r="L124" s="76">
        <v>0</v>
      </c>
      <c r="M124" s="25" t="s">
        <v>489</v>
      </c>
      <c r="N124" s="76">
        <v>0</v>
      </c>
      <c r="O124" s="22">
        <f t="shared" si="1"/>
        <v>0</v>
      </c>
      <c r="P124" s="78" t="str">
        <f>IF(O124=0,"",_xlfn.XLOOKUP(D124,'6月份计划'!A:A,'6月份计划'!A:A))</f>
        <v/>
      </c>
    </row>
    <row r="125" s="22" customFormat="1" ht="15" customHeight="1" spans="1:16">
      <c r="A125" s="29" t="s">
        <v>444</v>
      </c>
      <c r="B125" s="32" t="s">
        <v>445</v>
      </c>
      <c r="C125" s="29" t="s">
        <v>41</v>
      </c>
      <c r="D125" s="32" t="s">
        <v>472</v>
      </c>
      <c r="E125" s="29" t="s">
        <v>41</v>
      </c>
      <c r="F125" s="29" t="s">
        <v>443</v>
      </c>
      <c r="G125" s="29" t="s">
        <v>447</v>
      </c>
      <c r="H125" s="77">
        <v>474</v>
      </c>
      <c r="I125" s="77">
        <v>0</v>
      </c>
      <c r="J125" s="77">
        <v>0</v>
      </c>
      <c r="K125" s="77">
        <v>0</v>
      </c>
      <c r="L125" s="77">
        <v>0</v>
      </c>
      <c r="M125" s="29" t="s">
        <v>447</v>
      </c>
      <c r="N125" s="77">
        <v>474</v>
      </c>
      <c r="O125" s="22">
        <f t="shared" si="1"/>
        <v>474</v>
      </c>
      <c r="P125" s="78" t="e">
        <f>IF(O125=0,"",_xlfn.XLOOKUP(D125,'6月份计划'!A:A,'6月份计划'!A:A))</f>
        <v>#N/A</v>
      </c>
    </row>
    <row r="126" s="22" customFormat="1" ht="15" customHeight="1" spans="1:16">
      <c r="A126" s="25" t="s">
        <v>444</v>
      </c>
      <c r="B126" s="28" t="s">
        <v>445</v>
      </c>
      <c r="C126" s="25" t="s">
        <v>41</v>
      </c>
      <c r="D126" s="28" t="s">
        <v>262</v>
      </c>
      <c r="E126" s="25" t="s">
        <v>41</v>
      </c>
      <c r="F126" s="25" t="s">
        <v>443</v>
      </c>
      <c r="G126" s="25" t="s">
        <v>447</v>
      </c>
      <c r="H126" s="76">
        <v>472439</v>
      </c>
      <c r="I126" s="76">
        <v>200000</v>
      </c>
      <c r="J126" s="76">
        <v>606664.74</v>
      </c>
      <c r="K126" s="76">
        <v>1100000</v>
      </c>
      <c r="L126" s="76">
        <v>818238.84</v>
      </c>
      <c r="M126" s="25" t="s">
        <v>447</v>
      </c>
      <c r="N126" s="76">
        <v>879103.74</v>
      </c>
      <c r="O126" s="22">
        <f t="shared" si="1"/>
        <v>879103.74</v>
      </c>
      <c r="P126" s="78" t="str">
        <f>IF(O126=0,"",_xlfn.XLOOKUP(D126,'6月份计划'!A:A,'6月份计划'!A:A))</f>
        <v>景德镇市凯达汽车配件有限公司</v>
      </c>
    </row>
    <row r="127" s="22" customFormat="1" ht="15" customHeight="1" spans="1:16">
      <c r="A127" s="29" t="s">
        <v>444</v>
      </c>
      <c r="B127" s="32" t="s">
        <v>445</v>
      </c>
      <c r="C127" s="29" t="s">
        <v>41</v>
      </c>
      <c r="D127" s="32" t="s">
        <v>551</v>
      </c>
      <c r="E127" s="29" t="s">
        <v>41</v>
      </c>
      <c r="F127" s="29" t="s">
        <v>443</v>
      </c>
      <c r="G127" s="29" t="s">
        <v>489</v>
      </c>
      <c r="H127" s="77">
        <v>0</v>
      </c>
      <c r="I127" s="77">
        <v>0</v>
      </c>
      <c r="J127" s="77">
        <v>0</v>
      </c>
      <c r="K127" s="77">
        <v>0</v>
      </c>
      <c r="L127" s="77">
        <v>0</v>
      </c>
      <c r="M127" s="29" t="s">
        <v>489</v>
      </c>
      <c r="N127" s="77">
        <v>0</v>
      </c>
      <c r="O127" s="22">
        <f t="shared" si="1"/>
        <v>0</v>
      </c>
      <c r="P127" s="78" t="str">
        <f>IF(O127=0,"",_xlfn.XLOOKUP(D127,'6月份计划'!A:A,'6月份计划'!A:A))</f>
        <v/>
      </c>
    </row>
    <row r="128" s="22" customFormat="1" ht="15" customHeight="1" spans="1:16">
      <c r="A128" s="25" t="s">
        <v>444</v>
      </c>
      <c r="B128" s="28" t="s">
        <v>445</v>
      </c>
      <c r="C128" s="25" t="s">
        <v>41</v>
      </c>
      <c r="D128" s="28" t="s">
        <v>263</v>
      </c>
      <c r="E128" s="25" t="s">
        <v>41</v>
      </c>
      <c r="F128" s="25" t="s">
        <v>443</v>
      </c>
      <c r="G128" s="25" t="s">
        <v>447</v>
      </c>
      <c r="H128" s="76">
        <v>444216.87</v>
      </c>
      <c r="I128" s="76">
        <v>200000</v>
      </c>
      <c r="J128" s="76">
        <v>149909.42</v>
      </c>
      <c r="K128" s="76">
        <v>773065.81</v>
      </c>
      <c r="L128" s="76">
        <v>897005.74</v>
      </c>
      <c r="M128" s="25" t="s">
        <v>447</v>
      </c>
      <c r="N128" s="76">
        <v>394126.29</v>
      </c>
      <c r="O128" s="22">
        <f t="shared" si="1"/>
        <v>394126.29</v>
      </c>
      <c r="P128" s="78" t="str">
        <f>IF(O128=0,"",_xlfn.XLOOKUP(D128,'6月份计划'!A:A,'6月份计划'!A:A))</f>
        <v>武汉德锐隆科技有限公司</v>
      </c>
    </row>
    <row r="129" s="22" customFormat="1" ht="15" customHeight="1" spans="1:16">
      <c r="A129" s="29" t="s">
        <v>444</v>
      </c>
      <c r="B129" s="32" t="s">
        <v>445</v>
      </c>
      <c r="C129" s="29" t="s">
        <v>41</v>
      </c>
      <c r="D129" s="32" t="s">
        <v>473</v>
      </c>
      <c r="E129" s="29" t="s">
        <v>41</v>
      </c>
      <c r="F129" s="29" t="s">
        <v>443</v>
      </c>
      <c r="G129" s="29" t="s">
        <v>447</v>
      </c>
      <c r="H129" s="77">
        <v>13000</v>
      </c>
      <c r="I129" s="77">
        <v>0</v>
      </c>
      <c r="J129" s="77">
        <v>0</v>
      </c>
      <c r="K129" s="77">
        <v>0</v>
      </c>
      <c r="L129" s="77">
        <v>0</v>
      </c>
      <c r="M129" s="29" t="s">
        <v>447</v>
      </c>
      <c r="N129" s="77">
        <v>13000</v>
      </c>
      <c r="O129" s="22">
        <f t="shared" si="1"/>
        <v>13000</v>
      </c>
      <c r="P129" s="78" t="e">
        <f>IF(O129=0,"",_xlfn.XLOOKUP(D129,'6月份计划'!A:A,'6月份计划'!A:A))</f>
        <v>#N/A</v>
      </c>
    </row>
    <row r="130" s="22" customFormat="1" ht="15" customHeight="1" spans="1:16">
      <c r="A130" s="25" t="s">
        <v>444</v>
      </c>
      <c r="B130" s="28" t="s">
        <v>445</v>
      </c>
      <c r="C130" s="25" t="s">
        <v>41</v>
      </c>
      <c r="D130" s="28" t="s">
        <v>552</v>
      </c>
      <c r="E130" s="25" t="s">
        <v>41</v>
      </c>
      <c r="F130" s="25" t="s">
        <v>443</v>
      </c>
      <c r="G130" s="25" t="s">
        <v>489</v>
      </c>
      <c r="H130" s="76">
        <v>0</v>
      </c>
      <c r="I130" s="76">
        <v>0</v>
      </c>
      <c r="J130" s="76">
        <v>0</v>
      </c>
      <c r="K130" s="76">
        <v>0</v>
      </c>
      <c r="L130" s="76">
        <v>0</v>
      </c>
      <c r="M130" s="25" t="s">
        <v>489</v>
      </c>
      <c r="N130" s="76">
        <v>0</v>
      </c>
      <c r="O130" s="22">
        <f t="shared" si="1"/>
        <v>0</v>
      </c>
      <c r="P130" s="78" t="str">
        <f>IF(O130=0,"",_xlfn.XLOOKUP(D130,'6月份计划'!A:A,'6月份计划'!A:A))</f>
        <v/>
      </c>
    </row>
    <row r="131" s="22" customFormat="1" ht="15" customHeight="1" spans="1:16">
      <c r="A131" s="29" t="s">
        <v>444</v>
      </c>
      <c r="B131" s="32" t="s">
        <v>445</v>
      </c>
      <c r="C131" s="29" t="s">
        <v>41</v>
      </c>
      <c r="D131" s="32" t="s">
        <v>553</v>
      </c>
      <c r="E131" s="29" t="s">
        <v>41</v>
      </c>
      <c r="F131" s="29" t="s">
        <v>443</v>
      </c>
      <c r="G131" s="29" t="s">
        <v>489</v>
      </c>
      <c r="H131" s="77">
        <v>0</v>
      </c>
      <c r="I131" s="77">
        <v>0</v>
      </c>
      <c r="J131" s="77">
        <v>0</v>
      </c>
      <c r="K131" s="77">
        <v>0</v>
      </c>
      <c r="L131" s="77">
        <v>0</v>
      </c>
      <c r="M131" s="29" t="s">
        <v>489</v>
      </c>
      <c r="N131" s="77">
        <v>0</v>
      </c>
      <c r="O131" s="22">
        <f t="shared" si="1"/>
        <v>0</v>
      </c>
      <c r="P131" s="78" t="str">
        <f>IF(O131=0,"",_xlfn.XLOOKUP(D131,'6月份计划'!A:A,'6月份计划'!A:A))</f>
        <v/>
      </c>
    </row>
    <row r="132" s="22" customFormat="1" ht="15" customHeight="1" spans="1:16">
      <c r="A132" s="25" t="s">
        <v>444</v>
      </c>
      <c r="B132" s="28" t="s">
        <v>445</v>
      </c>
      <c r="C132" s="25" t="s">
        <v>41</v>
      </c>
      <c r="D132" s="28" t="s">
        <v>474</v>
      </c>
      <c r="E132" s="25" t="s">
        <v>41</v>
      </c>
      <c r="F132" s="25" t="s">
        <v>443</v>
      </c>
      <c r="G132" s="25" t="s">
        <v>447</v>
      </c>
      <c r="H132" s="76">
        <v>117.55</v>
      </c>
      <c r="I132" s="76">
        <v>0</v>
      </c>
      <c r="J132" s="76">
        <v>0</v>
      </c>
      <c r="K132" s="76">
        <v>0</v>
      </c>
      <c r="L132" s="76">
        <v>0</v>
      </c>
      <c r="M132" s="25" t="s">
        <v>447</v>
      </c>
      <c r="N132" s="76">
        <v>117.55</v>
      </c>
      <c r="O132" s="22">
        <f t="shared" ref="O132:O195" si="2">IF(M132="贷",N132,-N132)</f>
        <v>117.55</v>
      </c>
      <c r="P132" s="78" t="e">
        <f>IF(O132=0,"",_xlfn.XLOOKUP(D132,'6月份计划'!A:A,'6月份计划'!A:A))</f>
        <v>#N/A</v>
      </c>
    </row>
    <row r="133" s="22" customFormat="1" ht="15" customHeight="1" spans="1:16">
      <c r="A133" s="29" t="s">
        <v>444</v>
      </c>
      <c r="B133" s="32" t="s">
        <v>445</v>
      </c>
      <c r="C133" s="29" t="s">
        <v>41</v>
      </c>
      <c r="D133" s="32" t="s">
        <v>554</v>
      </c>
      <c r="E133" s="29" t="s">
        <v>41</v>
      </c>
      <c r="F133" s="29" t="s">
        <v>443</v>
      </c>
      <c r="G133" s="29" t="s">
        <v>489</v>
      </c>
      <c r="H133" s="77">
        <v>0</v>
      </c>
      <c r="I133" s="77">
        <v>0</v>
      </c>
      <c r="J133" s="77">
        <v>0</v>
      </c>
      <c r="K133" s="77">
        <v>0</v>
      </c>
      <c r="L133" s="77">
        <v>0</v>
      </c>
      <c r="M133" s="29" t="s">
        <v>489</v>
      </c>
      <c r="N133" s="77">
        <v>0</v>
      </c>
      <c r="O133" s="22">
        <f t="shared" si="2"/>
        <v>0</v>
      </c>
      <c r="P133" s="78" t="str">
        <f>IF(O133=0,"",_xlfn.XLOOKUP(D133,'6月份计划'!A:A,'6月份计划'!A:A))</f>
        <v/>
      </c>
    </row>
    <row r="134" s="22" customFormat="1" ht="15" customHeight="1" spans="1:16">
      <c r="A134" s="25" t="s">
        <v>444</v>
      </c>
      <c r="B134" s="28" t="s">
        <v>445</v>
      </c>
      <c r="C134" s="25" t="s">
        <v>41</v>
      </c>
      <c r="D134" s="28" t="s">
        <v>475</v>
      </c>
      <c r="E134" s="25" t="s">
        <v>41</v>
      </c>
      <c r="F134" s="25" t="s">
        <v>443</v>
      </c>
      <c r="G134" s="25" t="s">
        <v>447</v>
      </c>
      <c r="H134" s="76">
        <v>32648.8</v>
      </c>
      <c r="I134" s="76">
        <v>0</v>
      </c>
      <c r="J134" s="76">
        <v>0</v>
      </c>
      <c r="K134" s="76">
        <v>0</v>
      </c>
      <c r="L134" s="76">
        <v>0</v>
      </c>
      <c r="M134" s="25" t="s">
        <v>447</v>
      </c>
      <c r="N134" s="76">
        <v>32648.8</v>
      </c>
      <c r="O134" s="22">
        <f t="shared" si="2"/>
        <v>32648.8</v>
      </c>
      <c r="P134" s="78" t="e">
        <f>IF(O134=0,"",_xlfn.XLOOKUP(D134,'6月份计划'!A:A,'6月份计划'!A:A))</f>
        <v>#N/A</v>
      </c>
    </row>
    <row r="135" s="22" customFormat="1" ht="15" customHeight="1" spans="1:16">
      <c r="A135" s="29" t="s">
        <v>444</v>
      </c>
      <c r="B135" s="32" t="s">
        <v>445</v>
      </c>
      <c r="C135" s="29" t="s">
        <v>41</v>
      </c>
      <c r="D135" s="32" t="s">
        <v>555</v>
      </c>
      <c r="E135" s="29" t="s">
        <v>41</v>
      </c>
      <c r="F135" s="29" t="s">
        <v>443</v>
      </c>
      <c r="G135" s="29" t="s">
        <v>489</v>
      </c>
      <c r="H135" s="77">
        <v>0</v>
      </c>
      <c r="I135" s="77">
        <v>0</v>
      </c>
      <c r="J135" s="77">
        <v>0</v>
      </c>
      <c r="K135" s="77">
        <v>0</v>
      </c>
      <c r="L135" s="77">
        <v>0</v>
      </c>
      <c r="M135" s="29" t="s">
        <v>489</v>
      </c>
      <c r="N135" s="77">
        <v>0</v>
      </c>
      <c r="O135" s="22">
        <f t="shared" si="2"/>
        <v>0</v>
      </c>
      <c r="P135" s="78" t="str">
        <f>IF(O135=0,"",_xlfn.XLOOKUP(D135,'6月份计划'!A:A,'6月份计划'!A:A))</f>
        <v/>
      </c>
    </row>
    <row r="136" s="22" customFormat="1" ht="15" customHeight="1" spans="1:16">
      <c r="A136" s="25" t="s">
        <v>444</v>
      </c>
      <c r="B136" s="28" t="s">
        <v>445</v>
      </c>
      <c r="C136" s="25" t="s">
        <v>41</v>
      </c>
      <c r="D136" s="28" t="s">
        <v>476</v>
      </c>
      <c r="E136" s="25" t="s">
        <v>41</v>
      </c>
      <c r="F136" s="25" t="s">
        <v>443</v>
      </c>
      <c r="G136" s="25" t="s">
        <v>447</v>
      </c>
      <c r="H136" s="76">
        <v>10486.2</v>
      </c>
      <c r="I136" s="76">
        <v>0</v>
      </c>
      <c r="J136" s="76">
        <v>0</v>
      </c>
      <c r="K136" s="76">
        <v>0</v>
      </c>
      <c r="L136" s="76">
        <v>0</v>
      </c>
      <c r="M136" s="25" t="s">
        <v>447</v>
      </c>
      <c r="N136" s="76">
        <v>10486.2</v>
      </c>
      <c r="O136" s="22">
        <f t="shared" si="2"/>
        <v>10486.2</v>
      </c>
      <c r="P136" s="78" t="e">
        <f>IF(O136=0,"",_xlfn.XLOOKUP(D136,'6月份计划'!A:A,'6月份计划'!A:A))</f>
        <v>#N/A</v>
      </c>
    </row>
    <row r="137" s="22" customFormat="1" ht="15" customHeight="1" spans="1:16">
      <c r="A137" s="29" t="s">
        <v>444</v>
      </c>
      <c r="B137" s="32" t="s">
        <v>445</v>
      </c>
      <c r="C137" s="29" t="s">
        <v>41</v>
      </c>
      <c r="D137" s="32" t="s">
        <v>477</v>
      </c>
      <c r="E137" s="29" t="s">
        <v>41</v>
      </c>
      <c r="F137" s="29" t="s">
        <v>443</v>
      </c>
      <c r="G137" s="29" t="s">
        <v>447</v>
      </c>
      <c r="H137" s="77">
        <v>3730</v>
      </c>
      <c r="I137" s="77">
        <v>0</v>
      </c>
      <c r="J137" s="77">
        <v>0</v>
      </c>
      <c r="K137" s="77">
        <v>0</v>
      </c>
      <c r="L137" s="77">
        <v>0</v>
      </c>
      <c r="M137" s="29" t="s">
        <v>447</v>
      </c>
      <c r="N137" s="77">
        <v>3730</v>
      </c>
      <c r="O137" s="22">
        <f t="shared" si="2"/>
        <v>3730</v>
      </c>
      <c r="P137" s="78" t="e">
        <f>IF(O137=0,"",_xlfn.XLOOKUP(D137,'6月份计划'!A:A,'6月份计划'!A:A))</f>
        <v>#N/A</v>
      </c>
    </row>
    <row r="138" s="22" customFormat="1" ht="15" customHeight="1" spans="1:16">
      <c r="A138" s="25" t="s">
        <v>444</v>
      </c>
      <c r="B138" s="28" t="s">
        <v>445</v>
      </c>
      <c r="C138" s="25" t="s">
        <v>41</v>
      </c>
      <c r="D138" s="28" t="s">
        <v>556</v>
      </c>
      <c r="E138" s="25" t="s">
        <v>41</v>
      </c>
      <c r="F138" s="25" t="s">
        <v>443</v>
      </c>
      <c r="G138" s="25" t="s">
        <v>489</v>
      </c>
      <c r="H138" s="76">
        <v>0</v>
      </c>
      <c r="I138" s="76">
        <v>0</v>
      </c>
      <c r="J138" s="76">
        <v>0</v>
      </c>
      <c r="K138" s="76">
        <v>0</v>
      </c>
      <c r="L138" s="76">
        <v>0</v>
      </c>
      <c r="M138" s="25" t="s">
        <v>489</v>
      </c>
      <c r="N138" s="76">
        <v>0</v>
      </c>
      <c r="O138" s="22">
        <f t="shared" si="2"/>
        <v>0</v>
      </c>
      <c r="P138" s="78" t="str">
        <f>IF(O138=0,"",_xlfn.XLOOKUP(D138,'6月份计划'!A:A,'6月份计划'!A:A))</f>
        <v/>
      </c>
    </row>
    <row r="139" s="22" customFormat="1" ht="15" customHeight="1" spans="1:16">
      <c r="A139" s="29" t="s">
        <v>444</v>
      </c>
      <c r="B139" s="32" t="s">
        <v>445</v>
      </c>
      <c r="C139" s="29" t="s">
        <v>41</v>
      </c>
      <c r="D139" s="32" t="s">
        <v>264</v>
      </c>
      <c r="E139" s="29" t="s">
        <v>41</v>
      </c>
      <c r="F139" s="29" t="s">
        <v>443</v>
      </c>
      <c r="G139" s="29" t="s">
        <v>447</v>
      </c>
      <c r="H139" s="77">
        <v>2196307.03</v>
      </c>
      <c r="I139" s="77">
        <v>2630000</v>
      </c>
      <c r="J139" s="77">
        <v>3023473.55</v>
      </c>
      <c r="K139" s="77">
        <v>6410000</v>
      </c>
      <c r="L139" s="77">
        <v>5985718.08</v>
      </c>
      <c r="M139" s="29" t="s">
        <v>447</v>
      </c>
      <c r="N139" s="77">
        <v>2589780.58</v>
      </c>
      <c r="O139" s="22">
        <f t="shared" si="2"/>
        <v>2589780.58</v>
      </c>
      <c r="P139" s="78" t="str">
        <f>IF(O139=0,"",_xlfn.XLOOKUP(D139,'6月份计划'!A:A,'6月份计划'!A:A))</f>
        <v>湘潭湘和汽车零部件制造有限公</v>
      </c>
    </row>
    <row r="140" s="22" customFormat="1" ht="15" customHeight="1" spans="1:16">
      <c r="A140" s="25" t="s">
        <v>444</v>
      </c>
      <c r="B140" s="28" t="s">
        <v>445</v>
      </c>
      <c r="C140" s="25" t="s">
        <v>41</v>
      </c>
      <c r="D140" s="28" t="s">
        <v>265</v>
      </c>
      <c r="E140" s="25" t="s">
        <v>41</v>
      </c>
      <c r="F140" s="25" t="s">
        <v>443</v>
      </c>
      <c r="G140" s="25" t="s">
        <v>447</v>
      </c>
      <c r="H140" s="76">
        <v>3152981.66</v>
      </c>
      <c r="I140" s="76">
        <v>1662386.48</v>
      </c>
      <c r="J140" s="76">
        <v>2350135.26</v>
      </c>
      <c r="K140" s="76">
        <v>7451315.77</v>
      </c>
      <c r="L140" s="76">
        <v>7703116.92</v>
      </c>
      <c r="M140" s="25" t="s">
        <v>447</v>
      </c>
      <c r="N140" s="76">
        <v>3840730.44</v>
      </c>
      <c r="O140" s="22">
        <f t="shared" si="2"/>
        <v>3840730.44</v>
      </c>
      <c r="P140" s="78" t="str">
        <f>IF(O140=0,"",_xlfn.XLOOKUP(D140,'6月份计划'!A:A,'6月份计划'!A:A))</f>
        <v>湖南中道机械设备有限公司</v>
      </c>
    </row>
    <row r="141" s="22" customFormat="1" ht="15" customHeight="1" spans="1:16">
      <c r="A141" s="29" t="s">
        <v>444</v>
      </c>
      <c r="B141" s="32" t="s">
        <v>445</v>
      </c>
      <c r="C141" s="29" t="s">
        <v>41</v>
      </c>
      <c r="D141" s="32" t="s">
        <v>557</v>
      </c>
      <c r="E141" s="29" t="s">
        <v>41</v>
      </c>
      <c r="F141" s="29" t="s">
        <v>443</v>
      </c>
      <c r="G141" s="29" t="s">
        <v>489</v>
      </c>
      <c r="H141" s="77">
        <v>0</v>
      </c>
      <c r="I141" s="77">
        <v>0</v>
      </c>
      <c r="J141" s="77">
        <v>0</v>
      </c>
      <c r="K141" s="77">
        <v>0</v>
      </c>
      <c r="L141" s="77">
        <v>0</v>
      </c>
      <c r="M141" s="29" t="s">
        <v>489</v>
      </c>
      <c r="N141" s="77">
        <v>0</v>
      </c>
      <c r="O141" s="22">
        <f t="shared" si="2"/>
        <v>0</v>
      </c>
      <c r="P141" s="78" t="str">
        <f>IF(O141=0,"",_xlfn.XLOOKUP(D141,'6月份计划'!A:A,'6月份计划'!A:A))</f>
        <v/>
      </c>
    </row>
    <row r="142" s="22" customFormat="1" ht="15" customHeight="1" spans="1:16">
      <c r="A142" s="25" t="s">
        <v>444</v>
      </c>
      <c r="B142" s="28" t="s">
        <v>445</v>
      </c>
      <c r="C142" s="25" t="s">
        <v>41</v>
      </c>
      <c r="D142" s="28" t="s">
        <v>558</v>
      </c>
      <c r="E142" s="25" t="s">
        <v>41</v>
      </c>
      <c r="F142" s="25" t="s">
        <v>443</v>
      </c>
      <c r="G142" s="25" t="s">
        <v>489</v>
      </c>
      <c r="H142" s="76">
        <v>0</v>
      </c>
      <c r="I142" s="76">
        <v>0</v>
      </c>
      <c r="J142" s="76">
        <v>0</v>
      </c>
      <c r="K142" s="76">
        <v>0</v>
      </c>
      <c r="L142" s="76">
        <v>0</v>
      </c>
      <c r="M142" s="25" t="s">
        <v>489</v>
      </c>
      <c r="N142" s="76">
        <v>0</v>
      </c>
      <c r="O142" s="22">
        <f t="shared" si="2"/>
        <v>0</v>
      </c>
      <c r="P142" s="78" t="str">
        <f>IF(O142=0,"",_xlfn.XLOOKUP(D142,'6月份计划'!A:A,'6月份计划'!A:A))</f>
        <v/>
      </c>
    </row>
    <row r="143" s="22" customFormat="1" ht="15" customHeight="1" spans="1:16">
      <c r="A143" s="29" t="s">
        <v>444</v>
      </c>
      <c r="B143" s="32" t="s">
        <v>445</v>
      </c>
      <c r="C143" s="29" t="s">
        <v>41</v>
      </c>
      <c r="D143" s="32" t="s">
        <v>267</v>
      </c>
      <c r="E143" s="29" t="s">
        <v>41</v>
      </c>
      <c r="F143" s="29" t="s">
        <v>443</v>
      </c>
      <c r="G143" s="29" t="s">
        <v>447</v>
      </c>
      <c r="H143" s="77">
        <v>25501.28</v>
      </c>
      <c r="I143" s="77">
        <v>0</v>
      </c>
      <c r="J143" s="77">
        <v>4350.22</v>
      </c>
      <c r="K143" s="77">
        <v>54163.73</v>
      </c>
      <c r="L143" s="77">
        <v>42392.13</v>
      </c>
      <c r="M143" s="29" t="s">
        <v>447</v>
      </c>
      <c r="N143" s="77">
        <v>29851.5</v>
      </c>
      <c r="O143" s="22">
        <f t="shared" si="2"/>
        <v>29851.5</v>
      </c>
      <c r="P143" s="78" t="str">
        <f>IF(O143=0,"",_xlfn.XLOOKUP(D143,'6月份计划'!A:A,'6月份计划'!A:A))</f>
        <v>湘潭市忠强气体有限公司</v>
      </c>
    </row>
    <row r="144" s="22" customFormat="1" ht="15" customHeight="1" spans="1:16">
      <c r="A144" s="25" t="s">
        <v>444</v>
      </c>
      <c r="B144" s="28" t="s">
        <v>445</v>
      </c>
      <c r="C144" s="25" t="s">
        <v>41</v>
      </c>
      <c r="D144" s="28" t="s">
        <v>268</v>
      </c>
      <c r="E144" s="25" t="s">
        <v>41</v>
      </c>
      <c r="F144" s="25" t="s">
        <v>443</v>
      </c>
      <c r="G144" s="25" t="s">
        <v>447</v>
      </c>
      <c r="H144" s="76">
        <v>25062.5</v>
      </c>
      <c r="I144" s="76">
        <v>0</v>
      </c>
      <c r="J144" s="76">
        <v>12531.25</v>
      </c>
      <c r="K144" s="76">
        <v>32987.81</v>
      </c>
      <c r="L144" s="76">
        <v>37593.75</v>
      </c>
      <c r="M144" s="25" t="s">
        <v>447</v>
      </c>
      <c r="N144" s="76">
        <v>37593.75</v>
      </c>
      <c r="O144" s="22">
        <f t="shared" si="2"/>
        <v>37593.75</v>
      </c>
      <c r="P144" s="78" t="str">
        <f>IF(O144=0,"",_xlfn.XLOOKUP(D144,'6月份计划'!A:A,'6月份计划'!A:A))</f>
        <v>湖南驷马机械有限公司</v>
      </c>
    </row>
    <row r="145" s="22" customFormat="1" ht="15" customHeight="1" spans="1:16">
      <c r="A145" s="29" t="s">
        <v>444</v>
      </c>
      <c r="B145" s="32" t="s">
        <v>445</v>
      </c>
      <c r="C145" s="29" t="s">
        <v>41</v>
      </c>
      <c r="D145" s="32" t="s">
        <v>478</v>
      </c>
      <c r="E145" s="29" t="s">
        <v>41</v>
      </c>
      <c r="F145" s="29" t="s">
        <v>443</v>
      </c>
      <c r="G145" s="29" t="s">
        <v>447</v>
      </c>
      <c r="H145" s="77">
        <v>3629.95</v>
      </c>
      <c r="I145" s="77">
        <v>0</v>
      </c>
      <c r="J145" s="77">
        <v>0</v>
      </c>
      <c r="K145" s="77">
        <v>0</v>
      </c>
      <c r="L145" s="77">
        <v>0</v>
      </c>
      <c r="M145" s="29" t="s">
        <v>447</v>
      </c>
      <c r="N145" s="77">
        <v>3629.95</v>
      </c>
      <c r="O145" s="22">
        <f t="shared" si="2"/>
        <v>3629.95</v>
      </c>
      <c r="P145" s="78" t="e">
        <f>IF(O145=0,"",_xlfn.XLOOKUP(D145,'6月份计划'!A:A,'6月份计划'!A:A))</f>
        <v>#N/A</v>
      </c>
    </row>
    <row r="146" s="22" customFormat="1" ht="15" customHeight="1" spans="1:16">
      <c r="A146" s="25" t="s">
        <v>444</v>
      </c>
      <c r="B146" s="28" t="s">
        <v>445</v>
      </c>
      <c r="C146" s="25" t="s">
        <v>41</v>
      </c>
      <c r="D146" s="28" t="s">
        <v>559</v>
      </c>
      <c r="E146" s="25" t="s">
        <v>41</v>
      </c>
      <c r="F146" s="25" t="s">
        <v>443</v>
      </c>
      <c r="G146" s="25" t="s">
        <v>489</v>
      </c>
      <c r="H146" s="76">
        <v>0</v>
      </c>
      <c r="I146" s="76">
        <v>0</v>
      </c>
      <c r="J146" s="76">
        <v>0</v>
      </c>
      <c r="K146" s="76">
        <v>0</v>
      </c>
      <c r="L146" s="76">
        <v>0</v>
      </c>
      <c r="M146" s="25" t="s">
        <v>489</v>
      </c>
      <c r="N146" s="76">
        <v>0</v>
      </c>
      <c r="O146" s="22">
        <f t="shared" si="2"/>
        <v>0</v>
      </c>
      <c r="P146" s="78" t="str">
        <f>IF(O146=0,"",_xlfn.XLOOKUP(D146,'6月份计划'!A:A,'6月份计划'!A:A))</f>
        <v/>
      </c>
    </row>
    <row r="147" s="22" customFormat="1" ht="15" customHeight="1" spans="1:16">
      <c r="A147" s="29" t="s">
        <v>444</v>
      </c>
      <c r="B147" s="32" t="s">
        <v>445</v>
      </c>
      <c r="C147" s="29" t="s">
        <v>41</v>
      </c>
      <c r="D147" s="32" t="s">
        <v>479</v>
      </c>
      <c r="E147" s="29" t="s">
        <v>41</v>
      </c>
      <c r="F147" s="29" t="s">
        <v>443</v>
      </c>
      <c r="G147" s="29" t="s">
        <v>447</v>
      </c>
      <c r="H147" s="77">
        <v>949</v>
      </c>
      <c r="I147" s="77">
        <v>0</v>
      </c>
      <c r="J147" s="77">
        <v>0</v>
      </c>
      <c r="K147" s="77">
        <v>0</v>
      </c>
      <c r="L147" s="77">
        <v>0</v>
      </c>
      <c r="M147" s="29" t="s">
        <v>447</v>
      </c>
      <c r="N147" s="77">
        <v>949</v>
      </c>
      <c r="O147" s="22">
        <f t="shared" si="2"/>
        <v>949</v>
      </c>
      <c r="P147" s="78" t="e">
        <f>IF(O147=0,"",_xlfn.XLOOKUP(D147,'6月份计划'!A:A,'6月份计划'!A:A))</f>
        <v>#N/A</v>
      </c>
    </row>
    <row r="148" s="22" customFormat="1" ht="15" customHeight="1" spans="1:16">
      <c r="A148" s="25" t="s">
        <v>444</v>
      </c>
      <c r="B148" s="28" t="s">
        <v>445</v>
      </c>
      <c r="C148" s="25" t="s">
        <v>41</v>
      </c>
      <c r="D148" s="28" t="s">
        <v>560</v>
      </c>
      <c r="E148" s="25" t="s">
        <v>41</v>
      </c>
      <c r="F148" s="25" t="s">
        <v>443</v>
      </c>
      <c r="G148" s="25" t="s">
        <v>489</v>
      </c>
      <c r="H148" s="76">
        <v>0</v>
      </c>
      <c r="I148" s="76">
        <v>0</v>
      </c>
      <c r="J148" s="76">
        <v>0</v>
      </c>
      <c r="K148" s="76">
        <v>0</v>
      </c>
      <c r="L148" s="76">
        <v>0</v>
      </c>
      <c r="M148" s="25" t="s">
        <v>489</v>
      </c>
      <c r="N148" s="76">
        <v>0</v>
      </c>
      <c r="O148" s="22">
        <f t="shared" si="2"/>
        <v>0</v>
      </c>
      <c r="P148" s="78" t="str">
        <f>IF(O148=0,"",_xlfn.XLOOKUP(D148,'6月份计划'!A:A,'6月份计划'!A:A))</f>
        <v/>
      </c>
    </row>
    <row r="149" s="22" customFormat="1" ht="15" customHeight="1" spans="1:16">
      <c r="A149" s="29" t="s">
        <v>444</v>
      </c>
      <c r="B149" s="32" t="s">
        <v>445</v>
      </c>
      <c r="C149" s="29" t="s">
        <v>41</v>
      </c>
      <c r="D149" s="32" t="s">
        <v>561</v>
      </c>
      <c r="E149" s="29" t="s">
        <v>41</v>
      </c>
      <c r="F149" s="29" t="s">
        <v>443</v>
      </c>
      <c r="G149" s="29" t="s">
        <v>489</v>
      </c>
      <c r="H149" s="77">
        <v>0</v>
      </c>
      <c r="I149" s="77">
        <v>0</v>
      </c>
      <c r="J149" s="77">
        <v>0</v>
      </c>
      <c r="K149" s="77">
        <v>0</v>
      </c>
      <c r="L149" s="77">
        <v>0</v>
      </c>
      <c r="M149" s="29" t="s">
        <v>489</v>
      </c>
      <c r="N149" s="77">
        <v>0</v>
      </c>
      <c r="O149" s="22">
        <f t="shared" si="2"/>
        <v>0</v>
      </c>
      <c r="P149" s="78" t="str">
        <f>IF(O149=0,"",_xlfn.XLOOKUP(D149,'6月份计划'!A:A,'6月份计划'!A:A))</f>
        <v/>
      </c>
    </row>
    <row r="150" s="22" customFormat="1" ht="15" customHeight="1" spans="1:16">
      <c r="A150" s="25" t="s">
        <v>444</v>
      </c>
      <c r="B150" s="28" t="s">
        <v>445</v>
      </c>
      <c r="C150" s="25" t="s">
        <v>41</v>
      </c>
      <c r="D150" s="28" t="s">
        <v>480</v>
      </c>
      <c r="E150" s="25" t="s">
        <v>41</v>
      </c>
      <c r="F150" s="25" t="s">
        <v>443</v>
      </c>
      <c r="G150" s="25" t="s">
        <v>447</v>
      </c>
      <c r="H150" s="76">
        <v>497.5</v>
      </c>
      <c r="I150" s="76">
        <v>0</v>
      </c>
      <c r="J150" s="76">
        <v>0</v>
      </c>
      <c r="K150" s="76">
        <v>0</v>
      </c>
      <c r="L150" s="76">
        <v>0</v>
      </c>
      <c r="M150" s="25" t="s">
        <v>447</v>
      </c>
      <c r="N150" s="76">
        <v>497.5</v>
      </c>
      <c r="O150" s="22">
        <f t="shared" si="2"/>
        <v>497.5</v>
      </c>
      <c r="P150" s="78" t="e">
        <f>IF(O150=0,"",_xlfn.XLOOKUP(D150,'6月份计划'!A:A,'6月份计划'!A:A))</f>
        <v>#N/A</v>
      </c>
    </row>
    <row r="151" s="22" customFormat="1" ht="15" customHeight="1" spans="1:16">
      <c r="A151" s="29" t="s">
        <v>444</v>
      </c>
      <c r="B151" s="32" t="s">
        <v>445</v>
      </c>
      <c r="C151" s="29" t="s">
        <v>41</v>
      </c>
      <c r="D151" s="32" t="s">
        <v>406</v>
      </c>
      <c r="E151" s="29" t="s">
        <v>41</v>
      </c>
      <c r="F151" s="29" t="s">
        <v>443</v>
      </c>
      <c r="G151" s="29" t="s">
        <v>447</v>
      </c>
      <c r="H151" s="77">
        <v>2621.52</v>
      </c>
      <c r="I151" s="77">
        <v>0</v>
      </c>
      <c r="J151" s="77">
        <v>0</v>
      </c>
      <c r="K151" s="77">
        <v>0</v>
      </c>
      <c r="L151" s="77">
        <v>0</v>
      </c>
      <c r="M151" s="29" t="s">
        <v>447</v>
      </c>
      <c r="N151" s="77">
        <v>2621.52</v>
      </c>
      <c r="O151" s="22">
        <f t="shared" si="2"/>
        <v>2621.52</v>
      </c>
      <c r="P151" s="78" t="e">
        <f>IF(O151=0,"",_xlfn.XLOOKUP(D151,'6月份计划'!A:A,'6月份计划'!A:A))</f>
        <v>#N/A</v>
      </c>
    </row>
    <row r="152" s="22" customFormat="1" ht="15" customHeight="1" spans="1:16">
      <c r="A152" s="25" t="s">
        <v>444</v>
      </c>
      <c r="B152" s="28" t="s">
        <v>445</v>
      </c>
      <c r="C152" s="25" t="s">
        <v>41</v>
      </c>
      <c r="D152" s="28" t="s">
        <v>407</v>
      </c>
      <c r="E152" s="25" t="s">
        <v>41</v>
      </c>
      <c r="F152" s="25" t="s">
        <v>443</v>
      </c>
      <c r="G152" s="25" t="s">
        <v>447</v>
      </c>
      <c r="H152" s="76">
        <v>54943.1</v>
      </c>
      <c r="I152" s="76">
        <v>0</v>
      </c>
      <c r="J152" s="76">
        <v>0</v>
      </c>
      <c r="K152" s="76">
        <v>0</v>
      </c>
      <c r="L152" s="76">
        <v>0</v>
      </c>
      <c r="M152" s="25" t="s">
        <v>447</v>
      </c>
      <c r="N152" s="76">
        <v>54943.1</v>
      </c>
      <c r="O152" s="22">
        <f t="shared" si="2"/>
        <v>54943.1</v>
      </c>
      <c r="P152" s="78" t="e">
        <f>IF(O152=0,"",_xlfn.XLOOKUP(D152,'6月份计划'!A:A,'6月份计划'!A:A))</f>
        <v>#N/A</v>
      </c>
    </row>
    <row r="153" s="22" customFormat="1" ht="15" customHeight="1" spans="1:16">
      <c r="A153" s="29" t="s">
        <v>444</v>
      </c>
      <c r="B153" s="32" t="s">
        <v>445</v>
      </c>
      <c r="C153" s="29" t="s">
        <v>41</v>
      </c>
      <c r="D153" s="32" t="s">
        <v>562</v>
      </c>
      <c r="E153" s="29" t="s">
        <v>41</v>
      </c>
      <c r="F153" s="29" t="s">
        <v>443</v>
      </c>
      <c r="G153" s="29" t="s">
        <v>489</v>
      </c>
      <c r="H153" s="77">
        <v>0</v>
      </c>
      <c r="I153" s="77">
        <v>0</v>
      </c>
      <c r="J153" s="77">
        <v>0</v>
      </c>
      <c r="K153" s="77">
        <v>0</v>
      </c>
      <c r="L153" s="77">
        <v>0</v>
      </c>
      <c r="M153" s="29" t="s">
        <v>489</v>
      </c>
      <c r="N153" s="77">
        <v>0</v>
      </c>
      <c r="O153" s="22">
        <f t="shared" si="2"/>
        <v>0</v>
      </c>
      <c r="P153" s="78" t="str">
        <f>IF(O153=0,"",_xlfn.XLOOKUP(D153,'6月份计划'!A:A,'6月份计划'!A:A))</f>
        <v/>
      </c>
    </row>
    <row r="154" s="22" customFormat="1" ht="15" customHeight="1" spans="1:16">
      <c r="A154" s="25" t="s">
        <v>444</v>
      </c>
      <c r="B154" s="28" t="s">
        <v>445</v>
      </c>
      <c r="C154" s="25" t="s">
        <v>41</v>
      </c>
      <c r="D154" s="28" t="s">
        <v>563</v>
      </c>
      <c r="E154" s="25" t="s">
        <v>41</v>
      </c>
      <c r="F154" s="25" t="s">
        <v>443</v>
      </c>
      <c r="G154" s="25" t="s">
        <v>489</v>
      </c>
      <c r="H154" s="76">
        <v>0</v>
      </c>
      <c r="I154" s="76">
        <v>0</v>
      </c>
      <c r="J154" s="76">
        <v>0</v>
      </c>
      <c r="K154" s="76">
        <v>0</v>
      </c>
      <c r="L154" s="76">
        <v>0</v>
      </c>
      <c r="M154" s="25" t="s">
        <v>489</v>
      </c>
      <c r="N154" s="76">
        <v>0</v>
      </c>
      <c r="O154" s="22">
        <f t="shared" si="2"/>
        <v>0</v>
      </c>
      <c r="P154" s="78" t="str">
        <f>IF(O154=0,"",_xlfn.XLOOKUP(D154,'6月份计划'!A:A,'6月份计划'!A:A))</f>
        <v/>
      </c>
    </row>
    <row r="155" s="22" customFormat="1" ht="15" customHeight="1" spans="1:16">
      <c r="A155" s="29" t="s">
        <v>444</v>
      </c>
      <c r="B155" s="32" t="s">
        <v>445</v>
      </c>
      <c r="C155" s="29" t="s">
        <v>41</v>
      </c>
      <c r="D155" s="32" t="s">
        <v>481</v>
      </c>
      <c r="E155" s="29" t="s">
        <v>41</v>
      </c>
      <c r="F155" s="29" t="s">
        <v>443</v>
      </c>
      <c r="G155" s="29" t="s">
        <v>447</v>
      </c>
      <c r="H155" s="77">
        <v>760</v>
      </c>
      <c r="I155" s="77">
        <v>0</v>
      </c>
      <c r="J155" s="77">
        <v>0</v>
      </c>
      <c r="K155" s="77">
        <v>0</v>
      </c>
      <c r="L155" s="77">
        <v>0</v>
      </c>
      <c r="M155" s="29" t="s">
        <v>447</v>
      </c>
      <c r="N155" s="77">
        <v>760</v>
      </c>
      <c r="O155" s="22">
        <f t="shared" si="2"/>
        <v>760</v>
      </c>
      <c r="P155" s="78" t="e">
        <f>IF(O155=0,"",_xlfn.XLOOKUP(D155,'6月份计划'!A:A,'6月份计划'!A:A))</f>
        <v>#N/A</v>
      </c>
    </row>
    <row r="156" s="22" customFormat="1" ht="15" customHeight="1" spans="1:16">
      <c r="A156" s="25" t="s">
        <v>444</v>
      </c>
      <c r="B156" s="28" t="s">
        <v>445</v>
      </c>
      <c r="C156" s="25" t="s">
        <v>41</v>
      </c>
      <c r="D156" s="28" t="s">
        <v>564</v>
      </c>
      <c r="E156" s="25" t="s">
        <v>41</v>
      </c>
      <c r="F156" s="25" t="s">
        <v>443</v>
      </c>
      <c r="G156" s="25" t="s">
        <v>489</v>
      </c>
      <c r="H156" s="76">
        <v>0</v>
      </c>
      <c r="I156" s="76">
        <v>0</v>
      </c>
      <c r="J156" s="76">
        <v>0</v>
      </c>
      <c r="K156" s="76">
        <v>0</v>
      </c>
      <c r="L156" s="76">
        <v>0</v>
      </c>
      <c r="M156" s="25" t="s">
        <v>489</v>
      </c>
      <c r="N156" s="76">
        <v>0</v>
      </c>
      <c r="O156" s="22">
        <f t="shared" si="2"/>
        <v>0</v>
      </c>
      <c r="P156" s="78" t="str">
        <f>IF(O156=0,"",_xlfn.XLOOKUP(D156,'6月份计划'!A:A,'6月份计划'!A:A))</f>
        <v/>
      </c>
    </row>
    <row r="157" s="22" customFormat="1" ht="15" customHeight="1" spans="1:16">
      <c r="A157" s="29" t="s">
        <v>444</v>
      </c>
      <c r="B157" s="32" t="s">
        <v>445</v>
      </c>
      <c r="C157" s="29" t="s">
        <v>41</v>
      </c>
      <c r="D157" s="32" t="s">
        <v>300</v>
      </c>
      <c r="E157" s="29" t="s">
        <v>41</v>
      </c>
      <c r="F157" s="29" t="s">
        <v>443</v>
      </c>
      <c r="G157" s="29" t="s">
        <v>447</v>
      </c>
      <c r="H157" s="77">
        <v>159176.32</v>
      </c>
      <c r="I157" s="77">
        <v>18852.92</v>
      </c>
      <c r="J157" s="77">
        <v>13119.3</v>
      </c>
      <c r="K157" s="77">
        <v>832925.9</v>
      </c>
      <c r="L157" s="77">
        <v>458440.39</v>
      </c>
      <c r="M157" s="29" t="s">
        <v>447</v>
      </c>
      <c r="N157" s="77">
        <v>153442.7</v>
      </c>
      <c r="O157" s="22">
        <f t="shared" si="2"/>
        <v>153442.7</v>
      </c>
      <c r="P157" s="78" t="str">
        <f>IF(O157=0,"",_xlfn.XLOOKUP(D157,'6月份计划'!A:A,'6月份计划'!A:A))</f>
        <v>广州市信征汽车零件有限公司</v>
      </c>
    </row>
    <row r="158" s="22" customFormat="1" ht="15" customHeight="1" spans="1:16">
      <c r="A158" s="25" t="s">
        <v>444</v>
      </c>
      <c r="B158" s="28" t="s">
        <v>445</v>
      </c>
      <c r="C158" s="25" t="s">
        <v>41</v>
      </c>
      <c r="D158" s="28" t="s">
        <v>482</v>
      </c>
      <c r="E158" s="25" t="s">
        <v>41</v>
      </c>
      <c r="F158" s="25" t="s">
        <v>443</v>
      </c>
      <c r="G158" s="25" t="s">
        <v>447</v>
      </c>
      <c r="H158" s="76">
        <v>15050.16</v>
      </c>
      <c r="I158" s="76">
        <v>0</v>
      </c>
      <c r="J158" s="76">
        <v>0</v>
      </c>
      <c r="K158" s="76">
        <v>0</v>
      </c>
      <c r="L158" s="76">
        <v>0</v>
      </c>
      <c r="M158" s="25" t="s">
        <v>447</v>
      </c>
      <c r="N158" s="76">
        <v>15050.16</v>
      </c>
      <c r="O158" s="22">
        <f t="shared" si="2"/>
        <v>15050.16</v>
      </c>
      <c r="P158" s="78" t="e">
        <f>IF(O158=0,"",_xlfn.XLOOKUP(D158,'6月份计划'!A:A,'6月份计划'!A:A))</f>
        <v>#N/A</v>
      </c>
    </row>
    <row r="159" s="22" customFormat="1" ht="15" customHeight="1" spans="1:16">
      <c r="A159" s="29" t="s">
        <v>444</v>
      </c>
      <c r="B159" s="32" t="s">
        <v>445</v>
      </c>
      <c r="C159" s="29" t="s">
        <v>41</v>
      </c>
      <c r="D159" s="32" t="s">
        <v>565</v>
      </c>
      <c r="E159" s="29" t="s">
        <v>41</v>
      </c>
      <c r="F159" s="29" t="s">
        <v>443</v>
      </c>
      <c r="G159" s="29" t="s">
        <v>489</v>
      </c>
      <c r="H159" s="77">
        <v>0</v>
      </c>
      <c r="I159" s="77">
        <v>0</v>
      </c>
      <c r="J159" s="77">
        <v>0</v>
      </c>
      <c r="K159" s="77">
        <v>0</v>
      </c>
      <c r="L159" s="77">
        <v>0</v>
      </c>
      <c r="M159" s="29" t="s">
        <v>489</v>
      </c>
      <c r="N159" s="77">
        <v>0</v>
      </c>
      <c r="O159" s="22">
        <f t="shared" si="2"/>
        <v>0</v>
      </c>
      <c r="P159" s="78" t="str">
        <f>IF(O159=0,"",_xlfn.XLOOKUP(D159,'6月份计划'!A:A,'6月份计划'!A:A))</f>
        <v/>
      </c>
    </row>
    <row r="160" s="22" customFormat="1" ht="15" customHeight="1" spans="1:16">
      <c r="A160" s="25" t="s">
        <v>444</v>
      </c>
      <c r="B160" s="28" t="s">
        <v>445</v>
      </c>
      <c r="C160" s="25" t="s">
        <v>41</v>
      </c>
      <c r="D160" s="28" t="s">
        <v>566</v>
      </c>
      <c r="E160" s="25" t="s">
        <v>41</v>
      </c>
      <c r="F160" s="25" t="s">
        <v>443</v>
      </c>
      <c r="G160" s="25" t="s">
        <v>489</v>
      </c>
      <c r="H160" s="76">
        <v>0</v>
      </c>
      <c r="I160" s="76">
        <v>0</v>
      </c>
      <c r="J160" s="76">
        <v>0</v>
      </c>
      <c r="K160" s="76">
        <v>0</v>
      </c>
      <c r="L160" s="76">
        <v>0</v>
      </c>
      <c r="M160" s="25" t="s">
        <v>489</v>
      </c>
      <c r="N160" s="76">
        <v>0</v>
      </c>
      <c r="O160" s="22">
        <f t="shared" si="2"/>
        <v>0</v>
      </c>
      <c r="P160" s="78" t="str">
        <f>IF(O160=0,"",_xlfn.XLOOKUP(D160,'6月份计划'!A:A,'6月份计划'!A:A))</f>
        <v/>
      </c>
    </row>
    <row r="161" s="22" customFormat="1" ht="15" customHeight="1" spans="1:16">
      <c r="A161" s="29" t="s">
        <v>444</v>
      </c>
      <c r="B161" s="32" t="s">
        <v>445</v>
      </c>
      <c r="C161" s="29" t="s">
        <v>41</v>
      </c>
      <c r="D161" s="32" t="s">
        <v>567</v>
      </c>
      <c r="E161" s="29" t="s">
        <v>41</v>
      </c>
      <c r="F161" s="29" t="s">
        <v>443</v>
      </c>
      <c r="G161" s="29" t="s">
        <v>489</v>
      </c>
      <c r="H161" s="77">
        <v>0</v>
      </c>
      <c r="I161" s="77">
        <v>0</v>
      </c>
      <c r="J161" s="77">
        <v>0</v>
      </c>
      <c r="K161" s="77">
        <v>0</v>
      </c>
      <c r="L161" s="77">
        <v>0</v>
      </c>
      <c r="M161" s="29" t="s">
        <v>489</v>
      </c>
      <c r="N161" s="77">
        <v>0</v>
      </c>
      <c r="O161" s="22">
        <f t="shared" si="2"/>
        <v>0</v>
      </c>
      <c r="P161" s="78" t="str">
        <f>IF(O161=0,"",_xlfn.XLOOKUP(D161,'6月份计划'!A:A,'6月份计划'!A:A))</f>
        <v/>
      </c>
    </row>
    <row r="162" s="22" customFormat="1" ht="15" customHeight="1" spans="1:16">
      <c r="A162" s="25" t="s">
        <v>444</v>
      </c>
      <c r="B162" s="28" t="s">
        <v>445</v>
      </c>
      <c r="C162" s="25" t="s">
        <v>41</v>
      </c>
      <c r="D162" s="28" t="s">
        <v>568</v>
      </c>
      <c r="E162" s="25" t="s">
        <v>41</v>
      </c>
      <c r="F162" s="25" t="s">
        <v>484</v>
      </c>
      <c r="G162" s="25" t="s">
        <v>489</v>
      </c>
      <c r="H162" s="76">
        <v>0</v>
      </c>
      <c r="I162" s="76">
        <v>0</v>
      </c>
      <c r="J162" s="76">
        <v>0</v>
      </c>
      <c r="K162" s="76">
        <v>0</v>
      </c>
      <c r="L162" s="76">
        <v>0</v>
      </c>
      <c r="M162" s="25" t="s">
        <v>489</v>
      </c>
      <c r="N162" s="76">
        <v>0</v>
      </c>
      <c r="O162" s="22">
        <f t="shared" si="2"/>
        <v>0</v>
      </c>
      <c r="P162" s="78" t="str">
        <f>IF(O162=0,"",_xlfn.XLOOKUP(D162,'6月份计划'!A:A,'6月份计划'!A:A))</f>
        <v/>
      </c>
    </row>
    <row r="163" s="22" customFormat="1" ht="15" customHeight="1" spans="1:16">
      <c r="A163" s="29" t="s">
        <v>444</v>
      </c>
      <c r="B163" s="32" t="s">
        <v>445</v>
      </c>
      <c r="C163" s="29" t="s">
        <v>41</v>
      </c>
      <c r="D163" s="32" t="s">
        <v>483</v>
      </c>
      <c r="E163" s="29" t="s">
        <v>41</v>
      </c>
      <c r="F163" s="29" t="s">
        <v>484</v>
      </c>
      <c r="G163" s="29" t="s">
        <v>453</v>
      </c>
      <c r="H163" s="77">
        <v>566</v>
      </c>
      <c r="I163" s="77">
        <v>0</v>
      </c>
      <c r="J163" s="77">
        <v>0</v>
      </c>
      <c r="K163" s="77">
        <v>0</v>
      </c>
      <c r="L163" s="77">
        <v>0</v>
      </c>
      <c r="M163" s="29" t="s">
        <v>453</v>
      </c>
      <c r="N163" s="77">
        <v>566</v>
      </c>
      <c r="O163" s="22">
        <f t="shared" si="2"/>
        <v>-566</v>
      </c>
      <c r="P163" s="78" t="e">
        <f>IF(O163=0,"",_xlfn.XLOOKUP(D163,'6月份计划'!A:A,'6月份计划'!A:A))</f>
        <v>#N/A</v>
      </c>
    </row>
    <row r="164" s="22" customFormat="1" ht="15" customHeight="1" spans="1:16">
      <c r="A164" s="25" t="s">
        <v>444</v>
      </c>
      <c r="B164" s="28" t="s">
        <v>445</v>
      </c>
      <c r="C164" s="25" t="s">
        <v>41</v>
      </c>
      <c r="D164" s="28" t="s">
        <v>569</v>
      </c>
      <c r="E164" s="25" t="s">
        <v>41</v>
      </c>
      <c r="F164" s="25" t="s">
        <v>443</v>
      </c>
      <c r="G164" s="25" t="s">
        <v>489</v>
      </c>
      <c r="H164" s="76">
        <v>0</v>
      </c>
      <c r="I164" s="76">
        <v>0</v>
      </c>
      <c r="J164" s="76">
        <v>0</v>
      </c>
      <c r="K164" s="76">
        <v>0</v>
      </c>
      <c r="L164" s="76">
        <v>0</v>
      </c>
      <c r="M164" s="25" t="s">
        <v>489</v>
      </c>
      <c r="N164" s="76">
        <v>0</v>
      </c>
      <c r="O164" s="22">
        <f t="shared" si="2"/>
        <v>0</v>
      </c>
      <c r="P164" s="78" t="str">
        <f>IF(O164=0,"",_xlfn.XLOOKUP(D164,'6月份计划'!A:A,'6月份计划'!A:A))</f>
        <v/>
      </c>
    </row>
    <row r="165" s="22" customFormat="1" ht="15" customHeight="1" spans="1:16">
      <c r="A165" s="29" t="s">
        <v>444</v>
      </c>
      <c r="B165" s="32" t="s">
        <v>445</v>
      </c>
      <c r="C165" s="29" t="s">
        <v>41</v>
      </c>
      <c r="D165" s="32" t="s">
        <v>285</v>
      </c>
      <c r="E165" s="29" t="s">
        <v>41</v>
      </c>
      <c r="F165" s="29" t="s">
        <v>443</v>
      </c>
      <c r="G165" s="29" t="s">
        <v>447</v>
      </c>
      <c r="H165" s="77">
        <v>146568.91</v>
      </c>
      <c r="I165" s="77">
        <v>0</v>
      </c>
      <c r="J165" s="77">
        <v>45852.01</v>
      </c>
      <c r="K165" s="77">
        <v>55661.54</v>
      </c>
      <c r="L165" s="77">
        <v>192420.92</v>
      </c>
      <c r="M165" s="29" t="s">
        <v>447</v>
      </c>
      <c r="N165" s="77">
        <v>192420.92</v>
      </c>
      <c r="O165" s="22">
        <f t="shared" si="2"/>
        <v>192420.92</v>
      </c>
      <c r="P165" s="78" t="str">
        <f>IF(O165=0,"",_xlfn.XLOOKUP(D165,'6月份计划'!A:A,'6月份计划'!A:A))</f>
        <v>株洲铖亿轨道交通技术有限</v>
      </c>
    </row>
    <row r="166" s="22" customFormat="1" ht="15" customHeight="1" spans="1:16">
      <c r="A166" s="25" t="s">
        <v>444</v>
      </c>
      <c r="B166" s="28" t="s">
        <v>445</v>
      </c>
      <c r="C166" s="25" t="s">
        <v>41</v>
      </c>
      <c r="D166" s="28" t="s">
        <v>485</v>
      </c>
      <c r="E166" s="25" t="s">
        <v>41</v>
      </c>
      <c r="F166" s="25" t="s">
        <v>443</v>
      </c>
      <c r="G166" s="25" t="s">
        <v>447</v>
      </c>
      <c r="H166" s="76">
        <v>7961.51</v>
      </c>
      <c r="I166" s="76">
        <v>0</v>
      </c>
      <c r="J166" s="76">
        <v>0</v>
      </c>
      <c r="K166" s="76">
        <v>0</v>
      </c>
      <c r="L166" s="76">
        <v>0</v>
      </c>
      <c r="M166" s="25" t="s">
        <v>447</v>
      </c>
      <c r="N166" s="76">
        <v>7961.51</v>
      </c>
      <c r="O166" s="22">
        <f t="shared" si="2"/>
        <v>7961.51</v>
      </c>
      <c r="P166" s="78" t="e">
        <f>IF(O166=0,"",_xlfn.XLOOKUP(D166,'6月份计划'!A:A,'6月份计划'!A:A))</f>
        <v>#N/A</v>
      </c>
    </row>
    <row r="167" s="22" customFormat="1" ht="15" customHeight="1" spans="1:16">
      <c r="A167" s="29" t="s">
        <v>444</v>
      </c>
      <c r="B167" s="32" t="s">
        <v>445</v>
      </c>
      <c r="C167" s="29" t="s">
        <v>41</v>
      </c>
      <c r="D167" s="32" t="s">
        <v>570</v>
      </c>
      <c r="E167" s="29" t="s">
        <v>41</v>
      </c>
      <c r="F167" s="29" t="s">
        <v>443</v>
      </c>
      <c r="G167" s="29" t="s">
        <v>489</v>
      </c>
      <c r="H167" s="77">
        <v>0</v>
      </c>
      <c r="I167" s="77">
        <v>0</v>
      </c>
      <c r="J167" s="77">
        <v>0</v>
      </c>
      <c r="K167" s="77">
        <v>0</v>
      </c>
      <c r="L167" s="77">
        <v>0</v>
      </c>
      <c r="M167" s="29" t="s">
        <v>489</v>
      </c>
      <c r="N167" s="77">
        <v>0</v>
      </c>
      <c r="O167" s="22">
        <f t="shared" si="2"/>
        <v>0</v>
      </c>
      <c r="P167" s="78" t="str">
        <f>IF(O167=0,"",_xlfn.XLOOKUP(D167,'6月份计划'!A:A,'6月份计划'!A:A))</f>
        <v/>
      </c>
    </row>
    <row r="168" s="22" customFormat="1" ht="15" customHeight="1" spans="1:16">
      <c r="A168" s="25" t="s">
        <v>444</v>
      </c>
      <c r="B168" s="28" t="s">
        <v>445</v>
      </c>
      <c r="C168" s="25" t="s">
        <v>41</v>
      </c>
      <c r="D168" s="28" t="s">
        <v>301</v>
      </c>
      <c r="E168" s="25" t="s">
        <v>41</v>
      </c>
      <c r="F168" s="25" t="s">
        <v>443</v>
      </c>
      <c r="G168" s="25" t="s">
        <v>447</v>
      </c>
      <c r="H168" s="76">
        <v>3368.22</v>
      </c>
      <c r="I168" s="76">
        <v>0</v>
      </c>
      <c r="J168" s="76">
        <v>0</v>
      </c>
      <c r="K168" s="76">
        <v>0</v>
      </c>
      <c r="L168" s="76">
        <v>-89049.54</v>
      </c>
      <c r="M168" s="25" t="s">
        <v>447</v>
      </c>
      <c r="N168" s="76">
        <v>3368.22</v>
      </c>
      <c r="O168" s="22">
        <f t="shared" si="2"/>
        <v>3368.22</v>
      </c>
      <c r="P168" s="78" t="str">
        <f>IF(O168=0,"",_xlfn.XLOOKUP(D168,'6月份计划'!A:A,'6月份计划'!A:A))</f>
        <v>醴陵广仁环保科技有限公司</v>
      </c>
    </row>
    <row r="169" s="22" customFormat="1" ht="15" customHeight="1" spans="1:16">
      <c r="A169" s="29" t="s">
        <v>444</v>
      </c>
      <c r="B169" s="32" t="s">
        <v>445</v>
      </c>
      <c r="C169" s="29" t="s">
        <v>41</v>
      </c>
      <c r="D169" s="32" t="s">
        <v>269</v>
      </c>
      <c r="E169" s="29" t="s">
        <v>41</v>
      </c>
      <c r="F169" s="29" t="s">
        <v>443</v>
      </c>
      <c r="G169" s="29" t="s">
        <v>453</v>
      </c>
      <c r="H169" s="77">
        <v>57773.91</v>
      </c>
      <c r="I169" s="77">
        <v>0</v>
      </c>
      <c r="J169" s="77">
        <v>46621</v>
      </c>
      <c r="K169" s="77">
        <v>0</v>
      </c>
      <c r="L169" s="77">
        <v>46706.2</v>
      </c>
      <c r="M169" s="29" t="s">
        <v>453</v>
      </c>
      <c r="N169" s="77">
        <v>11152.91</v>
      </c>
      <c r="O169" s="22">
        <f t="shared" si="2"/>
        <v>-11152.91</v>
      </c>
      <c r="P169" s="78" t="str">
        <f>IF(O169=0,"",_xlfn.XLOOKUP(D169,'6月份计划'!A:A,'6月份计划'!A:A))</f>
        <v>长沙真旺钢铁贸易有限公司</v>
      </c>
    </row>
    <row r="170" s="22" customFormat="1" ht="15" customHeight="1" spans="1:16">
      <c r="A170" s="25" t="s">
        <v>444</v>
      </c>
      <c r="B170" s="28" t="s">
        <v>445</v>
      </c>
      <c r="C170" s="25" t="s">
        <v>41</v>
      </c>
      <c r="D170" s="28" t="s">
        <v>571</v>
      </c>
      <c r="E170" s="25" t="s">
        <v>41</v>
      </c>
      <c r="F170" s="25" t="s">
        <v>443</v>
      </c>
      <c r="G170" s="25" t="s">
        <v>489</v>
      </c>
      <c r="H170" s="76">
        <v>0</v>
      </c>
      <c r="I170" s="76">
        <v>0</v>
      </c>
      <c r="J170" s="76">
        <v>0</v>
      </c>
      <c r="K170" s="76">
        <v>0</v>
      </c>
      <c r="L170" s="76">
        <v>0</v>
      </c>
      <c r="M170" s="25" t="s">
        <v>489</v>
      </c>
      <c r="N170" s="76">
        <v>0</v>
      </c>
      <c r="O170" s="22">
        <f t="shared" si="2"/>
        <v>0</v>
      </c>
      <c r="P170" s="78" t="str">
        <f>IF(O170=0,"",_xlfn.XLOOKUP(D170,'6月份计划'!A:A,'6月份计划'!A:A))</f>
        <v/>
      </c>
    </row>
    <row r="171" s="22" customFormat="1" ht="15" customHeight="1" spans="1:16">
      <c r="A171" s="29" t="s">
        <v>444</v>
      </c>
      <c r="B171" s="32" t="s">
        <v>445</v>
      </c>
      <c r="C171" s="29" t="s">
        <v>41</v>
      </c>
      <c r="D171" s="32" t="s">
        <v>270</v>
      </c>
      <c r="E171" s="29" t="s">
        <v>41</v>
      </c>
      <c r="F171" s="29" t="s">
        <v>443</v>
      </c>
      <c r="G171" s="29" t="s">
        <v>447</v>
      </c>
      <c r="H171" s="77">
        <v>32366.76</v>
      </c>
      <c r="I171" s="77">
        <v>17336.68</v>
      </c>
      <c r="J171" s="77">
        <v>3484.7</v>
      </c>
      <c r="K171" s="77">
        <v>66838.53</v>
      </c>
      <c r="L171" s="77">
        <v>43360.98</v>
      </c>
      <c r="M171" s="29" t="s">
        <v>447</v>
      </c>
      <c r="N171" s="77">
        <v>18514.78</v>
      </c>
      <c r="O171" s="22">
        <f t="shared" si="2"/>
        <v>18514.78</v>
      </c>
      <c r="P171" s="78" t="str">
        <f>IF(O171=0,"",_xlfn.XLOOKUP(D171,'6月份计划'!A:A,'6月份计划'!A:A))</f>
        <v>深州市晶立泰机械配件有限公司</v>
      </c>
    </row>
    <row r="172" s="22" customFormat="1" ht="15" customHeight="1" spans="1:16">
      <c r="A172" s="25" t="s">
        <v>444</v>
      </c>
      <c r="B172" s="28" t="s">
        <v>445</v>
      </c>
      <c r="C172" s="25" t="s">
        <v>41</v>
      </c>
      <c r="D172" s="28" t="s">
        <v>271</v>
      </c>
      <c r="E172" s="25" t="s">
        <v>41</v>
      </c>
      <c r="F172" s="25" t="s">
        <v>443</v>
      </c>
      <c r="G172" s="25" t="s">
        <v>447</v>
      </c>
      <c r="H172" s="76">
        <v>22774.59</v>
      </c>
      <c r="I172" s="76">
        <v>0</v>
      </c>
      <c r="J172" s="76">
        <v>0</v>
      </c>
      <c r="K172" s="76">
        <v>0</v>
      </c>
      <c r="L172" s="76">
        <v>0</v>
      </c>
      <c r="M172" s="25" t="s">
        <v>447</v>
      </c>
      <c r="N172" s="76">
        <v>22774.59</v>
      </c>
      <c r="O172" s="22">
        <f t="shared" si="2"/>
        <v>22774.59</v>
      </c>
      <c r="P172" s="78" t="str">
        <f>IF(O172=0,"",_xlfn.XLOOKUP(D172,'6月份计划'!A:A,'6月份计划'!A:A))</f>
        <v>山东鼎信新材料科技有限公司</v>
      </c>
    </row>
    <row r="173" s="22" customFormat="1" ht="15" customHeight="1" spans="1:16">
      <c r="A173" s="29" t="s">
        <v>444</v>
      </c>
      <c r="B173" s="32" t="s">
        <v>445</v>
      </c>
      <c r="C173" s="29" t="s">
        <v>41</v>
      </c>
      <c r="D173" s="32" t="s">
        <v>272</v>
      </c>
      <c r="E173" s="29" t="s">
        <v>41</v>
      </c>
      <c r="F173" s="29" t="s">
        <v>443</v>
      </c>
      <c r="G173" s="29" t="s">
        <v>447</v>
      </c>
      <c r="H173" s="77">
        <v>330802.27</v>
      </c>
      <c r="I173" s="77">
        <v>0</v>
      </c>
      <c r="J173" s="77">
        <v>29367.34</v>
      </c>
      <c r="K173" s="77">
        <v>728471.91</v>
      </c>
      <c r="L173" s="77">
        <v>535878.56</v>
      </c>
      <c r="M173" s="29" t="s">
        <v>447</v>
      </c>
      <c r="N173" s="77">
        <v>360169.61</v>
      </c>
      <c r="O173" s="22">
        <f t="shared" si="2"/>
        <v>360169.61</v>
      </c>
      <c r="P173" s="78" t="str">
        <f>IF(O173=0,"",_xlfn.XLOOKUP(D173,'6月份计划'!A:A,'6月份计划'!A:A))</f>
        <v>湖南诺亿科技有限公司</v>
      </c>
    </row>
    <row r="174" s="22" customFormat="1" ht="15" customHeight="1" spans="1:16">
      <c r="A174" s="25" t="s">
        <v>444</v>
      </c>
      <c r="B174" s="28" t="s">
        <v>445</v>
      </c>
      <c r="C174" s="25" t="s">
        <v>41</v>
      </c>
      <c r="D174" s="28" t="s">
        <v>572</v>
      </c>
      <c r="E174" s="25" t="s">
        <v>41</v>
      </c>
      <c r="F174" s="25" t="s">
        <v>443</v>
      </c>
      <c r="G174" s="25" t="s">
        <v>489</v>
      </c>
      <c r="H174" s="76">
        <v>0</v>
      </c>
      <c r="I174" s="76">
        <v>0</v>
      </c>
      <c r="J174" s="76">
        <v>0</v>
      </c>
      <c r="K174" s="76">
        <v>0</v>
      </c>
      <c r="L174" s="76">
        <v>0</v>
      </c>
      <c r="M174" s="25" t="s">
        <v>489</v>
      </c>
      <c r="N174" s="76">
        <v>0</v>
      </c>
      <c r="O174" s="22">
        <f t="shared" si="2"/>
        <v>0</v>
      </c>
      <c r="P174" s="78" t="str">
        <f>IF(O174=0,"",_xlfn.XLOOKUP(D174,'6月份计划'!A:A,'6月份计划'!A:A))</f>
        <v/>
      </c>
    </row>
    <row r="175" s="22" customFormat="1" ht="15" customHeight="1" spans="1:16">
      <c r="A175" s="29" t="s">
        <v>444</v>
      </c>
      <c r="B175" s="32" t="s">
        <v>445</v>
      </c>
      <c r="C175" s="29" t="s">
        <v>41</v>
      </c>
      <c r="D175" s="32" t="s">
        <v>573</v>
      </c>
      <c r="E175" s="29" t="s">
        <v>41</v>
      </c>
      <c r="F175" s="29" t="s">
        <v>443</v>
      </c>
      <c r="G175" s="29" t="s">
        <v>489</v>
      </c>
      <c r="H175" s="77">
        <v>0</v>
      </c>
      <c r="I175" s="77">
        <v>0</v>
      </c>
      <c r="J175" s="77">
        <v>0</v>
      </c>
      <c r="K175" s="77">
        <v>0</v>
      </c>
      <c r="L175" s="77">
        <v>0</v>
      </c>
      <c r="M175" s="29" t="s">
        <v>489</v>
      </c>
      <c r="N175" s="77">
        <v>0</v>
      </c>
      <c r="O175" s="22">
        <f t="shared" si="2"/>
        <v>0</v>
      </c>
      <c r="P175" s="78" t="str">
        <f>IF(O175=0,"",_xlfn.XLOOKUP(D175,'6月份计划'!A:A,'6月份计划'!A:A))</f>
        <v/>
      </c>
    </row>
    <row r="176" s="22" customFormat="1" ht="15" customHeight="1" spans="1:16">
      <c r="A176" s="25" t="s">
        <v>444</v>
      </c>
      <c r="B176" s="28" t="s">
        <v>445</v>
      </c>
      <c r="C176" s="25" t="s">
        <v>41</v>
      </c>
      <c r="D176" s="28" t="s">
        <v>273</v>
      </c>
      <c r="E176" s="25" t="s">
        <v>41</v>
      </c>
      <c r="F176" s="25" t="s">
        <v>443</v>
      </c>
      <c r="G176" s="25" t="s">
        <v>447</v>
      </c>
      <c r="H176" s="76">
        <v>203755.27</v>
      </c>
      <c r="I176" s="76">
        <v>20000</v>
      </c>
      <c r="J176" s="76">
        <v>0</v>
      </c>
      <c r="K176" s="76">
        <v>51764.98</v>
      </c>
      <c r="L176" s="76">
        <v>203755.27</v>
      </c>
      <c r="M176" s="25" t="s">
        <v>447</v>
      </c>
      <c r="N176" s="76">
        <v>183755.27</v>
      </c>
      <c r="O176" s="22">
        <f t="shared" si="2"/>
        <v>183755.27</v>
      </c>
      <c r="P176" s="78" t="str">
        <f>IF(O176=0,"",_xlfn.XLOOKUP(D176,'6月份计划'!A:A,'6月份计划'!A:A))</f>
        <v>长春超力内饰件有限公司</v>
      </c>
    </row>
    <row r="177" s="22" customFormat="1" ht="15" customHeight="1" spans="1:16">
      <c r="A177" s="29" t="s">
        <v>444</v>
      </c>
      <c r="B177" s="32" t="s">
        <v>445</v>
      </c>
      <c r="C177" s="29" t="s">
        <v>41</v>
      </c>
      <c r="D177" s="32" t="s">
        <v>574</v>
      </c>
      <c r="E177" s="29" t="s">
        <v>41</v>
      </c>
      <c r="F177" s="29" t="s">
        <v>443</v>
      </c>
      <c r="G177" s="29" t="s">
        <v>489</v>
      </c>
      <c r="H177" s="77">
        <v>0</v>
      </c>
      <c r="I177" s="77">
        <v>0</v>
      </c>
      <c r="J177" s="77">
        <v>0</v>
      </c>
      <c r="K177" s="77">
        <v>0</v>
      </c>
      <c r="L177" s="77">
        <v>0</v>
      </c>
      <c r="M177" s="29" t="s">
        <v>489</v>
      </c>
      <c r="N177" s="77">
        <v>0</v>
      </c>
      <c r="O177" s="22">
        <f t="shared" si="2"/>
        <v>0</v>
      </c>
      <c r="P177" s="78" t="str">
        <f>IF(O177=0,"",_xlfn.XLOOKUP(D177,'6月份计划'!A:A,'6月份计划'!A:A))</f>
        <v/>
      </c>
    </row>
    <row r="178" s="22" customFormat="1" ht="15" customHeight="1" spans="1:16">
      <c r="A178" s="25" t="s">
        <v>444</v>
      </c>
      <c r="B178" s="28" t="s">
        <v>445</v>
      </c>
      <c r="C178" s="25" t="s">
        <v>41</v>
      </c>
      <c r="D178" s="28" t="s">
        <v>302</v>
      </c>
      <c r="E178" s="25" t="s">
        <v>41</v>
      </c>
      <c r="F178" s="25" t="s">
        <v>443</v>
      </c>
      <c r="G178" s="25" t="s">
        <v>447</v>
      </c>
      <c r="H178" s="76">
        <v>122571.67</v>
      </c>
      <c r="I178" s="76">
        <v>50000</v>
      </c>
      <c r="J178" s="76">
        <v>0</v>
      </c>
      <c r="K178" s="76">
        <v>250000</v>
      </c>
      <c r="L178" s="76">
        <v>34893.27</v>
      </c>
      <c r="M178" s="25" t="s">
        <v>447</v>
      </c>
      <c r="N178" s="76">
        <v>72571.67</v>
      </c>
      <c r="O178" s="22">
        <f t="shared" si="2"/>
        <v>72571.67</v>
      </c>
      <c r="P178" s="78" t="str">
        <f>IF(O178=0,"",_xlfn.XLOOKUP(D178,'6月份计划'!A:A,'6月份计划'!A:A))</f>
        <v>重庆市宏立摩托车制造有限公司</v>
      </c>
    </row>
    <row r="179" s="22" customFormat="1" ht="15" customHeight="1" spans="1:16">
      <c r="A179" s="29" t="s">
        <v>444</v>
      </c>
      <c r="B179" s="32" t="s">
        <v>445</v>
      </c>
      <c r="C179" s="29" t="s">
        <v>41</v>
      </c>
      <c r="D179" s="32" t="s">
        <v>575</v>
      </c>
      <c r="E179" s="29" t="s">
        <v>41</v>
      </c>
      <c r="F179" s="29" t="s">
        <v>443</v>
      </c>
      <c r="G179" s="29" t="s">
        <v>489</v>
      </c>
      <c r="H179" s="77">
        <v>0</v>
      </c>
      <c r="I179" s="77">
        <v>0</v>
      </c>
      <c r="J179" s="77">
        <v>0</v>
      </c>
      <c r="K179" s="77">
        <v>0</v>
      </c>
      <c r="L179" s="77">
        <v>0</v>
      </c>
      <c r="M179" s="29" t="s">
        <v>489</v>
      </c>
      <c r="N179" s="77">
        <v>0</v>
      </c>
      <c r="O179" s="22">
        <f t="shared" si="2"/>
        <v>0</v>
      </c>
      <c r="P179" s="78" t="str">
        <f>IF(O179=0,"",_xlfn.XLOOKUP(D179,'6月份计划'!A:A,'6月份计划'!A:A))</f>
        <v/>
      </c>
    </row>
    <row r="180" s="22" customFormat="1" ht="15" customHeight="1" spans="1:16">
      <c r="A180" s="25" t="s">
        <v>444</v>
      </c>
      <c r="B180" s="28" t="s">
        <v>445</v>
      </c>
      <c r="C180" s="25" t="s">
        <v>41</v>
      </c>
      <c r="D180" s="28" t="s">
        <v>576</v>
      </c>
      <c r="E180" s="25" t="s">
        <v>41</v>
      </c>
      <c r="F180" s="25" t="s">
        <v>443</v>
      </c>
      <c r="G180" s="25" t="s">
        <v>489</v>
      </c>
      <c r="H180" s="76">
        <v>0</v>
      </c>
      <c r="I180" s="76">
        <v>0</v>
      </c>
      <c r="J180" s="76">
        <v>0</v>
      </c>
      <c r="K180" s="76">
        <v>0</v>
      </c>
      <c r="L180" s="76">
        <v>0</v>
      </c>
      <c r="M180" s="25" t="s">
        <v>489</v>
      </c>
      <c r="N180" s="76">
        <v>0</v>
      </c>
      <c r="O180" s="22">
        <f t="shared" si="2"/>
        <v>0</v>
      </c>
      <c r="P180" s="78" t="str">
        <f>IF(O180=0,"",_xlfn.XLOOKUP(D180,'6月份计划'!A:A,'6月份计划'!A:A))</f>
        <v/>
      </c>
    </row>
    <row r="181" s="22" customFormat="1" ht="15" customHeight="1" spans="1:16">
      <c r="A181" s="29" t="s">
        <v>444</v>
      </c>
      <c r="B181" s="32" t="s">
        <v>445</v>
      </c>
      <c r="C181" s="29" t="s">
        <v>41</v>
      </c>
      <c r="D181" s="32" t="s">
        <v>577</v>
      </c>
      <c r="E181" s="29" t="s">
        <v>41</v>
      </c>
      <c r="F181" s="29" t="s">
        <v>443</v>
      </c>
      <c r="G181" s="29" t="s">
        <v>489</v>
      </c>
      <c r="H181" s="77">
        <v>0</v>
      </c>
      <c r="I181" s="77">
        <v>0</v>
      </c>
      <c r="J181" s="77">
        <v>0</v>
      </c>
      <c r="K181" s="77">
        <v>0</v>
      </c>
      <c r="L181" s="77">
        <v>0</v>
      </c>
      <c r="M181" s="29" t="s">
        <v>489</v>
      </c>
      <c r="N181" s="77">
        <v>0</v>
      </c>
      <c r="O181" s="22">
        <f t="shared" si="2"/>
        <v>0</v>
      </c>
      <c r="P181" s="78" t="str">
        <f>IF(O181=0,"",_xlfn.XLOOKUP(D181,'6月份计划'!A:A,'6月份计划'!A:A))</f>
        <v/>
      </c>
    </row>
    <row r="182" s="22" customFormat="1" ht="15" customHeight="1" spans="1:16">
      <c r="A182" s="25" t="s">
        <v>444</v>
      </c>
      <c r="B182" s="28" t="s">
        <v>445</v>
      </c>
      <c r="C182" s="25" t="s">
        <v>41</v>
      </c>
      <c r="D182" s="28" t="s">
        <v>303</v>
      </c>
      <c r="E182" s="25" t="s">
        <v>41</v>
      </c>
      <c r="F182" s="25" t="s">
        <v>443</v>
      </c>
      <c r="G182" s="25" t="s">
        <v>447</v>
      </c>
      <c r="H182" s="76">
        <v>980074</v>
      </c>
      <c r="I182" s="76">
        <v>680596</v>
      </c>
      <c r="J182" s="76">
        <v>0</v>
      </c>
      <c r="K182" s="76">
        <v>1341460.5</v>
      </c>
      <c r="L182" s="76">
        <v>1374314</v>
      </c>
      <c r="M182" s="25" t="s">
        <v>447</v>
      </c>
      <c r="N182" s="76">
        <v>299478</v>
      </c>
      <c r="O182" s="22">
        <f t="shared" si="2"/>
        <v>299478</v>
      </c>
      <c r="P182" s="78" t="str">
        <f>IF(O182=0,"",_xlfn.XLOOKUP(D182,'6月份计划'!A:A,'6月份计划'!A:A))</f>
        <v>湖北欣辰达商贸有限公司</v>
      </c>
    </row>
    <row r="183" s="22" customFormat="1" ht="15" customHeight="1" spans="1:16">
      <c r="A183" s="29" t="s">
        <v>444</v>
      </c>
      <c r="B183" s="32" t="s">
        <v>445</v>
      </c>
      <c r="C183" s="29" t="s">
        <v>41</v>
      </c>
      <c r="D183" s="32" t="s">
        <v>274</v>
      </c>
      <c r="E183" s="29" t="s">
        <v>41</v>
      </c>
      <c r="F183" s="29" t="s">
        <v>443</v>
      </c>
      <c r="G183" s="29" t="s">
        <v>447</v>
      </c>
      <c r="H183" s="77">
        <v>280465.08</v>
      </c>
      <c r="I183" s="77">
        <v>0</v>
      </c>
      <c r="J183" s="77">
        <v>0</v>
      </c>
      <c r="K183" s="77">
        <v>150000</v>
      </c>
      <c r="L183" s="77">
        <v>106560.14</v>
      </c>
      <c r="M183" s="29" t="s">
        <v>447</v>
      </c>
      <c r="N183" s="77">
        <v>280465.08</v>
      </c>
      <c r="O183" s="22">
        <f t="shared" si="2"/>
        <v>280465.08</v>
      </c>
      <c r="P183" s="78" t="str">
        <f>IF(O183=0,"",_xlfn.XLOOKUP(D183,'6月份计划'!A:A,'6月份计划'!A:A))</f>
        <v>湖南裕腾兴汽车配件有限公司</v>
      </c>
    </row>
    <row r="184" s="22" customFormat="1" ht="15" customHeight="1" spans="1:16">
      <c r="A184" s="25" t="s">
        <v>444</v>
      </c>
      <c r="B184" s="28" t="s">
        <v>445</v>
      </c>
      <c r="C184" s="25" t="s">
        <v>41</v>
      </c>
      <c r="D184" s="28" t="s">
        <v>486</v>
      </c>
      <c r="E184" s="25" t="s">
        <v>41</v>
      </c>
      <c r="F184" s="25" t="s">
        <v>443</v>
      </c>
      <c r="G184" s="25" t="s">
        <v>453</v>
      </c>
      <c r="H184" s="76">
        <v>27216</v>
      </c>
      <c r="I184" s="76">
        <v>0</v>
      </c>
      <c r="J184" s="76">
        <v>0</v>
      </c>
      <c r="K184" s="76">
        <v>0</v>
      </c>
      <c r="L184" s="76">
        <v>0</v>
      </c>
      <c r="M184" s="25" t="s">
        <v>453</v>
      </c>
      <c r="N184" s="76">
        <v>27216</v>
      </c>
      <c r="O184" s="22">
        <f t="shared" si="2"/>
        <v>-27216</v>
      </c>
      <c r="P184" s="78" t="e">
        <f>IF(O184=0,"",_xlfn.XLOOKUP(D184,'6月份计划'!A:A,'6月份计划'!A:A))</f>
        <v>#N/A</v>
      </c>
    </row>
    <row r="185" s="22" customFormat="1" ht="15" customHeight="1" spans="1:16">
      <c r="A185" s="29" t="s">
        <v>444</v>
      </c>
      <c r="B185" s="32" t="s">
        <v>445</v>
      </c>
      <c r="C185" s="29" t="s">
        <v>41</v>
      </c>
      <c r="D185" s="32" t="s">
        <v>578</v>
      </c>
      <c r="E185" s="29" t="s">
        <v>41</v>
      </c>
      <c r="F185" s="29" t="s">
        <v>443</v>
      </c>
      <c r="G185" s="29" t="s">
        <v>489</v>
      </c>
      <c r="H185" s="77">
        <v>0</v>
      </c>
      <c r="I185" s="77">
        <v>0</v>
      </c>
      <c r="J185" s="77">
        <v>0</v>
      </c>
      <c r="K185" s="77">
        <v>0</v>
      </c>
      <c r="L185" s="77">
        <v>0</v>
      </c>
      <c r="M185" s="29" t="s">
        <v>489</v>
      </c>
      <c r="N185" s="77">
        <v>0</v>
      </c>
      <c r="O185" s="22">
        <f t="shared" si="2"/>
        <v>0</v>
      </c>
      <c r="P185" s="78" t="str">
        <f>IF(O185=0,"",_xlfn.XLOOKUP(D185,'6月份计划'!A:A,'6月份计划'!A:A))</f>
        <v/>
      </c>
    </row>
    <row r="186" s="22" customFormat="1" ht="15" customHeight="1" spans="1:16">
      <c r="A186" s="25" t="s">
        <v>444</v>
      </c>
      <c r="B186" s="28" t="s">
        <v>445</v>
      </c>
      <c r="C186" s="25" t="s">
        <v>41</v>
      </c>
      <c r="D186" s="28" t="s">
        <v>579</v>
      </c>
      <c r="E186" s="25" t="s">
        <v>41</v>
      </c>
      <c r="F186" s="25" t="s">
        <v>443</v>
      </c>
      <c r="G186" s="25" t="s">
        <v>489</v>
      </c>
      <c r="H186" s="76">
        <v>0</v>
      </c>
      <c r="I186" s="76">
        <v>0</v>
      </c>
      <c r="J186" s="76">
        <v>0</v>
      </c>
      <c r="K186" s="76">
        <v>0</v>
      </c>
      <c r="L186" s="76">
        <v>22780.8</v>
      </c>
      <c r="M186" s="25" t="s">
        <v>489</v>
      </c>
      <c r="N186" s="76">
        <v>0</v>
      </c>
      <c r="O186" s="22">
        <f t="shared" si="2"/>
        <v>0</v>
      </c>
      <c r="P186" s="78" t="str">
        <f>IF(O186=0,"",_xlfn.XLOOKUP(D186,'6月份计划'!A:A,'6月份计划'!A:A))</f>
        <v/>
      </c>
    </row>
    <row r="187" s="22" customFormat="1" ht="15" customHeight="1" spans="1:16">
      <c r="A187" s="29" t="s">
        <v>444</v>
      </c>
      <c r="B187" s="32" t="s">
        <v>445</v>
      </c>
      <c r="C187" s="29" t="s">
        <v>41</v>
      </c>
      <c r="D187" s="32" t="s">
        <v>275</v>
      </c>
      <c r="E187" s="29" t="s">
        <v>41</v>
      </c>
      <c r="F187" s="29" t="s">
        <v>443</v>
      </c>
      <c r="G187" s="29" t="s">
        <v>447</v>
      </c>
      <c r="H187" s="77">
        <v>5326.28</v>
      </c>
      <c r="I187" s="77">
        <v>0</v>
      </c>
      <c r="J187" s="77">
        <v>21320.32</v>
      </c>
      <c r="K187" s="77">
        <v>48091.85</v>
      </c>
      <c r="L187" s="77">
        <v>32353.33</v>
      </c>
      <c r="M187" s="29" t="s">
        <v>447</v>
      </c>
      <c r="N187" s="77">
        <v>26646.6</v>
      </c>
      <c r="O187" s="22">
        <f t="shared" si="2"/>
        <v>26646.6</v>
      </c>
      <c r="P187" s="78" t="str">
        <f>IF(O187=0,"",_xlfn.XLOOKUP(D187,'6月份计划'!A:A,'6月份计划'!A:A))</f>
        <v>株洲诚康实业有限责任公司</v>
      </c>
    </row>
    <row r="188" s="22" customFormat="1" ht="15" customHeight="1" spans="1:16">
      <c r="A188" s="25" t="s">
        <v>444</v>
      </c>
      <c r="B188" s="28" t="s">
        <v>445</v>
      </c>
      <c r="C188" s="25" t="s">
        <v>41</v>
      </c>
      <c r="D188" s="28" t="s">
        <v>281</v>
      </c>
      <c r="E188" s="25" t="s">
        <v>41</v>
      </c>
      <c r="F188" s="25" t="s">
        <v>443</v>
      </c>
      <c r="G188" s="25" t="s">
        <v>447</v>
      </c>
      <c r="H188" s="76">
        <v>19152</v>
      </c>
      <c r="I188" s="76">
        <v>0</v>
      </c>
      <c r="J188" s="76">
        <v>0</v>
      </c>
      <c r="K188" s="76">
        <v>45144</v>
      </c>
      <c r="L188" s="76">
        <v>28728</v>
      </c>
      <c r="M188" s="25" t="s">
        <v>447</v>
      </c>
      <c r="N188" s="76">
        <v>19152</v>
      </c>
      <c r="O188" s="22">
        <f t="shared" si="2"/>
        <v>19152</v>
      </c>
      <c r="P188" s="78" t="str">
        <f>IF(O188=0,"",_xlfn.XLOOKUP(D188,'6月份计划'!A:A,'6月份计划'!A:A))</f>
        <v>湖南奥瑞格工贸有限公司</v>
      </c>
    </row>
    <row r="189" s="22" customFormat="1" ht="15" customHeight="1" spans="1:16">
      <c r="A189" s="29" t="s">
        <v>444</v>
      </c>
      <c r="B189" s="32" t="s">
        <v>445</v>
      </c>
      <c r="C189" s="29" t="s">
        <v>41</v>
      </c>
      <c r="D189" s="32" t="s">
        <v>580</v>
      </c>
      <c r="E189" s="29" t="s">
        <v>41</v>
      </c>
      <c r="F189" s="29" t="s">
        <v>443</v>
      </c>
      <c r="G189" s="29" t="s">
        <v>489</v>
      </c>
      <c r="H189" s="77">
        <v>0</v>
      </c>
      <c r="I189" s="77">
        <v>0</v>
      </c>
      <c r="J189" s="77">
        <v>0</v>
      </c>
      <c r="K189" s="77">
        <v>0</v>
      </c>
      <c r="L189" s="77">
        <v>0</v>
      </c>
      <c r="M189" s="29" t="s">
        <v>489</v>
      </c>
      <c r="N189" s="77">
        <v>0</v>
      </c>
      <c r="O189" s="22">
        <f t="shared" si="2"/>
        <v>0</v>
      </c>
      <c r="P189" s="78" t="str">
        <f>IF(O189=0,"",_xlfn.XLOOKUP(D189,'6月份计划'!A:A,'6月份计划'!A:A))</f>
        <v/>
      </c>
    </row>
    <row r="190" s="22" customFormat="1" ht="15" customHeight="1" spans="1:16">
      <c r="A190" s="25" t="s">
        <v>444</v>
      </c>
      <c r="B190" s="28" t="s">
        <v>445</v>
      </c>
      <c r="C190" s="25" t="s">
        <v>41</v>
      </c>
      <c r="D190" s="28" t="s">
        <v>581</v>
      </c>
      <c r="E190" s="25" t="s">
        <v>41</v>
      </c>
      <c r="F190" s="25" t="s">
        <v>443</v>
      </c>
      <c r="G190" s="25" t="s">
        <v>489</v>
      </c>
      <c r="H190" s="76">
        <v>0</v>
      </c>
      <c r="I190" s="76">
        <v>0</v>
      </c>
      <c r="J190" s="76">
        <v>0</v>
      </c>
      <c r="K190" s="76">
        <v>0</v>
      </c>
      <c r="L190" s="76">
        <v>0</v>
      </c>
      <c r="M190" s="25" t="s">
        <v>489</v>
      </c>
      <c r="N190" s="76">
        <v>0</v>
      </c>
      <c r="O190" s="22">
        <f t="shared" si="2"/>
        <v>0</v>
      </c>
      <c r="P190" s="78" t="str">
        <f>IF(O190=0,"",_xlfn.XLOOKUP(D190,'6月份计划'!A:A,'6月份计划'!A:A))</f>
        <v/>
      </c>
    </row>
    <row r="191" s="22" customFormat="1" ht="15" customHeight="1" spans="1:16">
      <c r="A191" s="29" t="s">
        <v>444</v>
      </c>
      <c r="B191" s="32" t="s">
        <v>445</v>
      </c>
      <c r="C191" s="29" t="s">
        <v>41</v>
      </c>
      <c r="D191" s="32" t="s">
        <v>408</v>
      </c>
      <c r="E191" s="29" t="s">
        <v>41</v>
      </c>
      <c r="F191" s="29" t="s">
        <v>443</v>
      </c>
      <c r="G191" s="29" t="s">
        <v>489</v>
      </c>
      <c r="H191" s="77">
        <v>0</v>
      </c>
      <c r="I191" s="77">
        <v>0</v>
      </c>
      <c r="J191" s="77">
        <v>0</v>
      </c>
      <c r="K191" s="77">
        <v>14278.43</v>
      </c>
      <c r="L191" s="77">
        <v>0</v>
      </c>
      <c r="M191" s="29" t="s">
        <v>489</v>
      </c>
      <c r="N191" s="77">
        <v>0</v>
      </c>
      <c r="O191" s="22">
        <f t="shared" si="2"/>
        <v>0</v>
      </c>
      <c r="P191" s="78" t="str">
        <f>IF(O191=0,"",_xlfn.XLOOKUP(D191,'6月份计划'!A:A,'6月份计划'!A:A))</f>
        <v/>
      </c>
    </row>
    <row r="192" s="22" customFormat="1" ht="15" customHeight="1" spans="1:16">
      <c r="A192" s="25" t="s">
        <v>444</v>
      </c>
      <c r="B192" s="28" t="s">
        <v>445</v>
      </c>
      <c r="C192" s="25" t="s">
        <v>41</v>
      </c>
      <c r="D192" s="28" t="s">
        <v>284</v>
      </c>
      <c r="E192" s="25" t="s">
        <v>41</v>
      </c>
      <c r="F192" s="25" t="s">
        <v>443</v>
      </c>
      <c r="G192" s="25" t="s">
        <v>447</v>
      </c>
      <c r="H192" s="76">
        <v>176017</v>
      </c>
      <c r="I192" s="76">
        <v>0</v>
      </c>
      <c r="J192" s="76">
        <v>8600.87</v>
      </c>
      <c r="K192" s="76">
        <v>1850.69</v>
      </c>
      <c r="L192" s="76">
        <v>184617.87</v>
      </c>
      <c r="M192" s="25" t="s">
        <v>447</v>
      </c>
      <c r="N192" s="76">
        <v>184617.87</v>
      </c>
      <c r="O192" s="22">
        <f t="shared" si="2"/>
        <v>184617.87</v>
      </c>
      <c r="P192" s="78" t="str">
        <f>IF(O192=0,"",_xlfn.XLOOKUP(D192,'6月份计划'!A:A,'6月份计划'!A:A))</f>
        <v>湖南兴天宏实业有限公司</v>
      </c>
    </row>
    <row r="193" s="22" customFormat="1" ht="15" customHeight="1" spans="1:16">
      <c r="A193" s="29" t="s">
        <v>444</v>
      </c>
      <c r="B193" s="32" t="s">
        <v>445</v>
      </c>
      <c r="C193" s="29" t="s">
        <v>41</v>
      </c>
      <c r="D193" s="32" t="s">
        <v>582</v>
      </c>
      <c r="E193" s="29" t="s">
        <v>41</v>
      </c>
      <c r="F193" s="29" t="s">
        <v>443</v>
      </c>
      <c r="G193" s="29" t="s">
        <v>489</v>
      </c>
      <c r="H193" s="77">
        <v>0</v>
      </c>
      <c r="I193" s="77">
        <v>0</v>
      </c>
      <c r="J193" s="77">
        <v>0</v>
      </c>
      <c r="K193" s="77">
        <v>0</v>
      </c>
      <c r="L193" s="77">
        <v>0</v>
      </c>
      <c r="M193" s="29" t="s">
        <v>489</v>
      </c>
      <c r="N193" s="77">
        <v>0</v>
      </c>
      <c r="O193" s="22">
        <f t="shared" si="2"/>
        <v>0</v>
      </c>
      <c r="P193" s="78" t="str">
        <f>IF(O193=0,"",_xlfn.XLOOKUP(D193,'6月份计划'!A:A,'6月份计划'!A:A))</f>
        <v/>
      </c>
    </row>
    <row r="194" s="22" customFormat="1" ht="15" customHeight="1" spans="1:16">
      <c r="A194" s="25" t="s">
        <v>444</v>
      </c>
      <c r="B194" s="28" t="s">
        <v>445</v>
      </c>
      <c r="C194" s="25" t="s">
        <v>41</v>
      </c>
      <c r="D194" s="28" t="s">
        <v>487</v>
      </c>
      <c r="E194" s="25" t="s">
        <v>41</v>
      </c>
      <c r="F194" s="25" t="s">
        <v>443</v>
      </c>
      <c r="G194" s="25" t="s">
        <v>447</v>
      </c>
      <c r="H194" s="76">
        <v>20</v>
      </c>
      <c r="I194" s="76">
        <v>0</v>
      </c>
      <c r="J194" s="76">
        <v>0</v>
      </c>
      <c r="K194" s="76">
        <v>0</v>
      </c>
      <c r="L194" s="76">
        <v>0</v>
      </c>
      <c r="M194" s="25" t="s">
        <v>447</v>
      </c>
      <c r="N194" s="76">
        <v>20</v>
      </c>
      <c r="O194" s="22">
        <f t="shared" si="2"/>
        <v>20</v>
      </c>
      <c r="P194" s="78" t="e">
        <f>IF(O194=0,"",_xlfn.XLOOKUP(D194,'6月份计划'!A:A,'6月份计划'!A:A))</f>
        <v>#N/A</v>
      </c>
    </row>
    <row r="195" s="22" customFormat="1" ht="15" customHeight="1" spans="1:16">
      <c r="A195" s="29" t="s">
        <v>444</v>
      </c>
      <c r="B195" s="32" t="s">
        <v>445</v>
      </c>
      <c r="C195" s="29" t="s">
        <v>41</v>
      </c>
      <c r="D195" s="32" t="s">
        <v>276</v>
      </c>
      <c r="E195" s="29" t="s">
        <v>41</v>
      </c>
      <c r="F195" s="29" t="s">
        <v>443</v>
      </c>
      <c r="G195" s="29" t="s">
        <v>447</v>
      </c>
      <c r="H195" s="77">
        <v>38188.24</v>
      </c>
      <c r="I195" s="77">
        <v>0</v>
      </c>
      <c r="J195" s="77">
        <v>0</v>
      </c>
      <c r="K195" s="77">
        <v>0</v>
      </c>
      <c r="L195" s="77">
        <v>0</v>
      </c>
      <c r="M195" s="29" t="s">
        <v>447</v>
      </c>
      <c r="N195" s="77">
        <v>38188.24</v>
      </c>
      <c r="O195" s="22">
        <f t="shared" si="2"/>
        <v>38188.24</v>
      </c>
      <c r="P195" s="78" t="str">
        <f>IF(O195=0,"",_xlfn.XLOOKUP(D195,'6月份计划'!A:A,'6月份计划'!A:A))</f>
        <v>山东鼎昌智能科技有限公司</v>
      </c>
    </row>
    <row r="196" s="22" customFormat="1" ht="15" customHeight="1" spans="1:16">
      <c r="A196" s="25" t="s">
        <v>444</v>
      </c>
      <c r="B196" s="28" t="s">
        <v>445</v>
      </c>
      <c r="C196" s="25" t="s">
        <v>41</v>
      </c>
      <c r="D196" s="28" t="s">
        <v>583</v>
      </c>
      <c r="E196" s="25" t="s">
        <v>41</v>
      </c>
      <c r="F196" s="25" t="s">
        <v>443</v>
      </c>
      <c r="G196" s="25" t="s">
        <v>489</v>
      </c>
      <c r="H196" s="76">
        <v>0</v>
      </c>
      <c r="I196" s="76">
        <v>0</v>
      </c>
      <c r="J196" s="76">
        <v>0</v>
      </c>
      <c r="K196" s="76">
        <v>0</v>
      </c>
      <c r="L196" s="76">
        <v>0</v>
      </c>
      <c r="M196" s="25" t="s">
        <v>489</v>
      </c>
      <c r="N196" s="76">
        <v>0</v>
      </c>
      <c r="O196" s="22">
        <f t="shared" ref="O196:O241" si="3">IF(M196="贷",N196,-N196)</f>
        <v>0</v>
      </c>
      <c r="P196" s="78" t="str">
        <f>IF(O196=0,"",_xlfn.XLOOKUP(D196,'6月份计划'!A:A,'6月份计划'!A:A))</f>
        <v/>
      </c>
    </row>
    <row r="197" s="22" customFormat="1" ht="15" customHeight="1" spans="1:16">
      <c r="A197" s="29" t="s">
        <v>444</v>
      </c>
      <c r="B197" s="32" t="s">
        <v>445</v>
      </c>
      <c r="C197" s="29" t="s">
        <v>41</v>
      </c>
      <c r="D197" s="32" t="s">
        <v>584</v>
      </c>
      <c r="E197" s="29" t="s">
        <v>41</v>
      </c>
      <c r="F197" s="29" t="s">
        <v>443</v>
      </c>
      <c r="G197" s="29" t="s">
        <v>489</v>
      </c>
      <c r="H197" s="77">
        <v>0</v>
      </c>
      <c r="I197" s="77">
        <v>0</v>
      </c>
      <c r="J197" s="77">
        <v>0</v>
      </c>
      <c r="K197" s="77">
        <v>0</v>
      </c>
      <c r="L197" s="77">
        <v>0</v>
      </c>
      <c r="M197" s="29" t="s">
        <v>489</v>
      </c>
      <c r="N197" s="77">
        <v>0</v>
      </c>
      <c r="O197" s="22">
        <f t="shared" si="3"/>
        <v>0</v>
      </c>
      <c r="P197" s="78" t="str">
        <f>IF(O197=0,"",_xlfn.XLOOKUP(D197,'6月份计划'!A:A,'6月份计划'!A:A))</f>
        <v/>
      </c>
    </row>
    <row r="198" s="22" customFormat="1" ht="15" customHeight="1" spans="1:16">
      <c r="A198" s="25" t="s">
        <v>444</v>
      </c>
      <c r="B198" s="28" t="s">
        <v>445</v>
      </c>
      <c r="C198" s="25" t="s">
        <v>41</v>
      </c>
      <c r="D198" s="28" t="s">
        <v>585</v>
      </c>
      <c r="E198" s="25" t="s">
        <v>41</v>
      </c>
      <c r="F198" s="25" t="s">
        <v>443</v>
      </c>
      <c r="G198" s="25" t="s">
        <v>489</v>
      </c>
      <c r="H198" s="76">
        <v>0</v>
      </c>
      <c r="I198" s="76">
        <v>0</v>
      </c>
      <c r="J198" s="76">
        <v>0</v>
      </c>
      <c r="K198" s="76">
        <v>0</v>
      </c>
      <c r="L198" s="76">
        <v>0</v>
      </c>
      <c r="M198" s="25" t="s">
        <v>489</v>
      </c>
      <c r="N198" s="76">
        <v>0</v>
      </c>
      <c r="O198" s="22">
        <f t="shared" si="3"/>
        <v>0</v>
      </c>
      <c r="P198" s="78" t="str">
        <f>IF(O198=0,"",_xlfn.XLOOKUP(D198,'6月份计划'!A:A,'6月份计划'!A:A))</f>
        <v/>
      </c>
    </row>
    <row r="199" s="22" customFormat="1" ht="15" customHeight="1" spans="1:16">
      <c r="A199" s="29" t="s">
        <v>444</v>
      </c>
      <c r="B199" s="32" t="s">
        <v>445</v>
      </c>
      <c r="C199" s="29" t="s">
        <v>41</v>
      </c>
      <c r="D199" s="32" t="s">
        <v>586</v>
      </c>
      <c r="E199" s="29" t="s">
        <v>41</v>
      </c>
      <c r="F199" s="29" t="s">
        <v>443</v>
      </c>
      <c r="G199" s="29" t="s">
        <v>489</v>
      </c>
      <c r="H199" s="77">
        <v>0</v>
      </c>
      <c r="I199" s="77">
        <v>0</v>
      </c>
      <c r="J199" s="77">
        <v>0</v>
      </c>
      <c r="K199" s="77">
        <v>0</v>
      </c>
      <c r="L199" s="77">
        <v>0</v>
      </c>
      <c r="M199" s="29" t="s">
        <v>489</v>
      </c>
      <c r="N199" s="77">
        <v>0</v>
      </c>
      <c r="O199" s="22">
        <f t="shared" si="3"/>
        <v>0</v>
      </c>
      <c r="P199" s="78" t="str">
        <f>IF(O199=0,"",_xlfn.XLOOKUP(D199,'6月份计划'!A:A,'6月份计划'!A:A))</f>
        <v/>
      </c>
    </row>
    <row r="200" s="22" customFormat="1" ht="15" customHeight="1" spans="1:16">
      <c r="A200" s="25" t="s">
        <v>444</v>
      </c>
      <c r="B200" s="28" t="s">
        <v>445</v>
      </c>
      <c r="C200" s="25" t="s">
        <v>41</v>
      </c>
      <c r="D200" s="28" t="s">
        <v>587</v>
      </c>
      <c r="E200" s="25" t="s">
        <v>41</v>
      </c>
      <c r="F200" s="25" t="s">
        <v>443</v>
      </c>
      <c r="G200" s="25" t="s">
        <v>489</v>
      </c>
      <c r="H200" s="76">
        <v>0</v>
      </c>
      <c r="I200" s="76">
        <v>0</v>
      </c>
      <c r="J200" s="76">
        <v>0</v>
      </c>
      <c r="K200" s="76">
        <v>0</v>
      </c>
      <c r="L200" s="76">
        <v>0</v>
      </c>
      <c r="M200" s="25" t="s">
        <v>489</v>
      </c>
      <c r="N200" s="76">
        <v>0</v>
      </c>
      <c r="O200" s="22">
        <f t="shared" si="3"/>
        <v>0</v>
      </c>
      <c r="P200" s="78" t="str">
        <f>IF(O200=0,"",_xlfn.XLOOKUP(D200,'6月份计划'!A:A,'6月份计划'!A:A))</f>
        <v/>
      </c>
    </row>
    <row r="201" s="22" customFormat="1" ht="15" customHeight="1" spans="1:16">
      <c r="A201" s="29" t="s">
        <v>444</v>
      </c>
      <c r="B201" s="32" t="s">
        <v>445</v>
      </c>
      <c r="C201" s="29" t="s">
        <v>41</v>
      </c>
      <c r="D201" s="32" t="s">
        <v>588</v>
      </c>
      <c r="E201" s="29" t="s">
        <v>41</v>
      </c>
      <c r="F201" s="29" t="s">
        <v>443</v>
      </c>
      <c r="G201" s="29" t="s">
        <v>489</v>
      </c>
      <c r="H201" s="77">
        <v>0</v>
      </c>
      <c r="I201" s="77">
        <v>0</v>
      </c>
      <c r="J201" s="77">
        <v>0</v>
      </c>
      <c r="K201" s="77">
        <v>0</v>
      </c>
      <c r="L201" s="77">
        <v>0</v>
      </c>
      <c r="M201" s="29" t="s">
        <v>489</v>
      </c>
      <c r="N201" s="77">
        <v>0</v>
      </c>
      <c r="O201" s="22">
        <f t="shared" si="3"/>
        <v>0</v>
      </c>
      <c r="P201" s="78" t="str">
        <f>IF(O201=0,"",_xlfn.XLOOKUP(D201,'6月份计划'!A:A,'6月份计划'!A:A))</f>
        <v/>
      </c>
    </row>
    <row r="202" s="22" customFormat="1" ht="15" customHeight="1" spans="1:16">
      <c r="A202" s="25" t="s">
        <v>444</v>
      </c>
      <c r="B202" s="28" t="s">
        <v>445</v>
      </c>
      <c r="C202" s="25" t="s">
        <v>41</v>
      </c>
      <c r="D202" s="28" t="s">
        <v>277</v>
      </c>
      <c r="E202" s="25" t="s">
        <v>41</v>
      </c>
      <c r="F202" s="25" t="s">
        <v>443</v>
      </c>
      <c r="G202" s="25" t="s">
        <v>447</v>
      </c>
      <c r="H202" s="76">
        <v>2116356.93</v>
      </c>
      <c r="I202" s="76">
        <v>1825824</v>
      </c>
      <c r="J202" s="76">
        <v>1776612.32</v>
      </c>
      <c r="K202" s="76">
        <v>4703088.73</v>
      </c>
      <c r="L202" s="76">
        <v>5389999.47</v>
      </c>
      <c r="M202" s="25" t="s">
        <v>447</v>
      </c>
      <c r="N202" s="76">
        <v>2067145.25</v>
      </c>
      <c r="O202" s="22">
        <f t="shared" si="3"/>
        <v>2067145.25</v>
      </c>
      <c r="P202" s="78" t="str">
        <f>IF(O202=0,"",_xlfn.XLOOKUP(D202,'6月份计划'!A:A,'6月份计划'!A:A))</f>
        <v>汇阅（上海）新材料科技有限公</v>
      </c>
    </row>
    <row r="203" s="22" customFormat="1" ht="15" customHeight="1" spans="1:16">
      <c r="A203" s="29" t="s">
        <v>444</v>
      </c>
      <c r="B203" s="32" t="s">
        <v>445</v>
      </c>
      <c r="C203" s="29" t="s">
        <v>41</v>
      </c>
      <c r="D203" s="32" t="s">
        <v>589</v>
      </c>
      <c r="E203" s="29" t="s">
        <v>41</v>
      </c>
      <c r="F203" s="29" t="s">
        <v>443</v>
      </c>
      <c r="G203" s="29" t="s">
        <v>489</v>
      </c>
      <c r="H203" s="77">
        <v>0</v>
      </c>
      <c r="I203" s="77">
        <v>0</v>
      </c>
      <c r="J203" s="77">
        <v>0</v>
      </c>
      <c r="K203" s="77">
        <v>0</v>
      </c>
      <c r="L203" s="77">
        <v>0</v>
      </c>
      <c r="M203" s="29" t="s">
        <v>489</v>
      </c>
      <c r="N203" s="77">
        <v>0</v>
      </c>
      <c r="O203" s="22">
        <f t="shared" si="3"/>
        <v>0</v>
      </c>
      <c r="P203" s="78" t="str">
        <f>IF(O203=0,"",_xlfn.XLOOKUP(D203,'6月份计划'!A:A,'6月份计划'!A:A))</f>
        <v/>
      </c>
    </row>
    <row r="204" s="22" customFormat="1" ht="15" customHeight="1" spans="1:16">
      <c r="A204" s="25" t="s">
        <v>444</v>
      </c>
      <c r="B204" s="28" t="s">
        <v>445</v>
      </c>
      <c r="C204" s="25" t="s">
        <v>41</v>
      </c>
      <c r="D204" s="28" t="s">
        <v>590</v>
      </c>
      <c r="E204" s="25" t="s">
        <v>41</v>
      </c>
      <c r="F204" s="25" t="s">
        <v>443</v>
      </c>
      <c r="G204" s="25" t="s">
        <v>489</v>
      </c>
      <c r="H204" s="76">
        <v>0</v>
      </c>
      <c r="I204" s="76">
        <v>0</v>
      </c>
      <c r="J204" s="76">
        <v>0</v>
      </c>
      <c r="K204" s="76">
        <v>0</v>
      </c>
      <c r="L204" s="76">
        <v>0</v>
      </c>
      <c r="M204" s="25" t="s">
        <v>489</v>
      </c>
      <c r="N204" s="76">
        <v>0</v>
      </c>
      <c r="O204" s="22">
        <f t="shared" si="3"/>
        <v>0</v>
      </c>
      <c r="P204" s="78" t="str">
        <f>IF(O204=0,"",_xlfn.XLOOKUP(D204,'6月份计划'!A:A,'6月份计划'!A:A))</f>
        <v/>
      </c>
    </row>
    <row r="205" s="22" customFormat="1" ht="15" customHeight="1" spans="1:16">
      <c r="A205" s="29" t="s">
        <v>444</v>
      </c>
      <c r="B205" s="32" t="s">
        <v>445</v>
      </c>
      <c r="C205" s="29" t="s">
        <v>41</v>
      </c>
      <c r="D205" s="32" t="s">
        <v>591</v>
      </c>
      <c r="E205" s="29" t="s">
        <v>41</v>
      </c>
      <c r="F205" s="29" t="s">
        <v>443</v>
      </c>
      <c r="G205" s="29" t="s">
        <v>489</v>
      </c>
      <c r="H205" s="77">
        <v>0</v>
      </c>
      <c r="I205" s="77">
        <v>0</v>
      </c>
      <c r="J205" s="77">
        <v>0</v>
      </c>
      <c r="K205" s="77">
        <v>0</v>
      </c>
      <c r="L205" s="77">
        <v>0</v>
      </c>
      <c r="M205" s="29" t="s">
        <v>489</v>
      </c>
      <c r="N205" s="77">
        <v>0</v>
      </c>
      <c r="O205" s="22">
        <f t="shared" si="3"/>
        <v>0</v>
      </c>
      <c r="P205" s="78" t="str">
        <f>IF(O205=0,"",_xlfn.XLOOKUP(D205,'6月份计划'!A:A,'6月份计划'!A:A))</f>
        <v/>
      </c>
    </row>
    <row r="206" s="22" customFormat="1" ht="15" customHeight="1" spans="1:16">
      <c r="A206" s="25" t="s">
        <v>444</v>
      </c>
      <c r="B206" s="28" t="s">
        <v>445</v>
      </c>
      <c r="C206" s="25" t="s">
        <v>41</v>
      </c>
      <c r="D206" s="28" t="s">
        <v>592</v>
      </c>
      <c r="E206" s="25" t="s">
        <v>41</v>
      </c>
      <c r="F206" s="25" t="s">
        <v>443</v>
      </c>
      <c r="G206" s="25" t="s">
        <v>489</v>
      </c>
      <c r="H206" s="76">
        <v>0</v>
      </c>
      <c r="I206" s="76">
        <v>0</v>
      </c>
      <c r="J206" s="76">
        <v>0</v>
      </c>
      <c r="K206" s="76">
        <v>0</v>
      </c>
      <c r="L206" s="76">
        <v>0</v>
      </c>
      <c r="M206" s="25" t="s">
        <v>489</v>
      </c>
      <c r="N206" s="76">
        <v>0</v>
      </c>
      <c r="O206" s="22">
        <f t="shared" si="3"/>
        <v>0</v>
      </c>
      <c r="P206" s="78" t="str">
        <f>IF(O206=0,"",_xlfn.XLOOKUP(D206,'6月份计划'!A:A,'6月份计划'!A:A))</f>
        <v/>
      </c>
    </row>
    <row r="207" s="22" customFormat="1" ht="15" customHeight="1" spans="1:16">
      <c r="A207" s="29" t="s">
        <v>444</v>
      </c>
      <c r="B207" s="32" t="s">
        <v>445</v>
      </c>
      <c r="C207" s="29" t="s">
        <v>41</v>
      </c>
      <c r="D207" s="32" t="s">
        <v>304</v>
      </c>
      <c r="E207" s="29" t="s">
        <v>41</v>
      </c>
      <c r="F207" s="29" t="s">
        <v>443</v>
      </c>
      <c r="G207" s="29" t="s">
        <v>447</v>
      </c>
      <c r="H207" s="77">
        <v>22724.3</v>
      </c>
      <c r="I207" s="77">
        <v>0</v>
      </c>
      <c r="J207" s="77">
        <v>0</v>
      </c>
      <c r="K207" s="77">
        <v>31814.02</v>
      </c>
      <c r="L207" s="77">
        <v>22724.3</v>
      </c>
      <c r="M207" s="29" t="s">
        <v>447</v>
      </c>
      <c r="N207" s="77">
        <v>22724.3</v>
      </c>
      <c r="O207" s="22">
        <f t="shared" si="3"/>
        <v>22724.3</v>
      </c>
      <c r="P207" s="78" t="str">
        <f>IF(O207=0,"",_xlfn.XLOOKUP(D207,'6月份计划'!A:A,'6月份计划'!A:A))</f>
        <v>常州立天汽车零部件有限公司</v>
      </c>
    </row>
    <row r="208" s="22" customFormat="1" ht="15" customHeight="1" spans="1:16">
      <c r="A208" s="25" t="s">
        <v>444</v>
      </c>
      <c r="B208" s="28" t="s">
        <v>445</v>
      </c>
      <c r="C208" s="25" t="s">
        <v>41</v>
      </c>
      <c r="D208" s="28" t="s">
        <v>488</v>
      </c>
      <c r="E208" s="25" t="s">
        <v>41</v>
      </c>
      <c r="F208" s="25" t="s">
        <v>443</v>
      </c>
      <c r="G208" s="25" t="s">
        <v>447</v>
      </c>
      <c r="H208" s="76">
        <v>2927</v>
      </c>
      <c r="I208" s="76">
        <v>0</v>
      </c>
      <c r="J208" s="76">
        <v>0</v>
      </c>
      <c r="K208" s="76">
        <v>0</v>
      </c>
      <c r="L208" s="76">
        <v>0</v>
      </c>
      <c r="M208" s="25" t="s">
        <v>447</v>
      </c>
      <c r="N208" s="76">
        <v>2927</v>
      </c>
      <c r="O208" s="22">
        <f t="shared" si="3"/>
        <v>2927</v>
      </c>
      <c r="P208" s="78" t="e">
        <f>IF(O208=0,"",_xlfn.XLOOKUP(D208,'6月份计划'!A:A,'6月份计划'!A:A))</f>
        <v>#N/A</v>
      </c>
    </row>
    <row r="209" s="22" customFormat="1" ht="15" customHeight="1" spans="1:16">
      <c r="A209" s="29" t="s">
        <v>444</v>
      </c>
      <c r="B209" s="32" t="s">
        <v>445</v>
      </c>
      <c r="C209" s="29" t="s">
        <v>41</v>
      </c>
      <c r="D209" s="32" t="s">
        <v>418</v>
      </c>
      <c r="E209" s="29" t="s">
        <v>41</v>
      </c>
      <c r="F209" s="29" t="s">
        <v>443</v>
      </c>
      <c r="G209" s="29" t="s">
        <v>489</v>
      </c>
      <c r="H209" s="77">
        <v>0</v>
      </c>
      <c r="I209" s="77">
        <v>0</v>
      </c>
      <c r="J209" s="77">
        <v>0</v>
      </c>
      <c r="K209" s="77">
        <v>79817.67</v>
      </c>
      <c r="L209" s="77">
        <v>79817.67</v>
      </c>
      <c r="M209" s="29" t="s">
        <v>489</v>
      </c>
      <c r="N209" s="77">
        <v>0</v>
      </c>
      <c r="O209" s="22">
        <f t="shared" si="3"/>
        <v>0</v>
      </c>
      <c r="P209" s="78" t="str">
        <f>IF(O209=0,"",_xlfn.XLOOKUP(D209,'6月份计划'!A:A,'6月份计划'!A:A))</f>
        <v/>
      </c>
    </row>
    <row r="210" s="22" customFormat="1" ht="15" customHeight="1" spans="1:16">
      <c r="A210" s="25" t="s">
        <v>444</v>
      </c>
      <c r="B210" s="28" t="s">
        <v>445</v>
      </c>
      <c r="C210" s="25" t="s">
        <v>41</v>
      </c>
      <c r="D210" s="28" t="s">
        <v>593</v>
      </c>
      <c r="E210" s="25" t="s">
        <v>41</v>
      </c>
      <c r="F210" s="25" t="s">
        <v>443</v>
      </c>
      <c r="G210" s="25" t="s">
        <v>489</v>
      </c>
      <c r="H210" s="76">
        <v>0</v>
      </c>
      <c r="I210" s="76">
        <v>0</v>
      </c>
      <c r="J210" s="76">
        <v>0</v>
      </c>
      <c r="K210" s="76">
        <v>0</v>
      </c>
      <c r="L210" s="76">
        <v>0</v>
      </c>
      <c r="M210" s="25" t="s">
        <v>489</v>
      </c>
      <c r="N210" s="76">
        <v>0</v>
      </c>
      <c r="O210" s="22">
        <f t="shared" si="3"/>
        <v>0</v>
      </c>
      <c r="P210" s="78" t="str">
        <f>IF(O210=0,"",_xlfn.XLOOKUP(D210,'6月份计划'!A:A,'6月份计划'!A:A))</f>
        <v/>
      </c>
    </row>
    <row r="211" s="22" customFormat="1" ht="15" customHeight="1" spans="1:16">
      <c r="A211" s="29" t="s">
        <v>444</v>
      </c>
      <c r="B211" s="32" t="s">
        <v>445</v>
      </c>
      <c r="C211" s="29" t="s">
        <v>41</v>
      </c>
      <c r="D211" s="32" t="s">
        <v>314</v>
      </c>
      <c r="E211" s="29" t="s">
        <v>41</v>
      </c>
      <c r="F211" s="29" t="s">
        <v>443</v>
      </c>
      <c r="G211" s="29" t="s">
        <v>447</v>
      </c>
      <c r="H211" s="77">
        <v>121213.18</v>
      </c>
      <c r="I211" s="77">
        <v>22446.89</v>
      </c>
      <c r="J211" s="77">
        <v>29180.95</v>
      </c>
      <c r="K211" s="77">
        <v>143468.88</v>
      </c>
      <c r="L211" s="77">
        <v>204083.09</v>
      </c>
      <c r="M211" s="29" t="s">
        <v>447</v>
      </c>
      <c r="N211" s="77">
        <v>127947.24</v>
      </c>
      <c r="O211" s="22">
        <f t="shared" si="3"/>
        <v>127947.24</v>
      </c>
      <c r="P211" s="78" t="str">
        <f>IF(O211=0,"",_xlfn.XLOOKUP(D211,'6月份计划'!A:A,'6月份计划'!A:A))</f>
        <v>北京美好生活家居用品有限公司</v>
      </c>
    </row>
    <row r="212" s="22" customFormat="1" ht="15" customHeight="1" spans="1:16">
      <c r="A212" s="25" t="s">
        <v>444</v>
      </c>
      <c r="B212" s="28" t="s">
        <v>445</v>
      </c>
      <c r="C212" s="25" t="s">
        <v>41</v>
      </c>
      <c r="D212" s="28" t="s">
        <v>317</v>
      </c>
      <c r="E212" s="25" t="s">
        <v>41</v>
      </c>
      <c r="F212" s="25" t="s">
        <v>443</v>
      </c>
      <c r="G212" s="25" t="s">
        <v>447</v>
      </c>
      <c r="H212" s="76">
        <v>260839.9</v>
      </c>
      <c r="I212" s="76">
        <v>219785.92</v>
      </c>
      <c r="J212" s="76">
        <v>15820</v>
      </c>
      <c r="K212" s="76">
        <v>226113.92</v>
      </c>
      <c r="L212" s="76">
        <v>282987.9</v>
      </c>
      <c r="M212" s="25" t="s">
        <v>447</v>
      </c>
      <c r="N212" s="76">
        <v>56873.98</v>
      </c>
      <c r="O212" s="22">
        <f t="shared" si="3"/>
        <v>56873.98</v>
      </c>
      <c r="P212" s="78" t="str">
        <f>IF(O212=0,"",_xlfn.XLOOKUP(D212,'6月份计划'!A:A,'6月份计划'!A:A))</f>
        <v>天津力登维汽车部件有限公司</v>
      </c>
    </row>
    <row r="213" s="22" customFormat="1" ht="15" customHeight="1" spans="1:16">
      <c r="A213" s="29" t="s">
        <v>444</v>
      </c>
      <c r="B213" s="32" t="s">
        <v>445</v>
      </c>
      <c r="C213" s="29" t="s">
        <v>41</v>
      </c>
      <c r="D213" s="32" t="s">
        <v>282</v>
      </c>
      <c r="E213" s="29" t="s">
        <v>41</v>
      </c>
      <c r="F213" s="29" t="s">
        <v>443</v>
      </c>
      <c r="G213" s="29" t="s">
        <v>447</v>
      </c>
      <c r="H213" s="77">
        <v>193230</v>
      </c>
      <c r="I213" s="77">
        <v>89496</v>
      </c>
      <c r="J213" s="77">
        <v>34578</v>
      </c>
      <c r="K213" s="77">
        <v>175096</v>
      </c>
      <c r="L213" s="77">
        <v>227808</v>
      </c>
      <c r="M213" s="29" t="s">
        <v>447</v>
      </c>
      <c r="N213" s="77">
        <v>138312</v>
      </c>
      <c r="O213" s="22">
        <f t="shared" si="3"/>
        <v>138312</v>
      </c>
      <c r="P213" s="78" t="str">
        <f>IF(O213=0,"",_xlfn.XLOOKUP(D213,'6月份计划'!A:A,'6月份计划'!A:A))</f>
        <v>天津鑫淼塑料制品有限公司</v>
      </c>
    </row>
    <row r="214" s="22" customFormat="1" ht="15" customHeight="1" spans="1:16">
      <c r="A214" s="25" t="s">
        <v>444</v>
      </c>
      <c r="B214" s="28" t="s">
        <v>445</v>
      </c>
      <c r="C214" s="25" t="s">
        <v>41</v>
      </c>
      <c r="D214" s="28" t="s">
        <v>292</v>
      </c>
      <c r="E214" s="25" t="s">
        <v>41</v>
      </c>
      <c r="F214" s="25" t="s">
        <v>443</v>
      </c>
      <c r="G214" s="25" t="s">
        <v>489</v>
      </c>
      <c r="H214" s="76">
        <v>0</v>
      </c>
      <c r="I214" s="76">
        <v>0</v>
      </c>
      <c r="J214" s="76">
        <v>22035</v>
      </c>
      <c r="K214" s="76">
        <v>0</v>
      </c>
      <c r="L214" s="76">
        <v>22035</v>
      </c>
      <c r="M214" s="25" t="s">
        <v>447</v>
      </c>
      <c r="N214" s="76">
        <v>22035</v>
      </c>
      <c r="O214" s="22">
        <f t="shared" si="3"/>
        <v>22035</v>
      </c>
      <c r="P214" s="78" t="e">
        <f>IF(O214=0,"",_xlfn.XLOOKUP(D214,'6月份计划'!A:A,'6月份计划'!A:A))</f>
        <v>#N/A</v>
      </c>
    </row>
    <row r="215" s="22" customFormat="1" ht="15" customHeight="1" spans="1:16">
      <c r="A215" s="29" t="s">
        <v>444</v>
      </c>
      <c r="B215" s="32" t="s">
        <v>445</v>
      </c>
      <c r="C215" s="29" t="s">
        <v>41</v>
      </c>
      <c r="D215" s="32" t="s">
        <v>307</v>
      </c>
      <c r="E215" s="29" t="s">
        <v>41</v>
      </c>
      <c r="F215" s="29" t="s">
        <v>443</v>
      </c>
      <c r="G215" s="29" t="s">
        <v>447</v>
      </c>
      <c r="H215" s="77">
        <v>11117.67</v>
      </c>
      <c r="I215" s="77">
        <v>0</v>
      </c>
      <c r="J215" s="77">
        <v>6748.53</v>
      </c>
      <c r="K215" s="77">
        <v>41963.22</v>
      </c>
      <c r="L215" s="77">
        <v>31192.79</v>
      </c>
      <c r="M215" s="29" t="s">
        <v>447</v>
      </c>
      <c r="N215" s="77">
        <v>17866.2</v>
      </c>
      <c r="O215" s="22">
        <f t="shared" si="3"/>
        <v>17866.2</v>
      </c>
      <c r="P215" s="78" t="str">
        <f>IF(O215=0,"",_xlfn.XLOOKUP(D215,'6月份计划'!A:A,'6月份计划'!A:A))</f>
        <v>沧州宇诺五金制造有限公司</v>
      </c>
    </row>
    <row r="216" s="22" customFormat="1" ht="15" customHeight="1" spans="1:16">
      <c r="A216" s="25" t="s">
        <v>444</v>
      </c>
      <c r="B216" s="28" t="s">
        <v>445</v>
      </c>
      <c r="C216" s="25" t="s">
        <v>41</v>
      </c>
      <c r="D216" s="28" t="s">
        <v>594</v>
      </c>
      <c r="E216" s="25" t="s">
        <v>41</v>
      </c>
      <c r="F216" s="25" t="s">
        <v>443</v>
      </c>
      <c r="G216" s="25" t="s">
        <v>489</v>
      </c>
      <c r="H216" s="76">
        <v>0</v>
      </c>
      <c r="I216" s="76">
        <v>0</v>
      </c>
      <c r="J216" s="76">
        <v>0</v>
      </c>
      <c r="K216" s="76">
        <v>0</v>
      </c>
      <c r="L216" s="76">
        <v>0</v>
      </c>
      <c r="M216" s="25" t="s">
        <v>489</v>
      </c>
      <c r="N216" s="76">
        <v>0</v>
      </c>
      <c r="O216" s="22">
        <f t="shared" si="3"/>
        <v>0</v>
      </c>
      <c r="P216" s="78" t="str">
        <f>IF(O216=0,"",_xlfn.XLOOKUP(D216,'6月份计划'!A:A,'6月份计划'!A:A))</f>
        <v/>
      </c>
    </row>
    <row r="217" s="22" customFormat="1" ht="15" customHeight="1" spans="1:16">
      <c r="A217" s="29" t="s">
        <v>444</v>
      </c>
      <c r="B217" s="32" t="s">
        <v>445</v>
      </c>
      <c r="C217" s="29" t="s">
        <v>41</v>
      </c>
      <c r="D217" s="32" t="s">
        <v>305</v>
      </c>
      <c r="E217" s="29" t="s">
        <v>41</v>
      </c>
      <c r="F217" s="29" t="s">
        <v>443</v>
      </c>
      <c r="G217" s="29" t="s">
        <v>447</v>
      </c>
      <c r="H217" s="77">
        <v>20763.75</v>
      </c>
      <c r="I217" s="77">
        <v>0</v>
      </c>
      <c r="J217" s="77">
        <v>4135.8</v>
      </c>
      <c r="K217" s="77">
        <v>11627.7</v>
      </c>
      <c r="L217" s="77">
        <v>29035.35</v>
      </c>
      <c r="M217" s="29" t="s">
        <v>447</v>
      </c>
      <c r="N217" s="77">
        <v>24899.55</v>
      </c>
      <c r="O217" s="22">
        <f t="shared" si="3"/>
        <v>24899.55</v>
      </c>
      <c r="P217" s="78" t="str">
        <f>IF(O217=0,"",_xlfn.XLOOKUP(D217,'6月份计划'!A:A,'6月份计划'!A:A))</f>
        <v>霸州市政锦五金制品有限公司</v>
      </c>
    </row>
    <row r="218" s="22" customFormat="1" ht="15" customHeight="1" spans="1:16">
      <c r="A218" s="25" t="s">
        <v>444</v>
      </c>
      <c r="B218" s="28" t="s">
        <v>445</v>
      </c>
      <c r="C218" s="25" t="s">
        <v>41</v>
      </c>
      <c r="D218" s="28" t="s">
        <v>409</v>
      </c>
      <c r="E218" s="25" t="s">
        <v>41</v>
      </c>
      <c r="F218" s="25" t="s">
        <v>443</v>
      </c>
      <c r="G218" s="25" t="s">
        <v>489</v>
      </c>
      <c r="H218" s="76">
        <v>0</v>
      </c>
      <c r="I218" s="76">
        <v>0</v>
      </c>
      <c r="J218" s="76">
        <v>0</v>
      </c>
      <c r="K218" s="76">
        <v>74590.72</v>
      </c>
      <c r="L218" s="76">
        <v>0</v>
      </c>
      <c r="M218" s="25" t="s">
        <v>489</v>
      </c>
      <c r="N218" s="76">
        <v>0</v>
      </c>
      <c r="O218" s="22">
        <f t="shared" si="3"/>
        <v>0</v>
      </c>
      <c r="P218" s="78" t="str">
        <f>IF(O218=0,"",_xlfn.XLOOKUP(D218,'6月份计划'!A:A,'6月份计划'!A:A))</f>
        <v/>
      </c>
    </row>
    <row r="219" s="22" customFormat="1" ht="15" customHeight="1" spans="1:16">
      <c r="A219" s="29" t="s">
        <v>444</v>
      </c>
      <c r="B219" s="32" t="s">
        <v>445</v>
      </c>
      <c r="C219" s="29" t="s">
        <v>41</v>
      </c>
      <c r="D219" s="32" t="s">
        <v>308</v>
      </c>
      <c r="E219" s="29" t="s">
        <v>41</v>
      </c>
      <c r="F219" s="29" t="s">
        <v>443</v>
      </c>
      <c r="G219" s="29" t="s">
        <v>447</v>
      </c>
      <c r="H219" s="77">
        <v>32067.14</v>
      </c>
      <c r="I219" s="77">
        <v>10122.54</v>
      </c>
      <c r="J219" s="77">
        <v>10276.22</v>
      </c>
      <c r="K219" s="77">
        <v>49982.16</v>
      </c>
      <c r="L219" s="77">
        <v>42343.36</v>
      </c>
      <c r="M219" s="29" t="s">
        <v>447</v>
      </c>
      <c r="N219" s="77">
        <v>32220.82</v>
      </c>
      <c r="O219" s="22">
        <f t="shared" si="3"/>
        <v>32220.82</v>
      </c>
      <c r="P219" s="78" t="str">
        <f>IF(O219=0,"",_xlfn.XLOOKUP(D219,'6月份计划'!A:A,'6月份计划'!A:A))</f>
        <v>清河县沁园汽车零部件有限公司</v>
      </c>
    </row>
    <row r="220" s="22" customFormat="1" ht="15" customHeight="1" spans="1:16">
      <c r="A220" s="25" t="s">
        <v>444</v>
      </c>
      <c r="B220" s="28" t="s">
        <v>445</v>
      </c>
      <c r="C220" s="25" t="s">
        <v>41</v>
      </c>
      <c r="D220" s="28" t="s">
        <v>321</v>
      </c>
      <c r="E220" s="25" t="s">
        <v>41</v>
      </c>
      <c r="F220" s="25" t="s">
        <v>443</v>
      </c>
      <c r="G220" s="25" t="s">
        <v>447</v>
      </c>
      <c r="H220" s="76">
        <v>3497.49</v>
      </c>
      <c r="I220" s="76">
        <v>0</v>
      </c>
      <c r="J220" s="76">
        <v>0</v>
      </c>
      <c r="K220" s="76">
        <v>0</v>
      </c>
      <c r="L220" s="76">
        <v>3497.49</v>
      </c>
      <c r="M220" s="25" t="s">
        <v>447</v>
      </c>
      <c r="N220" s="76">
        <v>3497.49</v>
      </c>
      <c r="O220" s="22">
        <f t="shared" si="3"/>
        <v>3497.49</v>
      </c>
      <c r="P220" s="78" t="str">
        <f>IF(O220=0,"",_xlfn.XLOOKUP(D220,'6月份计划'!A:A,'6月份计划'!A:A))</f>
        <v>霸州市汇行汽车零部件有限公司</v>
      </c>
    </row>
    <row r="221" s="22" customFormat="1" ht="15" customHeight="1" spans="1:16">
      <c r="A221" s="29" t="s">
        <v>444</v>
      </c>
      <c r="B221" s="32" t="s">
        <v>445</v>
      </c>
      <c r="C221" s="29" t="s">
        <v>41</v>
      </c>
      <c r="D221" s="32" t="s">
        <v>309</v>
      </c>
      <c r="E221" s="29" t="s">
        <v>41</v>
      </c>
      <c r="F221" s="29" t="s">
        <v>443</v>
      </c>
      <c r="G221" s="29" t="s">
        <v>447</v>
      </c>
      <c r="H221" s="77">
        <v>1622.68</v>
      </c>
      <c r="I221" s="77">
        <v>0</v>
      </c>
      <c r="J221" s="77">
        <v>0</v>
      </c>
      <c r="K221" s="77">
        <v>9736.08</v>
      </c>
      <c r="L221" s="77">
        <v>1622.68</v>
      </c>
      <c r="M221" s="29" t="s">
        <v>447</v>
      </c>
      <c r="N221" s="77">
        <v>1622.68</v>
      </c>
      <c r="O221" s="22">
        <f t="shared" si="3"/>
        <v>1622.68</v>
      </c>
      <c r="P221" s="78" t="str">
        <f>IF(O221=0,"",_xlfn.XLOOKUP(D221,'6月份计划'!A:A,'6月份计划'!A:A))</f>
        <v>新梦顶（上海）贸易有限公司</v>
      </c>
    </row>
    <row r="222" s="22" customFormat="1" ht="15" customHeight="1" spans="1:16">
      <c r="A222" s="25" t="s">
        <v>444</v>
      </c>
      <c r="B222" s="28" t="s">
        <v>445</v>
      </c>
      <c r="C222" s="25" t="s">
        <v>41</v>
      </c>
      <c r="D222" s="28" t="s">
        <v>595</v>
      </c>
      <c r="E222" s="25" t="s">
        <v>41</v>
      </c>
      <c r="F222" s="25" t="s">
        <v>443</v>
      </c>
      <c r="G222" s="25" t="s">
        <v>489</v>
      </c>
      <c r="H222" s="76">
        <v>0</v>
      </c>
      <c r="I222" s="76">
        <v>0</v>
      </c>
      <c r="J222" s="76">
        <v>0</v>
      </c>
      <c r="K222" s="76">
        <v>0</v>
      </c>
      <c r="L222" s="76">
        <v>0</v>
      </c>
      <c r="M222" s="25" t="s">
        <v>489</v>
      </c>
      <c r="N222" s="76">
        <v>0</v>
      </c>
      <c r="O222" s="22">
        <f t="shared" si="3"/>
        <v>0</v>
      </c>
      <c r="P222" s="78" t="str">
        <f>IF(O222=0,"",_xlfn.XLOOKUP(D222,'6月份计划'!A:A,'6月份计划'!A:A))</f>
        <v/>
      </c>
    </row>
    <row r="223" s="22" customFormat="1" ht="15" customHeight="1" spans="1:16">
      <c r="A223" s="29" t="s">
        <v>444</v>
      </c>
      <c r="B223" s="32" t="s">
        <v>445</v>
      </c>
      <c r="C223" s="29" t="s">
        <v>41</v>
      </c>
      <c r="D223" s="32" t="s">
        <v>286</v>
      </c>
      <c r="E223" s="29" t="s">
        <v>41</v>
      </c>
      <c r="F223" s="29" t="s">
        <v>443</v>
      </c>
      <c r="G223" s="29" t="s">
        <v>447</v>
      </c>
      <c r="H223" s="77">
        <v>105580.99</v>
      </c>
      <c r="I223" s="77">
        <v>105580.99</v>
      </c>
      <c r="J223" s="77">
        <v>0</v>
      </c>
      <c r="K223" s="77">
        <v>105580.99</v>
      </c>
      <c r="L223" s="77">
        <v>105580.99</v>
      </c>
      <c r="M223" s="29" t="s">
        <v>489</v>
      </c>
      <c r="N223" s="77">
        <v>0</v>
      </c>
      <c r="O223" s="22">
        <f t="shared" si="3"/>
        <v>0</v>
      </c>
      <c r="P223" s="78" t="str">
        <f>IF(O223=0,"",_xlfn.XLOOKUP(D223,'6月份计划'!A:A,'6月份计划'!A:A))</f>
        <v/>
      </c>
    </row>
    <row r="224" s="22" customFormat="1" ht="15" customHeight="1" spans="1:16">
      <c r="A224" s="25" t="s">
        <v>444</v>
      </c>
      <c r="B224" s="28" t="s">
        <v>445</v>
      </c>
      <c r="C224" s="25" t="s">
        <v>41</v>
      </c>
      <c r="D224" s="28" t="s">
        <v>313</v>
      </c>
      <c r="E224" s="25" t="s">
        <v>41</v>
      </c>
      <c r="F224" s="25" t="s">
        <v>443</v>
      </c>
      <c r="G224" s="25" t="s">
        <v>447</v>
      </c>
      <c r="H224" s="76">
        <v>6644.4</v>
      </c>
      <c r="I224" s="76">
        <v>6644</v>
      </c>
      <c r="J224" s="76">
        <v>4429.6</v>
      </c>
      <c r="K224" s="76">
        <v>51057.72</v>
      </c>
      <c r="L224" s="76">
        <v>51500.88</v>
      </c>
      <c r="M224" s="25" t="s">
        <v>447</v>
      </c>
      <c r="N224" s="76">
        <v>4430</v>
      </c>
      <c r="O224" s="22">
        <f t="shared" si="3"/>
        <v>4430</v>
      </c>
      <c r="P224" s="78" t="str">
        <f>IF(O224=0,"",_xlfn.XLOOKUP(D224,'6月份计划'!A:A,'6月份计划'!A:A))</f>
        <v>江苏万金汽车零部件制造有限公</v>
      </c>
    </row>
    <row r="225" s="22" customFormat="1" ht="15" customHeight="1" spans="1:16">
      <c r="A225" s="29" t="s">
        <v>444</v>
      </c>
      <c r="B225" s="32" t="s">
        <v>445</v>
      </c>
      <c r="C225" s="29" t="s">
        <v>41</v>
      </c>
      <c r="D225" s="32" t="s">
        <v>315</v>
      </c>
      <c r="E225" s="29" t="s">
        <v>41</v>
      </c>
      <c r="F225" s="29" t="s">
        <v>443</v>
      </c>
      <c r="G225" s="29" t="s">
        <v>447</v>
      </c>
      <c r="H225" s="77">
        <v>14543.1</v>
      </c>
      <c r="I225" s="77">
        <v>0</v>
      </c>
      <c r="J225" s="77">
        <v>0</v>
      </c>
      <c r="K225" s="77">
        <v>3305.25</v>
      </c>
      <c r="L225" s="77">
        <v>17848.35</v>
      </c>
      <c r="M225" s="29" t="s">
        <v>447</v>
      </c>
      <c r="N225" s="77">
        <v>14543.1</v>
      </c>
      <c r="O225" s="22">
        <f t="shared" si="3"/>
        <v>14543.1</v>
      </c>
      <c r="P225" s="78" t="str">
        <f>IF(O225=0,"",_xlfn.XLOOKUP(D225,'6月份计划'!A:A,'6月份计划'!A:A))</f>
        <v>江苏凌派通信科技有限公司</v>
      </c>
    </row>
    <row r="226" s="22" customFormat="1" ht="15" customHeight="1" spans="1:16">
      <c r="A226" s="25" t="s">
        <v>444</v>
      </c>
      <c r="B226" s="28" t="s">
        <v>445</v>
      </c>
      <c r="C226" s="25" t="s">
        <v>41</v>
      </c>
      <c r="D226" s="28" t="s">
        <v>596</v>
      </c>
      <c r="E226" s="25" t="s">
        <v>41</v>
      </c>
      <c r="F226" s="25" t="s">
        <v>443</v>
      </c>
      <c r="G226" s="25" t="s">
        <v>489</v>
      </c>
      <c r="H226" s="76">
        <v>0</v>
      </c>
      <c r="I226" s="76">
        <v>0</v>
      </c>
      <c r="J226" s="76">
        <v>0</v>
      </c>
      <c r="K226" s="76">
        <v>0</v>
      </c>
      <c r="L226" s="76">
        <v>0</v>
      </c>
      <c r="M226" s="25" t="s">
        <v>489</v>
      </c>
      <c r="N226" s="76">
        <v>0</v>
      </c>
      <c r="O226" s="22">
        <f t="shared" si="3"/>
        <v>0</v>
      </c>
      <c r="P226" s="78" t="str">
        <f>IF(O226=0,"",_xlfn.XLOOKUP(D226,'6月份计划'!A:A,'6月份计划'!A:A))</f>
        <v/>
      </c>
    </row>
    <row r="227" s="22" customFormat="1" ht="15" customHeight="1" spans="1:16">
      <c r="A227" s="29" t="s">
        <v>444</v>
      </c>
      <c r="B227" s="32" t="s">
        <v>445</v>
      </c>
      <c r="C227" s="29" t="s">
        <v>41</v>
      </c>
      <c r="D227" s="32" t="s">
        <v>599</v>
      </c>
      <c r="E227" s="29" t="s">
        <v>41</v>
      </c>
      <c r="F227" s="29" t="s">
        <v>443</v>
      </c>
      <c r="G227" s="29" t="s">
        <v>447</v>
      </c>
      <c r="H227" s="77">
        <v>15000</v>
      </c>
      <c r="I227" s="77">
        <v>0</v>
      </c>
      <c r="J227" s="77">
        <v>0</v>
      </c>
      <c r="K227" s="77">
        <v>60000</v>
      </c>
      <c r="L227" s="77">
        <v>34000</v>
      </c>
      <c r="M227" s="29" t="s">
        <v>447</v>
      </c>
      <c r="N227" s="77">
        <v>15000</v>
      </c>
      <c r="O227" s="22">
        <f t="shared" si="3"/>
        <v>15000</v>
      </c>
      <c r="P227" s="78" t="e">
        <f>IF(O227=0,"",_xlfn.XLOOKUP(D227,'6月份计划'!A:A,'6月份计划'!A:A))</f>
        <v>#N/A</v>
      </c>
    </row>
    <row r="228" s="22" customFormat="1" ht="15" customHeight="1" spans="1:16">
      <c r="A228" s="25" t="s">
        <v>444</v>
      </c>
      <c r="B228" s="28" t="s">
        <v>445</v>
      </c>
      <c r="C228" s="25" t="s">
        <v>41</v>
      </c>
      <c r="D228" s="28" t="s">
        <v>290</v>
      </c>
      <c r="E228" s="25" t="s">
        <v>41</v>
      </c>
      <c r="F228" s="25" t="s">
        <v>443</v>
      </c>
      <c r="G228" s="25" t="s">
        <v>447</v>
      </c>
      <c r="H228" s="76">
        <v>83379.29</v>
      </c>
      <c r="I228" s="76">
        <v>11270.6</v>
      </c>
      <c r="J228" s="76">
        <v>14400.72</v>
      </c>
      <c r="K228" s="76">
        <v>11270.6</v>
      </c>
      <c r="L228" s="76">
        <v>97780.01</v>
      </c>
      <c r="M228" s="25" t="s">
        <v>447</v>
      </c>
      <c r="N228" s="76">
        <v>86509.41</v>
      </c>
      <c r="O228" s="22">
        <f t="shared" si="3"/>
        <v>86509.41</v>
      </c>
      <c r="P228" s="78" t="str">
        <f>IF(O228=0,"",_xlfn.XLOOKUP(D228,'6月份计划'!A:A,'6月份计划'!A:A))</f>
        <v>江阴同威科技有限公司</v>
      </c>
    </row>
    <row r="229" s="22" customFormat="1" ht="15" customHeight="1" spans="1:16">
      <c r="A229" s="29" t="s">
        <v>444</v>
      </c>
      <c r="B229" s="32" t="s">
        <v>445</v>
      </c>
      <c r="C229" s="29" t="s">
        <v>41</v>
      </c>
      <c r="D229" s="32" t="s">
        <v>319</v>
      </c>
      <c r="E229" s="29" t="s">
        <v>41</v>
      </c>
      <c r="F229" s="29" t="s">
        <v>443</v>
      </c>
      <c r="G229" s="29" t="s">
        <v>447</v>
      </c>
      <c r="H229" s="77">
        <v>5720.63</v>
      </c>
      <c r="I229" s="77">
        <v>0</v>
      </c>
      <c r="J229" s="77">
        <v>0</v>
      </c>
      <c r="K229" s="77">
        <v>0</v>
      </c>
      <c r="L229" s="77">
        <v>5720.63</v>
      </c>
      <c r="M229" s="29" t="s">
        <v>447</v>
      </c>
      <c r="N229" s="77">
        <v>5720.63</v>
      </c>
      <c r="O229" s="22">
        <f t="shared" si="3"/>
        <v>5720.63</v>
      </c>
      <c r="P229" s="78" t="str">
        <f>IF(O229=0,"",_xlfn.XLOOKUP(D229,'6月份计划'!A:A,'6月份计划'!A:A))</f>
        <v>昆山吉山会津塑料工业股份有限</v>
      </c>
    </row>
    <row r="230" s="22" customFormat="1" ht="15" customHeight="1" spans="1:16">
      <c r="A230" s="25" t="s">
        <v>444</v>
      </c>
      <c r="B230" s="28" t="s">
        <v>445</v>
      </c>
      <c r="C230" s="25" t="s">
        <v>41</v>
      </c>
      <c r="D230" s="28" t="s">
        <v>316</v>
      </c>
      <c r="E230" s="25" t="s">
        <v>41</v>
      </c>
      <c r="F230" s="25" t="s">
        <v>443</v>
      </c>
      <c r="G230" s="25" t="s">
        <v>447</v>
      </c>
      <c r="H230" s="76">
        <v>21022.78</v>
      </c>
      <c r="I230" s="76">
        <v>21022.78</v>
      </c>
      <c r="J230" s="76">
        <v>0</v>
      </c>
      <c r="K230" s="76">
        <v>21022.78</v>
      </c>
      <c r="L230" s="76">
        <v>21022.78</v>
      </c>
      <c r="M230" s="25" t="s">
        <v>489</v>
      </c>
      <c r="N230" s="76">
        <v>0</v>
      </c>
      <c r="O230" s="22">
        <f t="shared" si="3"/>
        <v>0</v>
      </c>
      <c r="P230" s="78" t="str">
        <f>IF(O230=0,"",_xlfn.XLOOKUP(D230,'6月份计划'!A:A,'6月份计划'!A:A))</f>
        <v/>
      </c>
    </row>
    <row r="231" s="22" customFormat="1" ht="15" customHeight="1" spans="1:16">
      <c r="A231" s="29" t="s">
        <v>444</v>
      </c>
      <c r="B231" s="32" t="s">
        <v>445</v>
      </c>
      <c r="C231" s="29" t="s">
        <v>41</v>
      </c>
      <c r="D231" s="32" t="s">
        <v>289</v>
      </c>
      <c r="E231" s="29" t="s">
        <v>41</v>
      </c>
      <c r="F231" s="29" t="s">
        <v>443</v>
      </c>
      <c r="G231" s="29" t="s">
        <v>447</v>
      </c>
      <c r="H231" s="77">
        <v>7739.9</v>
      </c>
      <c r="I231" s="77">
        <v>0</v>
      </c>
      <c r="J231" s="77">
        <v>0</v>
      </c>
      <c r="K231" s="77">
        <v>0</v>
      </c>
      <c r="L231" s="77">
        <v>7739.9</v>
      </c>
      <c r="M231" s="29" t="s">
        <v>447</v>
      </c>
      <c r="N231" s="77">
        <v>7739.9</v>
      </c>
      <c r="O231" s="22">
        <f t="shared" si="3"/>
        <v>7739.9</v>
      </c>
      <c r="P231" s="78" t="str">
        <f>IF(O231=0,"",_xlfn.XLOOKUP(D231,'6月份计划'!A:A,'6月份计划'!A:A))</f>
        <v>维克罗（中国）搭扣系统有限公</v>
      </c>
    </row>
    <row r="232" s="22" customFormat="1" ht="15" customHeight="1" spans="1:16">
      <c r="A232" s="25" t="s">
        <v>444</v>
      </c>
      <c r="B232" s="28" t="s">
        <v>445</v>
      </c>
      <c r="C232" s="25" t="s">
        <v>41</v>
      </c>
      <c r="D232" s="28" t="s">
        <v>410</v>
      </c>
      <c r="E232" s="25" t="s">
        <v>41</v>
      </c>
      <c r="F232" s="25" t="s">
        <v>443</v>
      </c>
      <c r="G232" s="25" t="s">
        <v>489</v>
      </c>
      <c r="H232" s="76">
        <v>0</v>
      </c>
      <c r="I232" s="76">
        <v>0</v>
      </c>
      <c r="J232" s="76">
        <v>0</v>
      </c>
      <c r="K232" s="76">
        <v>94880</v>
      </c>
      <c r="L232" s="76">
        <v>0</v>
      </c>
      <c r="M232" s="25" t="s">
        <v>489</v>
      </c>
      <c r="N232" s="76">
        <v>0</v>
      </c>
      <c r="O232" s="22">
        <f t="shared" si="3"/>
        <v>0</v>
      </c>
      <c r="P232" s="78" t="str">
        <f>IF(O232=0,"",_xlfn.XLOOKUP(D232,'6月份计划'!A:A,'6月份计划'!A:A))</f>
        <v/>
      </c>
    </row>
    <row r="233" s="22" customFormat="1" ht="15" customHeight="1" spans="1:16">
      <c r="A233" s="29" t="s">
        <v>444</v>
      </c>
      <c r="B233" s="32" t="s">
        <v>445</v>
      </c>
      <c r="C233" s="29" t="s">
        <v>41</v>
      </c>
      <c r="D233" s="32" t="s">
        <v>597</v>
      </c>
      <c r="E233" s="29" t="s">
        <v>41</v>
      </c>
      <c r="F233" s="29" t="s">
        <v>443</v>
      </c>
      <c r="G233" s="29" t="s">
        <v>489</v>
      </c>
      <c r="H233" s="77">
        <v>0</v>
      </c>
      <c r="I233" s="77">
        <v>0</v>
      </c>
      <c r="J233" s="77">
        <v>0</v>
      </c>
      <c r="K233" s="77">
        <v>0</v>
      </c>
      <c r="L233" s="77">
        <v>0</v>
      </c>
      <c r="M233" s="29" t="s">
        <v>489</v>
      </c>
      <c r="N233" s="77">
        <v>0</v>
      </c>
      <c r="O233" s="22">
        <f t="shared" si="3"/>
        <v>0</v>
      </c>
      <c r="P233" s="78" t="str">
        <f>IF(O233=0,"",_xlfn.XLOOKUP(D233,'6月份计划'!A:A,'6月份计划'!A:A))</f>
        <v/>
      </c>
    </row>
    <row r="234" s="22" customFormat="1" ht="15" customHeight="1" spans="1:16">
      <c r="A234" s="25" t="s">
        <v>444</v>
      </c>
      <c r="B234" s="28" t="s">
        <v>445</v>
      </c>
      <c r="C234" s="25" t="s">
        <v>41</v>
      </c>
      <c r="D234" s="28" t="s">
        <v>598</v>
      </c>
      <c r="E234" s="25" t="s">
        <v>41</v>
      </c>
      <c r="F234" s="25" t="s">
        <v>443</v>
      </c>
      <c r="G234" s="25" t="s">
        <v>489</v>
      </c>
      <c r="H234" s="76">
        <v>0</v>
      </c>
      <c r="I234" s="76">
        <v>0</v>
      </c>
      <c r="J234" s="76">
        <v>0</v>
      </c>
      <c r="K234" s="76">
        <v>0</v>
      </c>
      <c r="L234" s="76">
        <v>0</v>
      </c>
      <c r="M234" s="25" t="s">
        <v>489</v>
      </c>
      <c r="N234" s="76">
        <v>0</v>
      </c>
      <c r="O234" s="22">
        <f t="shared" si="3"/>
        <v>0</v>
      </c>
      <c r="P234" s="78" t="str">
        <f>IF(O234=0,"",_xlfn.XLOOKUP(D234,'6月份计划'!A:A,'6月份计划'!A:A))</f>
        <v/>
      </c>
    </row>
    <row r="235" s="22" customFormat="1" ht="15" customHeight="1" spans="1:16">
      <c r="A235" s="29" t="s">
        <v>444</v>
      </c>
      <c r="B235" s="32" t="s">
        <v>445</v>
      </c>
      <c r="C235" s="29" t="s">
        <v>41</v>
      </c>
      <c r="D235" s="32" t="s">
        <v>411</v>
      </c>
      <c r="E235" s="29" t="s">
        <v>41</v>
      </c>
      <c r="F235" s="29" t="s">
        <v>443</v>
      </c>
      <c r="G235" s="29" t="s">
        <v>489</v>
      </c>
      <c r="H235" s="77">
        <v>0</v>
      </c>
      <c r="I235" s="77">
        <v>0</v>
      </c>
      <c r="J235" s="77">
        <v>0</v>
      </c>
      <c r="K235" s="77">
        <v>39034.81</v>
      </c>
      <c r="L235" s="77">
        <v>0</v>
      </c>
      <c r="M235" s="29" t="s">
        <v>489</v>
      </c>
      <c r="N235" s="77">
        <v>0</v>
      </c>
      <c r="O235" s="22">
        <f t="shared" si="3"/>
        <v>0</v>
      </c>
      <c r="P235" s="78" t="str">
        <f>IF(O235=0,"",_xlfn.XLOOKUP(D235,'6月份计划'!A:A,'6月份计划'!A:A))</f>
        <v/>
      </c>
    </row>
    <row r="236" spans="1:16">
      <c r="A236" s="32" t="s">
        <v>444</v>
      </c>
      <c r="B236" s="32" t="s">
        <v>445</v>
      </c>
      <c r="C236" s="32" t="s">
        <v>41</v>
      </c>
      <c r="D236" s="32" t="s">
        <v>320</v>
      </c>
      <c r="E236" s="32" t="s">
        <v>41</v>
      </c>
      <c r="F236" s="32" t="s">
        <v>443</v>
      </c>
      <c r="G236" s="32" t="s">
        <v>447</v>
      </c>
      <c r="H236" s="76">
        <v>80896.14</v>
      </c>
      <c r="I236" s="76">
        <v>76877.75</v>
      </c>
      <c r="J236" s="76">
        <v>0</v>
      </c>
      <c r="K236" s="76">
        <v>76877.75</v>
      </c>
      <c r="L236" s="76">
        <v>80896.14</v>
      </c>
      <c r="M236" s="76" t="s">
        <v>447</v>
      </c>
      <c r="N236" s="76">
        <v>4018.39</v>
      </c>
      <c r="O236" s="22">
        <f t="shared" si="3"/>
        <v>4018.39</v>
      </c>
      <c r="P236" s="78" t="str">
        <f>IF(O236=0,"",_xlfn.XLOOKUP(D236,'6月份计划'!A:A,'6月份计划'!A:A))</f>
        <v>武汉凯密科汽车零部件有限公司</v>
      </c>
    </row>
    <row r="237" spans="1:16">
      <c r="A237" s="22" t="s">
        <v>444</v>
      </c>
      <c r="B237" s="22" t="s">
        <v>445</v>
      </c>
      <c r="C237" s="22" t="s">
        <v>41</v>
      </c>
      <c r="D237" s="22" t="s">
        <v>288</v>
      </c>
      <c r="E237" s="22" t="s">
        <v>41</v>
      </c>
      <c r="F237" s="22" t="s">
        <v>443</v>
      </c>
      <c r="G237" s="22" t="s">
        <v>447</v>
      </c>
      <c r="H237" s="22">
        <v>70125.44</v>
      </c>
      <c r="I237" s="22">
        <v>67802.26</v>
      </c>
      <c r="J237" s="22">
        <v>15763.5</v>
      </c>
      <c r="K237" s="22">
        <v>67802.26</v>
      </c>
      <c r="L237" s="22">
        <v>85888.94</v>
      </c>
      <c r="M237" s="22" t="s">
        <v>447</v>
      </c>
      <c r="N237" s="22">
        <v>18086.68</v>
      </c>
      <c r="O237" s="22">
        <f t="shared" si="3"/>
        <v>18086.68</v>
      </c>
      <c r="P237" s="78" t="str">
        <f>IF(O237=0,"",_xlfn.XLOOKUP(D237,'6月份计划'!A:A,'6月份计划'!A:A))</f>
        <v>广州市三泰汽车内饰材料有限公</v>
      </c>
    </row>
    <row r="238" spans="1:16">
      <c r="A238" s="22" t="s">
        <v>444</v>
      </c>
      <c r="B238" s="22" t="s">
        <v>445</v>
      </c>
      <c r="C238" s="22" t="s">
        <v>41</v>
      </c>
      <c r="D238" s="22" t="s">
        <v>291</v>
      </c>
      <c r="E238" s="22" t="s">
        <v>41</v>
      </c>
      <c r="F238" s="22" t="s">
        <v>443</v>
      </c>
      <c r="G238" s="22" t="s">
        <v>447</v>
      </c>
      <c r="H238" s="22">
        <v>74313.84</v>
      </c>
      <c r="I238" s="22">
        <v>0</v>
      </c>
      <c r="J238" s="22">
        <v>15481.34</v>
      </c>
      <c r="K238" s="22">
        <v>0</v>
      </c>
      <c r="L238" s="22">
        <v>89795.18</v>
      </c>
      <c r="M238" s="22" t="s">
        <v>447</v>
      </c>
      <c r="N238" s="22">
        <v>89795.18</v>
      </c>
      <c r="O238" s="22">
        <f t="shared" si="3"/>
        <v>89795.18</v>
      </c>
      <c r="P238" s="78" t="str">
        <f>IF(O238=0,"",_xlfn.XLOOKUP(D238,'6月份计划'!A:A,'6月份计划'!A:A))</f>
        <v>深圳市新和荣无纺布有限公司</v>
      </c>
    </row>
    <row r="239" spans="1:16">
      <c r="A239" s="22" t="s">
        <v>444</v>
      </c>
      <c r="B239" s="22" t="s">
        <v>445</v>
      </c>
      <c r="C239" s="22" t="s">
        <v>41</v>
      </c>
      <c r="D239" s="22" t="s">
        <v>287</v>
      </c>
      <c r="E239" s="22" t="s">
        <v>41</v>
      </c>
      <c r="F239" s="22" t="s">
        <v>443</v>
      </c>
      <c r="G239" s="22" t="s">
        <v>447</v>
      </c>
      <c r="H239" s="22">
        <v>55019.85</v>
      </c>
      <c r="I239" s="22">
        <v>55019.85</v>
      </c>
      <c r="J239" s="22">
        <v>0</v>
      </c>
      <c r="K239" s="22">
        <v>55019.85</v>
      </c>
      <c r="L239" s="22">
        <v>55019.85</v>
      </c>
      <c r="M239" s="22" t="s">
        <v>489</v>
      </c>
      <c r="N239" s="22">
        <v>0</v>
      </c>
      <c r="O239" s="22">
        <f t="shared" si="3"/>
        <v>0</v>
      </c>
      <c r="P239" s="78" t="str">
        <f>IF(O239=0,"",_xlfn.XLOOKUP(D239,'6月份计划'!A:A,'6月份计划'!A:A))</f>
        <v/>
      </c>
    </row>
    <row r="240" spans="1:16">
      <c r="A240" s="22" t="s">
        <v>444</v>
      </c>
      <c r="B240" s="22" t="s">
        <v>445</v>
      </c>
      <c r="C240" s="22" t="s">
        <v>41</v>
      </c>
      <c r="D240" s="22" t="s">
        <v>240</v>
      </c>
      <c r="E240" s="22" t="s">
        <v>41</v>
      </c>
      <c r="F240" s="22" t="s">
        <v>443</v>
      </c>
      <c r="G240" s="22" t="s">
        <v>447</v>
      </c>
      <c r="H240" s="22">
        <v>424709.81</v>
      </c>
      <c r="I240" s="22">
        <v>147973.94</v>
      </c>
      <c r="J240" s="22">
        <v>149194.8</v>
      </c>
      <c r="K240" s="22">
        <v>208523.86</v>
      </c>
      <c r="L240" s="22">
        <v>575757.81</v>
      </c>
      <c r="M240" s="22" t="s">
        <v>447</v>
      </c>
      <c r="N240" s="22">
        <v>425930.67</v>
      </c>
      <c r="O240" s="22">
        <f t="shared" si="3"/>
        <v>425930.67</v>
      </c>
      <c r="P240" s="78" t="str">
        <f>IF(O240=0,"",_xlfn.XLOOKUP(D240,'6月份计划'!A:A,'6月份计划'!A:A))</f>
        <v>重庆厚元汽车配件有限公司</v>
      </c>
    </row>
    <row r="241" spans="1:16">
      <c r="A241" s="22" t="s">
        <v>444</v>
      </c>
      <c r="B241" s="22" t="s">
        <v>445</v>
      </c>
      <c r="C241" s="22" t="s">
        <v>41</v>
      </c>
      <c r="D241" s="22" t="s">
        <v>318</v>
      </c>
      <c r="E241" s="22" t="s">
        <v>41</v>
      </c>
      <c r="F241" s="22" t="s">
        <v>443</v>
      </c>
      <c r="G241" s="22" t="s">
        <v>447</v>
      </c>
      <c r="H241" s="22">
        <v>383148.73</v>
      </c>
      <c r="I241" s="22">
        <v>23061.04</v>
      </c>
      <c r="J241" s="22">
        <v>0</v>
      </c>
      <c r="K241" s="22">
        <v>166185.14</v>
      </c>
      <c r="L241" s="22">
        <v>526272.83</v>
      </c>
      <c r="M241" s="22" t="s">
        <v>447</v>
      </c>
      <c r="N241" s="22">
        <v>360087.69</v>
      </c>
      <c r="O241" s="22">
        <f t="shared" si="3"/>
        <v>360087.69</v>
      </c>
      <c r="P241" s="78" t="str">
        <f>IF(O241=0,"",_xlfn.XLOOKUP(D241,'6月份计划'!A:A,'6月份计划'!A:A))</f>
        <v>重庆品高弹簧有限公司</v>
      </c>
    </row>
  </sheetData>
  <autoFilter xmlns:etc="http://www.wps.cn/officeDocument/2017/etCustomData" ref="A1:P241" etc:filterBottomFollowUsedRange="0">
    <extLst/>
  </autoFilter>
  <pageMargins left="0.75" right="0.75" top="1" bottom="1" header="0.5" footer="0.5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22"/>
  <dimension ref="A1:P241"/>
  <sheetViews>
    <sheetView topLeftCell="A103" workbookViewId="0">
      <pane xSplit="28725" topLeftCell="Q1" activePane="topLeft"/>
      <selection activeCell="N14" sqref="N14"/>
      <selection pane="topRight"/>
    </sheetView>
  </sheetViews>
  <sheetFormatPr defaultColWidth="8" defaultRowHeight="14.25"/>
  <cols>
    <col min="1" max="1" width="7.75" style="1" customWidth="1"/>
    <col min="2" max="2" width="15.75" style="1" customWidth="1"/>
    <col min="3" max="3" width="9.375" style="1" customWidth="1"/>
    <col min="4" max="4" width="23.125" style="1" customWidth="1"/>
    <col min="5" max="6" width="7.75" style="1" customWidth="1"/>
    <col min="7" max="7" width="8.125" style="1" customWidth="1"/>
    <col min="8" max="8" width="10.75" style="1" customWidth="1"/>
    <col min="9" max="10" width="12.375" style="1" customWidth="1"/>
    <col min="11" max="12" width="10.875" style="1" customWidth="1"/>
    <col min="13" max="13" width="8.125" style="1" customWidth="1"/>
    <col min="14" max="14" width="10.75" style="1" customWidth="1"/>
    <col min="15" max="15" width="12.625" style="1"/>
    <col min="16" max="16" width="26.875" style="1" customWidth="1"/>
    <col min="17" max="16384" width="8" style="1"/>
  </cols>
  <sheetData>
    <row r="1" s="1" customFormat="1" spans="1:14">
      <c r="A1" s="4" t="s">
        <v>429</v>
      </c>
      <c r="B1" s="4" t="s">
        <v>430</v>
      </c>
      <c r="C1" s="4" t="s">
        <v>431</v>
      </c>
      <c r="D1" s="4" t="s">
        <v>432</v>
      </c>
      <c r="E1" s="4" t="s">
        <v>433</v>
      </c>
      <c r="F1" s="4" t="s">
        <v>434</v>
      </c>
      <c r="G1" s="4" t="s">
        <v>435</v>
      </c>
      <c r="H1" s="5" t="s">
        <v>436</v>
      </c>
      <c r="I1" s="5" t="s">
        <v>437</v>
      </c>
      <c r="J1" s="5" t="s">
        <v>438</v>
      </c>
      <c r="K1" s="5" t="s">
        <v>439</v>
      </c>
      <c r="L1" s="5" t="s">
        <v>440</v>
      </c>
      <c r="M1" s="4" t="s">
        <v>435</v>
      </c>
      <c r="N1" s="5" t="s">
        <v>441</v>
      </c>
    </row>
    <row r="2" s="1" customFormat="1" ht="15" customHeight="1" spans="1:14">
      <c r="A2" s="8" t="s">
        <v>444</v>
      </c>
      <c r="B2" s="11" t="s">
        <v>445</v>
      </c>
      <c r="C2" s="8" t="s">
        <v>41</v>
      </c>
      <c r="D2" s="11" t="s">
        <v>553</v>
      </c>
      <c r="E2" s="8" t="s">
        <v>41</v>
      </c>
      <c r="F2" s="8" t="s">
        <v>443</v>
      </c>
      <c r="G2" s="8" t="s">
        <v>489</v>
      </c>
      <c r="H2" s="36">
        <v>0</v>
      </c>
      <c r="I2" s="36">
        <v>0</v>
      </c>
      <c r="J2" s="36">
        <v>0</v>
      </c>
      <c r="K2" s="36">
        <v>0</v>
      </c>
      <c r="L2" s="36">
        <v>0</v>
      </c>
      <c r="M2" s="8" t="s">
        <v>489</v>
      </c>
      <c r="N2" s="36">
        <v>0</v>
      </c>
    </row>
    <row r="3" s="1" customFormat="1" ht="15" hidden="1" customHeight="1" spans="1:16">
      <c r="A3" s="12" t="s">
        <v>444</v>
      </c>
      <c r="B3" s="15" t="s">
        <v>445</v>
      </c>
      <c r="C3" s="12" t="s">
        <v>41</v>
      </c>
      <c r="D3" s="15" t="s">
        <v>474</v>
      </c>
      <c r="E3" s="12" t="s">
        <v>41</v>
      </c>
      <c r="F3" s="12" t="s">
        <v>443</v>
      </c>
      <c r="G3" s="12" t="s">
        <v>447</v>
      </c>
      <c r="H3" s="37">
        <v>117.55</v>
      </c>
      <c r="I3" s="37">
        <v>0</v>
      </c>
      <c r="J3" s="37">
        <v>0</v>
      </c>
      <c r="K3" s="37">
        <v>0</v>
      </c>
      <c r="L3" s="37">
        <v>0</v>
      </c>
      <c r="M3" s="12" t="s">
        <v>447</v>
      </c>
      <c r="N3" s="37">
        <v>117.55</v>
      </c>
      <c r="O3" s="1">
        <f t="shared" ref="O3:O66" si="0">IF(M3="贷",N3,-N3)</f>
        <v>117.55</v>
      </c>
      <c r="P3" s="75" t="e">
        <f>IF(O3=0,"",_xlfn.XLOOKUP(D3,'6月份计划'!A:A,'6月份计划'!A:A))</f>
        <v>#N/A</v>
      </c>
    </row>
    <row r="4" s="1" customFormat="1" ht="15" customHeight="1" spans="1:16">
      <c r="A4" s="8" t="s">
        <v>444</v>
      </c>
      <c r="B4" s="11" t="s">
        <v>445</v>
      </c>
      <c r="C4" s="8" t="s">
        <v>41</v>
      </c>
      <c r="D4" s="11" t="s">
        <v>554</v>
      </c>
      <c r="E4" s="8" t="s">
        <v>41</v>
      </c>
      <c r="F4" s="8" t="s">
        <v>443</v>
      </c>
      <c r="G4" s="8" t="s">
        <v>489</v>
      </c>
      <c r="H4" s="36">
        <v>0</v>
      </c>
      <c r="I4" s="36">
        <v>0</v>
      </c>
      <c r="J4" s="36">
        <v>0</v>
      </c>
      <c r="K4" s="36">
        <v>0</v>
      </c>
      <c r="L4" s="36">
        <v>0</v>
      </c>
      <c r="M4" s="8" t="s">
        <v>489</v>
      </c>
      <c r="N4" s="36">
        <v>0</v>
      </c>
      <c r="O4" s="1">
        <f t="shared" si="0"/>
        <v>0</v>
      </c>
      <c r="P4" s="75" t="str">
        <f>IF(O4=0,"",_xlfn.XLOOKUP(D4,'6月份计划'!A:A,'6月份计划'!A:A))</f>
        <v/>
      </c>
    </row>
    <row r="5" s="1" customFormat="1" ht="15" hidden="1" customHeight="1" spans="1:16">
      <c r="A5" s="8" t="s">
        <v>444</v>
      </c>
      <c r="B5" s="11" t="s">
        <v>445</v>
      </c>
      <c r="C5" s="8" t="s">
        <v>41</v>
      </c>
      <c r="D5" s="11" t="s">
        <v>475</v>
      </c>
      <c r="E5" s="8" t="s">
        <v>41</v>
      </c>
      <c r="F5" s="8" t="s">
        <v>443</v>
      </c>
      <c r="G5" s="8" t="s">
        <v>447</v>
      </c>
      <c r="H5" s="36">
        <v>32648.8</v>
      </c>
      <c r="I5" s="36">
        <v>0</v>
      </c>
      <c r="J5" s="36">
        <v>0</v>
      </c>
      <c r="K5" s="36">
        <v>0</v>
      </c>
      <c r="L5" s="36">
        <v>0</v>
      </c>
      <c r="M5" s="8" t="s">
        <v>447</v>
      </c>
      <c r="N5" s="36">
        <v>32648.8</v>
      </c>
      <c r="O5" s="1">
        <f t="shared" si="0"/>
        <v>32648.8</v>
      </c>
      <c r="P5" s="75" t="e">
        <f>IF(O5=0,"",_xlfn.XLOOKUP(D5,'6月份计划'!A:A,'6月份计划'!A:A))</f>
        <v>#N/A</v>
      </c>
    </row>
    <row r="6" s="1" customFormat="1" ht="15" customHeight="1" spans="1:16">
      <c r="A6" s="12" t="s">
        <v>444</v>
      </c>
      <c r="B6" s="15" t="s">
        <v>445</v>
      </c>
      <c r="C6" s="12" t="s">
        <v>41</v>
      </c>
      <c r="D6" s="15" t="s">
        <v>555</v>
      </c>
      <c r="E6" s="12" t="s">
        <v>41</v>
      </c>
      <c r="F6" s="12" t="s">
        <v>443</v>
      </c>
      <c r="G6" s="12" t="s">
        <v>489</v>
      </c>
      <c r="H6" s="37">
        <v>0</v>
      </c>
      <c r="I6" s="37">
        <v>0</v>
      </c>
      <c r="J6" s="37">
        <v>0</v>
      </c>
      <c r="K6" s="37">
        <v>0</v>
      </c>
      <c r="L6" s="37">
        <v>0</v>
      </c>
      <c r="M6" s="12" t="s">
        <v>489</v>
      </c>
      <c r="N6" s="37">
        <v>0</v>
      </c>
      <c r="O6" s="1">
        <f t="shared" si="0"/>
        <v>0</v>
      </c>
      <c r="P6" s="75" t="str">
        <f>IF(O6=0,"",_xlfn.XLOOKUP(D6,'6月份计划'!A:A,'6月份计划'!A:A))</f>
        <v/>
      </c>
    </row>
    <row r="7" s="1" customFormat="1" ht="15" hidden="1" customHeight="1" spans="1:16">
      <c r="A7" s="8" t="s">
        <v>444</v>
      </c>
      <c r="B7" s="11" t="s">
        <v>445</v>
      </c>
      <c r="C7" s="8" t="s">
        <v>41</v>
      </c>
      <c r="D7" s="11" t="s">
        <v>476</v>
      </c>
      <c r="E7" s="8" t="s">
        <v>41</v>
      </c>
      <c r="F7" s="8" t="s">
        <v>443</v>
      </c>
      <c r="G7" s="8" t="s">
        <v>447</v>
      </c>
      <c r="H7" s="36">
        <v>10486.2</v>
      </c>
      <c r="I7" s="36">
        <v>0</v>
      </c>
      <c r="J7" s="36">
        <v>0</v>
      </c>
      <c r="K7" s="36">
        <v>0</v>
      </c>
      <c r="L7" s="36">
        <v>0</v>
      </c>
      <c r="M7" s="8" t="s">
        <v>447</v>
      </c>
      <c r="N7" s="36">
        <v>10486.2</v>
      </c>
      <c r="O7" s="1">
        <f t="shared" si="0"/>
        <v>10486.2</v>
      </c>
      <c r="P7" s="75" t="e">
        <f>IF(O7=0,"",_xlfn.XLOOKUP(D7,'6月份计划'!A:A,'6月份计划'!A:A))</f>
        <v>#N/A</v>
      </c>
    </row>
    <row r="8" s="1" customFormat="1" ht="15" hidden="1" customHeight="1" spans="1:16">
      <c r="A8" s="12" t="s">
        <v>444</v>
      </c>
      <c r="B8" s="15" t="s">
        <v>445</v>
      </c>
      <c r="C8" s="12" t="s">
        <v>41</v>
      </c>
      <c r="D8" s="15" t="s">
        <v>477</v>
      </c>
      <c r="E8" s="12" t="s">
        <v>41</v>
      </c>
      <c r="F8" s="12" t="s">
        <v>443</v>
      </c>
      <c r="G8" s="12" t="s">
        <v>447</v>
      </c>
      <c r="H8" s="37">
        <v>3730</v>
      </c>
      <c r="I8" s="37">
        <v>0</v>
      </c>
      <c r="J8" s="37">
        <v>0</v>
      </c>
      <c r="K8" s="37">
        <v>0</v>
      </c>
      <c r="L8" s="37">
        <v>0</v>
      </c>
      <c r="M8" s="12" t="s">
        <v>447</v>
      </c>
      <c r="N8" s="37">
        <v>3730</v>
      </c>
      <c r="O8" s="1">
        <f t="shared" si="0"/>
        <v>3730</v>
      </c>
      <c r="P8" s="75" t="e">
        <f>IF(O8=0,"",_xlfn.XLOOKUP(D8,'6月份计划'!A:A,'6月份计划'!A:A))</f>
        <v>#N/A</v>
      </c>
    </row>
    <row r="9" s="1" customFormat="1" ht="15" customHeight="1" spans="1:16">
      <c r="A9" s="8" t="s">
        <v>444</v>
      </c>
      <c r="B9" s="11" t="s">
        <v>445</v>
      </c>
      <c r="C9" s="8" t="s">
        <v>41</v>
      </c>
      <c r="D9" s="11" t="s">
        <v>556</v>
      </c>
      <c r="E9" s="8" t="s">
        <v>41</v>
      </c>
      <c r="F9" s="8" t="s">
        <v>443</v>
      </c>
      <c r="G9" s="8" t="s">
        <v>489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8" t="s">
        <v>489</v>
      </c>
      <c r="N9" s="36">
        <v>0</v>
      </c>
      <c r="O9" s="1">
        <f t="shared" si="0"/>
        <v>0</v>
      </c>
      <c r="P9" s="75" t="str">
        <f>IF(O9=0,"",_xlfn.XLOOKUP(D9,'6月份计划'!A:A,'6月份计划'!A:A))</f>
        <v/>
      </c>
    </row>
    <row r="10" s="1" customFormat="1" ht="15" customHeight="1" spans="1:16">
      <c r="A10" s="12" t="s">
        <v>444</v>
      </c>
      <c r="B10" s="15" t="s">
        <v>445</v>
      </c>
      <c r="C10" s="12" t="s">
        <v>41</v>
      </c>
      <c r="D10" s="15" t="s">
        <v>264</v>
      </c>
      <c r="E10" s="12" t="s">
        <v>41</v>
      </c>
      <c r="F10" s="12" t="s">
        <v>443</v>
      </c>
      <c r="G10" s="12" t="s">
        <v>447</v>
      </c>
      <c r="H10" s="37">
        <v>2589780.58</v>
      </c>
      <c r="I10" s="37">
        <v>2300000</v>
      </c>
      <c r="J10" s="37">
        <v>1860148.6</v>
      </c>
      <c r="K10" s="37">
        <v>8710000</v>
      </c>
      <c r="L10" s="37">
        <v>7845866.68</v>
      </c>
      <c r="M10" s="12" t="s">
        <v>447</v>
      </c>
      <c r="N10" s="37">
        <v>2149929.18</v>
      </c>
      <c r="O10" s="1">
        <f t="shared" si="0"/>
        <v>2149929.18</v>
      </c>
      <c r="P10" s="75" t="str">
        <f>IF(O10=0,"",_xlfn.XLOOKUP(D10,'6月份计划'!A:A,'6月份计划'!A:A))</f>
        <v>湘潭湘和汽车零部件制造有限公</v>
      </c>
    </row>
    <row r="11" s="1" customFormat="1" ht="15" customHeight="1" spans="1:16">
      <c r="A11" s="8" t="s">
        <v>444</v>
      </c>
      <c r="B11" s="11" t="s">
        <v>445</v>
      </c>
      <c r="C11" s="8" t="s">
        <v>41</v>
      </c>
      <c r="D11" s="11" t="s">
        <v>265</v>
      </c>
      <c r="E11" s="8" t="s">
        <v>41</v>
      </c>
      <c r="F11" s="8" t="s">
        <v>443</v>
      </c>
      <c r="G11" s="8" t="s">
        <v>447</v>
      </c>
      <c r="H11" s="36">
        <v>3840730.44</v>
      </c>
      <c r="I11" s="36">
        <v>2050000</v>
      </c>
      <c r="J11" s="36">
        <v>455503.12</v>
      </c>
      <c r="K11" s="36">
        <v>9501315.77</v>
      </c>
      <c r="L11" s="36">
        <v>8158620.04</v>
      </c>
      <c r="M11" s="8" t="s">
        <v>447</v>
      </c>
      <c r="N11" s="36">
        <v>2246233.56</v>
      </c>
      <c r="O11" s="1">
        <f t="shared" si="0"/>
        <v>2246233.56</v>
      </c>
      <c r="P11" s="75" t="str">
        <f>IF(O11=0,"",_xlfn.XLOOKUP(D11,'6月份计划'!A:A,'6月份计划'!A:A))</f>
        <v>湖南中道机械设备有限公司</v>
      </c>
    </row>
    <row r="12" s="1" customFormat="1" ht="15" customHeight="1" spans="1:16">
      <c r="A12" s="12" t="s">
        <v>444</v>
      </c>
      <c r="B12" s="15" t="s">
        <v>445</v>
      </c>
      <c r="C12" s="12" t="s">
        <v>41</v>
      </c>
      <c r="D12" s="15" t="s">
        <v>557</v>
      </c>
      <c r="E12" s="12" t="s">
        <v>41</v>
      </c>
      <c r="F12" s="12" t="s">
        <v>443</v>
      </c>
      <c r="G12" s="12" t="s">
        <v>489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12" t="s">
        <v>489</v>
      </c>
      <c r="N12" s="37">
        <v>0</v>
      </c>
      <c r="O12" s="1">
        <f t="shared" si="0"/>
        <v>0</v>
      </c>
      <c r="P12" s="75" t="str">
        <f>IF(O12=0,"",_xlfn.XLOOKUP(D12,'6月份计划'!A:A,'6月份计划'!A:A))</f>
        <v/>
      </c>
    </row>
    <row r="13" s="1" customFormat="1" ht="15" customHeight="1" spans="1:16">
      <c r="A13" s="8" t="s">
        <v>444</v>
      </c>
      <c r="B13" s="11" t="s">
        <v>445</v>
      </c>
      <c r="C13" s="8" t="s">
        <v>41</v>
      </c>
      <c r="D13" s="11" t="s">
        <v>558</v>
      </c>
      <c r="E13" s="8" t="s">
        <v>41</v>
      </c>
      <c r="F13" s="8" t="s">
        <v>443</v>
      </c>
      <c r="G13" s="8" t="s">
        <v>489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8" t="s">
        <v>489</v>
      </c>
      <c r="N13" s="36">
        <v>0</v>
      </c>
      <c r="O13" s="1">
        <f t="shared" si="0"/>
        <v>0</v>
      </c>
      <c r="P13" s="75" t="str">
        <f>IF(O13=0,"",_xlfn.XLOOKUP(D13,'6月份计划'!A:A,'6月份计划'!A:A))</f>
        <v/>
      </c>
    </row>
    <row r="14" s="1" customFormat="1" ht="15" customHeight="1" spans="1:16">
      <c r="A14" s="12" t="s">
        <v>444</v>
      </c>
      <c r="B14" s="15" t="s">
        <v>445</v>
      </c>
      <c r="C14" s="12" t="s">
        <v>41</v>
      </c>
      <c r="D14" s="15" t="s">
        <v>267</v>
      </c>
      <c r="E14" s="12" t="s">
        <v>41</v>
      </c>
      <c r="F14" s="12" t="s">
        <v>443</v>
      </c>
      <c r="G14" s="12" t="s">
        <v>447</v>
      </c>
      <c r="H14" s="37">
        <v>29851.5</v>
      </c>
      <c r="I14" s="37">
        <v>5000</v>
      </c>
      <c r="J14" s="37">
        <v>0</v>
      </c>
      <c r="K14" s="37">
        <v>59163.73</v>
      </c>
      <c r="L14" s="37">
        <v>42392.13</v>
      </c>
      <c r="M14" s="12" t="s">
        <v>447</v>
      </c>
      <c r="N14" s="37">
        <v>24851.5</v>
      </c>
      <c r="O14" s="1">
        <f t="shared" si="0"/>
        <v>24851.5</v>
      </c>
      <c r="P14" s="75" t="str">
        <f>IF(O14=0,"",_xlfn.XLOOKUP(D14,'6月份计划'!A:A,'6月份计划'!A:A))</f>
        <v>湘潭市忠强气体有限公司</v>
      </c>
    </row>
    <row r="15" s="1" customFormat="1" ht="15" customHeight="1" spans="1:16">
      <c r="A15" s="8" t="s">
        <v>444</v>
      </c>
      <c r="B15" s="11" t="s">
        <v>445</v>
      </c>
      <c r="C15" s="8" t="s">
        <v>41</v>
      </c>
      <c r="D15" s="11" t="s">
        <v>268</v>
      </c>
      <c r="E15" s="8" t="s">
        <v>41</v>
      </c>
      <c r="F15" s="8" t="s">
        <v>443</v>
      </c>
      <c r="G15" s="8" t="s">
        <v>447</v>
      </c>
      <c r="H15" s="36">
        <v>37593.75</v>
      </c>
      <c r="I15" s="36">
        <v>25060.5</v>
      </c>
      <c r="J15" s="36">
        <v>0</v>
      </c>
      <c r="K15" s="36">
        <v>58048.31</v>
      </c>
      <c r="L15" s="36">
        <v>37593.75</v>
      </c>
      <c r="M15" s="8" t="s">
        <v>447</v>
      </c>
      <c r="N15" s="36">
        <v>12533.25</v>
      </c>
      <c r="O15" s="1">
        <f t="shared" si="0"/>
        <v>12533.25</v>
      </c>
      <c r="P15" s="75" t="str">
        <f>IF(O15=0,"",_xlfn.XLOOKUP(D15,'6月份计划'!A:A,'6月份计划'!A:A))</f>
        <v>湖南驷马机械有限公司</v>
      </c>
    </row>
    <row r="16" s="1" customFormat="1" ht="15" hidden="1" customHeight="1" spans="1:16">
      <c r="A16" s="12" t="s">
        <v>444</v>
      </c>
      <c r="B16" s="15" t="s">
        <v>445</v>
      </c>
      <c r="C16" s="12" t="s">
        <v>41</v>
      </c>
      <c r="D16" s="15" t="s">
        <v>478</v>
      </c>
      <c r="E16" s="12" t="s">
        <v>41</v>
      </c>
      <c r="F16" s="12" t="s">
        <v>443</v>
      </c>
      <c r="G16" s="12" t="s">
        <v>447</v>
      </c>
      <c r="H16" s="37">
        <v>3629.95</v>
      </c>
      <c r="I16" s="37">
        <v>0</v>
      </c>
      <c r="J16" s="37">
        <v>0</v>
      </c>
      <c r="K16" s="37">
        <v>0</v>
      </c>
      <c r="L16" s="37">
        <v>0</v>
      </c>
      <c r="M16" s="12" t="s">
        <v>447</v>
      </c>
      <c r="N16" s="37">
        <v>3629.95</v>
      </c>
      <c r="O16" s="1">
        <f t="shared" si="0"/>
        <v>3629.95</v>
      </c>
      <c r="P16" s="75" t="e">
        <f>IF(O16=0,"",_xlfn.XLOOKUP(D16,'6月份计划'!A:A,'6月份计划'!A:A))</f>
        <v>#N/A</v>
      </c>
    </row>
    <row r="17" s="1" customFormat="1" ht="15" customHeight="1" spans="1:16">
      <c r="A17" s="8" t="s">
        <v>444</v>
      </c>
      <c r="B17" s="11" t="s">
        <v>445</v>
      </c>
      <c r="C17" s="8" t="s">
        <v>41</v>
      </c>
      <c r="D17" s="11" t="s">
        <v>559</v>
      </c>
      <c r="E17" s="8" t="s">
        <v>41</v>
      </c>
      <c r="F17" s="8" t="s">
        <v>443</v>
      </c>
      <c r="G17" s="8" t="s">
        <v>489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8" t="s">
        <v>489</v>
      </c>
      <c r="N17" s="36">
        <v>0</v>
      </c>
      <c r="O17" s="1">
        <f t="shared" si="0"/>
        <v>0</v>
      </c>
      <c r="P17" s="75" t="str">
        <f>IF(O17=0,"",_xlfn.XLOOKUP(D17,'6月份计划'!A:A,'6月份计划'!A:A))</f>
        <v/>
      </c>
    </row>
    <row r="18" s="1" customFormat="1" ht="15" hidden="1" customHeight="1" spans="1:16">
      <c r="A18" s="12" t="s">
        <v>444</v>
      </c>
      <c r="B18" s="15" t="s">
        <v>445</v>
      </c>
      <c r="C18" s="12" t="s">
        <v>41</v>
      </c>
      <c r="D18" s="15" t="s">
        <v>479</v>
      </c>
      <c r="E18" s="12" t="s">
        <v>41</v>
      </c>
      <c r="F18" s="12" t="s">
        <v>443</v>
      </c>
      <c r="G18" s="12" t="s">
        <v>447</v>
      </c>
      <c r="H18" s="37">
        <v>949</v>
      </c>
      <c r="I18" s="37">
        <v>0</v>
      </c>
      <c r="J18" s="37">
        <v>0</v>
      </c>
      <c r="K18" s="37">
        <v>0</v>
      </c>
      <c r="L18" s="37">
        <v>0</v>
      </c>
      <c r="M18" s="12" t="s">
        <v>447</v>
      </c>
      <c r="N18" s="37">
        <v>949</v>
      </c>
      <c r="O18" s="1">
        <f t="shared" si="0"/>
        <v>949</v>
      </c>
      <c r="P18" s="75" t="e">
        <f>IF(O18=0,"",_xlfn.XLOOKUP(D18,'6月份计划'!A:A,'6月份计划'!A:A))</f>
        <v>#N/A</v>
      </c>
    </row>
    <row r="19" s="1" customFormat="1" ht="15" customHeight="1" spans="1:16">
      <c r="A19" s="8" t="s">
        <v>444</v>
      </c>
      <c r="B19" s="11" t="s">
        <v>445</v>
      </c>
      <c r="C19" s="8" t="s">
        <v>41</v>
      </c>
      <c r="D19" s="11" t="s">
        <v>560</v>
      </c>
      <c r="E19" s="8" t="s">
        <v>41</v>
      </c>
      <c r="F19" s="8" t="s">
        <v>443</v>
      </c>
      <c r="G19" s="8" t="s">
        <v>489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8" t="s">
        <v>489</v>
      </c>
      <c r="N19" s="36">
        <v>0</v>
      </c>
      <c r="O19" s="1">
        <f t="shared" si="0"/>
        <v>0</v>
      </c>
      <c r="P19" s="75" t="str">
        <f>IF(O19=0,"",_xlfn.XLOOKUP(D19,'6月份计划'!A:A,'6月份计划'!A:A))</f>
        <v/>
      </c>
    </row>
    <row r="20" s="1" customFormat="1" ht="15" customHeight="1" spans="1:16">
      <c r="A20" s="12" t="s">
        <v>444</v>
      </c>
      <c r="B20" s="15" t="s">
        <v>445</v>
      </c>
      <c r="C20" s="12" t="s">
        <v>41</v>
      </c>
      <c r="D20" s="15" t="s">
        <v>561</v>
      </c>
      <c r="E20" s="12" t="s">
        <v>41</v>
      </c>
      <c r="F20" s="12" t="s">
        <v>443</v>
      </c>
      <c r="G20" s="12" t="s">
        <v>489</v>
      </c>
      <c r="H20" s="37">
        <v>0</v>
      </c>
      <c r="I20" s="37">
        <v>0</v>
      </c>
      <c r="J20" s="37">
        <v>0</v>
      </c>
      <c r="K20" s="37">
        <v>0</v>
      </c>
      <c r="L20" s="37">
        <v>0</v>
      </c>
      <c r="M20" s="12" t="s">
        <v>489</v>
      </c>
      <c r="N20" s="37">
        <v>0</v>
      </c>
      <c r="O20" s="1">
        <f t="shared" si="0"/>
        <v>0</v>
      </c>
      <c r="P20" s="75" t="str">
        <f>IF(O20=0,"",_xlfn.XLOOKUP(D20,'6月份计划'!A:A,'6月份计划'!A:A))</f>
        <v/>
      </c>
    </row>
    <row r="21" s="1" customFormat="1" ht="15" hidden="1" customHeight="1" spans="1:16">
      <c r="A21" s="8" t="s">
        <v>444</v>
      </c>
      <c r="B21" s="11" t="s">
        <v>445</v>
      </c>
      <c r="C21" s="8" t="s">
        <v>41</v>
      </c>
      <c r="D21" s="11" t="s">
        <v>480</v>
      </c>
      <c r="E21" s="8" t="s">
        <v>41</v>
      </c>
      <c r="F21" s="8" t="s">
        <v>443</v>
      </c>
      <c r="G21" s="8" t="s">
        <v>447</v>
      </c>
      <c r="H21" s="36">
        <v>497.5</v>
      </c>
      <c r="I21" s="36">
        <v>0</v>
      </c>
      <c r="J21" s="36">
        <v>0</v>
      </c>
      <c r="K21" s="36">
        <v>0</v>
      </c>
      <c r="L21" s="36">
        <v>0</v>
      </c>
      <c r="M21" s="8" t="s">
        <v>447</v>
      </c>
      <c r="N21" s="36">
        <v>497.5</v>
      </c>
      <c r="O21" s="1">
        <f t="shared" si="0"/>
        <v>497.5</v>
      </c>
      <c r="P21" s="75" t="e">
        <f>IF(O21=0,"",_xlfn.XLOOKUP(D21,'6月份计划'!A:A,'6月份计划'!A:A))</f>
        <v>#N/A</v>
      </c>
    </row>
    <row r="22" s="1" customFormat="1" ht="15" hidden="1" customHeight="1" spans="1:16">
      <c r="A22" s="12" t="s">
        <v>444</v>
      </c>
      <c r="B22" s="15" t="s">
        <v>445</v>
      </c>
      <c r="C22" s="12" t="s">
        <v>41</v>
      </c>
      <c r="D22" s="15" t="s">
        <v>406</v>
      </c>
      <c r="E22" s="12" t="s">
        <v>41</v>
      </c>
      <c r="F22" s="12" t="s">
        <v>443</v>
      </c>
      <c r="G22" s="12" t="s">
        <v>447</v>
      </c>
      <c r="H22" s="37">
        <v>2621.52</v>
      </c>
      <c r="I22" s="37">
        <v>0</v>
      </c>
      <c r="J22" s="37">
        <v>0</v>
      </c>
      <c r="K22" s="37">
        <v>0</v>
      </c>
      <c r="L22" s="37">
        <v>0</v>
      </c>
      <c r="M22" s="12" t="s">
        <v>447</v>
      </c>
      <c r="N22" s="37">
        <v>2621.52</v>
      </c>
      <c r="O22" s="1">
        <f t="shared" si="0"/>
        <v>2621.52</v>
      </c>
      <c r="P22" s="75" t="e">
        <f>IF(O22=0,"",_xlfn.XLOOKUP(D22,'6月份计划'!A:A,'6月份计划'!A:A))</f>
        <v>#N/A</v>
      </c>
    </row>
    <row r="23" s="1" customFormat="1" ht="15" hidden="1" customHeight="1" spans="1:16">
      <c r="A23" s="8" t="s">
        <v>444</v>
      </c>
      <c r="B23" s="11" t="s">
        <v>445</v>
      </c>
      <c r="C23" s="8" t="s">
        <v>41</v>
      </c>
      <c r="D23" s="11" t="s">
        <v>407</v>
      </c>
      <c r="E23" s="8" t="s">
        <v>41</v>
      </c>
      <c r="F23" s="8" t="s">
        <v>443</v>
      </c>
      <c r="G23" s="8" t="s">
        <v>447</v>
      </c>
      <c r="H23" s="36">
        <v>54943.1</v>
      </c>
      <c r="I23" s="36">
        <v>0</v>
      </c>
      <c r="J23" s="36">
        <v>0</v>
      </c>
      <c r="K23" s="36">
        <v>0</v>
      </c>
      <c r="L23" s="36">
        <v>0</v>
      </c>
      <c r="M23" s="8" t="s">
        <v>447</v>
      </c>
      <c r="N23" s="36">
        <v>54943.1</v>
      </c>
      <c r="O23" s="1">
        <f t="shared" si="0"/>
        <v>54943.1</v>
      </c>
      <c r="P23" s="75" t="e">
        <f>IF(O23=0,"",_xlfn.XLOOKUP(D23,'6月份计划'!A:A,'6月份计划'!A:A))</f>
        <v>#N/A</v>
      </c>
    </row>
    <row r="24" s="1" customFormat="1" ht="15" customHeight="1" spans="1:16">
      <c r="A24" s="12" t="s">
        <v>444</v>
      </c>
      <c r="B24" s="15" t="s">
        <v>445</v>
      </c>
      <c r="C24" s="12" t="s">
        <v>41</v>
      </c>
      <c r="D24" s="15" t="s">
        <v>562</v>
      </c>
      <c r="E24" s="12" t="s">
        <v>41</v>
      </c>
      <c r="F24" s="12" t="s">
        <v>443</v>
      </c>
      <c r="G24" s="12" t="s">
        <v>489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12" t="s">
        <v>489</v>
      </c>
      <c r="N24" s="37">
        <v>0</v>
      </c>
      <c r="O24" s="1">
        <f t="shared" si="0"/>
        <v>0</v>
      </c>
      <c r="P24" s="75" t="str">
        <f>IF(O24=0,"",_xlfn.XLOOKUP(D24,'6月份计划'!A:A,'6月份计划'!A:A))</f>
        <v/>
      </c>
    </row>
    <row r="25" s="1" customFormat="1" ht="15" customHeight="1" spans="1:16">
      <c r="A25" s="8" t="s">
        <v>444</v>
      </c>
      <c r="B25" s="11" t="s">
        <v>445</v>
      </c>
      <c r="C25" s="8" t="s">
        <v>41</v>
      </c>
      <c r="D25" s="11" t="s">
        <v>563</v>
      </c>
      <c r="E25" s="8" t="s">
        <v>41</v>
      </c>
      <c r="F25" s="8" t="s">
        <v>443</v>
      </c>
      <c r="G25" s="8" t="s">
        <v>489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8" t="s">
        <v>489</v>
      </c>
      <c r="N25" s="36">
        <v>0</v>
      </c>
      <c r="O25" s="1">
        <f t="shared" si="0"/>
        <v>0</v>
      </c>
      <c r="P25" s="75" t="str">
        <f>IF(O25=0,"",_xlfn.XLOOKUP(D25,'6月份计划'!A:A,'6月份计划'!A:A))</f>
        <v/>
      </c>
    </row>
    <row r="26" s="1" customFormat="1" ht="15" hidden="1" customHeight="1" spans="1:16">
      <c r="A26" s="12" t="s">
        <v>444</v>
      </c>
      <c r="B26" s="15" t="s">
        <v>445</v>
      </c>
      <c r="C26" s="12" t="s">
        <v>41</v>
      </c>
      <c r="D26" s="15" t="s">
        <v>481</v>
      </c>
      <c r="E26" s="12" t="s">
        <v>41</v>
      </c>
      <c r="F26" s="12" t="s">
        <v>443</v>
      </c>
      <c r="G26" s="12" t="s">
        <v>447</v>
      </c>
      <c r="H26" s="37">
        <v>760</v>
      </c>
      <c r="I26" s="37">
        <v>0</v>
      </c>
      <c r="J26" s="37">
        <v>0</v>
      </c>
      <c r="K26" s="37">
        <v>0</v>
      </c>
      <c r="L26" s="37">
        <v>0</v>
      </c>
      <c r="M26" s="12" t="s">
        <v>447</v>
      </c>
      <c r="N26" s="37">
        <v>760</v>
      </c>
      <c r="O26" s="1">
        <f t="shared" si="0"/>
        <v>760</v>
      </c>
      <c r="P26" s="75" t="e">
        <f>IF(O26=0,"",_xlfn.XLOOKUP(D26,'6月份计划'!A:A,'6月份计划'!A:A))</f>
        <v>#N/A</v>
      </c>
    </row>
    <row r="27" s="1" customFormat="1" ht="15" customHeight="1" spans="1:16">
      <c r="A27" s="8" t="s">
        <v>444</v>
      </c>
      <c r="B27" s="11" t="s">
        <v>445</v>
      </c>
      <c r="C27" s="8" t="s">
        <v>41</v>
      </c>
      <c r="D27" s="11" t="s">
        <v>564</v>
      </c>
      <c r="E27" s="8" t="s">
        <v>41</v>
      </c>
      <c r="F27" s="8" t="s">
        <v>443</v>
      </c>
      <c r="G27" s="8" t="s">
        <v>489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8" t="s">
        <v>489</v>
      </c>
      <c r="N27" s="36">
        <v>0</v>
      </c>
      <c r="O27" s="1">
        <f t="shared" si="0"/>
        <v>0</v>
      </c>
      <c r="P27" s="75" t="str">
        <f>IF(O27=0,"",_xlfn.XLOOKUP(D27,'6月份计划'!A:A,'6月份计划'!A:A))</f>
        <v/>
      </c>
    </row>
    <row r="28" s="1" customFormat="1" ht="15" customHeight="1" spans="1:16">
      <c r="A28" s="12" t="s">
        <v>444</v>
      </c>
      <c r="B28" s="15" t="s">
        <v>445</v>
      </c>
      <c r="C28" s="12" t="s">
        <v>41</v>
      </c>
      <c r="D28" s="15" t="s">
        <v>300</v>
      </c>
      <c r="E28" s="12" t="s">
        <v>41</v>
      </c>
      <c r="F28" s="12" t="s">
        <v>443</v>
      </c>
      <c r="G28" s="12" t="s">
        <v>447</v>
      </c>
      <c r="H28" s="37">
        <v>153442.7</v>
      </c>
      <c r="I28" s="37">
        <v>94614.9</v>
      </c>
      <c r="J28" s="37">
        <v>0</v>
      </c>
      <c r="K28" s="37">
        <v>927540.8</v>
      </c>
      <c r="L28" s="37">
        <v>458440.39</v>
      </c>
      <c r="M28" s="12" t="s">
        <v>447</v>
      </c>
      <c r="N28" s="37">
        <v>58827.8</v>
      </c>
      <c r="O28" s="1">
        <f t="shared" si="0"/>
        <v>58827.8</v>
      </c>
      <c r="P28" s="75" t="str">
        <f>IF(O28=0,"",_xlfn.XLOOKUP(D28,'6月份计划'!A:A,'6月份计划'!A:A))</f>
        <v>广州市信征汽车零件有限公司</v>
      </c>
    </row>
    <row r="29" s="1" customFormat="1" ht="15" hidden="1" customHeight="1" spans="1:16">
      <c r="A29" s="8" t="s">
        <v>444</v>
      </c>
      <c r="B29" s="11" t="s">
        <v>445</v>
      </c>
      <c r="C29" s="8" t="s">
        <v>41</v>
      </c>
      <c r="D29" s="11" t="s">
        <v>482</v>
      </c>
      <c r="E29" s="8" t="s">
        <v>41</v>
      </c>
      <c r="F29" s="8" t="s">
        <v>443</v>
      </c>
      <c r="G29" s="8" t="s">
        <v>447</v>
      </c>
      <c r="H29" s="36">
        <v>15050.16</v>
      </c>
      <c r="I29" s="36">
        <v>0</v>
      </c>
      <c r="J29" s="36">
        <v>0</v>
      </c>
      <c r="K29" s="36">
        <v>0</v>
      </c>
      <c r="L29" s="36">
        <v>0</v>
      </c>
      <c r="M29" s="8" t="s">
        <v>447</v>
      </c>
      <c r="N29" s="36">
        <v>15050.16</v>
      </c>
      <c r="O29" s="1">
        <f t="shared" si="0"/>
        <v>15050.16</v>
      </c>
      <c r="P29" s="75" t="e">
        <f>IF(O29=0,"",_xlfn.XLOOKUP(D29,'6月份计划'!A:A,'6月份计划'!A:A))</f>
        <v>#N/A</v>
      </c>
    </row>
    <row r="30" s="1" customFormat="1" ht="15" customHeight="1" spans="1:16">
      <c r="A30" s="12" t="s">
        <v>444</v>
      </c>
      <c r="B30" s="15" t="s">
        <v>445</v>
      </c>
      <c r="C30" s="12" t="s">
        <v>41</v>
      </c>
      <c r="D30" s="15" t="s">
        <v>565</v>
      </c>
      <c r="E30" s="12" t="s">
        <v>41</v>
      </c>
      <c r="F30" s="12" t="s">
        <v>443</v>
      </c>
      <c r="G30" s="12" t="s">
        <v>489</v>
      </c>
      <c r="H30" s="37">
        <v>0</v>
      </c>
      <c r="I30" s="37">
        <v>0</v>
      </c>
      <c r="J30" s="37">
        <v>0</v>
      </c>
      <c r="K30" s="37">
        <v>0</v>
      </c>
      <c r="L30" s="37">
        <v>0</v>
      </c>
      <c r="M30" s="12" t="s">
        <v>489</v>
      </c>
      <c r="N30" s="37">
        <v>0</v>
      </c>
      <c r="O30" s="1">
        <f t="shared" si="0"/>
        <v>0</v>
      </c>
      <c r="P30" s="75" t="str">
        <f>IF(O30=0,"",_xlfn.XLOOKUP(D30,'6月份计划'!A:A,'6月份计划'!A:A))</f>
        <v/>
      </c>
    </row>
    <row r="31" s="1" customFormat="1" ht="15" customHeight="1" spans="1:16">
      <c r="A31" s="8" t="s">
        <v>444</v>
      </c>
      <c r="B31" s="11" t="s">
        <v>445</v>
      </c>
      <c r="C31" s="8" t="s">
        <v>41</v>
      </c>
      <c r="D31" s="11" t="s">
        <v>566</v>
      </c>
      <c r="E31" s="8" t="s">
        <v>41</v>
      </c>
      <c r="F31" s="8" t="s">
        <v>443</v>
      </c>
      <c r="G31" s="8" t="s">
        <v>489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8" t="s">
        <v>489</v>
      </c>
      <c r="N31" s="36">
        <v>0</v>
      </c>
      <c r="O31" s="1">
        <f t="shared" si="0"/>
        <v>0</v>
      </c>
      <c r="P31" s="75" t="str">
        <f>IF(O31=0,"",_xlfn.XLOOKUP(D31,'6月份计划'!A:A,'6月份计划'!A:A))</f>
        <v/>
      </c>
    </row>
    <row r="32" s="1" customFormat="1" ht="15" customHeight="1" spans="1:16">
      <c r="A32" s="12" t="s">
        <v>444</v>
      </c>
      <c r="B32" s="15" t="s">
        <v>445</v>
      </c>
      <c r="C32" s="12" t="s">
        <v>41</v>
      </c>
      <c r="D32" s="15" t="s">
        <v>567</v>
      </c>
      <c r="E32" s="12" t="s">
        <v>41</v>
      </c>
      <c r="F32" s="12" t="s">
        <v>443</v>
      </c>
      <c r="G32" s="12" t="s">
        <v>489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12" t="s">
        <v>489</v>
      </c>
      <c r="N32" s="37">
        <v>0</v>
      </c>
      <c r="O32" s="1">
        <f t="shared" si="0"/>
        <v>0</v>
      </c>
      <c r="P32" s="75" t="str">
        <f>IF(O32=0,"",_xlfn.XLOOKUP(D32,'6月份计划'!A:A,'6月份计划'!A:A))</f>
        <v/>
      </c>
    </row>
    <row r="33" s="1" customFormat="1" ht="15" customHeight="1" spans="1:16">
      <c r="A33" s="8" t="s">
        <v>444</v>
      </c>
      <c r="B33" s="11" t="s">
        <v>445</v>
      </c>
      <c r="C33" s="8" t="s">
        <v>41</v>
      </c>
      <c r="D33" s="11" t="s">
        <v>568</v>
      </c>
      <c r="E33" s="8" t="s">
        <v>41</v>
      </c>
      <c r="F33" s="8" t="s">
        <v>484</v>
      </c>
      <c r="G33" s="8" t="s">
        <v>489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8" t="s">
        <v>489</v>
      </c>
      <c r="N33" s="36">
        <v>0</v>
      </c>
      <c r="O33" s="1">
        <f t="shared" si="0"/>
        <v>0</v>
      </c>
      <c r="P33" s="75" t="str">
        <f>IF(O33=0,"",_xlfn.XLOOKUP(D33,'6月份计划'!A:A,'6月份计划'!A:A))</f>
        <v/>
      </c>
    </row>
    <row r="34" s="1" customFormat="1" ht="15" hidden="1" customHeight="1" spans="1:16">
      <c r="A34" s="12" t="s">
        <v>444</v>
      </c>
      <c r="B34" s="15" t="s">
        <v>445</v>
      </c>
      <c r="C34" s="12" t="s">
        <v>41</v>
      </c>
      <c r="D34" s="15" t="s">
        <v>483</v>
      </c>
      <c r="E34" s="12" t="s">
        <v>41</v>
      </c>
      <c r="F34" s="12" t="s">
        <v>484</v>
      </c>
      <c r="G34" s="12" t="s">
        <v>453</v>
      </c>
      <c r="H34" s="37">
        <v>566</v>
      </c>
      <c r="I34" s="37">
        <v>0</v>
      </c>
      <c r="J34" s="37">
        <v>0</v>
      </c>
      <c r="K34" s="37">
        <v>0</v>
      </c>
      <c r="L34" s="37">
        <v>0</v>
      </c>
      <c r="M34" s="12" t="s">
        <v>453</v>
      </c>
      <c r="N34" s="37">
        <v>566</v>
      </c>
      <c r="O34" s="1">
        <f t="shared" si="0"/>
        <v>-566</v>
      </c>
      <c r="P34" s="75" t="e">
        <f>IF(O34=0,"",_xlfn.XLOOKUP(D34,'6月份计划'!A:A,'6月份计划'!A:A))</f>
        <v>#N/A</v>
      </c>
    </row>
    <row r="35" s="1" customFormat="1" ht="15" customHeight="1" spans="1:16">
      <c r="A35" s="8" t="s">
        <v>444</v>
      </c>
      <c r="B35" s="11" t="s">
        <v>445</v>
      </c>
      <c r="C35" s="8" t="s">
        <v>41</v>
      </c>
      <c r="D35" s="11" t="s">
        <v>569</v>
      </c>
      <c r="E35" s="8" t="s">
        <v>41</v>
      </c>
      <c r="F35" s="8" t="s">
        <v>443</v>
      </c>
      <c r="G35" s="8" t="s">
        <v>489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8" t="s">
        <v>489</v>
      </c>
      <c r="N35" s="36">
        <v>0</v>
      </c>
      <c r="O35" s="1">
        <f t="shared" si="0"/>
        <v>0</v>
      </c>
      <c r="P35" s="75" t="str">
        <f>IF(O35=0,"",_xlfn.XLOOKUP(D35,'6月份计划'!A:A,'6月份计划'!A:A))</f>
        <v/>
      </c>
    </row>
    <row r="36" s="1" customFormat="1" ht="15" customHeight="1" spans="1:16">
      <c r="A36" s="12" t="s">
        <v>444</v>
      </c>
      <c r="B36" s="15" t="s">
        <v>445</v>
      </c>
      <c r="C36" s="12" t="s">
        <v>41</v>
      </c>
      <c r="D36" s="15" t="s">
        <v>285</v>
      </c>
      <c r="E36" s="12" t="s">
        <v>41</v>
      </c>
      <c r="F36" s="12" t="s">
        <v>443</v>
      </c>
      <c r="G36" s="12" t="s">
        <v>447</v>
      </c>
      <c r="H36" s="37">
        <v>192420.92</v>
      </c>
      <c r="I36" s="37">
        <v>70000</v>
      </c>
      <c r="J36" s="37">
        <v>41457.67</v>
      </c>
      <c r="K36" s="37">
        <v>125661.54</v>
      </c>
      <c r="L36" s="37">
        <v>233878.59</v>
      </c>
      <c r="M36" s="12" t="s">
        <v>447</v>
      </c>
      <c r="N36" s="37">
        <v>163878.59</v>
      </c>
      <c r="O36" s="1">
        <f t="shared" si="0"/>
        <v>163878.59</v>
      </c>
      <c r="P36" s="75" t="str">
        <f>IF(O36=0,"",_xlfn.XLOOKUP(D36,'6月份计划'!A:A,'6月份计划'!A:A))</f>
        <v>株洲铖亿轨道交通技术有限</v>
      </c>
    </row>
    <row r="37" s="1" customFormat="1" ht="15" hidden="1" customHeight="1" spans="1:16">
      <c r="A37" s="8" t="s">
        <v>444</v>
      </c>
      <c r="B37" s="11" t="s">
        <v>445</v>
      </c>
      <c r="C37" s="8" t="s">
        <v>41</v>
      </c>
      <c r="D37" s="11" t="s">
        <v>485</v>
      </c>
      <c r="E37" s="8" t="s">
        <v>41</v>
      </c>
      <c r="F37" s="8" t="s">
        <v>443</v>
      </c>
      <c r="G37" s="8" t="s">
        <v>447</v>
      </c>
      <c r="H37" s="36">
        <v>7961.51</v>
      </c>
      <c r="I37" s="36">
        <v>0</v>
      </c>
      <c r="J37" s="36">
        <v>0</v>
      </c>
      <c r="K37" s="36">
        <v>0</v>
      </c>
      <c r="L37" s="36">
        <v>0</v>
      </c>
      <c r="M37" s="8" t="s">
        <v>447</v>
      </c>
      <c r="N37" s="36">
        <v>7961.51</v>
      </c>
      <c r="O37" s="1">
        <f t="shared" si="0"/>
        <v>7961.51</v>
      </c>
      <c r="P37" s="75" t="e">
        <f>IF(O37=0,"",_xlfn.XLOOKUP(D37,'6月份计划'!A:A,'6月份计划'!A:A))</f>
        <v>#N/A</v>
      </c>
    </row>
    <row r="38" s="1" customFormat="1" ht="15" customHeight="1" spans="1:16">
      <c r="A38" s="12" t="s">
        <v>444</v>
      </c>
      <c r="B38" s="15" t="s">
        <v>445</v>
      </c>
      <c r="C38" s="12" t="s">
        <v>41</v>
      </c>
      <c r="D38" s="15" t="s">
        <v>570</v>
      </c>
      <c r="E38" s="12" t="s">
        <v>41</v>
      </c>
      <c r="F38" s="12" t="s">
        <v>443</v>
      </c>
      <c r="G38" s="12" t="s">
        <v>489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12" t="s">
        <v>489</v>
      </c>
      <c r="N38" s="37">
        <v>0</v>
      </c>
      <c r="O38" s="1">
        <f t="shared" si="0"/>
        <v>0</v>
      </c>
      <c r="P38" s="75" t="str">
        <f>IF(O38=0,"",_xlfn.XLOOKUP(D38,'6月份计划'!A:A,'6月份计划'!A:A))</f>
        <v/>
      </c>
    </row>
    <row r="39" s="1" customFormat="1" ht="15" customHeight="1" spans="1:16">
      <c r="A39" s="8" t="s">
        <v>444</v>
      </c>
      <c r="B39" s="11" t="s">
        <v>445</v>
      </c>
      <c r="C39" s="8" t="s">
        <v>41</v>
      </c>
      <c r="D39" s="11" t="s">
        <v>301</v>
      </c>
      <c r="E39" s="8" t="s">
        <v>41</v>
      </c>
      <c r="F39" s="8" t="s">
        <v>443</v>
      </c>
      <c r="G39" s="8" t="s">
        <v>447</v>
      </c>
      <c r="H39" s="36">
        <v>3368.22</v>
      </c>
      <c r="I39" s="36">
        <v>3368.22</v>
      </c>
      <c r="J39" s="36">
        <v>29659.42</v>
      </c>
      <c r="K39" s="36">
        <v>3368.22</v>
      </c>
      <c r="L39" s="36">
        <v>-59390.12</v>
      </c>
      <c r="M39" s="8" t="s">
        <v>447</v>
      </c>
      <c r="N39" s="36">
        <v>29659.42</v>
      </c>
      <c r="O39" s="1">
        <f t="shared" si="0"/>
        <v>29659.42</v>
      </c>
      <c r="P39" s="75" t="str">
        <f>IF(O39=0,"",_xlfn.XLOOKUP(D39,'6月份计划'!A:A,'6月份计划'!A:A))</f>
        <v>醴陵广仁环保科技有限公司</v>
      </c>
    </row>
    <row r="40" s="1" customFormat="1" ht="15" customHeight="1" spans="1:16">
      <c r="A40" s="12" t="s">
        <v>444</v>
      </c>
      <c r="B40" s="15" t="s">
        <v>445</v>
      </c>
      <c r="C40" s="12" t="s">
        <v>41</v>
      </c>
      <c r="D40" s="15" t="s">
        <v>269</v>
      </c>
      <c r="E40" s="12" t="s">
        <v>41</v>
      </c>
      <c r="F40" s="12" t="s">
        <v>443</v>
      </c>
      <c r="G40" s="12" t="s">
        <v>453</v>
      </c>
      <c r="H40" s="37">
        <v>11152.91</v>
      </c>
      <c r="I40" s="37">
        <v>0</v>
      </c>
      <c r="J40" s="37">
        <v>0</v>
      </c>
      <c r="K40" s="37">
        <v>0</v>
      </c>
      <c r="L40" s="37">
        <v>46706.2</v>
      </c>
      <c r="M40" s="12" t="s">
        <v>453</v>
      </c>
      <c r="N40" s="37">
        <v>11152.91</v>
      </c>
      <c r="O40" s="1">
        <f t="shared" si="0"/>
        <v>-11152.91</v>
      </c>
      <c r="P40" s="75" t="str">
        <f>IF(O40=0,"",_xlfn.XLOOKUP(D40,'6月份计划'!A:A,'6月份计划'!A:A))</f>
        <v>长沙真旺钢铁贸易有限公司</v>
      </c>
    </row>
    <row r="41" s="1" customFormat="1" ht="15" customHeight="1" spans="1:16">
      <c r="A41" s="8" t="s">
        <v>444</v>
      </c>
      <c r="B41" s="11" t="s">
        <v>445</v>
      </c>
      <c r="C41" s="8" t="s">
        <v>41</v>
      </c>
      <c r="D41" s="11" t="s">
        <v>571</v>
      </c>
      <c r="E41" s="8" t="s">
        <v>41</v>
      </c>
      <c r="F41" s="8" t="s">
        <v>443</v>
      </c>
      <c r="G41" s="8" t="s">
        <v>489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8" t="s">
        <v>489</v>
      </c>
      <c r="N41" s="36">
        <v>0</v>
      </c>
      <c r="O41" s="1">
        <f t="shared" si="0"/>
        <v>0</v>
      </c>
      <c r="P41" s="75" t="str">
        <f>IF(O41=0,"",_xlfn.XLOOKUP(D41,'6月份计划'!A:A,'6月份计划'!A:A))</f>
        <v/>
      </c>
    </row>
    <row r="42" s="1" customFormat="1" ht="15" customHeight="1" spans="1:16">
      <c r="A42" s="12" t="s">
        <v>444</v>
      </c>
      <c r="B42" s="15" t="s">
        <v>445</v>
      </c>
      <c r="C42" s="12" t="s">
        <v>41</v>
      </c>
      <c r="D42" s="15" t="s">
        <v>270</v>
      </c>
      <c r="E42" s="12" t="s">
        <v>41</v>
      </c>
      <c r="F42" s="12" t="s">
        <v>443</v>
      </c>
      <c r="G42" s="12" t="s">
        <v>447</v>
      </c>
      <c r="H42" s="37">
        <v>18514.78</v>
      </c>
      <c r="I42" s="37">
        <v>0</v>
      </c>
      <c r="J42" s="37">
        <v>1214.77</v>
      </c>
      <c r="K42" s="37">
        <v>66838.53</v>
      </c>
      <c r="L42" s="37">
        <v>44575.75</v>
      </c>
      <c r="M42" s="12" t="s">
        <v>447</v>
      </c>
      <c r="N42" s="37">
        <v>19729.55</v>
      </c>
      <c r="O42" s="1">
        <f t="shared" si="0"/>
        <v>19729.55</v>
      </c>
      <c r="P42" s="75" t="str">
        <f>IF(O42=0,"",_xlfn.XLOOKUP(D42,'6月份计划'!A:A,'6月份计划'!A:A))</f>
        <v>深州市晶立泰机械配件有限公司</v>
      </c>
    </row>
    <row r="43" s="1" customFormat="1" ht="15" customHeight="1" spans="1:16">
      <c r="A43" s="8" t="s">
        <v>444</v>
      </c>
      <c r="B43" s="11" t="s">
        <v>445</v>
      </c>
      <c r="C43" s="8" t="s">
        <v>41</v>
      </c>
      <c r="D43" s="11" t="s">
        <v>41</v>
      </c>
      <c r="E43" s="8" t="s">
        <v>492</v>
      </c>
      <c r="F43" s="8" t="s">
        <v>443</v>
      </c>
      <c r="G43" s="8" t="s">
        <v>447</v>
      </c>
      <c r="H43" s="36">
        <v>0</v>
      </c>
      <c r="I43" s="36">
        <v>1640442.07</v>
      </c>
      <c r="J43" s="36">
        <v>1640442.07</v>
      </c>
      <c r="K43" s="36">
        <v>14051825.35</v>
      </c>
      <c r="L43" s="36">
        <v>14051825.35</v>
      </c>
      <c r="M43" s="8" t="s">
        <v>447</v>
      </c>
      <c r="N43" s="36">
        <v>0</v>
      </c>
      <c r="O43" s="1">
        <f t="shared" si="0"/>
        <v>0</v>
      </c>
      <c r="P43" s="75" t="str">
        <f>IF(O43=0,"",_xlfn.XLOOKUP(D43,'6月份计划'!A:A,'6月份计划'!A:A))</f>
        <v/>
      </c>
    </row>
    <row r="44" s="1" customFormat="1" ht="15" customHeight="1" spans="1:16">
      <c r="A44" s="12" t="s">
        <v>444</v>
      </c>
      <c r="B44" s="15" t="s">
        <v>445</v>
      </c>
      <c r="C44" s="12" t="s">
        <v>41</v>
      </c>
      <c r="D44" s="15" t="s">
        <v>414</v>
      </c>
      <c r="E44" s="12" t="s">
        <v>41</v>
      </c>
      <c r="F44" s="12" t="s">
        <v>443</v>
      </c>
      <c r="G44" s="12" t="s">
        <v>489</v>
      </c>
      <c r="H44" s="37">
        <v>0</v>
      </c>
      <c r="I44" s="37">
        <v>0</v>
      </c>
      <c r="J44" s="37">
        <v>0</v>
      </c>
      <c r="K44" s="37">
        <v>0</v>
      </c>
      <c r="L44" s="37">
        <v>0</v>
      </c>
      <c r="M44" s="12" t="s">
        <v>489</v>
      </c>
      <c r="N44" s="37">
        <v>0</v>
      </c>
      <c r="O44" s="1">
        <f t="shared" si="0"/>
        <v>0</v>
      </c>
      <c r="P44" s="75" t="str">
        <f>IF(O44=0,"",_xlfn.XLOOKUP(D44,'6月份计划'!A:A,'6月份计划'!A:A))</f>
        <v/>
      </c>
    </row>
    <row r="45" s="1" customFormat="1" ht="15" hidden="1" customHeight="1" spans="1:16">
      <c r="A45" s="8" t="s">
        <v>444</v>
      </c>
      <c r="B45" s="11" t="s">
        <v>445</v>
      </c>
      <c r="C45" s="8" t="s">
        <v>41</v>
      </c>
      <c r="D45" s="11" t="s">
        <v>448</v>
      </c>
      <c r="E45" s="8" t="s">
        <v>41</v>
      </c>
      <c r="F45" s="8" t="s">
        <v>443</v>
      </c>
      <c r="G45" s="8" t="s">
        <v>447</v>
      </c>
      <c r="H45" s="36">
        <v>80.3</v>
      </c>
      <c r="I45" s="36">
        <v>0</v>
      </c>
      <c r="J45" s="36">
        <v>0</v>
      </c>
      <c r="K45" s="36">
        <v>0</v>
      </c>
      <c r="L45" s="36">
        <v>0</v>
      </c>
      <c r="M45" s="8" t="s">
        <v>447</v>
      </c>
      <c r="N45" s="36">
        <v>80.3</v>
      </c>
      <c r="O45" s="1">
        <f t="shared" si="0"/>
        <v>80.3</v>
      </c>
      <c r="P45" s="75" t="e">
        <f>IF(O45=0,"",_xlfn.XLOOKUP(D45,'6月份计划'!A:A,'6月份计划'!A:A))</f>
        <v>#N/A</v>
      </c>
    </row>
    <row r="46" s="1" customFormat="1" ht="15" customHeight="1" spans="1:16">
      <c r="A46" s="12" t="s">
        <v>444</v>
      </c>
      <c r="B46" s="15" t="s">
        <v>445</v>
      </c>
      <c r="C46" s="12" t="s">
        <v>41</v>
      </c>
      <c r="D46" s="15" t="s">
        <v>494</v>
      </c>
      <c r="E46" s="12" t="s">
        <v>41</v>
      </c>
      <c r="F46" s="12" t="s">
        <v>443</v>
      </c>
      <c r="G46" s="12" t="s">
        <v>489</v>
      </c>
      <c r="H46" s="37">
        <v>0</v>
      </c>
      <c r="I46" s="37">
        <v>0</v>
      </c>
      <c r="J46" s="37">
        <v>0</v>
      </c>
      <c r="K46" s="37">
        <v>0</v>
      </c>
      <c r="L46" s="37">
        <v>0</v>
      </c>
      <c r="M46" s="12" t="s">
        <v>489</v>
      </c>
      <c r="N46" s="37">
        <v>0</v>
      </c>
      <c r="O46" s="1">
        <f t="shared" si="0"/>
        <v>0</v>
      </c>
      <c r="P46" s="75" t="str">
        <f>IF(O46=0,"",_xlfn.XLOOKUP(D46,'6月份计划'!A:A,'6月份计划'!A:A))</f>
        <v/>
      </c>
    </row>
    <row r="47" s="1" customFormat="1" ht="15" customHeight="1" spans="1:16">
      <c r="A47" s="8" t="s">
        <v>444</v>
      </c>
      <c r="B47" s="11" t="s">
        <v>445</v>
      </c>
      <c r="C47" s="8" t="s">
        <v>41</v>
      </c>
      <c r="D47" s="11" t="s">
        <v>495</v>
      </c>
      <c r="E47" s="8" t="s">
        <v>41</v>
      </c>
      <c r="F47" s="8" t="s">
        <v>443</v>
      </c>
      <c r="G47" s="8" t="s">
        <v>489</v>
      </c>
      <c r="H47" s="36">
        <v>0</v>
      </c>
      <c r="I47" s="36">
        <v>0</v>
      </c>
      <c r="J47" s="36">
        <v>0</v>
      </c>
      <c r="K47" s="36">
        <v>0</v>
      </c>
      <c r="L47" s="36">
        <v>0</v>
      </c>
      <c r="M47" s="8" t="s">
        <v>489</v>
      </c>
      <c r="N47" s="36">
        <v>0</v>
      </c>
      <c r="O47" s="1">
        <f t="shared" si="0"/>
        <v>0</v>
      </c>
      <c r="P47" s="75" t="str">
        <f>IF(O47=0,"",_xlfn.XLOOKUP(D47,'6月份计划'!A:A,'6月份计划'!A:A))</f>
        <v/>
      </c>
    </row>
    <row r="48" s="1" customFormat="1" ht="15" hidden="1" customHeight="1" spans="1:16">
      <c r="A48" s="12" t="s">
        <v>444</v>
      </c>
      <c r="B48" s="15" t="s">
        <v>445</v>
      </c>
      <c r="C48" s="12" t="s">
        <v>41</v>
      </c>
      <c r="D48" s="15" t="s">
        <v>449</v>
      </c>
      <c r="E48" s="12" t="s">
        <v>41</v>
      </c>
      <c r="F48" s="12" t="s">
        <v>443</v>
      </c>
      <c r="G48" s="12" t="s">
        <v>447</v>
      </c>
      <c r="H48" s="37">
        <v>23367.17</v>
      </c>
      <c r="I48" s="37">
        <v>0</v>
      </c>
      <c r="J48" s="37">
        <v>0</v>
      </c>
      <c r="K48" s="37">
        <v>0</v>
      </c>
      <c r="L48" s="37">
        <v>0</v>
      </c>
      <c r="M48" s="12" t="s">
        <v>447</v>
      </c>
      <c r="N48" s="37">
        <v>23367.17</v>
      </c>
      <c r="O48" s="1">
        <f t="shared" si="0"/>
        <v>23367.17</v>
      </c>
      <c r="P48" s="75" t="e">
        <f>IF(O48=0,"",_xlfn.XLOOKUP(D48,'6月份计划'!A:A,'6月份计划'!A:A))</f>
        <v>#N/A</v>
      </c>
    </row>
    <row r="49" s="1" customFormat="1" ht="15" customHeight="1" spans="1:16">
      <c r="A49" s="8" t="s">
        <v>444</v>
      </c>
      <c r="B49" s="11" t="s">
        <v>445</v>
      </c>
      <c r="C49" s="8" t="s">
        <v>41</v>
      </c>
      <c r="D49" s="11" t="s">
        <v>298</v>
      </c>
      <c r="E49" s="8" t="s">
        <v>41</v>
      </c>
      <c r="F49" s="8" t="s">
        <v>443</v>
      </c>
      <c r="G49" s="8" t="s">
        <v>447</v>
      </c>
      <c r="H49" s="36">
        <v>43392</v>
      </c>
      <c r="I49" s="36">
        <v>0</v>
      </c>
      <c r="J49" s="36">
        <v>0</v>
      </c>
      <c r="K49" s="36">
        <v>441766.72</v>
      </c>
      <c r="L49" s="36">
        <v>290473.28</v>
      </c>
      <c r="M49" s="8" t="s">
        <v>447</v>
      </c>
      <c r="N49" s="36">
        <v>43392</v>
      </c>
      <c r="O49" s="1">
        <f t="shared" si="0"/>
        <v>43392</v>
      </c>
      <c r="P49" s="75" t="str">
        <f>IF(O49=0,"",_xlfn.XLOOKUP(D49,'6月份计划'!A:A,'6月份计划'!A:A))</f>
        <v>浙江华悦汽车零部件股份有限公</v>
      </c>
    </row>
    <row r="50" s="1" customFormat="1" ht="15" customHeight="1" spans="1:16">
      <c r="A50" s="12" t="s">
        <v>444</v>
      </c>
      <c r="B50" s="15" t="s">
        <v>445</v>
      </c>
      <c r="C50" s="12" t="s">
        <v>41</v>
      </c>
      <c r="D50" s="15" t="s">
        <v>515</v>
      </c>
      <c r="E50" s="12" t="s">
        <v>41</v>
      </c>
      <c r="F50" s="12" t="s">
        <v>443</v>
      </c>
      <c r="G50" s="12" t="s">
        <v>489</v>
      </c>
      <c r="H50" s="37">
        <v>0</v>
      </c>
      <c r="I50" s="37">
        <v>0</v>
      </c>
      <c r="J50" s="37">
        <v>0</v>
      </c>
      <c r="K50" s="37">
        <v>0</v>
      </c>
      <c r="L50" s="37">
        <v>0</v>
      </c>
      <c r="M50" s="12" t="s">
        <v>489</v>
      </c>
      <c r="N50" s="37">
        <v>0</v>
      </c>
      <c r="O50" s="1">
        <f t="shared" si="0"/>
        <v>0</v>
      </c>
      <c r="P50" s="75" t="str">
        <f>IF(O50=0,"",_xlfn.XLOOKUP(D50,'6月份计划'!A:A,'6月份计划'!A:A))</f>
        <v/>
      </c>
    </row>
    <row r="51" s="1" customFormat="1" ht="15" customHeight="1" spans="1:16">
      <c r="A51" s="8" t="s">
        <v>444</v>
      </c>
      <c r="B51" s="11" t="s">
        <v>445</v>
      </c>
      <c r="C51" s="8" t="s">
        <v>41</v>
      </c>
      <c r="D51" s="11" t="s">
        <v>516</v>
      </c>
      <c r="E51" s="8" t="s">
        <v>41</v>
      </c>
      <c r="F51" s="8" t="s">
        <v>443</v>
      </c>
      <c r="G51" s="8" t="s">
        <v>489</v>
      </c>
      <c r="H51" s="36">
        <v>0</v>
      </c>
      <c r="I51" s="36">
        <v>0</v>
      </c>
      <c r="J51" s="36">
        <v>0</v>
      </c>
      <c r="K51" s="36">
        <v>0</v>
      </c>
      <c r="L51" s="36">
        <v>0</v>
      </c>
      <c r="M51" s="8" t="s">
        <v>489</v>
      </c>
      <c r="N51" s="36">
        <v>0</v>
      </c>
      <c r="O51" s="1">
        <f t="shared" si="0"/>
        <v>0</v>
      </c>
      <c r="P51" s="75" t="str">
        <f>IF(O51=0,"",_xlfn.XLOOKUP(D51,'6月份计划'!A:A,'6月份计划'!A:A))</f>
        <v/>
      </c>
    </row>
    <row r="52" s="1" customFormat="1" ht="15" customHeight="1" spans="1:16">
      <c r="A52" s="12" t="s">
        <v>444</v>
      </c>
      <c r="B52" s="15" t="s">
        <v>445</v>
      </c>
      <c r="C52" s="12" t="s">
        <v>41</v>
      </c>
      <c r="D52" s="15" t="s">
        <v>517</v>
      </c>
      <c r="E52" s="12" t="s">
        <v>41</v>
      </c>
      <c r="F52" s="12" t="s">
        <v>443</v>
      </c>
      <c r="G52" s="12" t="s">
        <v>489</v>
      </c>
      <c r="H52" s="37">
        <v>0</v>
      </c>
      <c r="I52" s="37">
        <v>0</v>
      </c>
      <c r="J52" s="37">
        <v>0</v>
      </c>
      <c r="K52" s="37">
        <v>0</v>
      </c>
      <c r="L52" s="37">
        <v>0</v>
      </c>
      <c r="M52" s="12" t="s">
        <v>489</v>
      </c>
      <c r="N52" s="37">
        <v>0</v>
      </c>
      <c r="O52" s="1">
        <f t="shared" si="0"/>
        <v>0</v>
      </c>
      <c r="P52" s="75" t="str">
        <f>IF(O52=0,"",_xlfn.XLOOKUP(D52,'6月份计划'!A:A,'6月份计划'!A:A))</f>
        <v/>
      </c>
    </row>
    <row r="53" s="1" customFormat="1" ht="15" customHeight="1" spans="1:16">
      <c r="A53" s="8" t="s">
        <v>444</v>
      </c>
      <c r="B53" s="11" t="s">
        <v>445</v>
      </c>
      <c r="C53" s="8" t="s">
        <v>41</v>
      </c>
      <c r="D53" s="11" t="s">
        <v>518</v>
      </c>
      <c r="E53" s="8" t="s">
        <v>41</v>
      </c>
      <c r="F53" s="8" t="s">
        <v>443</v>
      </c>
      <c r="G53" s="8" t="s">
        <v>489</v>
      </c>
      <c r="H53" s="36">
        <v>0</v>
      </c>
      <c r="I53" s="36">
        <v>0</v>
      </c>
      <c r="J53" s="36">
        <v>0</v>
      </c>
      <c r="K53" s="36">
        <v>0</v>
      </c>
      <c r="L53" s="36">
        <v>0</v>
      </c>
      <c r="M53" s="8" t="s">
        <v>489</v>
      </c>
      <c r="N53" s="36">
        <v>0</v>
      </c>
      <c r="O53" s="1">
        <f t="shared" si="0"/>
        <v>0</v>
      </c>
      <c r="P53" s="75" t="str">
        <f>IF(O53=0,"",_xlfn.XLOOKUP(D53,'6月份计划'!A:A,'6月份计划'!A:A))</f>
        <v/>
      </c>
    </row>
    <row r="54" s="1" customFormat="1" ht="15" customHeight="1" spans="1:16">
      <c r="A54" s="12" t="s">
        <v>444</v>
      </c>
      <c r="B54" s="15" t="s">
        <v>445</v>
      </c>
      <c r="C54" s="12" t="s">
        <v>41</v>
      </c>
      <c r="D54" s="15" t="s">
        <v>251</v>
      </c>
      <c r="E54" s="12" t="s">
        <v>41</v>
      </c>
      <c r="F54" s="12" t="s">
        <v>443</v>
      </c>
      <c r="G54" s="12" t="s">
        <v>447</v>
      </c>
      <c r="H54" s="37">
        <v>710732.29</v>
      </c>
      <c r="I54" s="37">
        <v>535188</v>
      </c>
      <c r="J54" s="37">
        <v>369225.01</v>
      </c>
      <c r="K54" s="37">
        <v>2609424.13</v>
      </c>
      <c r="L54" s="37">
        <v>2976403.3</v>
      </c>
      <c r="M54" s="12" t="s">
        <v>447</v>
      </c>
      <c r="N54" s="37">
        <v>544769.3</v>
      </c>
      <c r="O54" s="1">
        <f t="shared" si="0"/>
        <v>544769.3</v>
      </c>
      <c r="P54" s="75" t="str">
        <f>IF(O54=0,"",_xlfn.XLOOKUP(D54,'6月份计划'!A:A,'6月份计划'!A:A))</f>
        <v>厦门凯平化工有限公司</v>
      </c>
    </row>
    <row r="55" s="1" customFormat="1" ht="15" customHeight="1" spans="1:16">
      <c r="A55" s="8" t="s">
        <v>444</v>
      </c>
      <c r="B55" s="11" t="s">
        <v>445</v>
      </c>
      <c r="C55" s="8" t="s">
        <v>41</v>
      </c>
      <c r="D55" s="11" t="s">
        <v>519</v>
      </c>
      <c r="E55" s="8" t="s">
        <v>41</v>
      </c>
      <c r="F55" s="8" t="s">
        <v>443</v>
      </c>
      <c r="G55" s="8" t="s">
        <v>489</v>
      </c>
      <c r="H55" s="36">
        <v>0</v>
      </c>
      <c r="I55" s="36">
        <v>0</v>
      </c>
      <c r="J55" s="36">
        <v>0</v>
      </c>
      <c r="K55" s="36">
        <v>0</v>
      </c>
      <c r="L55" s="36">
        <v>0</v>
      </c>
      <c r="M55" s="8" t="s">
        <v>489</v>
      </c>
      <c r="N55" s="36">
        <v>0</v>
      </c>
      <c r="O55" s="1">
        <f t="shared" si="0"/>
        <v>0</v>
      </c>
      <c r="P55" s="75" t="str">
        <f>IF(O55=0,"",_xlfn.XLOOKUP(D55,'6月份计划'!A:A,'6月份计划'!A:A))</f>
        <v/>
      </c>
    </row>
    <row r="56" s="1" customFormat="1" ht="15" customHeight="1" spans="1:16">
      <c r="A56" s="12" t="s">
        <v>444</v>
      </c>
      <c r="B56" s="15" t="s">
        <v>445</v>
      </c>
      <c r="C56" s="12" t="s">
        <v>41</v>
      </c>
      <c r="D56" s="15" t="s">
        <v>520</v>
      </c>
      <c r="E56" s="12" t="s">
        <v>41</v>
      </c>
      <c r="F56" s="12" t="s">
        <v>443</v>
      </c>
      <c r="G56" s="12" t="s">
        <v>489</v>
      </c>
      <c r="H56" s="37">
        <v>0</v>
      </c>
      <c r="I56" s="37">
        <v>0</v>
      </c>
      <c r="J56" s="37">
        <v>0</v>
      </c>
      <c r="K56" s="37">
        <v>0</v>
      </c>
      <c r="L56" s="37">
        <v>0</v>
      </c>
      <c r="M56" s="12" t="s">
        <v>489</v>
      </c>
      <c r="N56" s="37">
        <v>0</v>
      </c>
      <c r="O56" s="1">
        <f t="shared" si="0"/>
        <v>0</v>
      </c>
      <c r="P56" s="75" t="str">
        <f>IF(O56=0,"",_xlfn.XLOOKUP(D56,'6月份计划'!A:A,'6月份计划'!A:A))</f>
        <v/>
      </c>
    </row>
    <row r="57" s="1" customFormat="1" ht="15" customHeight="1" spans="1:16">
      <c r="A57" s="8" t="s">
        <v>444</v>
      </c>
      <c r="B57" s="11" t="s">
        <v>445</v>
      </c>
      <c r="C57" s="8" t="s">
        <v>41</v>
      </c>
      <c r="D57" s="11" t="s">
        <v>521</v>
      </c>
      <c r="E57" s="8" t="s">
        <v>41</v>
      </c>
      <c r="F57" s="8" t="s">
        <v>443</v>
      </c>
      <c r="G57" s="8" t="s">
        <v>489</v>
      </c>
      <c r="H57" s="36">
        <v>0</v>
      </c>
      <c r="I57" s="36">
        <v>0</v>
      </c>
      <c r="J57" s="36">
        <v>0</v>
      </c>
      <c r="K57" s="36">
        <v>0</v>
      </c>
      <c r="L57" s="36">
        <v>0</v>
      </c>
      <c r="M57" s="8" t="s">
        <v>489</v>
      </c>
      <c r="N57" s="36">
        <v>0</v>
      </c>
      <c r="O57" s="1">
        <f t="shared" si="0"/>
        <v>0</v>
      </c>
      <c r="P57" s="75" t="str">
        <f>IF(O57=0,"",_xlfn.XLOOKUP(D57,'6月份计划'!A:A,'6月份计划'!A:A))</f>
        <v/>
      </c>
    </row>
    <row r="58" s="1" customFormat="1" ht="15" customHeight="1" spans="1:16">
      <c r="A58" s="12" t="s">
        <v>444</v>
      </c>
      <c r="B58" s="15" t="s">
        <v>445</v>
      </c>
      <c r="C58" s="12" t="s">
        <v>41</v>
      </c>
      <c r="D58" s="15" t="s">
        <v>252</v>
      </c>
      <c r="E58" s="12" t="s">
        <v>41</v>
      </c>
      <c r="F58" s="12" t="s">
        <v>443</v>
      </c>
      <c r="G58" s="12" t="s">
        <v>447</v>
      </c>
      <c r="H58" s="37">
        <v>206828.21</v>
      </c>
      <c r="I58" s="37">
        <v>0</v>
      </c>
      <c r="J58" s="37">
        <v>0</v>
      </c>
      <c r="K58" s="37">
        <v>519534.44</v>
      </c>
      <c r="L58" s="37">
        <v>319824.99</v>
      </c>
      <c r="M58" s="12" t="s">
        <v>447</v>
      </c>
      <c r="N58" s="37">
        <v>206828.21</v>
      </c>
      <c r="O58" s="1">
        <f t="shared" si="0"/>
        <v>206828.21</v>
      </c>
      <c r="P58" s="75" t="str">
        <f>IF(O58=0,"",_xlfn.XLOOKUP(D58,'6月份计划'!A:A,'6月份计划'!A:A))</f>
        <v>湖北伟士通汽车零件有限公司</v>
      </c>
    </row>
    <row r="59" s="1" customFormat="1" ht="15" customHeight="1" spans="1:16">
      <c r="A59" s="8" t="s">
        <v>444</v>
      </c>
      <c r="B59" s="11" t="s">
        <v>445</v>
      </c>
      <c r="C59" s="8" t="s">
        <v>41</v>
      </c>
      <c r="D59" s="11" t="s">
        <v>253</v>
      </c>
      <c r="E59" s="8" t="s">
        <v>41</v>
      </c>
      <c r="F59" s="8" t="s">
        <v>443</v>
      </c>
      <c r="G59" s="8" t="s">
        <v>447</v>
      </c>
      <c r="H59" s="36">
        <v>464945.18</v>
      </c>
      <c r="I59" s="36">
        <v>0</v>
      </c>
      <c r="J59" s="36">
        <v>4781.14</v>
      </c>
      <c r="K59" s="36">
        <v>554220.47</v>
      </c>
      <c r="L59" s="36">
        <v>685182.59</v>
      </c>
      <c r="M59" s="8" t="s">
        <v>447</v>
      </c>
      <c r="N59" s="36">
        <v>469726.32</v>
      </c>
      <c r="O59" s="1">
        <f t="shared" si="0"/>
        <v>469726.32</v>
      </c>
      <c r="P59" s="75" t="str">
        <f>IF(O59=0,"",_xlfn.XLOOKUP(D59,'6月份计划'!A:A,'6月份计划'!A:A))</f>
        <v>衡阳县标准件厂株洲销售处</v>
      </c>
    </row>
    <row r="60" s="1" customFormat="1" ht="15" customHeight="1" spans="1:16">
      <c r="A60" s="12" t="s">
        <v>444</v>
      </c>
      <c r="B60" s="15" t="s">
        <v>445</v>
      </c>
      <c r="C60" s="12" t="s">
        <v>41</v>
      </c>
      <c r="D60" s="15" t="s">
        <v>254</v>
      </c>
      <c r="E60" s="12" t="s">
        <v>41</v>
      </c>
      <c r="F60" s="12" t="s">
        <v>443</v>
      </c>
      <c r="G60" s="12" t="s">
        <v>447</v>
      </c>
      <c r="H60" s="37">
        <v>889206.37</v>
      </c>
      <c r="I60" s="37">
        <v>1400000</v>
      </c>
      <c r="J60" s="37">
        <v>1239377.26</v>
      </c>
      <c r="K60" s="37">
        <v>4850000</v>
      </c>
      <c r="L60" s="37">
        <v>4981281.69</v>
      </c>
      <c r="M60" s="12" t="s">
        <v>447</v>
      </c>
      <c r="N60" s="37">
        <v>728583.63</v>
      </c>
      <c r="O60" s="1">
        <f t="shared" si="0"/>
        <v>728583.63</v>
      </c>
      <c r="P60" s="75" t="str">
        <f>IF(O60=0,"",_xlfn.XLOOKUP(D60,'6月份计划'!A:A,'6月份计划'!A:A))</f>
        <v>湖南凌天汽车零部件有限公司</v>
      </c>
    </row>
    <row r="61" s="1" customFormat="1" ht="15" customHeight="1" spans="1:16">
      <c r="A61" s="8" t="s">
        <v>444</v>
      </c>
      <c r="B61" s="11" t="s">
        <v>445</v>
      </c>
      <c r="C61" s="8" t="s">
        <v>41</v>
      </c>
      <c r="D61" s="11" t="s">
        <v>522</v>
      </c>
      <c r="E61" s="8" t="s">
        <v>41</v>
      </c>
      <c r="F61" s="8" t="s">
        <v>443</v>
      </c>
      <c r="G61" s="8" t="s">
        <v>489</v>
      </c>
      <c r="H61" s="36">
        <v>0</v>
      </c>
      <c r="I61" s="36">
        <v>0</v>
      </c>
      <c r="J61" s="36">
        <v>0</v>
      </c>
      <c r="K61" s="36">
        <v>0</v>
      </c>
      <c r="L61" s="36">
        <v>0</v>
      </c>
      <c r="M61" s="8" t="s">
        <v>489</v>
      </c>
      <c r="N61" s="36">
        <v>0</v>
      </c>
      <c r="O61" s="1">
        <f t="shared" si="0"/>
        <v>0</v>
      </c>
      <c r="P61" s="75" t="str">
        <f>IF(O61=0,"",_xlfn.XLOOKUP(D61,'6月份计划'!A:A,'6月份计划'!A:A))</f>
        <v/>
      </c>
    </row>
    <row r="62" s="1" customFormat="1" ht="15" customHeight="1" spans="1:16">
      <c r="A62" s="12" t="s">
        <v>444</v>
      </c>
      <c r="B62" s="15" t="s">
        <v>445</v>
      </c>
      <c r="C62" s="12" t="s">
        <v>41</v>
      </c>
      <c r="D62" s="15" t="s">
        <v>523</v>
      </c>
      <c r="E62" s="12" t="s">
        <v>41</v>
      </c>
      <c r="F62" s="12" t="s">
        <v>443</v>
      </c>
      <c r="G62" s="12" t="s">
        <v>489</v>
      </c>
      <c r="H62" s="37">
        <v>0</v>
      </c>
      <c r="I62" s="37">
        <v>0</v>
      </c>
      <c r="J62" s="37">
        <v>0</v>
      </c>
      <c r="K62" s="37">
        <v>0</v>
      </c>
      <c r="L62" s="37">
        <v>0</v>
      </c>
      <c r="M62" s="12" t="s">
        <v>489</v>
      </c>
      <c r="N62" s="37">
        <v>0</v>
      </c>
      <c r="O62" s="1">
        <f t="shared" si="0"/>
        <v>0</v>
      </c>
      <c r="P62" s="75" t="str">
        <f>IF(O62=0,"",_xlfn.XLOOKUP(D62,'6月份计划'!A:A,'6月份计划'!A:A))</f>
        <v/>
      </c>
    </row>
    <row r="63" s="1" customFormat="1" ht="15" hidden="1" customHeight="1" spans="1:16">
      <c r="A63" s="8" t="s">
        <v>444</v>
      </c>
      <c r="B63" s="11" t="s">
        <v>445</v>
      </c>
      <c r="C63" s="8" t="s">
        <v>41</v>
      </c>
      <c r="D63" s="11" t="s">
        <v>454</v>
      </c>
      <c r="E63" s="8" t="s">
        <v>41</v>
      </c>
      <c r="F63" s="8" t="s">
        <v>443</v>
      </c>
      <c r="G63" s="8" t="s">
        <v>447</v>
      </c>
      <c r="H63" s="36">
        <v>0.5</v>
      </c>
      <c r="I63" s="36">
        <v>0</v>
      </c>
      <c r="J63" s="36">
        <v>0</v>
      </c>
      <c r="K63" s="36">
        <v>101763.51</v>
      </c>
      <c r="L63" s="36">
        <v>0</v>
      </c>
      <c r="M63" s="8" t="s">
        <v>447</v>
      </c>
      <c r="N63" s="36">
        <v>0.5</v>
      </c>
      <c r="O63" s="1">
        <f t="shared" si="0"/>
        <v>0.5</v>
      </c>
      <c r="P63" s="75" t="e">
        <f>IF(O63=0,"",_xlfn.XLOOKUP(D63,'6月份计划'!A:A,'6月份计划'!A:A))</f>
        <v>#N/A</v>
      </c>
    </row>
    <row r="64" s="1" customFormat="1" ht="15" hidden="1" customHeight="1" spans="1:16">
      <c r="A64" s="12" t="s">
        <v>444</v>
      </c>
      <c r="B64" s="15" t="s">
        <v>445</v>
      </c>
      <c r="C64" s="12" t="s">
        <v>41</v>
      </c>
      <c r="D64" s="15" t="s">
        <v>446</v>
      </c>
      <c r="E64" s="12" t="s">
        <v>41</v>
      </c>
      <c r="F64" s="12" t="s">
        <v>443</v>
      </c>
      <c r="G64" s="12" t="s">
        <v>447</v>
      </c>
      <c r="H64" s="37">
        <v>17358891.77</v>
      </c>
      <c r="I64" s="37">
        <v>0</v>
      </c>
      <c r="J64" s="37">
        <v>574169.74</v>
      </c>
      <c r="K64" s="37">
        <v>0</v>
      </c>
      <c r="L64" s="37">
        <v>9528124.94</v>
      </c>
      <c r="M64" s="12" t="s">
        <v>447</v>
      </c>
      <c r="N64" s="37">
        <v>17933061.51</v>
      </c>
      <c r="O64" s="1">
        <f t="shared" si="0"/>
        <v>17933061.51</v>
      </c>
      <c r="P64" s="75" t="e">
        <f>IF(O64=0,"",_xlfn.XLOOKUP(D64,'6月份计划'!A:A,'6月份计划'!A:A))</f>
        <v>#N/A</v>
      </c>
    </row>
    <row r="65" s="1" customFormat="1" ht="15" customHeight="1" spans="1:16">
      <c r="A65" s="8" t="s">
        <v>444</v>
      </c>
      <c r="B65" s="11" t="s">
        <v>445</v>
      </c>
      <c r="C65" s="8" t="s">
        <v>41</v>
      </c>
      <c r="D65" s="11" t="s">
        <v>524</v>
      </c>
      <c r="E65" s="8" t="s">
        <v>41</v>
      </c>
      <c r="F65" s="8" t="s">
        <v>443</v>
      </c>
      <c r="G65" s="8" t="s">
        <v>489</v>
      </c>
      <c r="H65" s="36">
        <v>0</v>
      </c>
      <c r="I65" s="36">
        <v>0</v>
      </c>
      <c r="J65" s="36">
        <v>0</v>
      </c>
      <c r="K65" s="36">
        <v>0</v>
      </c>
      <c r="L65" s="36">
        <v>0</v>
      </c>
      <c r="M65" s="8" t="s">
        <v>489</v>
      </c>
      <c r="N65" s="36">
        <v>0</v>
      </c>
      <c r="O65" s="1">
        <f t="shared" si="0"/>
        <v>0</v>
      </c>
      <c r="P65" s="75" t="str">
        <f>IF(O65=0,"",_xlfn.XLOOKUP(D65,'6月份计划'!A:A,'6月份计划'!A:A))</f>
        <v/>
      </c>
    </row>
    <row r="66" s="1" customFormat="1" ht="15" customHeight="1" spans="1:16">
      <c r="A66" s="12" t="s">
        <v>444</v>
      </c>
      <c r="B66" s="15" t="s">
        <v>445</v>
      </c>
      <c r="C66" s="12" t="s">
        <v>41</v>
      </c>
      <c r="D66" s="15" t="s">
        <v>525</v>
      </c>
      <c r="E66" s="12" t="s">
        <v>41</v>
      </c>
      <c r="F66" s="12" t="s">
        <v>443</v>
      </c>
      <c r="G66" s="12" t="s">
        <v>489</v>
      </c>
      <c r="H66" s="37">
        <v>0</v>
      </c>
      <c r="I66" s="37">
        <v>0</v>
      </c>
      <c r="J66" s="37">
        <v>0</v>
      </c>
      <c r="K66" s="37">
        <v>0</v>
      </c>
      <c r="L66" s="37">
        <v>0</v>
      </c>
      <c r="M66" s="12" t="s">
        <v>489</v>
      </c>
      <c r="N66" s="37">
        <v>0</v>
      </c>
      <c r="O66" s="1">
        <f t="shared" si="0"/>
        <v>0</v>
      </c>
      <c r="P66" s="75" t="str">
        <f>IF(O66=0,"",_xlfn.XLOOKUP(D66,'6月份计划'!A:A,'6月份计划'!A:A))</f>
        <v/>
      </c>
    </row>
    <row r="67" s="1" customFormat="1" ht="15" customHeight="1" spans="1:16">
      <c r="A67" s="8" t="s">
        <v>444</v>
      </c>
      <c r="B67" s="11" t="s">
        <v>445</v>
      </c>
      <c r="C67" s="8" t="s">
        <v>41</v>
      </c>
      <c r="D67" s="11" t="s">
        <v>526</v>
      </c>
      <c r="E67" s="8" t="s">
        <v>41</v>
      </c>
      <c r="F67" s="8" t="s">
        <v>443</v>
      </c>
      <c r="G67" s="8" t="s">
        <v>489</v>
      </c>
      <c r="H67" s="36">
        <v>0</v>
      </c>
      <c r="I67" s="36">
        <v>0</v>
      </c>
      <c r="J67" s="36">
        <v>0</v>
      </c>
      <c r="K67" s="36">
        <v>0</v>
      </c>
      <c r="L67" s="36">
        <v>0</v>
      </c>
      <c r="M67" s="8" t="s">
        <v>489</v>
      </c>
      <c r="N67" s="36">
        <v>0</v>
      </c>
      <c r="O67" s="1">
        <f t="shared" ref="O67:O130" si="1">IF(M67="贷",N67,-N67)</f>
        <v>0</v>
      </c>
      <c r="P67" s="75" t="str">
        <f>IF(O67=0,"",_xlfn.XLOOKUP(D67,'6月份计划'!A:A,'6月份计划'!A:A))</f>
        <v/>
      </c>
    </row>
    <row r="68" s="1" customFormat="1" ht="15" customHeight="1" spans="1:16">
      <c r="A68" s="12" t="s">
        <v>444</v>
      </c>
      <c r="B68" s="15" t="s">
        <v>445</v>
      </c>
      <c r="C68" s="12" t="s">
        <v>41</v>
      </c>
      <c r="D68" s="15" t="s">
        <v>527</v>
      </c>
      <c r="E68" s="12" t="s">
        <v>41</v>
      </c>
      <c r="F68" s="12" t="s">
        <v>443</v>
      </c>
      <c r="G68" s="12" t="s">
        <v>489</v>
      </c>
      <c r="H68" s="37">
        <v>0</v>
      </c>
      <c r="I68" s="37">
        <v>0</v>
      </c>
      <c r="J68" s="37">
        <v>0</v>
      </c>
      <c r="K68" s="37">
        <v>0</v>
      </c>
      <c r="L68" s="37">
        <v>0</v>
      </c>
      <c r="M68" s="12" t="s">
        <v>489</v>
      </c>
      <c r="N68" s="37">
        <v>0</v>
      </c>
      <c r="O68" s="1">
        <f t="shared" si="1"/>
        <v>0</v>
      </c>
      <c r="P68" s="75" t="str">
        <f>IF(O68=0,"",_xlfn.XLOOKUP(D68,'6月份计划'!A:A,'6月份计划'!A:A))</f>
        <v/>
      </c>
    </row>
    <row r="69" s="1" customFormat="1" ht="15" customHeight="1" spans="1:16">
      <c r="A69" s="8" t="s">
        <v>444</v>
      </c>
      <c r="B69" s="11" t="s">
        <v>445</v>
      </c>
      <c r="C69" s="8" t="s">
        <v>41</v>
      </c>
      <c r="D69" s="11" t="s">
        <v>528</v>
      </c>
      <c r="E69" s="8" t="s">
        <v>41</v>
      </c>
      <c r="F69" s="8" t="s">
        <v>443</v>
      </c>
      <c r="G69" s="8" t="s">
        <v>489</v>
      </c>
      <c r="H69" s="36">
        <v>0</v>
      </c>
      <c r="I69" s="36">
        <v>0</v>
      </c>
      <c r="J69" s="36">
        <v>0</v>
      </c>
      <c r="K69" s="36">
        <v>0</v>
      </c>
      <c r="L69" s="36">
        <v>0</v>
      </c>
      <c r="M69" s="8" t="s">
        <v>489</v>
      </c>
      <c r="N69" s="36">
        <v>0</v>
      </c>
      <c r="O69" s="1">
        <f t="shared" si="1"/>
        <v>0</v>
      </c>
      <c r="P69" s="75" t="str">
        <f>IF(O69=0,"",_xlfn.XLOOKUP(D69,'6月份计划'!A:A,'6月份计划'!A:A))</f>
        <v/>
      </c>
    </row>
    <row r="70" s="1" customFormat="1" ht="15" customHeight="1" spans="1:16">
      <c r="A70" s="12" t="s">
        <v>444</v>
      </c>
      <c r="B70" s="15" t="s">
        <v>445</v>
      </c>
      <c r="C70" s="12" t="s">
        <v>41</v>
      </c>
      <c r="D70" s="15" t="s">
        <v>529</v>
      </c>
      <c r="E70" s="12" t="s">
        <v>41</v>
      </c>
      <c r="F70" s="12" t="s">
        <v>443</v>
      </c>
      <c r="G70" s="12" t="s">
        <v>489</v>
      </c>
      <c r="H70" s="37">
        <v>0</v>
      </c>
      <c r="I70" s="37">
        <v>0</v>
      </c>
      <c r="J70" s="37">
        <v>0</v>
      </c>
      <c r="K70" s="37">
        <v>0</v>
      </c>
      <c r="L70" s="37">
        <v>0</v>
      </c>
      <c r="M70" s="12" t="s">
        <v>489</v>
      </c>
      <c r="N70" s="37">
        <v>0</v>
      </c>
      <c r="O70" s="1">
        <f t="shared" si="1"/>
        <v>0</v>
      </c>
      <c r="P70" s="75" t="str">
        <f>IF(O70=0,"",_xlfn.XLOOKUP(D70,'6月份计划'!A:A,'6月份计划'!A:A))</f>
        <v/>
      </c>
    </row>
    <row r="71" s="1" customFormat="1" ht="15" customHeight="1" spans="1:16">
      <c r="A71" s="8" t="s">
        <v>444</v>
      </c>
      <c r="B71" s="11" t="s">
        <v>445</v>
      </c>
      <c r="C71" s="8" t="s">
        <v>41</v>
      </c>
      <c r="D71" s="11" t="s">
        <v>530</v>
      </c>
      <c r="E71" s="8" t="s">
        <v>41</v>
      </c>
      <c r="F71" s="8" t="s">
        <v>443</v>
      </c>
      <c r="G71" s="8" t="s">
        <v>489</v>
      </c>
      <c r="H71" s="36">
        <v>0</v>
      </c>
      <c r="I71" s="36">
        <v>0</v>
      </c>
      <c r="J71" s="36">
        <v>0</v>
      </c>
      <c r="K71" s="36">
        <v>0</v>
      </c>
      <c r="L71" s="36">
        <v>0</v>
      </c>
      <c r="M71" s="8" t="s">
        <v>489</v>
      </c>
      <c r="N71" s="36">
        <v>0</v>
      </c>
      <c r="O71" s="1">
        <f t="shared" si="1"/>
        <v>0</v>
      </c>
      <c r="P71" s="75" t="str">
        <f>IF(O71=0,"",_xlfn.XLOOKUP(D71,'6月份计划'!A:A,'6月份计划'!A:A))</f>
        <v/>
      </c>
    </row>
    <row r="72" s="1" customFormat="1" ht="15" customHeight="1" spans="1:16">
      <c r="A72" s="12" t="s">
        <v>444</v>
      </c>
      <c r="B72" s="15" t="s">
        <v>445</v>
      </c>
      <c r="C72" s="12" t="s">
        <v>41</v>
      </c>
      <c r="D72" s="15" t="s">
        <v>531</v>
      </c>
      <c r="E72" s="12" t="s">
        <v>41</v>
      </c>
      <c r="F72" s="12" t="s">
        <v>443</v>
      </c>
      <c r="G72" s="12" t="s">
        <v>489</v>
      </c>
      <c r="H72" s="37">
        <v>0</v>
      </c>
      <c r="I72" s="37">
        <v>0</v>
      </c>
      <c r="J72" s="37">
        <v>0</v>
      </c>
      <c r="K72" s="37">
        <v>0</v>
      </c>
      <c r="L72" s="37">
        <v>0</v>
      </c>
      <c r="M72" s="12" t="s">
        <v>489</v>
      </c>
      <c r="N72" s="37">
        <v>0</v>
      </c>
      <c r="O72" s="1">
        <f t="shared" si="1"/>
        <v>0</v>
      </c>
      <c r="P72" s="75" t="str">
        <f>IF(O72=0,"",_xlfn.XLOOKUP(D72,'6月份计划'!A:A,'6月份计划'!A:A))</f>
        <v/>
      </c>
    </row>
    <row r="73" s="1" customFormat="1" ht="15" customHeight="1" spans="1:16">
      <c r="A73" s="8" t="s">
        <v>444</v>
      </c>
      <c r="B73" s="11" t="s">
        <v>445</v>
      </c>
      <c r="C73" s="8" t="s">
        <v>41</v>
      </c>
      <c r="D73" s="11" t="s">
        <v>532</v>
      </c>
      <c r="E73" s="8" t="s">
        <v>41</v>
      </c>
      <c r="F73" s="8" t="s">
        <v>443</v>
      </c>
      <c r="G73" s="8" t="s">
        <v>489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8" t="s">
        <v>489</v>
      </c>
      <c r="N73" s="36">
        <v>0</v>
      </c>
      <c r="O73" s="1">
        <f t="shared" si="1"/>
        <v>0</v>
      </c>
      <c r="P73" s="75" t="str">
        <f>IF(O73=0,"",_xlfn.XLOOKUP(D73,'6月份计划'!A:A,'6月份计划'!A:A))</f>
        <v/>
      </c>
    </row>
    <row r="74" s="1" customFormat="1" ht="15" customHeight="1" spans="1:16">
      <c r="A74" s="12" t="s">
        <v>444</v>
      </c>
      <c r="B74" s="15" t="s">
        <v>445</v>
      </c>
      <c r="C74" s="12" t="s">
        <v>41</v>
      </c>
      <c r="D74" s="15" t="s">
        <v>533</v>
      </c>
      <c r="E74" s="12" t="s">
        <v>41</v>
      </c>
      <c r="F74" s="12" t="s">
        <v>443</v>
      </c>
      <c r="G74" s="12" t="s">
        <v>489</v>
      </c>
      <c r="H74" s="37">
        <v>0</v>
      </c>
      <c r="I74" s="37">
        <v>0</v>
      </c>
      <c r="J74" s="37">
        <v>0</v>
      </c>
      <c r="K74" s="37">
        <v>0</v>
      </c>
      <c r="L74" s="37">
        <v>0</v>
      </c>
      <c r="M74" s="12" t="s">
        <v>489</v>
      </c>
      <c r="N74" s="37">
        <v>0</v>
      </c>
      <c r="O74" s="1">
        <f t="shared" si="1"/>
        <v>0</v>
      </c>
      <c r="P74" s="75" t="str">
        <f>IF(O74=0,"",_xlfn.XLOOKUP(D74,'6月份计划'!A:A,'6月份计划'!A:A))</f>
        <v/>
      </c>
    </row>
    <row r="75" s="1" customFormat="1" ht="15" customHeight="1" spans="1:16">
      <c r="A75" s="8" t="s">
        <v>444</v>
      </c>
      <c r="B75" s="11" t="s">
        <v>445</v>
      </c>
      <c r="C75" s="8" t="s">
        <v>41</v>
      </c>
      <c r="D75" s="11" t="s">
        <v>255</v>
      </c>
      <c r="E75" s="8" t="s">
        <v>41</v>
      </c>
      <c r="F75" s="8" t="s">
        <v>443</v>
      </c>
      <c r="G75" s="8" t="s">
        <v>447</v>
      </c>
      <c r="H75" s="36">
        <v>76429.75</v>
      </c>
      <c r="I75" s="36">
        <v>0</v>
      </c>
      <c r="J75" s="36">
        <v>41991.38</v>
      </c>
      <c r="K75" s="36">
        <v>662675.47</v>
      </c>
      <c r="L75" s="36">
        <v>414751.34</v>
      </c>
      <c r="M75" s="8" t="s">
        <v>447</v>
      </c>
      <c r="N75" s="36">
        <v>118421.13</v>
      </c>
      <c r="O75" s="1">
        <f t="shared" si="1"/>
        <v>118421.13</v>
      </c>
      <c r="P75" s="75" t="str">
        <f>IF(O75=0,"",_xlfn.XLOOKUP(D75,'6月份计划'!A:A,'6月份计划'!A:A))</f>
        <v>重庆光大产业有限公司</v>
      </c>
    </row>
    <row r="76" s="1" customFormat="1" ht="15" customHeight="1" spans="1:16">
      <c r="A76" s="12" t="s">
        <v>444</v>
      </c>
      <c r="B76" s="15" t="s">
        <v>445</v>
      </c>
      <c r="C76" s="12" t="s">
        <v>41</v>
      </c>
      <c r="D76" s="15" t="s">
        <v>256</v>
      </c>
      <c r="E76" s="12" t="s">
        <v>41</v>
      </c>
      <c r="F76" s="12" t="s">
        <v>443</v>
      </c>
      <c r="G76" s="12" t="s">
        <v>447</v>
      </c>
      <c r="H76" s="37">
        <v>3007431.14</v>
      </c>
      <c r="I76" s="37">
        <v>2898380.94</v>
      </c>
      <c r="J76" s="37">
        <v>2964465.11</v>
      </c>
      <c r="K76" s="37">
        <v>17804844.47</v>
      </c>
      <c r="L76" s="37">
        <v>15983726.41</v>
      </c>
      <c r="M76" s="12" t="s">
        <v>447</v>
      </c>
      <c r="N76" s="37">
        <v>3073515.31</v>
      </c>
      <c r="O76" s="1">
        <f t="shared" si="1"/>
        <v>3073515.31</v>
      </c>
      <c r="P76" s="75" t="str">
        <f>IF(O76=0,"",_xlfn.XLOOKUP(D76,'6月份计划'!A:A,'6月份计划'!A:A))</f>
        <v>湘乡简美工贸有限公司</v>
      </c>
    </row>
    <row r="77" s="1" customFormat="1" ht="15" hidden="1" customHeight="1" spans="1:16">
      <c r="A77" s="8" t="s">
        <v>444</v>
      </c>
      <c r="B77" s="11" t="s">
        <v>445</v>
      </c>
      <c r="C77" s="8" t="s">
        <v>41</v>
      </c>
      <c r="D77" s="11" t="s">
        <v>600</v>
      </c>
      <c r="E77" s="8" t="s">
        <v>41</v>
      </c>
      <c r="F77" s="8" t="s">
        <v>443</v>
      </c>
      <c r="G77" s="8" t="s">
        <v>447</v>
      </c>
      <c r="H77" s="36">
        <v>2607443.59</v>
      </c>
      <c r="I77" s="36">
        <v>0</v>
      </c>
      <c r="J77" s="36">
        <v>1730582.34</v>
      </c>
      <c r="K77" s="36">
        <v>0</v>
      </c>
      <c r="L77" s="36">
        <v>4338025.93</v>
      </c>
      <c r="M77" s="8" t="s">
        <v>447</v>
      </c>
      <c r="N77" s="36">
        <v>4338025.93</v>
      </c>
      <c r="O77" s="1">
        <f t="shared" si="1"/>
        <v>4338025.93</v>
      </c>
      <c r="P77" s="75" t="e">
        <f>IF(O77=0,"",_xlfn.XLOOKUP(D77,'6月份计划'!A:A,'6月份计划'!A:A))</f>
        <v>#N/A</v>
      </c>
    </row>
    <row r="78" s="1" customFormat="1" ht="15" hidden="1" customHeight="1" spans="1:16">
      <c r="A78" s="12" t="s">
        <v>444</v>
      </c>
      <c r="B78" s="15" t="s">
        <v>445</v>
      </c>
      <c r="C78" s="12" t="s">
        <v>41</v>
      </c>
      <c r="D78" s="15" t="s">
        <v>534</v>
      </c>
      <c r="E78" s="12" t="s">
        <v>41</v>
      </c>
      <c r="F78" s="12" t="s">
        <v>443</v>
      </c>
      <c r="G78" s="12" t="s">
        <v>489</v>
      </c>
      <c r="H78" s="37">
        <v>0</v>
      </c>
      <c r="I78" s="37">
        <v>122471</v>
      </c>
      <c r="J78" s="37">
        <v>222471</v>
      </c>
      <c r="K78" s="37">
        <v>204995</v>
      </c>
      <c r="L78" s="37">
        <v>222471</v>
      </c>
      <c r="M78" s="12" t="s">
        <v>447</v>
      </c>
      <c r="N78" s="37">
        <v>100000</v>
      </c>
      <c r="O78" s="1">
        <f t="shared" si="1"/>
        <v>100000</v>
      </c>
      <c r="P78" s="75" t="e">
        <f>IF(O78=0,"",_xlfn.XLOOKUP(D78,'6月份计划'!A:A,'6月份计划'!A:A))</f>
        <v>#N/A</v>
      </c>
    </row>
    <row r="79" s="1" customFormat="1" ht="15" customHeight="1" spans="1:16">
      <c r="A79" s="8" t="s">
        <v>444</v>
      </c>
      <c r="B79" s="11" t="s">
        <v>445</v>
      </c>
      <c r="C79" s="8" t="s">
        <v>41</v>
      </c>
      <c r="D79" s="11" t="s">
        <v>455</v>
      </c>
      <c r="E79" s="8" t="s">
        <v>41</v>
      </c>
      <c r="F79" s="8" t="s">
        <v>443</v>
      </c>
      <c r="G79" s="8" t="s">
        <v>489</v>
      </c>
      <c r="H79" s="36">
        <v>0</v>
      </c>
      <c r="I79" s="36">
        <v>0</v>
      </c>
      <c r="J79" s="36">
        <v>0</v>
      </c>
      <c r="K79" s="36">
        <v>241042</v>
      </c>
      <c r="L79" s="36">
        <v>0</v>
      </c>
      <c r="M79" s="8" t="s">
        <v>489</v>
      </c>
      <c r="N79" s="36">
        <v>0</v>
      </c>
      <c r="O79" s="1">
        <f t="shared" si="1"/>
        <v>0</v>
      </c>
      <c r="P79" s="75" t="str">
        <f>IF(O79=0,"",_xlfn.XLOOKUP(D79,'6月份计划'!A:A,'6月份计划'!A:A))</f>
        <v/>
      </c>
    </row>
    <row r="80" s="1" customFormat="1" ht="15" hidden="1" customHeight="1" spans="1:16">
      <c r="A80" s="12" t="s">
        <v>444</v>
      </c>
      <c r="B80" s="15" t="s">
        <v>445</v>
      </c>
      <c r="C80" s="12" t="s">
        <v>41</v>
      </c>
      <c r="D80" s="15" t="s">
        <v>456</v>
      </c>
      <c r="E80" s="12" t="s">
        <v>41</v>
      </c>
      <c r="F80" s="12" t="s">
        <v>443</v>
      </c>
      <c r="G80" s="12" t="s">
        <v>447</v>
      </c>
      <c r="H80" s="37">
        <v>115723.23</v>
      </c>
      <c r="I80" s="37">
        <v>0</v>
      </c>
      <c r="J80" s="37">
        <v>0</v>
      </c>
      <c r="K80" s="37">
        <v>344500</v>
      </c>
      <c r="L80" s="37">
        <v>144500</v>
      </c>
      <c r="M80" s="12" t="s">
        <v>447</v>
      </c>
      <c r="N80" s="37">
        <v>115723.23</v>
      </c>
      <c r="O80" s="1">
        <f t="shared" si="1"/>
        <v>115723.23</v>
      </c>
      <c r="P80" s="75" t="e">
        <f>IF(O80=0,"",_xlfn.XLOOKUP(D80,'6月份计划'!A:A,'6月份计划'!A:A))</f>
        <v>#N/A</v>
      </c>
    </row>
    <row r="81" s="1" customFormat="1" ht="15" hidden="1" customHeight="1" spans="1:16">
      <c r="A81" s="8" t="s">
        <v>444</v>
      </c>
      <c r="B81" s="11" t="s">
        <v>445</v>
      </c>
      <c r="C81" s="8" t="s">
        <v>41</v>
      </c>
      <c r="D81" s="11" t="s">
        <v>457</v>
      </c>
      <c r="E81" s="8" t="s">
        <v>41</v>
      </c>
      <c r="F81" s="8" t="s">
        <v>443</v>
      </c>
      <c r="G81" s="8" t="s">
        <v>447</v>
      </c>
      <c r="H81" s="36">
        <v>1400</v>
      </c>
      <c r="I81" s="36">
        <v>0</v>
      </c>
      <c r="J81" s="36">
        <v>0</v>
      </c>
      <c r="K81" s="36">
        <v>0</v>
      </c>
      <c r="L81" s="36">
        <v>0</v>
      </c>
      <c r="M81" s="8" t="s">
        <v>447</v>
      </c>
      <c r="N81" s="36">
        <v>1400</v>
      </c>
      <c r="O81" s="1">
        <f t="shared" si="1"/>
        <v>1400</v>
      </c>
      <c r="P81" s="75" t="e">
        <f>IF(O81=0,"",_xlfn.XLOOKUP(D81,'6月份计划'!A:A,'6月份计划'!A:A))</f>
        <v>#N/A</v>
      </c>
    </row>
    <row r="82" s="1" customFormat="1" ht="15" hidden="1" customHeight="1" spans="1:16">
      <c r="A82" s="12" t="s">
        <v>444</v>
      </c>
      <c r="B82" s="15" t="s">
        <v>445</v>
      </c>
      <c r="C82" s="12" t="s">
        <v>41</v>
      </c>
      <c r="D82" s="15" t="s">
        <v>458</v>
      </c>
      <c r="E82" s="12" t="s">
        <v>41</v>
      </c>
      <c r="F82" s="12" t="s">
        <v>443</v>
      </c>
      <c r="G82" s="12" t="s">
        <v>447</v>
      </c>
      <c r="H82" s="37">
        <v>5600</v>
      </c>
      <c r="I82" s="37">
        <v>0</v>
      </c>
      <c r="J82" s="37">
        <v>0</v>
      </c>
      <c r="K82" s="37">
        <v>0</v>
      </c>
      <c r="L82" s="37">
        <v>0</v>
      </c>
      <c r="M82" s="12" t="s">
        <v>447</v>
      </c>
      <c r="N82" s="37">
        <v>5600</v>
      </c>
      <c r="O82" s="1">
        <f t="shared" si="1"/>
        <v>5600</v>
      </c>
      <c r="P82" s="75" t="e">
        <f>IF(O82=0,"",_xlfn.XLOOKUP(D82,'6月份计划'!A:A,'6月份计划'!A:A))</f>
        <v>#N/A</v>
      </c>
    </row>
    <row r="83" s="1" customFormat="1" ht="15" hidden="1" customHeight="1" spans="1:16">
      <c r="A83" s="8" t="s">
        <v>444</v>
      </c>
      <c r="B83" s="11" t="s">
        <v>445</v>
      </c>
      <c r="C83" s="8" t="s">
        <v>41</v>
      </c>
      <c r="D83" s="11" t="s">
        <v>459</v>
      </c>
      <c r="E83" s="8" t="s">
        <v>41</v>
      </c>
      <c r="F83" s="8" t="s">
        <v>443</v>
      </c>
      <c r="G83" s="8" t="s">
        <v>447</v>
      </c>
      <c r="H83" s="36">
        <v>6250</v>
      </c>
      <c r="I83" s="36">
        <v>0</v>
      </c>
      <c r="J83" s="36">
        <v>0</v>
      </c>
      <c r="K83" s="36">
        <v>0</v>
      </c>
      <c r="L83" s="36">
        <v>0</v>
      </c>
      <c r="M83" s="8" t="s">
        <v>447</v>
      </c>
      <c r="N83" s="36">
        <v>6250</v>
      </c>
      <c r="O83" s="1">
        <f t="shared" si="1"/>
        <v>6250</v>
      </c>
      <c r="P83" s="75" t="e">
        <f>IF(O83=0,"",_xlfn.XLOOKUP(D83,'6月份计划'!A:A,'6月份计划'!A:A))</f>
        <v>#N/A</v>
      </c>
    </row>
    <row r="84" s="1" customFormat="1" ht="15" customHeight="1" spans="1:16">
      <c r="A84" s="12" t="s">
        <v>444</v>
      </c>
      <c r="B84" s="15" t="s">
        <v>445</v>
      </c>
      <c r="C84" s="12" t="s">
        <v>41</v>
      </c>
      <c r="D84" s="15" t="s">
        <v>535</v>
      </c>
      <c r="E84" s="12" t="s">
        <v>41</v>
      </c>
      <c r="F84" s="12" t="s">
        <v>443</v>
      </c>
      <c r="G84" s="12" t="s">
        <v>489</v>
      </c>
      <c r="H84" s="37">
        <v>0</v>
      </c>
      <c r="I84" s="37">
        <v>0</v>
      </c>
      <c r="J84" s="37">
        <v>0</v>
      </c>
      <c r="K84" s="37">
        <v>0</v>
      </c>
      <c r="L84" s="37">
        <v>0</v>
      </c>
      <c r="M84" s="12" t="s">
        <v>489</v>
      </c>
      <c r="N84" s="37">
        <v>0</v>
      </c>
      <c r="O84" s="1">
        <f t="shared" si="1"/>
        <v>0</v>
      </c>
      <c r="P84" s="75" t="str">
        <f>IF(O84=0,"",_xlfn.XLOOKUP(D84,'6月份计划'!A:A,'6月份计划'!A:A))</f>
        <v/>
      </c>
    </row>
    <row r="85" s="1" customFormat="1" ht="15" customHeight="1" spans="1:16">
      <c r="A85" s="8" t="s">
        <v>444</v>
      </c>
      <c r="B85" s="11" t="s">
        <v>445</v>
      </c>
      <c r="C85" s="8" t="s">
        <v>41</v>
      </c>
      <c r="D85" s="11" t="s">
        <v>460</v>
      </c>
      <c r="E85" s="8" t="s">
        <v>41</v>
      </c>
      <c r="F85" s="8" t="s">
        <v>443</v>
      </c>
      <c r="G85" s="8" t="s">
        <v>447</v>
      </c>
      <c r="H85" s="36">
        <v>12000</v>
      </c>
      <c r="I85" s="36">
        <v>45600</v>
      </c>
      <c r="J85" s="36">
        <v>33600</v>
      </c>
      <c r="K85" s="36">
        <v>45600</v>
      </c>
      <c r="L85" s="36">
        <v>33600</v>
      </c>
      <c r="M85" s="8" t="s">
        <v>489</v>
      </c>
      <c r="N85" s="36">
        <v>0</v>
      </c>
      <c r="O85" s="1">
        <f t="shared" si="1"/>
        <v>0</v>
      </c>
      <c r="P85" s="75" t="str">
        <f>IF(O85=0,"",_xlfn.XLOOKUP(D85,'6月份计划'!A:A,'6月份计划'!A:A))</f>
        <v/>
      </c>
    </row>
    <row r="86" s="1" customFormat="1" ht="15" customHeight="1" spans="1:16">
      <c r="A86" s="12" t="s">
        <v>444</v>
      </c>
      <c r="B86" s="15" t="s">
        <v>445</v>
      </c>
      <c r="C86" s="12" t="s">
        <v>41</v>
      </c>
      <c r="D86" s="15" t="s">
        <v>536</v>
      </c>
      <c r="E86" s="12" t="s">
        <v>41</v>
      </c>
      <c r="F86" s="12" t="s">
        <v>443</v>
      </c>
      <c r="G86" s="12" t="s">
        <v>489</v>
      </c>
      <c r="H86" s="37">
        <v>0</v>
      </c>
      <c r="I86" s="37">
        <v>0</v>
      </c>
      <c r="J86" s="37">
        <v>0</v>
      </c>
      <c r="K86" s="37">
        <v>0</v>
      </c>
      <c r="L86" s="37">
        <v>0</v>
      </c>
      <c r="M86" s="12" t="s">
        <v>489</v>
      </c>
      <c r="N86" s="37">
        <v>0</v>
      </c>
      <c r="O86" s="1">
        <f t="shared" si="1"/>
        <v>0</v>
      </c>
      <c r="P86" s="75" t="str">
        <f>IF(O86=0,"",_xlfn.XLOOKUP(D86,'6月份计划'!A:A,'6月份计划'!A:A))</f>
        <v/>
      </c>
    </row>
    <row r="87" s="1" customFormat="1" ht="15" customHeight="1" spans="1:16">
      <c r="A87" s="8" t="s">
        <v>444</v>
      </c>
      <c r="B87" s="11" t="s">
        <v>445</v>
      </c>
      <c r="C87" s="8" t="s">
        <v>41</v>
      </c>
      <c r="D87" s="11" t="s">
        <v>413</v>
      </c>
      <c r="E87" s="8" t="s">
        <v>41</v>
      </c>
      <c r="F87" s="8" t="s">
        <v>443</v>
      </c>
      <c r="G87" s="8" t="s">
        <v>489</v>
      </c>
      <c r="H87" s="36">
        <v>0</v>
      </c>
      <c r="I87" s="36">
        <v>0</v>
      </c>
      <c r="J87" s="36">
        <v>0</v>
      </c>
      <c r="K87" s="36">
        <v>0</v>
      </c>
      <c r="L87" s="36">
        <v>0</v>
      </c>
      <c r="M87" s="8" t="s">
        <v>489</v>
      </c>
      <c r="N87" s="36">
        <v>0</v>
      </c>
      <c r="O87" s="1">
        <f t="shared" si="1"/>
        <v>0</v>
      </c>
      <c r="P87" s="75" t="str">
        <f>IF(O87=0,"",_xlfn.XLOOKUP(D87,'6月份计划'!A:A,'6月份计划'!A:A))</f>
        <v/>
      </c>
    </row>
    <row r="88" s="1" customFormat="1" ht="15" customHeight="1" spans="1:16">
      <c r="A88" s="12" t="s">
        <v>444</v>
      </c>
      <c r="B88" s="15" t="s">
        <v>445</v>
      </c>
      <c r="C88" s="12" t="s">
        <v>41</v>
      </c>
      <c r="D88" s="15" t="s">
        <v>537</v>
      </c>
      <c r="E88" s="12" t="s">
        <v>41</v>
      </c>
      <c r="F88" s="12" t="s">
        <v>443</v>
      </c>
      <c r="G88" s="12" t="s">
        <v>489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12" t="s">
        <v>489</v>
      </c>
      <c r="N88" s="37">
        <v>0</v>
      </c>
      <c r="O88" s="1">
        <f t="shared" si="1"/>
        <v>0</v>
      </c>
      <c r="P88" s="75" t="str">
        <f>IF(O88=0,"",_xlfn.XLOOKUP(D88,'6月份计划'!A:A,'6月份计划'!A:A))</f>
        <v/>
      </c>
    </row>
    <row r="89" s="1" customFormat="1" ht="15" customHeight="1" spans="1:16">
      <c r="A89" s="8" t="s">
        <v>444</v>
      </c>
      <c r="B89" s="11" t="s">
        <v>445</v>
      </c>
      <c r="C89" s="8" t="s">
        <v>41</v>
      </c>
      <c r="D89" s="11" t="s">
        <v>538</v>
      </c>
      <c r="E89" s="8" t="s">
        <v>41</v>
      </c>
      <c r="F89" s="8" t="s">
        <v>443</v>
      </c>
      <c r="G89" s="8" t="s">
        <v>489</v>
      </c>
      <c r="H89" s="36">
        <v>0</v>
      </c>
      <c r="I89" s="36">
        <v>0</v>
      </c>
      <c r="J89" s="36">
        <v>0</v>
      </c>
      <c r="K89" s="36">
        <v>0</v>
      </c>
      <c r="L89" s="36">
        <v>0</v>
      </c>
      <c r="M89" s="8" t="s">
        <v>489</v>
      </c>
      <c r="N89" s="36">
        <v>0</v>
      </c>
      <c r="O89" s="1">
        <f t="shared" si="1"/>
        <v>0</v>
      </c>
      <c r="P89" s="75" t="str">
        <f>IF(O89=0,"",_xlfn.XLOOKUP(D89,'6月份计划'!A:A,'6月份计划'!A:A))</f>
        <v/>
      </c>
    </row>
    <row r="90" s="1" customFormat="1" ht="15" customHeight="1" spans="1:16">
      <c r="A90" s="12" t="s">
        <v>444</v>
      </c>
      <c r="B90" s="15" t="s">
        <v>445</v>
      </c>
      <c r="C90" s="12" t="s">
        <v>41</v>
      </c>
      <c r="D90" s="15" t="s">
        <v>271</v>
      </c>
      <c r="E90" s="12" t="s">
        <v>41</v>
      </c>
      <c r="F90" s="12" t="s">
        <v>443</v>
      </c>
      <c r="G90" s="12" t="s">
        <v>447</v>
      </c>
      <c r="H90" s="37">
        <v>22774.59</v>
      </c>
      <c r="I90" s="37">
        <v>0</v>
      </c>
      <c r="J90" s="37">
        <v>0</v>
      </c>
      <c r="K90" s="37">
        <v>0</v>
      </c>
      <c r="L90" s="37">
        <v>0</v>
      </c>
      <c r="M90" s="12" t="s">
        <v>447</v>
      </c>
      <c r="N90" s="37">
        <v>22774.59</v>
      </c>
      <c r="O90" s="1">
        <f t="shared" si="1"/>
        <v>22774.59</v>
      </c>
      <c r="P90" s="75" t="str">
        <f>IF(O90=0,"",_xlfn.XLOOKUP(D90,'6月份计划'!A:A,'6月份计划'!A:A))</f>
        <v>山东鼎信新材料科技有限公司</v>
      </c>
    </row>
    <row r="91" s="1" customFormat="1" ht="15" customHeight="1" spans="1:16">
      <c r="A91" s="8" t="s">
        <v>444</v>
      </c>
      <c r="B91" s="11" t="s">
        <v>445</v>
      </c>
      <c r="C91" s="8" t="s">
        <v>41</v>
      </c>
      <c r="D91" s="11" t="s">
        <v>272</v>
      </c>
      <c r="E91" s="8" t="s">
        <v>41</v>
      </c>
      <c r="F91" s="8" t="s">
        <v>443</v>
      </c>
      <c r="G91" s="8" t="s">
        <v>447</v>
      </c>
      <c r="H91" s="36">
        <v>360169.61</v>
      </c>
      <c r="I91" s="36">
        <v>150000</v>
      </c>
      <c r="J91" s="36">
        <v>48003.42</v>
      </c>
      <c r="K91" s="36">
        <v>878471.91</v>
      </c>
      <c r="L91" s="36">
        <v>583881.98</v>
      </c>
      <c r="M91" s="8" t="s">
        <v>447</v>
      </c>
      <c r="N91" s="36">
        <v>258173.03</v>
      </c>
      <c r="O91" s="1">
        <f t="shared" si="1"/>
        <v>258173.03</v>
      </c>
      <c r="P91" s="75" t="str">
        <f>IF(O91=0,"",_xlfn.XLOOKUP(D91,'6月份计划'!A:A,'6月份计划'!A:A))</f>
        <v>湖南诺亿科技有限公司</v>
      </c>
    </row>
    <row r="92" s="1" customFormat="1" ht="15" customHeight="1" spans="1:16">
      <c r="A92" s="12" t="s">
        <v>444</v>
      </c>
      <c r="B92" s="15" t="s">
        <v>445</v>
      </c>
      <c r="C92" s="12" t="s">
        <v>41</v>
      </c>
      <c r="D92" s="15" t="s">
        <v>572</v>
      </c>
      <c r="E92" s="12" t="s">
        <v>41</v>
      </c>
      <c r="F92" s="12" t="s">
        <v>443</v>
      </c>
      <c r="G92" s="12" t="s">
        <v>489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12" t="s">
        <v>489</v>
      </c>
      <c r="N92" s="37">
        <v>0</v>
      </c>
      <c r="O92" s="1">
        <f t="shared" si="1"/>
        <v>0</v>
      </c>
      <c r="P92" s="75" t="str">
        <f>IF(O92=0,"",_xlfn.XLOOKUP(D92,'6月份计划'!A:A,'6月份计划'!A:A))</f>
        <v/>
      </c>
    </row>
    <row r="93" s="1" customFormat="1" ht="15" customHeight="1" spans="1:16">
      <c r="A93" s="8" t="s">
        <v>444</v>
      </c>
      <c r="B93" s="11" t="s">
        <v>445</v>
      </c>
      <c r="C93" s="8" t="s">
        <v>41</v>
      </c>
      <c r="D93" s="11" t="s">
        <v>573</v>
      </c>
      <c r="E93" s="8" t="s">
        <v>41</v>
      </c>
      <c r="F93" s="8" t="s">
        <v>443</v>
      </c>
      <c r="G93" s="8" t="s">
        <v>489</v>
      </c>
      <c r="H93" s="36">
        <v>0</v>
      </c>
      <c r="I93" s="36">
        <v>0</v>
      </c>
      <c r="J93" s="36">
        <v>0</v>
      </c>
      <c r="K93" s="36">
        <v>0</v>
      </c>
      <c r="L93" s="36">
        <v>0</v>
      </c>
      <c r="M93" s="8" t="s">
        <v>489</v>
      </c>
      <c r="N93" s="36">
        <v>0</v>
      </c>
      <c r="O93" s="1">
        <f t="shared" si="1"/>
        <v>0</v>
      </c>
      <c r="P93" s="75" t="str">
        <f>IF(O93=0,"",_xlfn.XLOOKUP(D93,'6月份计划'!A:A,'6月份计划'!A:A))</f>
        <v/>
      </c>
    </row>
    <row r="94" s="1" customFormat="1" ht="15" customHeight="1" spans="1:16">
      <c r="A94" s="12" t="s">
        <v>444</v>
      </c>
      <c r="B94" s="15" t="s">
        <v>445</v>
      </c>
      <c r="C94" s="12" t="s">
        <v>41</v>
      </c>
      <c r="D94" s="15" t="s">
        <v>273</v>
      </c>
      <c r="E94" s="12" t="s">
        <v>41</v>
      </c>
      <c r="F94" s="12" t="s">
        <v>443</v>
      </c>
      <c r="G94" s="12" t="s">
        <v>447</v>
      </c>
      <c r="H94" s="37">
        <v>183755.27</v>
      </c>
      <c r="I94" s="37">
        <v>0</v>
      </c>
      <c r="J94" s="37">
        <v>164185.61</v>
      </c>
      <c r="K94" s="37">
        <v>51764.98</v>
      </c>
      <c r="L94" s="37">
        <v>367940.88</v>
      </c>
      <c r="M94" s="12" t="s">
        <v>447</v>
      </c>
      <c r="N94" s="37">
        <v>347940.88</v>
      </c>
      <c r="O94" s="1">
        <f t="shared" si="1"/>
        <v>347940.88</v>
      </c>
      <c r="P94" s="75" t="str">
        <f>IF(O94=0,"",_xlfn.XLOOKUP(D94,'6月份计划'!A:A,'6月份计划'!A:A))</f>
        <v>长春超力内饰件有限公司</v>
      </c>
    </row>
    <row r="95" s="1" customFormat="1" ht="15" customHeight="1" spans="1:16">
      <c r="A95" s="8" t="s">
        <v>444</v>
      </c>
      <c r="B95" s="11" t="s">
        <v>445</v>
      </c>
      <c r="C95" s="8" t="s">
        <v>41</v>
      </c>
      <c r="D95" s="11" t="s">
        <v>574</v>
      </c>
      <c r="E95" s="8" t="s">
        <v>41</v>
      </c>
      <c r="F95" s="8" t="s">
        <v>443</v>
      </c>
      <c r="G95" s="8" t="s">
        <v>489</v>
      </c>
      <c r="H95" s="36">
        <v>0</v>
      </c>
      <c r="I95" s="36">
        <v>0</v>
      </c>
      <c r="J95" s="36">
        <v>0</v>
      </c>
      <c r="K95" s="36">
        <v>0</v>
      </c>
      <c r="L95" s="36">
        <v>0</v>
      </c>
      <c r="M95" s="8" t="s">
        <v>489</v>
      </c>
      <c r="N95" s="36">
        <v>0</v>
      </c>
      <c r="O95" s="1">
        <f t="shared" si="1"/>
        <v>0</v>
      </c>
      <c r="P95" s="75" t="str">
        <f>IF(O95=0,"",_xlfn.XLOOKUP(D95,'6月份计划'!A:A,'6月份计划'!A:A))</f>
        <v/>
      </c>
    </row>
    <row r="96" s="1" customFormat="1" ht="15" customHeight="1" spans="1:16">
      <c r="A96" s="8" t="s">
        <v>444</v>
      </c>
      <c r="B96" s="11" t="s">
        <v>445</v>
      </c>
      <c r="C96" s="8" t="s">
        <v>41</v>
      </c>
      <c r="D96" s="11" t="s">
        <v>302</v>
      </c>
      <c r="E96" s="8" t="s">
        <v>41</v>
      </c>
      <c r="F96" s="8" t="s">
        <v>443</v>
      </c>
      <c r="G96" s="8" t="s">
        <v>447</v>
      </c>
      <c r="H96" s="36">
        <v>72571.67</v>
      </c>
      <c r="I96" s="36">
        <v>0</v>
      </c>
      <c r="J96" s="36">
        <v>0</v>
      </c>
      <c r="K96" s="36">
        <v>250000</v>
      </c>
      <c r="L96" s="36">
        <v>34893.27</v>
      </c>
      <c r="M96" s="8" t="s">
        <v>447</v>
      </c>
      <c r="N96" s="36">
        <v>72571.67</v>
      </c>
      <c r="O96" s="1">
        <f t="shared" si="1"/>
        <v>72571.67</v>
      </c>
      <c r="P96" s="75" t="str">
        <f>IF(O96=0,"",_xlfn.XLOOKUP(D96,'6月份计划'!A:A,'6月份计划'!A:A))</f>
        <v>重庆市宏立摩托车制造有限公司</v>
      </c>
    </row>
    <row r="97" s="1" customFormat="1" ht="15" customHeight="1" spans="1:16">
      <c r="A97" s="12" t="s">
        <v>444</v>
      </c>
      <c r="B97" s="15" t="s">
        <v>445</v>
      </c>
      <c r="C97" s="12" t="s">
        <v>41</v>
      </c>
      <c r="D97" s="15" t="s">
        <v>575</v>
      </c>
      <c r="E97" s="12" t="s">
        <v>41</v>
      </c>
      <c r="F97" s="12" t="s">
        <v>443</v>
      </c>
      <c r="G97" s="12" t="s">
        <v>489</v>
      </c>
      <c r="H97" s="37">
        <v>0</v>
      </c>
      <c r="I97" s="37">
        <v>0</v>
      </c>
      <c r="J97" s="37">
        <v>0</v>
      </c>
      <c r="K97" s="37">
        <v>0</v>
      </c>
      <c r="L97" s="37">
        <v>0</v>
      </c>
      <c r="M97" s="12" t="s">
        <v>489</v>
      </c>
      <c r="N97" s="37">
        <v>0</v>
      </c>
      <c r="O97" s="1">
        <f t="shared" si="1"/>
        <v>0</v>
      </c>
      <c r="P97" s="75" t="str">
        <f>IF(O97=0,"",_xlfn.XLOOKUP(D97,'6月份计划'!A:A,'6月份计划'!A:A))</f>
        <v/>
      </c>
    </row>
    <row r="98" s="1" customFormat="1" ht="15" customHeight="1" spans="1:16">
      <c r="A98" s="8" t="s">
        <v>444</v>
      </c>
      <c r="B98" s="11" t="s">
        <v>445</v>
      </c>
      <c r="C98" s="8" t="s">
        <v>41</v>
      </c>
      <c r="D98" s="11" t="s">
        <v>576</v>
      </c>
      <c r="E98" s="8" t="s">
        <v>41</v>
      </c>
      <c r="F98" s="8" t="s">
        <v>443</v>
      </c>
      <c r="G98" s="8" t="s">
        <v>489</v>
      </c>
      <c r="H98" s="36">
        <v>0</v>
      </c>
      <c r="I98" s="36">
        <v>0</v>
      </c>
      <c r="J98" s="36">
        <v>0</v>
      </c>
      <c r="K98" s="36">
        <v>0</v>
      </c>
      <c r="L98" s="36">
        <v>0</v>
      </c>
      <c r="M98" s="8" t="s">
        <v>489</v>
      </c>
      <c r="N98" s="36">
        <v>0</v>
      </c>
      <c r="O98" s="1">
        <f t="shared" si="1"/>
        <v>0</v>
      </c>
      <c r="P98" s="75" t="str">
        <f>IF(O98=0,"",_xlfn.XLOOKUP(D98,'6月份计划'!A:A,'6月份计划'!A:A))</f>
        <v/>
      </c>
    </row>
    <row r="99" s="1" customFormat="1" ht="15" customHeight="1" spans="1:16">
      <c r="A99" s="12" t="s">
        <v>444</v>
      </c>
      <c r="B99" s="15" t="s">
        <v>445</v>
      </c>
      <c r="C99" s="12" t="s">
        <v>41</v>
      </c>
      <c r="D99" s="15" t="s">
        <v>577</v>
      </c>
      <c r="E99" s="12" t="s">
        <v>41</v>
      </c>
      <c r="F99" s="12" t="s">
        <v>443</v>
      </c>
      <c r="G99" s="12" t="s">
        <v>489</v>
      </c>
      <c r="H99" s="37">
        <v>0</v>
      </c>
      <c r="I99" s="37">
        <v>0</v>
      </c>
      <c r="J99" s="37">
        <v>0</v>
      </c>
      <c r="K99" s="37">
        <v>0</v>
      </c>
      <c r="L99" s="37">
        <v>0</v>
      </c>
      <c r="M99" s="12" t="s">
        <v>489</v>
      </c>
      <c r="N99" s="37">
        <v>0</v>
      </c>
      <c r="O99" s="1">
        <f t="shared" si="1"/>
        <v>0</v>
      </c>
      <c r="P99" s="75" t="str">
        <f>IF(O99=0,"",_xlfn.XLOOKUP(D99,'6月份计划'!A:A,'6月份计划'!A:A))</f>
        <v/>
      </c>
    </row>
    <row r="100" s="1" customFormat="1" ht="15" customHeight="1" spans="1:16">
      <c r="A100" s="8" t="s">
        <v>444</v>
      </c>
      <c r="B100" s="11" t="s">
        <v>445</v>
      </c>
      <c r="C100" s="8" t="s">
        <v>41</v>
      </c>
      <c r="D100" s="11" t="s">
        <v>303</v>
      </c>
      <c r="E100" s="8" t="s">
        <v>41</v>
      </c>
      <c r="F100" s="8" t="s">
        <v>443</v>
      </c>
      <c r="G100" s="8" t="s">
        <v>447</v>
      </c>
      <c r="H100" s="36">
        <v>299478</v>
      </c>
      <c r="I100" s="36">
        <v>299478</v>
      </c>
      <c r="J100" s="36">
        <v>0</v>
      </c>
      <c r="K100" s="36">
        <v>1640938.5</v>
      </c>
      <c r="L100" s="36">
        <v>1374314</v>
      </c>
      <c r="M100" s="8" t="s">
        <v>489</v>
      </c>
      <c r="N100" s="36">
        <v>0</v>
      </c>
      <c r="O100" s="1">
        <f t="shared" si="1"/>
        <v>0</v>
      </c>
      <c r="P100" s="75" t="str">
        <f>IF(O100=0,"",_xlfn.XLOOKUP(D100,'6月份计划'!A:A,'6月份计划'!A:A))</f>
        <v/>
      </c>
    </row>
    <row r="101" s="1" customFormat="1" ht="15" customHeight="1" spans="1:16">
      <c r="A101" s="12" t="s">
        <v>444</v>
      </c>
      <c r="B101" s="15" t="s">
        <v>445</v>
      </c>
      <c r="C101" s="12" t="s">
        <v>41</v>
      </c>
      <c r="D101" s="15" t="s">
        <v>274</v>
      </c>
      <c r="E101" s="12" t="s">
        <v>41</v>
      </c>
      <c r="F101" s="12" t="s">
        <v>443</v>
      </c>
      <c r="G101" s="12" t="s">
        <v>447</v>
      </c>
      <c r="H101" s="37">
        <v>280465.08</v>
      </c>
      <c r="I101" s="37">
        <v>0</v>
      </c>
      <c r="J101" s="37">
        <v>-21953.05</v>
      </c>
      <c r="K101" s="37">
        <v>150000</v>
      </c>
      <c r="L101" s="37">
        <v>84607.09</v>
      </c>
      <c r="M101" s="12" t="s">
        <v>447</v>
      </c>
      <c r="N101" s="37">
        <v>258512.03</v>
      </c>
      <c r="O101" s="1">
        <f t="shared" si="1"/>
        <v>258512.03</v>
      </c>
      <c r="P101" s="75" t="str">
        <f>IF(O101=0,"",_xlfn.XLOOKUP(D101,'6月份计划'!A:A,'6月份计划'!A:A))</f>
        <v>湖南裕腾兴汽车配件有限公司</v>
      </c>
    </row>
    <row r="102" s="1" customFormat="1" ht="15" hidden="1" customHeight="1" spans="1:16">
      <c r="A102" s="8" t="s">
        <v>444</v>
      </c>
      <c r="B102" s="11" t="s">
        <v>445</v>
      </c>
      <c r="C102" s="8" t="s">
        <v>41</v>
      </c>
      <c r="D102" s="11" t="s">
        <v>486</v>
      </c>
      <c r="E102" s="8" t="s">
        <v>41</v>
      </c>
      <c r="F102" s="8" t="s">
        <v>443</v>
      </c>
      <c r="G102" s="8" t="s">
        <v>453</v>
      </c>
      <c r="H102" s="36">
        <v>27216</v>
      </c>
      <c r="I102" s="36">
        <v>0</v>
      </c>
      <c r="J102" s="36">
        <v>0</v>
      </c>
      <c r="K102" s="36">
        <v>0</v>
      </c>
      <c r="L102" s="36">
        <v>0</v>
      </c>
      <c r="M102" s="8" t="s">
        <v>453</v>
      </c>
      <c r="N102" s="36">
        <v>27216</v>
      </c>
      <c r="O102" s="1">
        <f t="shared" si="1"/>
        <v>-27216</v>
      </c>
      <c r="P102" s="75" t="e">
        <f>IF(O102=0,"",_xlfn.XLOOKUP(D102,'6月份计划'!A:A,'6月份计划'!A:A))</f>
        <v>#N/A</v>
      </c>
    </row>
    <row r="103" s="1" customFormat="1" ht="15" customHeight="1" spans="1:16">
      <c r="A103" s="12" t="s">
        <v>444</v>
      </c>
      <c r="B103" s="15" t="s">
        <v>445</v>
      </c>
      <c r="C103" s="12" t="s">
        <v>41</v>
      </c>
      <c r="D103" s="15" t="s">
        <v>578</v>
      </c>
      <c r="E103" s="12" t="s">
        <v>41</v>
      </c>
      <c r="F103" s="12" t="s">
        <v>443</v>
      </c>
      <c r="G103" s="12" t="s">
        <v>489</v>
      </c>
      <c r="H103" s="37">
        <v>0</v>
      </c>
      <c r="I103" s="37">
        <v>0</v>
      </c>
      <c r="J103" s="37">
        <v>0</v>
      </c>
      <c r="K103" s="37">
        <v>0</v>
      </c>
      <c r="L103" s="37">
        <v>0</v>
      </c>
      <c r="M103" s="12" t="s">
        <v>489</v>
      </c>
      <c r="N103" s="37">
        <v>0</v>
      </c>
      <c r="O103" s="1">
        <f t="shared" si="1"/>
        <v>0</v>
      </c>
      <c r="P103" s="75" t="str">
        <f>IF(O103=0,"",_xlfn.XLOOKUP(D103,'6月份计划'!A:A,'6月份计划'!A:A))</f>
        <v/>
      </c>
    </row>
    <row r="104" s="1" customFormat="1" ht="15" customHeight="1" spans="1:16">
      <c r="A104" s="8" t="s">
        <v>444</v>
      </c>
      <c r="B104" s="11" t="s">
        <v>445</v>
      </c>
      <c r="C104" s="8" t="s">
        <v>41</v>
      </c>
      <c r="D104" s="11" t="s">
        <v>579</v>
      </c>
      <c r="E104" s="8" t="s">
        <v>41</v>
      </c>
      <c r="F104" s="8" t="s">
        <v>443</v>
      </c>
      <c r="G104" s="8" t="s">
        <v>489</v>
      </c>
      <c r="H104" s="36">
        <v>0</v>
      </c>
      <c r="I104" s="36">
        <v>0</v>
      </c>
      <c r="J104" s="36">
        <v>0</v>
      </c>
      <c r="K104" s="36">
        <v>0</v>
      </c>
      <c r="L104" s="36">
        <v>22780.8</v>
      </c>
      <c r="M104" s="8" t="s">
        <v>489</v>
      </c>
      <c r="N104" s="36">
        <v>0</v>
      </c>
      <c r="O104" s="1">
        <f t="shared" si="1"/>
        <v>0</v>
      </c>
      <c r="P104" s="75" t="str">
        <f>IF(O104=0,"",_xlfn.XLOOKUP(D104,'6月份计划'!A:A,'6月份计划'!A:A))</f>
        <v/>
      </c>
    </row>
    <row r="105" s="1" customFormat="1" ht="15" customHeight="1" spans="1:16">
      <c r="A105" s="12" t="s">
        <v>444</v>
      </c>
      <c r="B105" s="15" t="s">
        <v>445</v>
      </c>
      <c r="C105" s="12" t="s">
        <v>41</v>
      </c>
      <c r="D105" s="15" t="s">
        <v>275</v>
      </c>
      <c r="E105" s="12" t="s">
        <v>41</v>
      </c>
      <c r="F105" s="12" t="s">
        <v>443</v>
      </c>
      <c r="G105" s="12" t="s">
        <v>447</v>
      </c>
      <c r="H105" s="37">
        <v>26646.6</v>
      </c>
      <c r="I105" s="37">
        <v>0</v>
      </c>
      <c r="J105" s="37">
        <v>0</v>
      </c>
      <c r="K105" s="37">
        <v>48091.85</v>
      </c>
      <c r="L105" s="37">
        <v>32353.33</v>
      </c>
      <c r="M105" s="12" t="s">
        <v>447</v>
      </c>
      <c r="N105" s="37">
        <v>26646.6</v>
      </c>
      <c r="O105" s="1">
        <f t="shared" si="1"/>
        <v>26646.6</v>
      </c>
      <c r="P105" s="75" t="str">
        <f>IF(O105=0,"",_xlfn.XLOOKUP(D105,'6月份计划'!A:A,'6月份计划'!A:A))</f>
        <v>株洲诚康实业有限责任公司</v>
      </c>
    </row>
    <row r="106" s="1" customFormat="1" ht="15" customHeight="1" spans="1:16">
      <c r="A106" s="8" t="s">
        <v>444</v>
      </c>
      <c r="B106" s="11" t="s">
        <v>445</v>
      </c>
      <c r="C106" s="8" t="s">
        <v>41</v>
      </c>
      <c r="D106" s="11" t="s">
        <v>281</v>
      </c>
      <c r="E106" s="8" t="s">
        <v>41</v>
      </c>
      <c r="F106" s="8" t="s">
        <v>443</v>
      </c>
      <c r="G106" s="8" t="s">
        <v>447</v>
      </c>
      <c r="H106" s="36">
        <v>19152</v>
      </c>
      <c r="I106" s="36">
        <v>9576</v>
      </c>
      <c r="J106" s="36">
        <v>0</v>
      </c>
      <c r="K106" s="36">
        <v>54720</v>
      </c>
      <c r="L106" s="36">
        <v>28728</v>
      </c>
      <c r="M106" s="8" t="s">
        <v>447</v>
      </c>
      <c r="N106" s="36">
        <v>9576</v>
      </c>
      <c r="O106" s="1">
        <f t="shared" si="1"/>
        <v>9576</v>
      </c>
      <c r="P106" s="75" t="str">
        <f>IF(O106=0,"",_xlfn.XLOOKUP(D106,'6月份计划'!A:A,'6月份计划'!A:A))</f>
        <v>湖南奥瑞格工贸有限公司</v>
      </c>
    </row>
    <row r="107" s="1" customFormat="1" ht="15" customHeight="1" spans="1:16">
      <c r="A107" s="12" t="s">
        <v>444</v>
      </c>
      <c r="B107" s="15" t="s">
        <v>445</v>
      </c>
      <c r="C107" s="12" t="s">
        <v>41</v>
      </c>
      <c r="D107" s="15" t="s">
        <v>580</v>
      </c>
      <c r="E107" s="12" t="s">
        <v>41</v>
      </c>
      <c r="F107" s="12" t="s">
        <v>443</v>
      </c>
      <c r="G107" s="12" t="s">
        <v>489</v>
      </c>
      <c r="H107" s="37">
        <v>0</v>
      </c>
      <c r="I107" s="37">
        <v>0</v>
      </c>
      <c r="J107" s="37">
        <v>0</v>
      </c>
      <c r="K107" s="37">
        <v>0</v>
      </c>
      <c r="L107" s="37">
        <v>0</v>
      </c>
      <c r="M107" s="12" t="s">
        <v>489</v>
      </c>
      <c r="N107" s="37">
        <v>0</v>
      </c>
      <c r="O107" s="1">
        <f t="shared" si="1"/>
        <v>0</v>
      </c>
      <c r="P107" s="75" t="str">
        <f>IF(O107=0,"",_xlfn.XLOOKUP(D107,'6月份计划'!A:A,'6月份计划'!A:A))</f>
        <v/>
      </c>
    </row>
    <row r="108" s="1" customFormat="1" ht="15" customHeight="1" spans="1:16">
      <c r="A108" s="8" t="s">
        <v>444</v>
      </c>
      <c r="B108" s="11" t="s">
        <v>445</v>
      </c>
      <c r="C108" s="8" t="s">
        <v>41</v>
      </c>
      <c r="D108" s="11" t="s">
        <v>581</v>
      </c>
      <c r="E108" s="8" t="s">
        <v>41</v>
      </c>
      <c r="F108" s="8" t="s">
        <v>443</v>
      </c>
      <c r="G108" s="8" t="s">
        <v>489</v>
      </c>
      <c r="H108" s="36">
        <v>0</v>
      </c>
      <c r="I108" s="36">
        <v>0</v>
      </c>
      <c r="J108" s="36">
        <v>0</v>
      </c>
      <c r="K108" s="36">
        <v>0</v>
      </c>
      <c r="L108" s="36">
        <v>0</v>
      </c>
      <c r="M108" s="8" t="s">
        <v>489</v>
      </c>
      <c r="N108" s="36">
        <v>0</v>
      </c>
      <c r="O108" s="1">
        <f t="shared" si="1"/>
        <v>0</v>
      </c>
      <c r="P108" s="75" t="str">
        <f>IF(O108=0,"",_xlfn.XLOOKUP(D108,'6月份计划'!A:A,'6月份计划'!A:A))</f>
        <v/>
      </c>
    </row>
    <row r="109" s="1" customFormat="1" ht="15" customHeight="1" spans="1:16">
      <c r="A109" s="12" t="s">
        <v>444</v>
      </c>
      <c r="B109" s="15" t="s">
        <v>445</v>
      </c>
      <c r="C109" s="12" t="s">
        <v>41</v>
      </c>
      <c r="D109" s="15" t="s">
        <v>408</v>
      </c>
      <c r="E109" s="12" t="s">
        <v>41</v>
      </c>
      <c r="F109" s="12" t="s">
        <v>443</v>
      </c>
      <c r="G109" s="12" t="s">
        <v>489</v>
      </c>
      <c r="H109" s="37">
        <v>0</v>
      </c>
      <c r="I109" s="37">
        <v>0</v>
      </c>
      <c r="J109" s="37">
        <v>0</v>
      </c>
      <c r="K109" s="37">
        <v>14278.43</v>
      </c>
      <c r="L109" s="37">
        <v>0</v>
      </c>
      <c r="M109" s="12" t="s">
        <v>489</v>
      </c>
      <c r="N109" s="37">
        <v>0</v>
      </c>
      <c r="O109" s="1">
        <f t="shared" si="1"/>
        <v>0</v>
      </c>
      <c r="P109" s="75" t="str">
        <f>IF(O109=0,"",_xlfn.XLOOKUP(D109,'6月份计划'!A:A,'6月份计划'!A:A))</f>
        <v/>
      </c>
    </row>
    <row r="110" s="1" customFormat="1" ht="15" customHeight="1" spans="1:16">
      <c r="A110" s="8" t="s">
        <v>444</v>
      </c>
      <c r="B110" s="11" t="s">
        <v>445</v>
      </c>
      <c r="C110" s="8" t="s">
        <v>41</v>
      </c>
      <c r="D110" s="11" t="s">
        <v>284</v>
      </c>
      <c r="E110" s="8" t="s">
        <v>41</v>
      </c>
      <c r="F110" s="8" t="s">
        <v>443</v>
      </c>
      <c r="G110" s="8" t="s">
        <v>447</v>
      </c>
      <c r="H110" s="36">
        <v>184617.87</v>
      </c>
      <c r="I110" s="36">
        <v>100000</v>
      </c>
      <c r="J110" s="36">
        <v>6871.41</v>
      </c>
      <c r="K110" s="36">
        <v>101850.69</v>
      </c>
      <c r="L110" s="36">
        <v>191489.28</v>
      </c>
      <c r="M110" s="8" t="s">
        <v>447</v>
      </c>
      <c r="N110" s="36">
        <v>91489.28</v>
      </c>
      <c r="O110" s="1">
        <f t="shared" si="1"/>
        <v>91489.28</v>
      </c>
      <c r="P110" s="75" t="str">
        <f>IF(O110=0,"",_xlfn.XLOOKUP(D110,'6月份计划'!A:A,'6月份计划'!A:A))</f>
        <v>湖南兴天宏实业有限公司</v>
      </c>
    </row>
    <row r="111" s="1" customFormat="1" ht="15" customHeight="1" spans="1:16">
      <c r="A111" s="12" t="s">
        <v>444</v>
      </c>
      <c r="B111" s="15" t="s">
        <v>445</v>
      </c>
      <c r="C111" s="12" t="s">
        <v>41</v>
      </c>
      <c r="D111" s="15" t="s">
        <v>582</v>
      </c>
      <c r="E111" s="12" t="s">
        <v>41</v>
      </c>
      <c r="F111" s="12" t="s">
        <v>443</v>
      </c>
      <c r="G111" s="12" t="s">
        <v>489</v>
      </c>
      <c r="H111" s="37">
        <v>0</v>
      </c>
      <c r="I111" s="37">
        <v>0</v>
      </c>
      <c r="J111" s="37">
        <v>0</v>
      </c>
      <c r="K111" s="37">
        <v>0</v>
      </c>
      <c r="L111" s="37">
        <v>0</v>
      </c>
      <c r="M111" s="12" t="s">
        <v>489</v>
      </c>
      <c r="N111" s="37">
        <v>0</v>
      </c>
      <c r="O111" s="1">
        <f t="shared" si="1"/>
        <v>0</v>
      </c>
      <c r="P111" s="75" t="str">
        <f>IF(O111=0,"",_xlfn.XLOOKUP(D111,'6月份计划'!A:A,'6月份计划'!A:A))</f>
        <v/>
      </c>
    </row>
    <row r="112" s="1" customFormat="1" ht="15" hidden="1" customHeight="1" spans="1:16">
      <c r="A112" s="8" t="s">
        <v>444</v>
      </c>
      <c r="B112" s="11" t="s">
        <v>445</v>
      </c>
      <c r="C112" s="8" t="s">
        <v>41</v>
      </c>
      <c r="D112" s="11" t="s">
        <v>487</v>
      </c>
      <c r="E112" s="8" t="s">
        <v>41</v>
      </c>
      <c r="F112" s="8" t="s">
        <v>443</v>
      </c>
      <c r="G112" s="8" t="s">
        <v>447</v>
      </c>
      <c r="H112" s="36">
        <v>20</v>
      </c>
      <c r="I112" s="36">
        <v>0</v>
      </c>
      <c r="J112" s="36">
        <v>0</v>
      </c>
      <c r="K112" s="36">
        <v>0</v>
      </c>
      <c r="L112" s="36">
        <v>0</v>
      </c>
      <c r="M112" s="8" t="s">
        <v>447</v>
      </c>
      <c r="N112" s="36">
        <v>20</v>
      </c>
      <c r="O112" s="1">
        <f t="shared" si="1"/>
        <v>20</v>
      </c>
      <c r="P112" s="75" t="e">
        <f>IF(O112=0,"",_xlfn.XLOOKUP(D112,'6月份计划'!A:A,'6月份计划'!A:A))</f>
        <v>#N/A</v>
      </c>
    </row>
    <row r="113" s="1" customFormat="1" ht="15" customHeight="1" spans="1:16">
      <c r="A113" s="12" t="s">
        <v>444</v>
      </c>
      <c r="B113" s="15" t="s">
        <v>445</v>
      </c>
      <c r="C113" s="12" t="s">
        <v>41</v>
      </c>
      <c r="D113" s="15" t="s">
        <v>276</v>
      </c>
      <c r="E113" s="12" t="s">
        <v>41</v>
      </c>
      <c r="F113" s="12" t="s">
        <v>443</v>
      </c>
      <c r="G113" s="12" t="s">
        <v>447</v>
      </c>
      <c r="H113" s="37">
        <v>38188.24</v>
      </c>
      <c r="I113" s="37">
        <v>0</v>
      </c>
      <c r="J113" s="37">
        <v>0</v>
      </c>
      <c r="K113" s="37">
        <v>0</v>
      </c>
      <c r="L113" s="37">
        <v>0</v>
      </c>
      <c r="M113" s="12" t="s">
        <v>447</v>
      </c>
      <c r="N113" s="37">
        <v>38188.24</v>
      </c>
      <c r="O113" s="1">
        <f t="shared" si="1"/>
        <v>38188.24</v>
      </c>
      <c r="P113" s="75" t="str">
        <f>IF(O113=0,"",_xlfn.XLOOKUP(D113,'6月份计划'!A:A,'6月份计划'!A:A))</f>
        <v>山东鼎昌智能科技有限公司</v>
      </c>
    </row>
    <row r="114" s="1" customFormat="1" ht="15" customHeight="1" spans="1:16">
      <c r="A114" s="8" t="s">
        <v>444</v>
      </c>
      <c r="B114" s="11" t="s">
        <v>445</v>
      </c>
      <c r="C114" s="8" t="s">
        <v>41</v>
      </c>
      <c r="D114" s="11" t="s">
        <v>583</v>
      </c>
      <c r="E114" s="8" t="s">
        <v>41</v>
      </c>
      <c r="F114" s="8" t="s">
        <v>443</v>
      </c>
      <c r="G114" s="8" t="s">
        <v>489</v>
      </c>
      <c r="H114" s="36">
        <v>0</v>
      </c>
      <c r="I114" s="36">
        <v>0</v>
      </c>
      <c r="J114" s="36">
        <v>0</v>
      </c>
      <c r="K114" s="36">
        <v>0</v>
      </c>
      <c r="L114" s="36">
        <v>0</v>
      </c>
      <c r="M114" s="8" t="s">
        <v>489</v>
      </c>
      <c r="N114" s="36">
        <v>0</v>
      </c>
      <c r="O114" s="1">
        <f t="shared" si="1"/>
        <v>0</v>
      </c>
      <c r="P114" s="75" t="str">
        <f>IF(O114=0,"",_xlfn.XLOOKUP(D114,'6月份计划'!A:A,'6月份计划'!A:A))</f>
        <v/>
      </c>
    </row>
    <row r="115" s="1" customFormat="1" ht="15" customHeight="1" spans="1:16">
      <c r="A115" s="12" t="s">
        <v>444</v>
      </c>
      <c r="B115" s="15" t="s">
        <v>445</v>
      </c>
      <c r="C115" s="12" t="s">
        <v>41</v>
      </c>
      <c r="D115" s="15" t="s">
        <v>584</v>
      </c>
      <c r="E115" s="12" t="s">
        <v>41</v>
      </c>
      <c r="F115" s="12" t="s">
        <v>443</v>
      </c>
      <c r="G115" s="12" t="s">
        <v>489</v>
      </c>
      <c r="H115" s="37">
        <v>0</v>
      </c>
      <c r="I115" s="37">
        <v>0</v>
      </c>
      <c r="J115" s="37">
        <v>0</v>
      </c>
      <c r="K115" s="37">
        <v>0</v>
      </c>
      <c r="L115" s="37">
        <v>0</v>
      </c>
      <c r="M115" s="12" t="s">
        <v>489</v>
      </c>
      <c r="N115" s="37">
        <v>0</v>
      </c>
      <c r="O115" s="1">
        <f t="shared" si="1"/>
        <v>0</v>
      </c>
      <c r="P115" s="75" t="str">
        <f>IF(O115=0,"",_xlfn.XLOOKUP(D115,'6月份计划'!A:A,'6月份计划'!A:A))</f>
        <v/>
      </c>
    </row>
    <row r="116" s="1" customFormat="1" ht="15" customHeight="1" spans="1:16">
      <c r="A116" s="8" t="s">
        <v>444</v>
      </c>
      <c r="B116" s="11" t="s">
        <v>445</v>
      </c>
      <c r="C116" s="8" t="s">
        <v>41</v>
      </c>
      <c r="D116" s="11" t="s">
        <v>585</v>
      </c>
      <c r="E116" s="8" t="s">
        <v>41</v>
      </c>
      <c r="F116" s="8" t="s">
        <v>443</v>
      </c>
      <c r="G116" s="8" t="s">
        <v>489</v>
      </c>
      <c r="H116" s="36">
        <v>0</v>
      </c>
      <c r="I116" s="36">
        <v>0</v>
      </c>
      <c r="J116" s="36">
        <v>0</v>
      </c>
      <c r="K116" s="36">
        <v>0</v>
      </c>
      <c r="L116" s="36">
        <v>0</v>
      </c>
      <c r="M116" s="8" t="s">
        <v>489</v>
      </c>
      <c r="N116" s="36">
        <v>0</v>
      </c>
      <c r="O116" s="1">
        <f t="shared" si="1"/>
        <v>0</v>
      </c>
      <c r="P116" s="75" t="str">
        <f>IF(O116=0,"",_xlfn.XLOOKUP(D116,'6月份计划'!A:A,'6月份计划'!A:A))</f>
        <v/>
      </c>
    </row>
    <row r="117" s="1" customFormat="1" ht="15" customHeight="1" spans="1:16">
      <c r="A117" s="12" t="s">
        <v>444</v>
      </c>
      <c r="B117" s="15" t="s">
        <v>445</v>
      </c>
      <c r="C117" s="12" t="s">
        <v>41</v>
      </c>
      <c r="D117" s="15" t="s">
        <v>586</v>
      </c>
      <c r="E117" s="12" t="s">
        <v>41</v>
      </c>
      <c r="F117" s="12" t="s">
        <v>443</v>
      </c>
      <c r="G117" s="12" t="s">
        <v>489</v>
      </c>
      <c r="H117" s="37">
        <v>0</v>
      </c>
      <c r="I117" s="37">
        <v>0</v>
      </c>
      <c r="J117" s="37">
        <v>0</v>
      </c>
      <c r="K117" s="37">
        <v>0</v>
      </c>
      <c r="L117" s="37">
        <v>0</v>
      </c>
      <c r="M117" s="12" t="s">
        <v>489</v>
      </c>
      <c r="N117" s="37">
        <v>0</v>
      </c>
      <c r="O117" s="1">
        <f t="shared" si="1"/>
        <v>0</v>
      </c>
      <c r="P117" s="75" t="str">
        <f>IF(O117=0,"",_xlfn.XLOOKUP(D117,'6月份计划'!A:A,'6月份计划'!A:A))</f>
        <v/>
      </c>
    </row>
    <row r="118" s="1" customFormat="1" ht="15" customHeight="1" spans="1:16">
      <c r="A118" s="8" t="s">
        <v>444</v>
      </c>
      <c r="B118" s="11" t="s">
        <v>445</v>
      </c>
      <c r="C118" s="8" t="s">
        <v>41</v>
      </c>
      <c r="D118" s="11" t="s">
        <v>587</v>
      </c>
      <c r="E118" s="8" t="s">
        <v>41</v>
      </c>
      <c r="F118" s="8" t="s">
        <v>443</v>
      </c>
      <c r="G118" s="8" t="s">
        <v>489</v>
      </c>
      <c r="H118" s="36">
        <v>0</v>
      </c>
      <c r="I118" s="36">
        <v>0</v>
      </c>
      <c r="J118" s="36">
        <v>0</v>
      </c>
      <c r="K118" s="36">
        <v>0</v>
      </c>
      <c r="L118" s="36">
        <v>0</v>
      </c>
      <c r="M118" s="8" t="s">
        <v>489</v>
      </c>
      <c r="N118" s="36">
        <v>0</v>
      </c>
      <c r="O118" s="1">
        <f t="shared" si="1"/>
        <v>0</v>
      </c>
      <c r="P118" s="75" t="str">
        <f>IF(O118=0,"",_xlfn.XLOOKUP(D118,'6月份计划'!A:A,'6月份计划'!A:A))</f>
        <v/>
      </c>
    </row>
    <row r="119" s="1" customFormat="1" ht="15" customHeight="1" spans="1:16">
      <c r="A119" s="12" t="s">
        <v>444</v>
      </c>
      <c r="B119" s="15" t="s">
        <v>445</v>
      </c>
      <c r="C119" s="12" t="s">
        <v>41</v>
      </c>
      <c r="D119" s="15" t="s">
        <v>588</v>
      </c>
      <c r="E119" s="12" t="s">
        <v>41</v>
      </c>
      <c r="F119" s="12" t="s">
        <v>443</v>
      </c>
      <c r="G119" s="12" t="s">
        <v>489</v>
      </c>
      <c r="H119" s="37">
        <v>0</v>
      </c>
      <c r="I119" s="37">
        <v>0</v>
      </c>
      <c r="J119" s="37">
        <v>0</v>
      </c>
      <c r="K119" s="37">
        <v>0</v>
      </c>
      <c r="L119" s="37">
        <v>0</v>
      </c>
      <c r="M119" s="12" t="s">
        <v>489</v>
      </c>
      <c r="N119" s="37">
        <v>0</v>
      </c>
      <c r="O119" s="1">
        <f t="shared" si="1"/>
        <v>0</v>
      </c>
      <c r="P119" s="75" t="str">
        <f>IF(O119=0,"",_xlfn.XLOOKUP(D119,'6月份计划'!A:A,'6月份计划'!A:A))</f>
        <v/>
      </c>
    </row>
    <row r="120" s="1" customFormat="1" ht="15" customHeight="1" spans="1:16">
      <c r="A120" s="8" t="s">
        <v>444</v>
      </c>
      <c r="B120" s="11" t="s">
        <v>445</v>
      </c>
      <c r="C120" s="8" t="s">
        <v>41</v>
      </c>
      <c r="D120" s="11" t="s">
        <v>277</v>
      </c>
      <c r="E120" s="8" t="s">
        <v>41</v>
      </c>
      <c r="F120" s="8" t="s">
        <v>443</v>
      </c>
      <c r="G120" s="8" t="s">
        <v>447</v>
      </c>
      <c r="H120" s="36">
        <v>2067145.25</v>
      </c>
      <c r="I120" s="36">
        <v>3898.5</v>
      </c>
      <c r="J120" s="36">
        <v>1926942.44</v>
      </c>
      <c r="K120" s="36">
        <v>4706987.23</v>
      </c>
      <c r="L120" s="36">
        <v>7316941.91</v>
      </c>
      <c r="M120" s="8" t="s">
        <v>447</v>
      </c>
      <c r="N120" s="36">
        <v>3990189.19</v>
      </c>
      <c r="O120" s="1">
        <f t="shared" si="1"/>
        <v>3990189.19</v>
      </c>
      <c r="P120" s="75" t="str">
        <f>IF(O120=0,"",_xlfn.XLOOKUP(D120,'6月份计划'!A:A,'6月份计划'!A:A))</f>
        <v>汇阅（上海）新材料科技有限公</v>
      </c>
    </row>
    <row r="121" s="1" customFormat="1" ht="15" customHeight="1" spans="1:16">
      <c r="A121" s="12" t="s">
        <v>444</v>
      </c>
      <c r="B121" s="15" t="s">
        <v>445</v>
      </c>
      <c r="C121" s="12" t="s">
        <v>41</v>
      </c>
      <c r="D121" s="15" t="s">
        <v>589</v>
      </c>
      <c r="E121" s="12" t="s">
        <v>41</v>
      </c>
      <c r="F121" s="12" t="s">
        <v>443</v>
      </c>
      <c r="G121" s="12" t="s">
        <v>489</v>
      </c>
      <c r="H121" s="37">
        <v>0</v>
      </c>
      <c r="I121" s="37">
        <v>0</v>
      </c>
      <c r="J121" s="37">
        <v>0</v>
      </c>
      <c r="K121" s="37">
        <v>0</v>
      </c>
      <c r="L121" s="37">
        <v>0</v>
      </c>
      <c r="M121" s="12" t="s">
        <v>489</v>
      </c>
      <c r="N121" s="37">
        <v>0</v>
      </c>
      <c r="O121" s="1">
        <f t="shared" si="1"/>
        <v>0</v>
      </c>
      <c r="P121" s="75" t="str">
        <f>IF(O121=0,"",_xlfn.XLOOKUP(D121,'6月份计划'!A:A,'6月份计划'!A:A))</f>
        <v/>
      </c>
    </row>
    <row r="122" s="1" customFormat="1" ht="15" customHeight="1" spans="1:16">
      <c r="A122" s="8" t="s">
        <v>444</v>
      </c>
      <c r="B122" s="11" t="s">
        <v>445</v>
      </c>
      <c r="C122" s="8" t="s">
        <v>41</v>
      </c>
      <c r="D122" s="11" t="s">
        <v>590</v>
      </c>
      <c r="E122" s="8" t="s">
        <v>41</v>
      </c>
      <c r="F122" s="8" t="s">
        <v>443</v>
      </c>
      <c r="G122" s="8" t="s">
        <v>489</v>
      </c>
      <c r="H122" s="36">
        <v>0</v>
      </c>
      <c r="I122" s="36">
        <v>0</v>
      </c>
      <c r="J122" s="36">
        <v>0</v>
      </c>
      <c r="K122" s="36">
        <v>0</v>
      </c>
      <c r="L122" s="36">
        <v>0</v>
      </c>
      <c r="M122" s="8" t="s">
        <v>489</v>
      </c>
      <c r="N122" s="36">
        <v>0</v>
      </c>
      <c r="O122" s="1">
        <f t="shared" si="1"/>
        <v>0</v>
      </c>
      <c r="P122" s="75" t="str">
        <f>IF(O122=0,"",_xlfn.XLOOKUP(D122,'6月份计划'!A:A,'6月份计划'!A:A))</f>
        <v/>
      </c>
    </row>
    <row r="123" s="1" customFormat="1" ht="15" customHeight="1" spans="1:16">
      <c r="A123" s="12" t="s">
        <v>444</v>
      </c>
      <c r="B123" s="15" t="s">
        <v>445</v>
      </c>
      <c r="C123" s="12" t="s">
        <v>41</v>
      </c>
      <c r="D123" s="15" t="s">
        <v>591</v>
      </c>
      <c r="E123" s="12" t="s">
        <v>41</v>
      </c>
      <c r="F123" s="12" t="s">
        <v>443</v>
      </c>
      <c r="G123" s="12" t="s">
        <v>489</v>
      </c>
      <c r="H123" s="37">
        <v>0</v>
      </c>
      <c r="I123" s="37">
        <v>0</v>
      </c>
      <c r="J123" s="37">
        <v>0</v>
      </c>
      <c r="K123" s="37">
        <v>0</v>
      </c>
      <c r="L123" s="37">
        <v>0</v>
      </c>
      <c r="M123" s="12" t="s">
        <v>489</v>
      </c>
      <c r="N123" s="37">
        <v>0</v>
      </c>
      <c r="O123" s="1">
        <f t="shared" si="1"/>
        <v>0</v>
      </c>
      <c r="P123" s="75" t="str">
        <f>IF(O123=0,"",_xlfn.XLOOKUP(D123,'6月份计划'!A:A,'6月份计划'!A:A))</f>
        <v/>
      </c>
    </row>
    <row r="124" s="1" customFormat="1" ht="15" customHeight="1" spans="1:16">
      <c r="A124" s="8" t="s">
        <v>444</v>
      </c>
      <c r="B124" s="11" t="s">
        <v>445</v>
      </c>
      <c r="C124" s="8" t="s">
        <v>41</v>
      </c>
      <c r="D124" s="11" t="s">
        <v>592</v>
      </c>
      <c r="E124" s="8" t="s">
        <v>41</v>
      </c>
      <c r="F124" s="8" t="s">
        <v>443</v>
      </c>
      <c r="G124" s="8" t="s">
        <v>489</v>
      </c>
      <c r="H124" s="36">
        <v>0</v>
      </c>
      <c r="I124" s="36">
        <v>0</v>
      </c>
      <c r="J124" s="36">
        <v>0</v>
      </c>
      <c r="K124" s="36">
        <v>0</v>
      </c>
      <c r="L124" s="36">
        <v>0</v>
      </c>
      <c r="M124" s="8" t="s">
        <v>489</v>
      </c>
      <c r="N124" s="36">
        <v>0</v>
      </c>
      <c r="O124" s="1">
        <f t="shared" si="1"/>
        <v>0</v>
      </c>
      <c r="P124" s="75" t="str">
        <f>IF(O124=0,"",_xlfn.XLOOKUP(D124,'6月份计划'!A:A,'6月份计划'!A:A))</f>
        <v/>
      </c>
    </row>
    <row r="125" s="1" customFormat="1" ht="15" customHeight="1" spans="1:16">
      <c r="A125" s="12" t="s">
        <v>444</v>
      </c>
      <c r="B125" s="15" t="s">
        <v>445</v>
      </c>
      <c r="C125" s="12" t="s">
        <v>41</v>
      </c>
      <c r="D125" s="15" t="s">
        <v>304</v>
      </c>
      <c r="E125" s="12" t="s">
        <v>41</v>
      </c>
      <c r="F125" s="12" t="s">
        <v>443</v>
      </c>
      <c r="G125" s="12" t="s">
        <v>447</v>
      </c>
      <c r="H125" s="37">
        <v>22724.3</v>
      </c>
      <c r="I125" s="37">
        <v>0</v>
      </c>
      <c r="J125" s="37">
        <v>0</v>
      </c>
      <c r="K125" s="37">
        <v>31814.02</v>
      </c>
      <c r="L125" s="37">
        <v>22724.3</v>
      </c>
      <c r="M125" s="12" t="s">
        <v>447</v>
      </c>
      <c r="N125" s="37">
        <v>22724.3</v>
      </c>
      <c r="O125" s="1">
        <f t="shared" si="1"/>
        <v>22724.3</v>
      </c>
      <c r="P125" s="75" t="str">
        <f>IF(O125=0,"",_xlfn.XLOOKUP(D125,'6月份计划'!A:A,'6月份计划'!A:A))</f>
        <v>常州立天汽车零部件有限公司</v>
      </c>
    </row>
    <row r="126" s="1" customFormat="1" ht="15" hidden="1" customHeight="1" spans="1:16">
      <c r="A126" s="8" t="s">
        <v>444</v>
      </c>
      <c r="B126" s="11" t="s">
        <v>445</v>
      </c>
      <c r="C126" s="8" t="s">
        <v>41</v>
      </c>
      <c r="D126" s="11" t="s">
        <v>488</v>
      </c>
      <c r="E126" s="8" t="s">
        <v>41</v>
      </c>
      <c r="F126" s="8" t="s">
        <v>443</v>
      </c>
      <c r="G126" s="8" t="s">
        <v>447</v>
      </c>
      <c r="H126" s="36">
        <v>2927</v>
      </c>
      <c r="I126" s="36">
        <v>0</v>
      </c>
      <c r="J126" s="36">
        <v>0</v>
      </c>
      <c r="K126" s="36">
        <v>0</v>
      </c>
      <c r="L126" s="36">
        <v>0</v>
      </c>
      <c r="M126" s="8" t="s">
        <v>447</v>
      </c>
      <c r="N126" s="36">
        <v>2927</v>
      </c>
      <c r="O126" s="1">
        <f t="shared" si="1"/>
        <v>2927</v>
      </c>
      <c r="P126" s="75" t="e">
        <f>IF(O126=0,"",_xlfn.XLOOKUP(D126,'6月份计划'!A:A,'6月份计划'!A:A))</f>
        <v>#N/A</v>
      </c>
    </row>
    <row r="127" s="1" customFormat="1" ht="15" customHeight="1" spans="1:16">
      <c r="A127" s="12" t="s">
        <v>444</v>
      </c>
      <c r="B127" s="15" t="s">
        <v>445</v>
      </c>
      <c r="C127" s="12" t="s">
        <v>41</v>
      </c>
      <c r="D127" s="15" t="s">
        <v>418</v>
      </c>
      <c r="E127" s="12" t="s">
        <v>41</v>
      </c>
      <c r="F127" s="12" t="s">
        <v>443</v>
      </c>
      <c r="G127" s="12" t="s">
        <v>489</v>
      </c>
      <c r="H127" s="37">
        <v>0</v>
      </c>
      <c r="I127" s="37">
        <v>0</v>
      </c>
      <c r="J127" s="37">
        <v>0</v>
      </c>
      <c r="K127" s="37">
        <v>79817.67</v>
      </c>
      <c r="L127" s="37">
        <v>79817.67</v>
      </c>
      <c r="M127" s="12" t="s">
        <v>489</v>
      </c>
      <c r="N127" s="37">
        <v>0</v>
      </c>
      <c r="O127" s="1">
        <f t="shared" si="1"/>
        <v>0</v>
      </c>
      <c r="P127" s="75" t="str">
        <f>IF(O127=0,"",_xlfn.XLOOKUP(D127,'6月份计划'!A:A,'6月份计划'!A:A))</f>
        <v/>
      </c>
    </row>
    <row r="128" s="1" customFormat="1" ht="15" customHeight="1" spans="1:16">
      <c r="A128" s="8" t="s">
        <v>444</v>
      </c>
      <c r="B128" s="11" t="s">
        <v>445</v>
      </c>
      <c r="C128" s="8" t="s">
        <v>41</v>
      </c>
      <c r="D128" s="11" t="s">
        <v>593</v>
      </c>
      <c r="E128" s="8" t="s">
        <v>41</v>
      </c>
      <c r="F128" s="8" t="s">
        <v>443</v>
      </c>
      <c r="G128" s="8" t="s">
        <v>489</v>
      </c>
      <c r="H128" s="36">
        <v>0</v>
      </c>
      <c r="I128" s="36">
        <v>0</v>
      </c>
      <c r="J128" s="36">
        <v>0</v>
      </c>
      <c r="K128" s="36">
        <v>0</v>
      </c>
      <c r="L128" s="36">
        <v>0</v>
      </c>
      <c r="M128" s="8" t="s">
        <v>489</v>
      </c>
      <c r="N128" s="36">
        <v>0</v>
      </c>
      <c r="O128" s="1">
        <f t="shared" si="1"/>
        <v>0</v>
      </c>
      <c r="P128" s="75" t="str">
        <f>IF(O128=0,"",_xlfn.XLOOKUP(D128,'6月份计划'!A:A,'6月份计划'!A:A))</f>
        <v/>
      </c>
    </row>
    <row r="129" s="1" customFormat="1" ht="15" customHeight="1" spans="1:16">
      <c r="A129" s="12" t="s">
        <v>444</v>
      </c>
      <c r="B129" s="15" t="s">
        <v>445</v>
      </c>
      <c r="C129" s="12" t="s">
        <v>41</v>
      </c>
      <c r="D129" s="15" t="s">
        <v>314</v>
      </c>
      <c r="E129" s="12" t="s">
        <v>41</v>
      </c>
      <c r="F129" s="12" t="s">
        <v>443</v>
      </c>
      <c r="G129" s="12" t="s">
        <v>447</v>
      </c>
      <c r="H129" s="37">
        <v>127947.24</v>
      </c>
      <c r="I129" s="37">
        <v>98766.29</v>
      </c>
      <c r="J129" s="37">
        <v>0</v>
      </c>
      <c r="K129" s="37">
        <v>242235.17</v>
      </c>
      <c r="L129" s="37">
        <v>204083.09</v>
      </c>
      <c r="M129" s="12" t="s">
        <v>447</v>
      </c>
      <c r="N129" s="37">
        <v>29180.95</v>
      </c>
      <c r="O129" s="1">
        <f t="shared" si="1"/>
        <v>29180.95</v>
      </c>
      <c r="P129" s="75" t="str">
        <f>IF(O129=0,"",_xlfn.XLOOKUP(D129,'6月份计划'!A:A,'6月份计划'!A:A))</f>
        <v>北京美好生活家居用品有限公司</v>
      </c>
    </row>
    <row r="130" s="1" customFormat="1" ht="15" customHeight="1" spans="1:16">
      <c r="A130" s="8" t="s">
        <v>444</v>
      </c>
      <c r="B130" s="11" t="s">
        <v>445</v>
      </c>
      <c r="C130" s="8" t="s">
        <v>41</v>
      </c>
      <c r="D130" s="11" t="s">
        <v>317</v>
      </c>
      <c r="E130" s="8" t="s">
        <v>41</v>
      </c>
      <c r="F130" s="8" t="s">
        <v>443</v>
      </c>
      <c r="G130" s="8" t="s">
        <v>447</v>
      </c>
      <c r="H130" s="36">
        <v>56873.98</v>
      </c>
      <c r="I130" s="36">
        <v>0</v>
      </c>
      <c r="J130" s="36">
        <v>0</v>
      </c>
      <c r="K130" s="36">
        <v>226113.92</v>
      </c>
      <c r="L130" s="36">
        <v>282987.9</v>
      </c>
      <c r="M130" s="8" t="s">
        <v>447</v>
      </c>
      <c r="N130" s="36">
        <v>56873.98</v>
      </c>
      <c r="O130" s="1">
        <f t="shared" si="1"/>
        <v>56873.98</v>
      </c>
      <c r="P130" s="75" t="str">
        <f>IF(O130=0,"",_xlfn.XLOOKUP(D130,'6月份计划'!A:A,'6月份计划'!A:A))</f>
        <v>天津力登维汽车部件有限公司</v>
      </c>
    </row>
    <row r="131" s="1" customFormat="1" ht="15" hidden="1" customHeight="1" spans="1:16">
      <c r="A131" s="12" t="s">
        <v>444</v>
      </c>
      <c r="B131" s="15" t="s">
        <v>445</v>
      </c>
      <c r="C131" s="12" t="s">
        <v>41</v>
      </c>
      <c r="D131" s="15" t="s">
        <v>450</v>
      </c>
      <c r="E131" s="12" t="s">
        <v>41</v>
      </c>
      <c r="F131" s="12" t="s">
        <v>443</v>
      </c>
      <c r="G131" s="12" t="s">
        <v>447</v>
      </c>
      <c r="H131" s="37">
        <v>9685.4</v>
      </c>
      <c r="I131" s="37">
        <v>0</v>
      </c>
      <c r="J131" s="37">
        <v>0</v>
      </c>
      <c r="K131" s="37">
        <v>0</v>
      </c>
      <c r="L131" s="37">
        <v>0</v>
      </c>
      <c r="M131" s="12" t="s">
        <v>447</v>
      </c>
      <c r="N131" s="37">
        <v>9685.4</v>
      </c>
      <c r="O131" s="1">
        <f t="shared" ref="O131:O194" si="2">IF(M131="贷",N131,-N131)</f>
        <v>9685.4</v>
      </c>
      <c r="P131" s="75" t="e">
        <f>IF(O131=0,"",_xlfn.XLOOKUP(D131,'6月份计划'!A:A,'6月份计划'!A:A))</f>
        <v>#N/A</v>
      </c>
    </row>
    <row r="132" s="1" customFormat="1" ht="15" customHeight="1" spans="1:16">
      <c r="A132" s="8" t="s">
        <v>444</v>
      </c>
      <c r="B132" s="11" t="s">
        <v>445</v>
      </c>
      <c r="C132" s="8" t="s">
        <v>41</v>
      </c>
      <c r="D132" s="11" t="s">
        <v>241</v>
      </c>
      <c r="E132" s="8" t="s">
        <v>41</v>
      </c>
      <c r="F132" s="8" t="s">
        <v>443</v>
      </c>
      <c r="G132" s="8" t="s">
        <v>447</v>
      </c>
      <c r="H132" s="36">
        <v>44687.28</v>
      </c>
      <c r="I132" s="36">
        <v>0</v>
      </c>
      <c r="J132" s="36">
        <v>4931.2</v>
      </c>
      <c r="K132" s="36">
        <v>562419.7</v>
      </c>
      <c r="L132" s="36">
        <v>189618.48</v>
      </c>
      <c r="M132" s="8" t="s">
        <v>447</v>
      </c>
      <c r="N132" s="36">
        <v>49618.48</v>
      </c>
      <c r="O132" s="1">
        <f t="shared" si="2"/>
        <v>49618.48</v>
      </c>
      <c r="P132" s="75" t="str">
        <f>IF(O132=0,"",_xlfn.XLOOKUP(D132,'6月份计划'!A:A,'6月份计划'!A:A))</f>
        <v>天津琪安科技有限公司</v>
      </c>
    </row>
    <row r="133" s="1" customFormat="1" ht="15" customHeight="1" spans="1:16">
      <c r="A133" s="12" t="s">
        <v>444</v>
      </c>
      <c r="B133" s="15" t="s">
        <v>445</v>
      </c>
      <c r="C133" s="12" t="s">
        <v>41</v>
      </c>
      <c r="D133" s="15" t="s">
        <v>242</v>
      </c>
      <c r="E133" s="12" t="s">
        <v>41</v>
      </c>
      <c r="F133" s="12" t="s">
        <v>443</v>
      </c>
      <c r="G133" s="12" t="s">
        <v>447</v>
      </c>
      <c r="H133" s="37">
        <v>67954.83</v>
      </c>
      <c r="I133" s="37">
        <v>0</v>
      </c>
      <c r="J133" s="37">
        <v>38986.48</v>
      </c>
      <c r="K133" s="37">
        <v>289588.75</v>
      </c>
      <c r="L133" s="37">
        <v>206941.31</v>
      </c>
      <c r="M133" s="12" t="s">
        <v>447</v>
      </c>
      <c r="N133" s="37">
        <v>106941.31</v>
      </c>
      <c r="O133" s="1">
        <f t="shared" si="2"/>
        <v>106941.31</v>
      </c>
      <c r="P133" s="75" t="str">
        <f>IF(O133=0,"",_xlfn.XLOOKUP(D133,'6月份计划'!A:A,'6月份计划'!A:A))</f>
        <v>黄骅市广亿汽车部件有限公司</v>
      </c>
    </row>
    <row r="134" s="1" customFormat="1" ht="15" customHeight="1" spans="1:16">
      <c r="A134" s="8" t="s">
        <v>444</v>
      </c>
      <c r="B134" s="11" t="s">
        <v>445</v>
      </c>
      <c r="C134" s="8" t="s">
        <v>41</v>
      </c>
      <c r="D134" s="11" t="s">
        <v>496</v>
      </c>
      <c r="E134" s="8" t="s">
        <v>41</v>
      </c>
      <c r="F134" s="8" t="s">
        <v>443</v>
      </c>
      <c r="G134" s="8" t="s">
        <v>489</v>
      </c>
      <c r="H134" s="36">
        <v>0</v>
      </c>
      <c r="I134" s="36">
        <v>0</v>
      </c>
      <c r="J134" s="36">
        <v>0</v>
      </c>
      <c r="K134" s="36">
        <v>0</v>
      </c>
      <c r="L134" s="36">
        <v>0</v>
      </c>
      <c r="M134" s="8" t="s">
        <v>489</v>
      </c>
      <c r="N134" s="36">
        <v>0</v>
      </c>
      <c r="O134" s="1">
        <f t="shared" si="2"/>
        <v>0</v>
      </c>
      <c r="P134" s="75" t="str">
        <f>IF(O134=0,"",_xlfn.XLOOKUP(D134,'6月份计划'!A:A,'6月份计划'!A:A))</f>
        <v/>
      </c>
    </row>
    <row r="135" s="1" customFormat="1" ht="15" customHeight="1" spans="1:16">
      <c r="A135" s="12" t="s">
        <v>444</v>
      </c>
      <c r="B135" s="15" t="s">
        <v>445</v>
      </c>
      <c r="C135" s="12" t="s">
        <v>41</v>
      </c>
      <c r="D135" s="15" t="s">
        <v>243</v>
      </c>
      <c r="E135" s="12" t="s">
        <v>41</v>
      </c>
      <c r="F135" s="12" t="s">
        <v>443</v>
      </c>
      <c r="G135" s="12" t="s">
        <v>447</v>
      </c>
      <c r="H135" s="37">
        <v>92578.13</v>
      </c>
      <c r="I135" s="37">
        <v>0</v>
      </c>
      <c r="J135" s="37">
        <v>0</v>
      </c>
      <c r="K135" s="37">
        <v>147350.41</v>
      </c>
      <c r="L135" s="37">
        <v>129486.41</v>
      </c>
      <c r="M135" s="12" t="s">
        <v>447</v>
      </c>
      <c r="N135" s="37">
        <v>92578.13</v>
      </c>
      <c r="O135" s="1">
        <f t="shared" si="2"/>
        <v>92578.13</v>
      </c>
      <c r="P135" s="75" t="str">
        <f>IF(O135=0,"",_xlfn.XLOOKUP(D135,'6月份计划'!A:A,'6月份计划'!A:A))</f>
        <v>霸州市自强汽车零部件厂</v>
      </c>
    </row>
    <row r="136" s="1" customFormat="1" ht="15" customHeight="1" spans="1:16">
      <c r="A136" s="8" t="s">
        <v>444</v>
      </c>
      <c r="B136" s="11" t="s">
        <v>445</v>
      </c>
      <c r="C136" s="8" t="s">
        <v>41</v>
      </c>
      <c r="D136" s="11" t="s">
        <v>297</v>
      </c>
      <c r="E136" s="8" t="s">
        <v>41</v>
      </c>
      <c r="F136" s="8" t="s">
        <v>443</v>
      </c>
      <c r="G136" s="8" t="s">
        <v>447</v>
      </c>
      <c r="H136" s="36">
        <v>25334.21</v>
      </c>
      <c r="I136" s="36">
        <v>0</v>
      </c>
      <c r="J136" s="36">
        <v>0</v>
      </c>
      <c r="K136" s="36">
        <v>50158.62</v>
      </c>
      <c r="L136" s="36">
        <v>29002.19</v>
      </c>
      <c r="M136" s="8" t="s">
        <v>447</v>
      </c>
      <c r="N136" s="36">
        <v>25334.21</v>
      </c>
      <c r="O136" s="1">
        <f t="shared" si="2"/>
        <v>25334.21</v>
      </c>
      <c r="P136" s="75" t="str">
        <f>IF(O136=0,"",_xlfn.XLOOKUP(D136,'6月份计划'!A:A,'6月份计划'!A:A))</f>
        <v>海兴中盛弹簧有限公司</v>
      </c>
    </row>
    <row r="137" s="1" customFormat="1" ht="15" customHeight="1" spans="1:16">
      <c r="A137" s="12" t="s">
        <v>444</v>
      </c>
      <c r="B137" s="15" t="s">
        <v>445</v>
      </c>
      <c r="C137" s="12" t="s">
        <v>41</v>
      </c>
      <c r="D137" s="15" t="s">
        <v>497</v>
      </c>
      <c r="E137" s="12" t="s">
        <v>41</v>
      </c>
      <c r="F137" s="12" t="s">
        <v>443</v>
      </c>
      <c r="G137" s="12" t="s">
        <v>489</v>
      </c>
      <c r="H137" s="37">
        <v>0</v>
      </c>
      <c r="I137" s="37">
        <v>0</v>
      </c>
      <c r="J137" s="37">
        <v>0</v>
      </c>
      <c r="K137" s="37">
        <v>0</v>
      </c>
      <c r="L137" s="37">
        <v>0</v>
      </c>
      <c r="M137" s="12" t="s">
        <v>489</v>
      </c>
      <c r="N137" s="37">
        <v>0</v>
      </c>
      <c r="O137" s="1">
        <f t="shared" si="2"/>
        <v>0</v>
      </c>
      <c r="P137" s="75" t="str">
        <f>IF(O137=0,"",_xlfn.XLOOKUP(D137,'6月份计划'!A:A,'6月份计划'!A:A))</f>
        <v/>
      </c>
    </row>
    <row r="138" s="1" customFormat="1" ht="15" customHeight="1" spans="1:16">
      <c r="A138" s="8" t="s">
        <v>444</v>
      </c>
      <c r="B138" s="11" t="s">
        <v>445</v>
      </c>
      <c r="C138" s="8" t="s">
        <v>41</v>
      </c>
      <c r="D138" s="11" t="s">
        <v>498</v>
      </c>
      <c r="E138" s="8" t="s">
        <v>41</v>
      </c>
      <c r="F138" s="8" t="s">
        <v>443</v>
      </c>
      <c r="G138" s="8" t="s">
        <v>489</v>
      </c>
      <c r="H138" s="36">
        <v>0</v>
      </c>
      <c r="I138" s="36">
        <v>0</v>
      </c>
      <c r="J138" s="36">
        <v>0</v>
      </c>
      <c r="K138" s="36">
        <v>0</v>
      </c>
      <c r="L138" s="36">
        <v>0</v>
      </c>
      <c r="M138" s="8" t="s">
        <v>489</v>
      </c>
      <c r="N138" s="36">
        <v>0</v>
      </c>
      <c r="O138" s="1">
        <f t="shared" si="2"/>
        <v>0</v>
      </c>
      <c r="P138" s="75" t="str">
        <f>IF(O138=0,"",_xlfn.XLOOKUP(D138,'6月份计划'!A:A,'6月份计划'!A:A))</f>
        <v/>
      </c>
    </row>
    <row r="139" s="1" customFormat="1" ht="15" hidden="1" customHeight="1" spans="1:16">
      <c r="A139" s="12" t="s">
        <v>444</v>
      </c>
      <c r="B139" s="15" t="s">
        <v>445</v>
      </c>
      <c r="C139" s="12" t="s">
        <v>41</v>
      </c>
      <c r="D139" s="15" t="s">
        <v>451</v>
      </c>
      <c r="E139" s="12" t="s">
        <v>41</v>
      </c>
      <c r="F139" s="12" t="s">
        <v>443</v>
      </c>
      <c r="G139" s="12" t="s">
        <v>447</v>
      </c>
      <c r="H139" s="37">
        <v>28403004.46</v>
      </c>
      <c r="I139" s="37">
        <v>0</v>
      </c>
      <c r="J139" s="37">
        <v>0</v>
      </c>
      <c r="K139" s="37">
        <v>700000</v>
      </c>
      <c r="L139" s="37">
        <v>-192809</v>
      </c>
      <c r="M139" s="12" t="s">
        <v>447</v>
      </c>
      <c r="N139" s="37">
        <v>28403004.46</v>
      </c>
      <c r="O139" s="1">
        <f t="shared" si="2"/>
        <v>28403004.46</v>
      </c>
      <c r="P139" s="75" t="e">
        <f>IF(O139=0,"",_xlfn.XLOOKUP(D139,'6月份计划'!A:A,'6月份计划'!A:A))</f>
        <v>#N/A</v>
      </c>
    </row>
    <row r="140" s="1" customFormat="1" ht="15" customHeight="1" spans="1:16">
      <c r="A140" s="8" t="s">
        <v>444</v>
      </c>
      <c r="B140" s="11" t="s">
        <v>445</v>
      </c>
      <c r="C140" s="8" t="s">
        <v>41</v>
      </c>
      <c r="D140" s="11" t="s">
        <v>499</v>
      </c>
      <c r="E140" s="8" t="s">
        <v>41</v>
      </c>
      <c r="F140" s="8" t="s">
        <v>443</v>
      </c>
      <c r="G140" s="8" t="s">
        <v>489</v>
      </c>
      <c r="H140" s="36">
        <v>0</v>
      </c>
      <c r="I140" s="36">
        <v>0</v>
      </c>
      <c r="J140" s="36">
        <v>0</v>
      </c>
      <c r="K140" s="36">
        <v>0</v>
      </c>
      <c r="L140" s="36">
        <v>0</v>
      </c>
      <c r="M140" s="8" t="s">
        <v>489</v>
      </c>
      <c r="N140" s="36">
        <v>0</v>
      </c>
      <c r="O140" s="1">
        <f t="shared" si="2"/>
        <v>0</v>
      </c>
      <c r="P140" s="75" t="str">
        <f>IF(O140=0,"",_xlfn.XLOOKUP(D140,'6月份计划'!A:A,'6月份计划'!A:A))</f>
        <v/>
      </c>
    </row>
    <row r="141" s="1" customFormat="1" ht="15" customHeight="1" spans="1:16">
      <c r="A141" s="12" t="s">
        <v>444</v>
      </c>
      <c r="B141" s="15" t="s">
        <v>445</v>
      </c>
      <c r="C141" s="12" t="s">
        <v>41</v>
      </c>
      <c r="D141" s="15" t="s">
        <v>500</v>
      </c>
      <c r="E141" s="12" t="s">
        <v>41</v>
      </c>
      <c r="F141" s="12" t="s">
        <v>443</v>
      </c>
      <c r="G141" s="12" t="s">
        <v>489</v>
      </c>
      <c r="H141" s="37">
        <v>0</v>
      </c>
      <c r="I141" s="37">
        <v>0</v>
      </c>
      <c r="J141" s="37">
        <v>0</v>
      </c>
      <c r="K141" s="37">
        <v>0</v>
      </c>
      <c r="L141" s="37">
        <v>0</v>
      </c>
      <c r="M141" s="12" t="s">
        <v>489</v>
      </c>
      <c r="N141" s="37">
        <v>0</v>
      </c>
      <c r="O141" s="1">
        <f t="shared" si="2"/>
        <v>0</v>
      </c>
      <c r="P141" s="75" t="str">
        <f>IF(O141=0,"",_xlfn.XLOOKUP(D141,'6月份计划'!A:A,'6月份计划'!A:A))</f>
        <v/>
      </c>
    </row>
    <row r="142" s="1" customFormat="1" ht="15" customHeight="1" spans="1:16">
      <c r="A142" s="8" t="s">
        <v>444</v>
      </c>
      <c r="B142" s="11" t="s">
        <v>445</v>
      </c>
      <c r="C142" s="8" t="s">
        <v>41</v>
      </c>
      <c r="D142" s="11" t="s">
        <v>244</v>
      </c>
      <c r="E142" s="8" t="s">
        <v>41</v>
      </c>
      <c r="F142" s="8" t="s">
        <v>443</v>
      </c>
      <c r="G142" s="8" t="s">
        <v>447</v>
      </c>
      <c r="H142" s="36">
        <v>81909.53</v>
      </c>
      <c r="I142" s="36">
        <v>0</v>
      </c>
      <c r="J142" s="36">
        <v>7259.01</v>
      </c>
      <c r="K142" s="36">
        <v>422055.59</v>
      </c>
      <c r="L142" s="36">
        <v>217770.21</v>
      </c>
      <c r="M142" s="8" t="s">
        <v>447</v>
      </c>
      <c r="N142" s="36">
        <v>89168.54</v>
      </c>
      <c r="O142" s="1">
        <f t="shared" si="2"/>
        <v>89168.54</v>
      </c>
      <c r="P142" s="75" t="str">
        <f>IF(O142=0,"",_xlfn.XLOOKUP(D142,'6月份计划'!A:A,'6月份计划'!A:A))</f>
        <v>沧州临港明康汽车配件有限公司</v>
      </c>
    </row>
    <row r="143" s="1" customFormat="1" ht="15" customHeight="1" spans="1:16">
      <c r="A143" s="12" t="s">
        <v>444</v>
      </c>
      <c r="B143" s="15" t="s">
        <v>445</v>
      </c>
      <c r="C143" s="12" t="s">
        <v>41</v>
      </c>
      <c r="D143" s="15" t="s">
        <v>245</v>
      </c>
      <c r="E143" s="12" t="s">
        <v>41</v>
      </c>
      <c r="F143" s="12" t="s">
        <v>443</v>
      </c>
      <c r="G143" s="12" t="s">
        <v>447</v>
      </c>
      <c r="H143" s="37">
        <v>111235.81</v>
      </c>
      <c r="I143" s="37">
        <v>0</v>
      </c>
      <c r="J143" s="37">
        <v>15229.04</v>
      </c>
      <c r="K143" s="37">
        <v>349395</v>
      </c>
      <c r="L143" s="37">
        <v>247842.2</v>
      </c>
      <c r="M143" s="12" t="s">
        <v>447</v>
      </c>
      <c r="N143" s="37">
        <v>126464.85</v>
      </c>
      <c r="O143" s="1">
        <f t="shared" si="2"/>
        <v>126464.85</v>
      </c>
      <c r="P143" s="75" t="str">
        <f>IF(O143=0,"",_xlfn.XLOOKUP(D143,'6月份计划'!A:A,'6月份计划'!A:A))</f>
        <v>黄骅市建昌塑料制品有限公司</v>
      </c>
    </row>
    <row r="144" s="1" customFormat="1" ht="15" customHeight="1" spans="1:16">
      <c r="A144" s="8" t="s">
        <v>444</v>
      </c>
      <c r="B144" s="11" t="s">
        <v>445</v>
      </c>
      <c r="C144" s="8" t="s">
        <v>41</v>
      </c>
      <c r="D144" s="11" t="s">
        <v>283</v>
      </c>
      <c r="E144" s="8" t="s">
        <v>41</v>
      </c>
      <c r="F144" s="8" t="s">
        <v>443</v>
      </c>
      <c r="G144" s="8" t="s">
        <v>447</v>
      </c>
      <c r="H144" s="36">
        <v>30195.92</v>
      </c>
      <c r="I144" s="36">
        <v>0</v>
      </c>
      <c r="J144" s="36">
        <v>6568.01</v>
      </c>
      <c r="K144" s="36">
        <v>43222.26</v>
      </c>
      <c r="L144" s="36">
        <v>56934.43</v>
      </c>
      <c r="M144" s="8" t="s">
        <v>447</v>
      </c>
      <c r="N144" s="36">
        <v>36763.93</v>
      </c>
      <c r="O144" s="1">
        <f t="shared" si="2"/>
        <v>36763.93</v>
      </c>
      <c r="P144" s="75" t="str">
        <f>IF(O144=0,"",_xlfn.XLOOKUP(D144,'6月份计划'!A:A,'6月份计划'!A:A))</f>
        <v>黄骅市成卓汽车部件厂</v>
      </c>
    </row>
    <row r="145" s="1" customFormat="1" ht="15" customHeight="1" spans="1:16">
      <c r="A145" s="12" t="s">
        <v>444</v>
      </c>
      <c r="B145" s="15" t="s">
        <v>445</v>
      </c>
      <c r="C145" s="12" t="s">
        <v>41</v>
      </c>
      <c r="D145" s="15" t="s">
        <v>501</v>
      </c>
      <c r="E145" s="12" t="s">
        <v>41</v>
      </c>
      <c r="F145" s="12" t="s">
        <v>443</v>
      </c>
      <c r="G145" s="12" t="s">
        <v>489</v>
      </c>
      <c r="H145" s="37">
        <v>0</v>
      </c>
      <c r="I145" s="37">
        <v>0</v>
      </c>
      <c r="J145" s="37">
        <v>0</v>
      </c>
      <c r="K145" s="37">
        <v>0</v>
      </c>
      <c r="L145" s="37">
        <v>0</v>
      </c>
      <c r="M145" s="12" t="s">
        <v>489</v>
      </c>
      <c r="N145" s="37">
        <v>0</v>
      </c>
      <c r="O145" s="1">
        <f t="shared" si="2"/>
        <v>0</v>
      </c>
      <c r="P145" s="75" t="str">
        <f>IF(O145=0,"",_xlfn.XLOOKUP(D145,'6月份计划'!A:A,'6月份计划'!A:A))</f>
        <v/>
      </c>
    </row>
    <row r="146" s="1" customFormat="1" ht="15" customHeight="1" spans="1:16">
      <c r="A146" s="8" t="s">
        <v>444</v>
      </c>
      <c r="B146" s="11" t="s">
        <v>445</v>
      </c>
      <c r="C146" s="8" t="s">
        <v>41</v>
      </c>
      <c r="D146" s="11" t="s">
        <v>502</v>
      </c>
      <c r="E146" s="8" t="s">
        <v>41</v>
      </c>
      <c r="F146" s="8" t="s">
        <v>443</v>
      </c>
      <c r="G146" s="8" t="s">
        <v>489</v>
      </c>
      <c r="H146" s="36">
        <v>0</v>
      </c>
      <c r="I146" s="36">
        <v>0</v>
      </c>
      <c r="J146" s="36">
        <v>0</v>
      </c>
      <c r="K146" s="36">
        <v>0</v>
      </c>
      <c r="L146" s="36">
        <v>0</v>
      </c>
      <c r="M146" s="8" t="s">
        <v>489</v>
      </c>
      <c r="N146" s="36">
        <v>0</v>
      </c>
      <c r="O146" s="1">
        <f t="shared" si="2"/>
        <v>0</v>
      </c>
      <c r="P146" s="75" t="str">
        <f>IF(O146=0,"",_xlfn.XLOOKUP(D146,'6月份计划'!A:A,'6月份计划'!A:A))</f>
        <v/>
      </c>
    </row>
    <row r="147" s="1" customFormat="1" ht="15" hidden="1" customHeight="1" spans="1:16">
      <c r="A147" s="12" t="s">
        <v>444</v>
      </c>
      <c r="B147" s="15" t="s">
        <v>445</v>
      </c>
      <c r="C147" s="12" t="s">
        <v>41</v>
      </c>
      <c r="D147" s="15" t="s">
        <v>452</v>
      </c>
      <c r="E147" s="12" t="s">
        <v>41</v>
      </c>
      <c r="F147" s="12" t="s">
        <v>443</v>
      </c>
      <c r="G147" s="12" t="s">
        <v>447</v>
      </c>
      <c r="H147" s="37">
        <v>5200.09</v>
      </c>
      <c r="I147" s="37">
        <v>0</v>
      </c>
      <c r="J147" s="37">
        <v>0</v>
      </c>
      <c r="K147" s="37">
        <v>0</v>
      </c>
      <c r="L147" s="37">
        <v>0</v>
      </c>
      <c r="M147" s="12" t="s">
        <v>447</v>
      </c>
      <c r="N147" s="37">
        <v>5200.09</v>
      </c>
      <c r="O147" s="1">
        <f t="shared" si="2"/>
        <v>5200.09</v>
      </c>
      <c r="P147" s="75" t="e">
        <f>IF(O147=0,"",_xlfn.XLOOKUP(D147,'6月份计划'!A:A,'6月份计划'!A:A))</f>
        <v>#N/A</v>
      </c>
    </row>
    <row r="148" s="1" customFormat="1" ht="15" customHeight="1" spans="1:16">
      <c r="A148" s="8" t="s">
        <v>444</v>
      </c>
      <c r="B148" s="11" t="s">
        <v>445</v>
      </c>
      <c r="C148" s="8" t="s">
        <v>41</v>
      </c>
      <c r="D148" s="11" t="s">
        <v>312</v>
      </c>
      <c r="E148" s="8" t="s">
        <v>41</v>
      </c>
      <c r="F148" s="8" t="s">
        <v>443</v>
      </c>
      <c r="G148" s="8" t="s">
        <v>489</v>
      </c>
      <c r="H148" s="36">
        <v>0</v>
      </c>
      <c r="I148" s="36">
        <v>0</v>
      </c>
      <c r="J148" s="36">
        <v>0</v>
      </c>
      <c r="K148" s="36">
        <v>9715.91</v>
      </c>
      <c r="L148" s="36">
        <v>5705.37</v>
      </c>
      <c r="M148" s="8" t="s">
        <v>489</v>
      </c>
      <c r="N148" s="36">
        <v>0</v>
      </c>
      <c r="O148" s="1">
        <f t="shared" si="2"/>
        <v>0</v>
      </c>
      <c r="P148" s="75" t="str">
        <f>IF(O148=0,"",_xlfn.XLOOKUP(D148,'6月份计划'!A:A,'6月份计划'!A:A))</f>
        <v/>
      </c>
    </row>
    <row r="149" s="1" customFormat="1" ht="15" customHeight="1" spans="1:16">
      <c r="A149" s="12" t="s">
        <v>444</v>
      </c>
      <c r="B149" s="15" t="s">
        <v>445</v>
      </c>
      <c r="C149" s="12" t="s">
        <v>41</v>
      </c>
      <c r="D149" s="15" t="s">
        <v>503</v>
      </c>
      <c r="E149" s="12" t="s">
        <v>41</v>
      </c>
      <c r="F149" s="12" t="s">
        <v>443</v>
      </c>
      <c r="G149" s="12" t="s">
        <v>489</v>
      </c>
      <c r="H149" s="37">
        <v>0</v>
      </c>
      <c r="I149" s="37">
        <v>0</v>
      </c>
      <c r="J149" s="37">
        <v>0</v>
      </c>
      <c r="K149" s="37">
        <v>0</v>
      </c>
      <c r="L149" s="37">
        <v>0</v>
      </c>
      <c r="M149" s="12" t="s">
        <v>489</v>
      </c>
      <c r="N149" s="37">
        <v>0</v>
      </c>
      <c r="O149" s="1">
        <f t="shared" si="2"/>
        <v>0</v>
      </c>
      <c r="P149" s="75" t="str">
        <f>IF(O149=0,"",_xlfn.XLOOKUP(D149,'6月份计划'!A:A,'6月份计划'!A:A))</f>
        <v/>
      </c>
    </row>
    <row r="150" s="1" customFormat="1" ht="15" customHeight="1" spans="1:16">
      <c r="A150" s="8" t="s">
        <v>444</v>
      </c>
      <c r="B150" s="11" t="s">
        <v>445</v>
      </c>
      <c r="C150" s="8" t="s">
        <v>41</v>
      </c>
      <c r="D150" s="11" t="s">
        <v>280</v>
      </c>
      <c r="E150" s="8" t="s">
        <v>41</v>
      </c>
      <c r="F150" s="8" t="s">
        <v>443</v>
      </c>
      <c r="G150" s="8" t="s">
        <v>447</v>
      </c>
      <c r="H150" s="36">
        <v>104741.97</v>
      </c>
      <c r="I150" s="36">
        <v>0</v>
      </c>
      <c r="J150" s="36">
        <v>0</v>
      </c>
      <c r="K150" s="36">
        <v>188987.3</v>
      </c>
      <c r="L150" s="36">
        <v>161123.77</v>
      </c>
      <c r="M150" s="8" t="s">
        <v>447</v>
      </c>
      <c r="N150" s="36">
        <v>104741.97</v>
      </c>
      <c r="O150" s="1">
        <f t="shared" si="2"/>
        <v>104741.97</v>
      </c>
      <c r="P150" s="75" t="str">
        <f>IF(O150=0,"",_xlfn.XLOOKUP(D150,'6月份计划'!A:A,'6月份计划'!A:A))</f>
        <v>文安县德实汽车配件有限公司</v>
      </c>
    </row>
    <row r="151" s="1" customFormat="1" ht="15" customHeight="1" spans="1:16">
      <c r="A151" s="12" t="s">
        <v>444</v>
      </c>
      <c r="B151" s="15" t="s">
        <v>445</v>
      </c>
      <c r="C151" s="12" t="s">
        <v>41</v>
      </c>
      <c r="D151" s="15" t="s">
        <v>504</v>
      </c>
      <c r="E151" s="12" t="s">
        <v>41</v>
      </c>
      <c r="F151" s="12" t="s">
        <v>443</v>
      </c>
      <c r="G151" s="12" t="s">
        <v>489</v>
      </c>
      <c r="H151" s="37">
        <v>0</v>
      </c>
      <c r="I151" s="37">
        <v>0</v>
      </c>
      <c r="J151" s="37">
        <v>0</v>
      </c>
      <c r="K151" s="37">
        <v>0</v>
      </c>
      <c r="L151" s="37">
        <v>0</v>
      </c>
      <c r="M151" s="12" t="s">
        <v>489</v>
      </c>
      <c r="N151" s="37">
        <v>0</v>
      </c>
      <c r="O151" s="1">
        <f t="shared" si="2"/>
        <v>0</v>
      </c>
      <c r="P151" s="75" t="str">
        <f>IF(O151=0,"",_xlfn.XLOOKUP(D151,'6月份计划'!A:A,'6月份计划'!A:A))</f>
        <v/>
      </c>
    </row>
    <row r="152" s="1" customFormat="1" ht="15" customHeight="1" spans="1:16">
      <c r="A152" s="8" t="s">
        <v>444</v>
      </c>
      <c r="B152" s="11" t="s">
        <v>445</v>
      </c>
      <c r="C152" s="8" t="s">
        <v>41</v>
      </c>
      <c r="D152" s="11" t="s">
        <v>246</v>
      </c>
      <c r="E152" s="8" t="s">
        <v>41</v>
      </c>
      <c r="F152" s="8" t="s">
        <v>443</v>
      </c>
      <c r="G152" s="8" t="s">
        <v>447</v>
      </c>
      <c r="H152" s="36">
        <v>77459.91</v>
      </c>
      <c r="I152" s="36">
        <v>0</v>
      </c>
      <c r="J152" s="36">
        <v>10766.75</v>
      </c>
      <c r="K152" s="36">
        <v>329030.41</v>
      </c>
      <c r="L152" s="36">
        <v>213321.92</v>
      </c>
      <c r="M152" s="8" t="s">
        <v>447</v>
      </c>
      <c r="N152" s="36">
        <v>88226.66</v>
      </c>
      <c r="O152" s="1">
        <f t="shared" si="2"/>
        <v>88226.66</v>
      </c>
      <c r="P152" s="75" t="str">
        <f>IF(O152=0,"",_xlfn.XLOOKUP(D152,'6月份计划'!A:A,'6月份计划'!A:A))</f>
        <v>廊坊市烁鑫汽车配件有限公司</v>
      </c>
    </row>
    <row r="153" s="1" customFormat="1" ht="15" customHeight="1" spans="1:16">
      <c r="A153" s="12" t="s">
        <v>444</v>
      </c>
      <c r="B153" s="15" t="s">
        <v>445</v>
      </c>
      <c r="C153" s="12" t="s">
        <v>41</v>
      </c>
      <c r="D153" s="15" t="s">
        <v>505</v>
      </c>
      <c r="E153" s="12" t="s">
        <v>41</v>
      </c>
      <c r="F153" s="12" t="s">
        <v>443</v>
      </c>
      <c r="G153" s="12" t="s">
        <v>489</v>
      </c>
      <c r="H153" s="37">
        <v>0</v>
      </c>
      <c r="I153" s="37">
        <v>0</v>
      </c>
      <c r="J153" s="37">
        <v>0</v>
      </c>
      <c r="K153" s="37">
        <v>0</v>
      </c>
      <c r="L153" s="37">
        <v>0</v>
      </c>
      <c r="M153" s="12" t="s">
        <v>489</v>
      </c>
      <c r="N153" s="37">
        <v>0</v>
      </c>
      <c r="O153" s="1">
        <f t="shared" si="2"/>
        <v>0</v>
      </c>
      <c r="P153" s="75" t="str">
        <f>IF(O153=0,"",_xlfn.XLOOKUP(D153,'6月份计划'!A:A,'6月份计划'!A:A))</f>
        <v/>
      </c>
    </row>
    <row r="154" s="1" customFormat="1" ht="15" customHeight="1" spans="1:16">
      <c r="A154" s="8" t="s">
        <v>444</v>
      </c>
      <c r="B154" s="11" t="s">
        <v>445</v>
      </c>
      <c r="C154" s="8" t="s">
        <v>41</v>
      </c>
      <c r="D154" s="11" t="s">
        <v>506</v>
      </c>
      <c r="E154" s="8" t="s">
        <v>41</v>
      </c>
      <c r="F154" s="8" t="s">
        <v>443</v>
      </c>
      <c r="G154" s="8" t="s">
        <v>489</v>
      </c>
      <c r="H154" s="36">
        <v>0</v>
      </c>
      <c r="I154" s="36">
        <v>0</v>
      </c>
      <c r="J154" s="36">
        <v>0</v>
      </c>
      <c r="K154" s="36">
        <v>0</v>
      </c>
      <c r="L154" s="36">
        <v>0</v>
      </c>
      <c r="M154" s="8" t="s">
        <v>489</v>
      </c>
      <c r="N154" s="36">
        <v>0</v>
      </c>
      <c r="O154" s="1">
        <f t="shared" si="2"/>
        <v>0</v>
      </c>
      <c r="P154" s="75" t="str">
        <f>IF(O154=0,"",_xlfn.XLOOKUP(D154,'6月份计划'!A:A,'6月份计划'!A:A))</f>
        <v/>
      </c>
    </row>
    <row r="155" s="1" customFormat="1" ht="15" customHeight="1" spans="1:16">
      <c r="A155" s="12" t="s">
        <v>444</v>
      </c>
      <c r="B155" s="15" t="s">
        <v>445</v>
      </c>
      <c r="C155" s="12" t="s">
        <v>41</v>
      </c>
      <c r="D155" s="15" t="s">
        <v>507</v>
      </c>
      <c r="E155" s="12" t="s">
        <v>41</v>
      </c>
      <c r="F155" s="12" t="s">
        <v>443</v>
      </c>
      <c r="G155" s="12" t="s">
        <v>489</v>
      </c>
      <c r="H155" s="37">
        <v>0</v>
      </c>
      <c r="I155" s="37">
        <v>0</v>
      </c>
      <c r="J155" s="37">
        <v>0</v>
      </c>
      <c r="K155" s="37">
        <v>0</v>
      </c>
      <c r="L155" s="37">
        <v>0</v>
      </c>
      <c r="M155" s="12" t="s">
        <v>489</v>
      </c>
      <c r="N155" s="37">
        <v>0</v>
      </c>
      <c r="O155" s="1">
        <f t="shared" si="2"/>
        <v>0</v>
      </c>
      <c r="P155" s="75" t="str">
        <f>IF(O155=0,"",_xlfn.XLOOKUP(D155,'6月份计划'!A:A,'6月份计划'!A:A))</f>
        <v/>
      </c>
    </row>
    <row r="156" s="1" customFormat="1" ht="15" customHeight="1" spans="1:16">
      <c r="A156" s="8" t="s">
        <v>444</v>
      </c>
      <c r="B156" s="11" t="s">
        <v>445</v>
      </c>
      <c r="C156" s="8" t="s">
        <v>41</v>
      </c>
      <c r="D156" s="11" t="s">
        <v>508</v>
      </c>
      <c r="E156" s="8" t="s">
        <v>41</v>
      </c>
      <c r="F156" s="8" t="s">
        <v>443</v>
      </c>
      <c r="G156" s="8" t="s">
        <v>489</v>
      </c>
      <c r="H156" s="36">
        <v>0</v>
      </c>
      <c r="I156" s="36">
        <v>0</v>
      </c>
      <c r="J156" s="36">
        <v>0</v>
      </c>
      <c r="K156" s="36">
        <v>0</v>
      </c>
      <c r="L156" s="36">
        <v>0</v>
      </c>
      <c r="M156" s="8" t="s">
        <v>489</v>
      </c>
      <c r="N156" s="36">
        <v>0</v>
      </c>
      <c r="O156" s="1">
        <f t="shared" si="2"/>
        <v>0</v>
      </c>
      <c r="P156" s="75" t="str">
        <f>IF(O156=0,"",_xlfn.XLOOKUP(D156,'6月份计划'!A:A,'6月份计划'!A:A))</f>
        <v/>
      </c>
    </row>
    <row r="157" s="1" customFormat="1" ht="15" customHeight="1" spans="1:16">
      <c r="A157" s="12" t="s">
        <v>444</v>
      </c>
      <c r="B157" s="15" t="s">
        <v>445</v>
      </c>
      <c r="C157" s="12" t="s">
        <v>41</v>
      </c>
      <c r="D157" s="15" t="s">
        <v>247</v>
      </c>
      <c r="E157" s="12" t="s">
        <v>41</v>
      </c>
      <c r="F157" s="12" t="s">
        <v>443</v>
      </c>
      <c r="G157" s="12" t="s">
        <v>447</v>
      </c>
      <c r="H157" s="37">
        <v>50058.75</v>
      </c>
      <c r="I157" s="37">
        <v>0</v>
      </c>
      <c r="J157" s="37">
        <v>27863.56</v>
      </c>
      <c r="K157" s="37">
        <v>79977.88</v>
      </c>
      <c r="L157" s="37">
        <v>117922.31</v>
      </c>
      <c r="M157" s="12" t="s">
        <v>447</v>
      </c>
      <c r="N157" s="37">
        <v>77922.31</v>
      </c>
      <c r="O157" s="1">
        <f t="shared" si="2"/>
        <v>77922.31</v>
      </c>
      <c r="P157" s="75" t="str">
        <f>IF(O157=0,"",_xlfn.XLOOKUP(D157,'6月份计划'!A:A,'6月份计划'!A:A))</f>
        <v>黄骅市汇铭汽车部件有限公司</v>
      </c>
    </row>
    <row r="158" s="1" customFormat="1" ht="15" customHeight="1" spans="1:16">
      <c r="A158" s="8" t="s">
        <v>444</v>
      </c>
      <c r="B158" s="11" t="s">
        <v>445</v>
      </c>
      <c r="C158" s="8" t="s">
        <v>41</v>
      </c>
      <c r="D158" s="11" t="s">
        <v>509</v>
      </c>
      <c r="E158" s="8" t="s">
        <v>41</v>
      </c>
      <c r="F158" s="8" t="s">
        <v>443</v>
      </c>
      <c r="G158" s="8" t="s">
        <v>489</v>
      </c>
      <c r="H158" s="36">
        <v>0</v>
      </c>
      <c r="I158" s="36">
        <v>0</v>
      </c>
      <c r="J158" s="36">
        <v>0</v>
      </c>
      <c r="K158" s="36">
        <v>0</v>
      </c>
      <c r="L158" s="36">
        <v>0</v>
      </c>
      <c r="M158" s="8" t="s">
        <v>489</v>
      </c>
      <c r="N158" s="36">
        <v>0</v>
      </c>
      <c r="O158" s="1">
        <f t="shared" si="2"/>
        <v>0</v>
      </c>
      <c r="P158" s="75" t="str">
        <f>IF(O158=0,"",_xlfn.XLOOKUP(D158,'6月份计划'!A:A,'6月份计划'!A:A))</f>
        <v/>
      </c>
    </row>
    <row r="159" s="1" customFormat="1" ht="15" customHeight="1" spans="1:16">
      <c r="A159" s="12" t="s">
        <v>444</v>
      </c>
      <c r="B159" s="15" t="s">
        <v>445</v>
      </c>
      <c r="C159" s="12" t="s">
        <v>41</v>
      </c>
      <c r="D159" s="15" t="s">
        <v>510</v>
      </c>
      <c r="E159" s="12" t="s">
        <v>41</v>
      </c>
      <c r="F159" s="12" t="s">
        <v>443</v>
      </c>
      <c r="G159" s="12" t="s">
        <v>489</v>
      </c>
      <c r="H159" s="37">
        <v>0</v>
      </c>
      <c r="I159" s="37">
        <v>0</v>
      </c>
      <c r="J159" s="37">
        <v>0</v>
      </c>
      <c r="K159" s="37">
        <v>0</v>
      </c>
      <c r="L159" s="37">
        <v>0</v>
      </c>
      <c r="M159" s="12" t="s">
        <v>489</v>
      </c>
      <c r="N159" s="37">
        <v>0</v>
      </c>
      <c r="O159" s="1">
        <f t="shared" si="2"/>
        <v>0</v>
      </c>
      <c r="P159" s="75" t="str">
        <f>IF(O159=0,"",_xlfn.XLOOKUP(D159,'6月份计划'!A:A,'6月份计划'!A:A))</f>
        <v/>
      </c>
    </row>
    <row r="160" s="1" customFormat="1" ht="15" customHeight="1" spans="1:16">
      <c r="A160" s="8" t="s">
        <v>444</v>
      </c>
      <c r="B160" s="11" t="s">
        <v>445</v>
      </c>
      <c r="C160" s="8" t="s">
        <v>41</v>
      </c>
      <c r="D160" s="11" t="s">
        <v>248</v>
      </c>
      <c r="E160" s="8" t="s">
        <v>41</v>
      </c>
      <c r="F160" s="8" t="s">
        <v>443</v>
      </c>
      <c r="G160" s="8" t="s">
        <v>447</v>
      </c>
      <c r="H160" s="36">
        <v>312080.68</v>
      </c>
      <c r="I160" s="36">
        <v>312080.68</v>
      </c>
      <c r="J160" s="36">
        <v>156040.34</v>
      </c>
      <c r="K160" s="36">
        <v>1742450.5</v>
      </c>
      <c r="L160" s="36">
        <v>1040268.96</v>
      </c>
      <c r="M160" s="8" t="s">
        <v>447</v>
      </c>
      <c r="N160" s="36">
        <v>156040.34</v>
      </c>
      <c r="O160" s="1">
        <f t="shared" si="2"/>
        <v>156040.34</v>
      </c>
      <c r="P160" s="75" t="str">
        <f>IF(O160=0,"",_xlfn.XLOOKUP(D160,'6月份计划'!A:A,'6月份计划'!A:A))</f>
        <v>上海明芳汽车零件有限公司</v>
      </c>
    </row>
    <row r="161" s="1" customFormat="1" ht="15" customHeight="1" spans="1:16">
      <c r="A161" s="12" t="s">
        <v>444</v>
      </c>
      <c r="B161" s="15" t="s">
        <v>445</v>
      </c>
      <c r="C161" s="12" t="s">
        <v>41</v>
      </c>
      <c r="D161" s="15" t="s">
        <v>511</v>
      </c>
      <c r="E161" s="12" t="s">
        <v>41</v>
      </c>
      <c r="F161" s="12" t="s">
        <v>443</v>
      </c>
      <c r="G161" s="12" t="s">
        <v>489</v>
      </c>
      <c r="H161" s="37">
        <v>0</v>
      </c>
      <c r="I161" s="37">
        <v>0</v>
      </c>
      <c r="J161" s="37">
        <v>0</v>
      </c>
      <c r="K161" s="37">
        <v>0</v>
      </c>
      <c r="L161" s="37">
        <v>0</v>
      </c>
      <c r="M161" s="12" t="s">
        <v>489</v>
      </c>
      <c r="N161" s="37">
        <v>0</v>
      </c>
      <c r="O161" s="1">
        <f t="shared" si="2"/>
        <v>0</v>
      </c>
      <c r="P161" s="75" t="str">
        <f>IF(O161=0,"",_xlfn.XLOOKUP(D161,'6月份计划'!A:A,'6月份计划'!A:A))</f>
        <v/>
      </c>
    </row>
    <row r="162" s="1" customFormat="1" ht="15" customHeight="1" spans="1:16">
      <c r="A162" s="8" t="s">
        <v>444</v>
      </c>
      <c r="B162" s="11" t="s">
        <v>445</v>
      </c>
      <c r="C162" s="8" t="s">
        <v>41</v>
      </c>
      <c r="D162" s="11" t="s">
        <v>279</v>
      </c>
      <c r="E162" s="8" t="s">
        <v>41</v>
      </c>
      <c r="F162" s="8" t="s">
        <v>443</v>
      </c>
      <c r="G162" s="8" t="s">
        <v>447</v>
      </c>
      <c r="H162" s="36">
        <v>13932.9</v>
      </c>
      <c r="I162" s="36">
        <v>0</v>
      </c>
      <c r="J162" s="36">
        <v>0</v>
      </c>
      <c r="K162" s="36">
        <v>0</v>
      </c>
      <c r="L162" s="36">
        <v>0</v>
      </c>
      <c r="M162" s="8" t="s">
        <v>447</v>
      </c>
      <c r="N162" s="36">
        <v>13932.9</v>
      </c>
      <c r="O162" s="1">
        <f t="shared" si="2"/>
        <v>13932.9</v>
      </c>
      <c r="P162" s="75" t="str">
        <f>IF(O162=0,"",_xlfn.XLOOKUP(D162,'6月份计划'!A:A,'6月份计划'!A:A))</f>
        <v>上海秉直精密机械有限公司</v>
      </c>
    </row>
    <row r="163" s="1" customFormat="1" ht="15" customHeight="1" spans="1:16">
      <c r="A163" s="12" t="s">
        <v>444</v>
      </c>
      <c r="B163" s="15" t="s">
        <v>445</v>
      </c>
      <c r="C163" s="12" t="s">
        <v>41</v>
      </c>
      <c r="D163" s="15" t="s">
        <v>512</v>
      </c>
      <c r="E163" s="12" t="s">
        <v>41</v>
      </c>
      <c r="F163" s="12" t="s">
        <v>443</v>
      </c>
      <c r="G163" s="12" t="s">
        <v>489</v>
      </c>
      <c r="H163" s="37">
        <v>0</v>
      </c>
      <c r="I163" s="37">
        <v>0</v>
      </c>
      <c r="J163" s="37">
        <v>0</v>
      </c>
      <c r="K163" s="37">
        <v>0</v>
      </c>
      <c r="L163" s="37">
        <v>0</v>
      </c>
      <c r="M163" s="12" t="s">
        <v>489</v>
      </c>
      <c r="N163" s="37">
        <v>0</v>
      </c>
      <c r="O163" s="1">
        <f t="shared" si="2"/>
        <v>0</v>
      </c>
      <c r="P163" s="75" t="str">
        <f>IF(O163=0,"",_xlfn.XLOOKUP(D163,'6月份计划'!A:A,'6月份计划'!A:A))</f>
        <v/>
      </c>
    </row>
    <row r="164" s="1" customFormat="1" ht="15" customHeight="1" spans="1:16">
      <c r="A164" s="8" t="s">
        <v>444</v>
      </c>
      <c r="B164" s="11" t="s">
        <v>445</v>
      </c>
      <c r="C164" s="8" t="s">
        <v>41</v>
      </c>
      <c r="D164" s="11" t="s">
        <v>249</v>
      </c>
      <c r="E164" s="8" t="s">
        <v>41</v>
      </c>
      <c r="F164" s="8" t="s">
        <v>443</v>
      </c>
      <c r="G164" s="8" t="s">
        <v>447</v>
      </c>
      <c r="H164" s="36">
        <v>202755.37</v>
      </c>
      <c r="I164" s="36">
        <v>0</v>
      </c>
      <c r="J164" s="36">
        <v>0</v>
      </c>
      <c r="K164" s="36">
        <v>1610823.01</v>
      </c>
      <c r="L164" s="36">
        <v>957214.7</v>
      </c>
      <c r="M164" s="8" t="s">
        <v>447</v>
      </c>
      <c r="N164" s="36">
        <v>202755.37</v>
      </c>
      <c r="O164" s="1">
        <f t="shared" si="2"/>
        <v>202755.37</v>
      </c>
      <c r="P164" s="75" t="str">
        <f>IF(O164=0,"",_xlfn.XLOOKUP(D164,'6月份计划'!A:A,'6月份计划'!A:A))</f>
        <v>江苏力乐汽车部件股份有限公司</v>
      </c>
    </row>
    <row r="165" s="1" customFormat="1" ht="15" hidden="1" customHeight="1" spans="1:16">
      <c r="A165" s="12" t="s">
        <v>444</v>
      </c>
      <c r="B165" s="15" t="s">
        <v>445</v>
      </c>
      <c r="C165" s="12" t="s">
        <v>41</v>
      </c>
      <c r="D165" s="15" t="s">
        <v>417</v>
      </c>
      <c r="E165" s="12" t="s">
        <v>41</v>
      </c>
      <c r="F165" s="12" t="s">
        <v>443</v>
      </c>
      <c r="G165" s="12" t="s">
        <v>447</v>
      </c>
      <c r="H165" s="37">
        <v>494.15</v>
      </c>
      <c r="I165" s="37">
        <v>0</v>
      </c>
      <c r="J165" s="37">
        <v>0</v>
      </c>
      <c r="K165" s="37">
        <v>69562.26</v>
      </c>
      <c r="L165" s="37">
        <v>68846.31</v>
      </c>
      <c r="M165" s="12" t="s">
        <v>447</v>
      </c>
      <c r="N165" s="37">
        <v>494.15</v>
      </c>
      <c r="O165" s="1">
        <f t="shared" si="2"/>
        <v>494.15</v>
      </c>
      <c r="P165" s="75" t="e">
        <f>IF(O165=0,"",_xlfn.XLOOKUP(D165,'6月份计划'!A:A,'6月份计划'!A:A))</f>
        <v>#N/A</v>
      </c>
    </row>
    <row r="166" s="1" customFormat="1" ht="15" customHeight="1" spans="1:16">
      <c r="A166" s="8" t="s">
        <v>444</v>
      </c>
      <c r="B166" s="11" t="s">
        <v>445</v>
      </c>
      <c r="C166" s="8" t="s">
        <v>41</v>
      </c>
      <c r="D166" s="11" t="s">
        <v>250</v>
      </c>
      <c r="E166" s="8" t="s">
        <v>41</v>
      </c>
      <c r="F166" s="8" t="s">
        <v>443</v>
      </c>
      <c r="G166" s="8" t="s">
        <v>447</v>
      </c>
      <c r="H166" s="36">
        <v>358160</v>
      </c>
      <c r="I166" s="36">
        <v>0</v>
      </c>
      <c r="J166" s="36">
        <v>49979.15</v>
      </c>
      <c r="K166" s="36">
        <v>1471014.81</v>
      </c>
      <c r="L166" s="36">
        <v>975272.05</v>
      </c>
      <c r="M166" s="8" t="s">
        <v>447</v>
      </c>
      <c r="N166" s="36">
        <v>408139.15</v>
      </c>
      <c r="O166" s="1">
        <f t="shared" si="2"/>
        <v>408139.15</v>
      </c>
      <c r="P166" s="75" t="str">
        <f>IF(O166=0,"",_xlfn.XLOOKUP(D166,'6月份计划'!A:A,'6月份计划'!A:A))</f>
        <v>溧阳鑫岩汽车零部件有限公司</v>
      </c>
    </row>
    <row r="167" s="1" customFormat="1" ht="15" customHeight="1" spans="1:16">
      <c r="A167" s="12" t="s">
        <v>444</v>
      </c>
      <c r="B167" s="15" t="s">
        <v>445</v>
      </c>
      <c r="C167" s="12" t="s">
        <v>41</v>
      </c>
      <c r="D167" s="15" t="s">
        <v>311</v>
      </c>
      <c r="E167" s="12" t="s">
        <v>41</v>
      </c>
      <c r="F167" s="12" t="s">
        <v>443</v>
      </c>
      <c r="G167" s="12" t="s">
        <v>447</v>
      </c>
      <c r="H167" s="37">
        <v>235401.6</v>
      </c>
      <c r="I167" s="37">
        <v>146583.6</v>
      </c>
      <c r="J167" s="37">
        <v>0</v>
      </c>
      <c r="K167" s="37">
        <v>413037.7</v>
      </c>
      <c r="L167" s="37">
        <v>501855.6</v>
      </c>
      <c r="M167" s="12" t="s">
        <v>447</v>
      </c>
      <c r="N167" s="37">
        <v>88818</v>
      </c>
      <c r="O167" s="1">
        <f t="shared" si="2"/>
        <v>88818</v>
      </c>
      <c r="P167" s="75" t="str">
        <f>IF(O167=0,"",_xlfn.XLOOKUP(D167,'6月份计划'!A:A,'6月份计划'!A:A))</f>
        <v>江苏全盛座舱技术股份有限公司</v>
      </c>
    </row>
    <row r="168" s="1" customFormat="1" ht="15" customHeight="1" spans="1:16">
      <c r="A168" s="8" t="s">
        <v>444</v>
      </c>
      <c r="B168" s="11" t="s">
        <v>445</v>
      </c>
      <c r="C168" s="8" t="s">
        <v>41</v>
      </c>
      <c r="D168" s="11" t="s">
        <v>513</v>
      </c>
      <c r="E168" s="8" t="s">
        <v>41</v>
      </c>
      <c r="F168" s="8" t="s">
        <v>443</v>
      </c>
      <c r="G168" s="8" t="s">
        <v>489</v>
      </c>
      <c r="H168" s="36">
        <v>0</v>
      </c>
      <c r="I168" s="36">
        <v>0</v>
      </c>
      <c r="J168" s="36">
        <v>0</v>
      </c>
      <c r="K168" s="36">
        <v>0</v>
      </c>
      <c r="L168" s="36">
        <v>0</v>
      </c>
      <c r="M168" s="8" t="s">
        <v>489</v>
      </c>
      <c r="N168" s="36">
        <v>0</v>
      </c>
      <c r="O168" s="1">
        <f t="shared" si="2"/>
        <v>0</v>
      </c>
      <c r="P168" s="75" t="str">
        <f>IF(O168=0,"",_xlfn.XLOOKUP(D168,'6月份计划'!A:A,'6月份计划'!A:A))</f>
        <v/>
      </c>
    </row>
    <row r="169" s="1" customFormat="1" ht="15" customHeight="1" spans="1:16">
      <c r="A169" s="12" t="s">
        <v>444</v>
      </c>
      <c r="B169" s="15" t="s">
        <v>445</v>
      </c>
      <c r="C169" s="12" t="s">
        <v>41</v>
      </c>
      <c r="D169" s="15" t="s">
        <v>514</v>
      </c>
      <c r="E169" s="12" t="s">
        <v>41</v>
      </c>
      <c r="F169" s="12" t="s">
        <v>443</v>
      </c>
      <c r="G169" s="12" t="s">
        <v>489</v>
      </c>
      <c r="H169" s="37">
        <v>0</v>
      </c>
      <c r="I169" s="37">
        <v>0</v>
      </c>
      <c r="J169" s="37">
        <v>0</v>
      </c>
      <c r="K169" s="37">
        <v>0</v>
      </c>
      <c r="L169" s="37">
        <v>0</v>
      </c>
      <c r="M169" s="12" t="s">
        <v>489</v>
      </c>
      <c r="N169" s="37">
        <v>0</v>
      </c>
      <c r="O169" s="1">
        <f t="shared" si="2"/>
        <v>0</v>
      </c>
      <c r="P169" s="75" t="str">
        <f>IF(O169=0,"",_xlfn.XLOOKUP(D169,'6月份计划'!A:A,'6月份计划'!A:A))</f>
        <v/>
      </c>
    </row>
    <row r="170" s="1" customFormat="1" ht="15" customHeight="1" spans="1:16">
      <c r="A170" s="8" t="s">
        <v>444</v>
      </c>
      <c r="B170" s="11" t="s">
        <v>445</v>
      </c>
      <c r="C170" s="8" t="s">
        <v>41</v>
      </c>
      <c r="D170" s="11" t="s">
        <v>310</v>
      </c>
      <c r="E170" s="8" t="s">
        <v>41</v>
      </c>
      <c r="F170" s="8" t="s">
        <v>443</v>
      </c>
      <c r="G170" s="8" t="s">
        <v>489</v>
      </c>
      <c r="H170" s="36">
        <v>0</v>
      </c>
      <c r="I170" s="36">
        <v>0</v>
      </c>
      <c r="J170" s="36">
        <v>0</v>
      </c>
      <c r="K170" s="36">
        <v>62991.27</v>
      </c>
      <c r="L170" s="36">
        <v>44034.75</v>
      </c>
      <c r="M170" s="8" t="s">
        <v>489</v>
      </c>
      <c r="N170" s="36">
        <v>0</v>
      </c>
      <c r="O170" s="1">
        <f t="shared" si="2"/>
        <v>0</v>
      </c>
      <c r="P170" s="75" t="str">
        <f>IF(O170=0,"",_xlfn.XLOOKUP(D170,'6月份计划'!A:A,'6月份计划'!A:A))</f>
        <v/>
      </c>
    </row>
    <row r="171" s="1" customFormat="1" ht="15" customHeight="1" spans="1:16">
      <c r="A171" s="12" t="s">
        <v>444</v>
      </c>
      <c r="B171" s="15" t="s">
        <v>445</v>
      </c>
      <c r="C171" s="12" t="s">
        <v>41</v>
      </c>
      <c r="D171" s="15" t="s">
        <v>416</v>
      </c>
      <c r="E171" s="12" t="s">
        <v>41</v>
      </c>
      <c r="F171" s="12" t="s">
        <v>443</v>
      </c>
      <c r="G171" s="12" t="s">
        <v>489</v>
      </c>
      <c r="H171" s="37">
        <v>0</v>
      </c>
      <c r="I171" s="37">
        <v>0</v>
      </c>
      <c r="J171" s="37">
        <v>0</v>
      </c>
      <c r="K171" s="37">
        <v>0</v>
      </c>
      <c r="L171" s="37">
        <v>18532</v>
      </c>
      <c r="M171" s="12" t="s">
        <v>489</v>
      </c>
      <c r="N171" s="37">
        <v>0</v>
      </c>
      <c r="O171" s="1">
        <f t="shared" si="2"/>
        <v>0</v>
      </c>
      <c r="P171" s="75" t="str">
        <f>IF(O171=0,"",_xlfn.XLOOKUP(D171,'6月份计划'!A:A,'6月份计划'!A:A))</f>
        <v/>
      </c>
    </row>
    <row r="172" s="1" customFormat="1" ht="15" hidden="1" customHeight="1" spans="1:16">
      <c r="A172" s="8" t="s">
        <v>444</v>
      </c>
      <c r="B172" s="11" t="s">
        <v>445</v>
      </c>
      <c r="C172" s="8" t="s">
        <v>41</v>
      </c>
      <c r="D172" s="11" t="s">
        <v>461</v>
      </c>
      <c r="E172" s="8" t="s">
        <v>41</v>
      </c>
      <c r="F172" s="8" t="s">
        <v>443</v>
      </c>
      <c r="G172" s="8" t="s">
        <v>447</v>
      </c>
      <c r="H172" s="36">
        <v>9600</v>
      </c>
      <c r="I172" s="36">
        <v>0</v>
      </c>
      <c r="J172" s="36">
        <v>0</v>
      </c>
      <c r="K172" s="36">
        <v>0</v>
      </c>
      <c r="L172" s="36">
        <v>0</v>
      </c>
      <c r="M172" s="8" t="s">
        <v>447</v>
      </c>
      <c r="N172" s="36">
        <v>9600</v>
      </c>
      <c r="O172" s="1">
        <f t="shared" si="2"/>
        <v>9600</v>
      </c>
      <c r="P172" s="75" t="e">
        <f>IF(O172=0,"",_xlfn.XLOOKUP(D172,'6月份计划'!A:A,'6月份计划'!A:A))</f>
        <v>#N/A</v>
      </c>
    </row>
    <row r="173" s="1" customFormat="1" ht="15" customHeight="1" spans="1:16">
      <c r="A173" s="12" t="s">
        <v>444</v>
      </c>
      <c r="B173" s="15" t="s">
        <v>445</v>
      </c>
      <c r="C173" s="12" t="s">
        <v>41</v>
      </c>
      <c r="D173" s="15" t="s">
        <v>539</v>
      </c>
      <c r="E173" s="12" t="s">
        <v>41</v>
      </c>
      <c r="F173" s="12" t="s">
        <v>443</v>
      </c>
      <c r="G173" s="12" t="s">
        <v>489</v>
      </c>
      <c r="H173" s="37">
        <v>0</v>
      </c>
      <c r="I173" s="37">
        <v>0</v>
      </c>
      <c r="J173" s="37">
        <v>0</v>
      </c>
      <c r="K173" s="37">
        <v>0</v>
      </c>
      <c r="L173" s="37">
        <v>0</v>
      </c>
      <c r="M173" s="12" t="s">
        <v>489</v>
      </c>
      <c r="N173" s="37">
        <v>0</v>
      </c>
      <c r="O173" s="1">
        <f t="shared" si="2"/>
        <v>0</v>
      </c>
      <c r="P173" s="75" t="str">
        <f>IF(O173=0,"",_xlfn.XLOOKUP(D173,'6月份计划'!A:A,'6月份计划'!A:A))</f>
        <v/>
      </c>
    </row>
    <row r="174" s="1" customFormat="1" ht="15" hidden="1" customHeight="1" spans="1:16">
      <c r="A174" s="8" t="s">
        <v>444</v>
      </c>
      <c r="B174" s="11" t="s">
        <v>445</v>
      </c>
      <c r="C174" s="8" t="s">
        <v>41</v>
      </c>
      <c r="D174" s="11" t="s">
        <v>462</v>
      </c>
      <c r="E174" s="8" t="s">
        <v>41</v>
      </c>
      <c r="F174" s="8" t="s">
        <v>443</v>
      </c>
      <c r="G174" s="8" t="s">
        <v>453</v>
      </c>
      <c r="H174" s="36">
        <v>15365.76</v>
      </c>
      <c r="I174" s="36">
        <v>0</v>
      </c>
      <c r="J174" s="36">
        <v>0</v>
      </c>
      <c r="K174" s="36">
        <v>0</v>
      </c>
      <c r="L174" s="36">
        <v>0</v>
      </c>
      <c r="M174" s="8" t="s">
        <v>453</v>
      </c>
      <c r="N174" s="36">
        <v>15365.76</v>
      </c>
      <c r="O174" s="1">
        <f t="shared" si="2"/>
        <v>-15365.76</v>
      </c>
      <c r="P174" s="75" t="e">
        <f>IF(O174=0,"",_xlfn.XLOOKUP(D174,'6月份计划'!A:A,'6月份计划'!A:A))</f>
        <v>#N/A</v>
      </c>
    </row>
    <row r="175" s="1" customFormat="1" ht="15" hidden="1" customHeight="1" spans="1:16">
      <c r="A175" s="12" t="s">
        <v>444</v>
      </c>
      <c r="B175" s="15" t="s">
        <v>445</v>
      </c>
      <c r="C175" s="12" t="s">
        <v>41</v>
      </c>
      <c r="D175" s="15" t="s">
        <v>463</v>
      </c>
      <c r="E175" s="12" t="s">
        <v>41</v>
      </c>
      <c r="F175" s="12" t="s">
        <v>443</v>
      </c>
      <c r="G175" s="12" t="s">
        <v>447</v>
      </c>
      <c r="H175" s="37">
        <v>2200</v>
      </c>
      <c r="I175" s="37">
        <v>0</v>
      </c>
      <c r="J175" s="37">
        <v>0</v>
      </c>
      <c r="K175" s="37">
        <v>0</v>
      </c>
      <c r="L175" s="37">
        <v>0</v>
      </c>
      <c r="M175" s="12" t="s">
        <v>447</v>
      </c>
      <c r="N175" s="37">
        <v>2200</v>
      </c>
      <c r="O175" s="1">
        <f t="shared" si="2"/>
        <v>2200</v>
      </c>
      <c r="P175" s="75" t="e">
        <f>IF(O175=0,"",_xlfn.XLOOKUP(D175,'6月份计划'!A:A,'6月份计划'!A:A))</f>
        <v>#N/A</v>
      </c>
    </row>
    <row r="176" s="1" customFormat="1" ht="15" hidden="1" customHeight="1" spans="1:16">
      <c r="A176" s="8" t="s">
        <v>444</v>
      </c>
      <c r="B176" s="11" t="s">
        <v>445</v>
      </c>
      <c r="C176" s="8" t="s">
        <v>41</v>
      </c>
      <c r="D176" s="11" t="s">
        <v>464</v>
      </c>
      <c r="E176" s="8" t="s">
        <v>41</v>
      </c>
      <c r="F176" s="8" t="s">
        <v>443</v>
      </c>
      <c r="G176" s="8" t="s">
        <v>447</v>
      </c>
      <c r="H176" s="36">
        <v>6340</v>
      </c>
      <c r="I176" s="36">
        <v>0</v>
      </c>
      <c r="J176" s="36">
        <v>0</v>
      </c>
      <c r="K176" s="36">
        <v>0</v>
      </c>
      <c r="L176" s="36">
        <v>0</v>
      </c>
      <c r="M176" s="8" t="s">
        <v>447</v>
      </c>
      <c r="N176" s="36">
        <v>6340</v>
      </c>
      <c r="O176" s="1">
        <f t="shared" si="2"/>
        <v>6340</v>
      </c>
      <c r="P176" s="75" t="e">
        <f>IF(O176=0,"",_xlfn.XLOOKUP(D176,'6月份计划'!A:A,'6月份计划'!A:A))</f>
        <v>#N/A</v>
      </c>
    </row>
    <row r="177" s="1" customFormat="1" ht="15" hidden="1" customHeight="1" spans="1:16">
      <c r="A177" s="12" t="s">
        <v>444</v>
      </c>
      <c r="B177" s="15" t="s">
        <v>445</v>
      </c>
      <c r="C177" s="12" t="s">
        <v>41</v>
      </c>
      <c r="D177" s="15" t="s">
        <v>465</v>
      </c>
      <c r="E177" s="12" t="s">
        <v>41</v>
      </c>
      <c r="F177" s="12" t="s">
        <v>443</v>
      </c>
      <c r="G177" s="12" t="s">
        <v>447</v>
      </c>
      <c r="H177" s="37">
        <v>30585</v>
      </c>
      <c r="I177" s="37">
        <v>0</v>
      </c>
      <c r="J177" s="37">
        <v>0</v>
      </c>
      <c r="K177" s="37">
        <v>0</v>
      </c>
      <c r="L177" s="37">
        <v>0</v>
      </c>
      <c r="M177" s="12" t="s">
        <v>447</v>
      </c>
      <c r="N177" s="37">
        <v>30585</v>
      </c>
      <c r="O177" s="1">
        <f t="shared" si="2"/>
        <v>30585</v>
      </c>
      <c r="P177" s="75" t="e">
        <f>IF(O177=0,"",_xlfn.XLOOKUP(D177,'6月份计划'!A:A,'6月份计划'!A:A))</f>
        <v>#N/A</v>
      </c>
    </row>
    <row r="178" s="1" customFormat="1" ht="15" customHeight="1" spans="1:16">
      <c r="A178" s="8" t="s">
        <v>444</v>
      </c>
      <c r="B178" s="11" t="s">
        <v>445</v>
      </c>
      <c r="C178" s="8" t="s">
        <v>41</v>
      </c>
      <c r="D178" s="11" t="s">
        <v>257</v>
      </c>
      <c r="E178" s="8" t="s">
        <v>41</v>
      </c>
      <c r="F178" s="8" t="s">
        <v>443</v>
      </c>
      <c r="G178" s="8" t="s">
        <v>453</v>
      </c>
      <c r="H178" s="36">
        <v>39.99</v>
      </c>
      <c r="I178" s="36">
        <v>0</v>
      </c>
      <c r="J178" s="36">
        <v>0</v>
      </c>
      <c r="K178" s="36">
        <v>288131.92</v>
      </c>
      <c r="L178" s="36">
        <v>512604.16</v>
      </c>
      <c r="M178" s="8" t="s">
        <v>453</v>
      </c>
      <c r="N178" s="36">
        <v>39.99</v>
      </c>
      <c r="O178" s="1">
        <f t="shared" si="2"/>
        <v>-39.99</v>
      </c>
      <c r="P178" s="75" t="str">
        <f>IF(O178=0,"",_xlfn.XLOOKUP(D178,'6月份计划'!A:A,'6月份计划'!A:A))</f>
        <v>佛吉亚（无锡）座椅部件有限公</v>
      </c>
    </row>
    <row r="179" s="1" customFormat="1" ht="15" customHeight="1" spans="1:16">
      <c r="A179" s="12" t="s">
        <v>444</v>
      </c>
      <c r="B179" s="15" t="s">
        <v>445</v>
      </c>
      <c r="C179" s="12" t="s">
        <v>41</v>
      </c>
      <c r="D179" s="15" t="s">
        <v>540</v>
      </c>
      <c r="E179" s="12" t="s">
        <v>41</v>
      </c>
      <c r="F179" s="12" t="s">
        <v>443</v>
      </c>
      <c r="G179" s="12" t="s">
        <v>489</v>
      </c>
      <c r="H179" s="37">
        <v>0</v>
      </c>
      <c r="I179" s="37">
        <v>0</v>
      </c>
      <c r="J179" s="37">
        <v>0</v>
      </c>
      <c r="K179" s="37">
        <v>0</v>
      </c>
      <c r="L179" s="37">
        <v>0</v>
      </c>
      <c r="M179" s="12" t="s">
        <v>489</v>
      </c>
      <c r="N179" s="37">
        <v>0</v>
      </c>
      <c r="O179" s="1">
        <f t="shared" si="2"/>
        <v>0</v>
      </c>
      <c r="P179" s="75" t="str">
        <f>IF(O179=0,"",_xlfn.XLOOKUP(D179,'6月份计划'!A:A,'6月份计划'!A:A))</f>
        <v/>
      </c>
    </row>
    <row r="180" s="1" customFormat="1" ht="15" customHeight="1" spans="1:16">
      <c r="A180" s="8" t="s">
        <v>444</v>
      </c>
      <c r="B180" s="11" t="s">
        <v>445</v>
      </c>
      <c r="C180" s="8" t="s">
        <v>41</v>
      </c>
      <c r="D180" s="11" t="s">
        <v>541</v>
      </c>
      <c r="E180" s="8" t="s">
        <v>41</v>
      </c>
      <c r="F180" s="8" t="s">
        <v>443</v>
      </c>
      <c r="G180" s="8" t="s">
        <v>489</v>
      </c>
      <c r="H180" s="36">
        <v>0</v>
      </c>
      <c r="I180" s="36">
        <v>0</v>
      </c>
      <c r="J180" s="36">
        <v>0</v>
      </c>
      <c r="K180" s="36">
        <v>0</v>
      </c>
      <c r="L180" s="36">
        <v>0</v>
      </c>
      <c r="M180" s="8" t="s">
        <v>489</v>
      </c>
      <c r="N180" s="36">
        <v>0</v>
      </c>
      <c r="O180" s="1">
        <f t="shared" si="2"/>
        <v>0</v>
      </c>
      <c r="P180" s="75" t="str">
        <f>IF(O180=0,"",_xlfn.XLOOKUP(D180,'6月份计划'!A:A,'6月份计划'!A:A))</f>
        <v/>
      </c>
    </row>
    <row r="181" s="1" customFormat="1" ht="15" customHeight="1" spans="1:16">
      <c r="A181" s="12" t="s">
        <v>444</v>
      </c>
      <c r="B181" s="15" t="s">
        <v>445</v>
      </c>
      <c r="C181" s="12" t="s">
        <v>41</v>
      </c>
      <c r="D181" s="15" t="s">
        <v>542</v>
      </c>
      <c r="E181" s="12" t="s">
        <v>41</v>
      </c>
      <c r="F181" s="12" t="s">
        <v>443</v>
      </c>
      <c r="G181" s="12" t="s">
        <v>489</v>
      </c>
      <c r="H181" s="37">
        <v>0</v>
      </c>
      <c r="I181" s="37">
        <v>0</v>
      </c>
      <c r="J181" s="37">
        <v>0</v>
      </c>
      <c r="K181" s="37">
        <v>0</v>
      </c>
      <c r="L181" s="37">
        <v>0</v>
      </c>
      <c r="M181" s="12" t="s">
        <v>489</v>
      </c>
      <c r="N181" s="37">
        <v>0</v>
      </c>
      <c r="O181" s="1">
        <f t="shared" si="2"/>
        <v>0</v>
      </c>
      <c r="P181" s="75" t="str">
        <f>IF(O181=0,"",_xlfn.XLOOKUP(D181,'6月份计划'!A:A,'6月份计划'!A:A))</f>
        <v/>
      </c>
    </row>
    <row r="182" s="1" customFormat="1" ht="15" customHeight="1" spans="1:16">
      <c r="A182" s="8" t="s">
        <v>444</v>
      </c>
      <c r="B182" s="11" t="s">
        <v>445</v>
      </c>
      <c r="C182" s="8" t="s">
        <v>41</v>
      </c>
      <c r="D182" s="11" t="s">
        <v>543</v>
      </c>
      <c r="E182" s="8" t="s">
        <v>41</v>
      </c>
      <c r="F182" s="8" t="s">
        <v>443</v>
      </c>
      <c r="G182" s="8" t="s">
        <v>489</v>
      </c>
      <c r="H182" s="36">
        <v>0</v>
      </c>
      <c r="I182" s="36">
        <v>0</v>
      </c>
      <c r="J182" s="36">
        <v>0</v>
      </c>
      <c r="K182" s="36">
        <v>0</v>
      </c>
      <c r="L182" s="36">
        <v>0</v>
      </c>
      <c r="M182" s="8" t="s">
        <v>489</v>
      </c>
      <c r="N182" s="36">
        <v>0</v>
      </c>
      <c r="O182" s="1">
        <f t="shared" si="2"/>
        <v>0</v>
      </c>
      <c r="P182" s="75" t="str">
        <f>IF(O182=0,"",_xlfn.XLOOKUP(D182,'6月份计划'!A:A,'6月份计划'!A:A))</f>
        <v/>
      </c>
    </row>
    <row r="183" s="1" customFormat="1" ht="15" customHeight="1" spans="1:16">
      <c r="A183" s="12" t="s">
        <v>444</v>
      </c>
      <c r="B183" s="15" t="s">
        <v>445</v>
      </c>
      <c r="C183" s="12" t="s">
        <v>41</v>
      </c>
      <c r="D183" s="15" t="s">
        <v>278</v>
      </c>
      <c r="E183" s="12" t="s">
        <v>41</v>
      </c>
      <c r="F183" s="12" t="s">
        <v>443</v>
      </c>
      <c r="G183" s="12" t="s">
        <v>447</v>
      </c>
      <c r="H183" s="37">
        <v>10558.72</v>
      </c>
      <c r="I183" s="37">
        <v>5279.36</v>
      </c>
      <c r="J183" s="37">
        <v>0</v>
      </c>
      <c r="K183" s="37">
        <v>40915.04</v>
      </c>
      <c r="L183" s="37">
        <v>21117.44</v>
      </c>
      <c r="M183" s="12" t="s">
        <v>447</v>
      </c>
      <c r="N183" s="37">
        <v>5279.36</v>
      </c>
      <c r="O183" s="1">
        <f t="shared" si="2"/>
        <v>5279.36</v>
      </c>
      <c r="P183" s="75" t="str">
        <f>IF(O183=0,"",_xlfn.XLOOKUP(D183,'6月份计划'!A:A,'6月份计划'!A:A))</f>
        <v>重庆渝融兴汽车配件有限公司</v>
      </c>
    </row>
    <row r="184" s="1" customFormat="1" ht="15" hidden="1" customHeight="1" spans="1:16">
      <c r="A184" s="8" t="s">
        <v>444</v>
      </c>
      <c r="B184" s="11" t="s">
        <v>445</v>
      </c>
      <c r="C184" s="8" t="s">
        <v>41</v>
      </c>
      <c r="D184" s="11" t="s">
        <v>412</v>
      </c>
      <c r="E184" s="8" t="s">
        <v>41</v>
      </c>
      <c r="F184" s="8" t="s">
        <v>443</v>
      </c>
      <c r="G184" s="8" t="s">
        <v>447</v>
      </c>
      <c r="H184" s="36">
        <v>3453.05</v>
      </c>
      <c r="I184" s="36">
        <v>0</v>
      </c>
      <c r="J184" s="36">
        <v>0</v>
      </c>
      <c r="K184" s="36">
        <v>15083.24</v>
      </c>
      <c r="L184" s="36">
        <v>10994.67</v>
      </c>
      <c r="M184" s="8" t="s">
        <v>447</v>
      </c>
      <c r="N184" s="36">
        <v>3453.05</v>
      </c>
      <c r="O184" s="1">
        <f t="shared" si="2"/>
        <v>3453.05</v>
      </c>
      <c r="P184" s="75" t="e">
        <f>IF(O184=0,"",_xlfn.XLOOKUP(D184,'6月份计划'!A:A,'6月份计划'!A:A))</f>
        <v>#N/A</v>
      </c>
    </row>
    <row r="185" s="1" customFormat="1" ht="15" customHeight="1" spans="1:16">
      <c r="A185" s="12" t="s">
        <v>444</v>
      </c>
      <c r="B185" s="15" t="s">
        <v>445</v>
      </c>
      <c r="C185" s="12" t="s">
        <v>41</v>
      </c>
      <c r="D185" s="15" t="s">
        <v>258</v>
      </c>
      <c r="E185" s="12" t="s">
        <v>41</v>
      </c>
      <c r="F185" s="12" t="s">
        <v>443</v>
      </c>
      <c r="G185" s="12" t="s">
        <v>447</v>
      </c>
      <c r="H185" s="37">
        <v>747759.53</v>
      </c>
      <c r="I185" s="37">
        <v>350596.84</v>
      </c>
      <c r="J185" s="37">
        <v>44270.01</v>
      </c>
      <c r="K185" s="37">
        <v>1150366.83</v>
      </c>
      <c r="L185" s="37">
        <v>853046.31</v>
      </c>
      <c r="M185" s="12" t="s">
        <v>447</v>
      </c>
      <c r="N185" s="37">
        <v>441432.7</v>
      </c>
      <c r="O185" s="1">
        <f t="shared" si="2"/>
        <v>441432.7</v>
      </c>
      <c r="P185" s="75" t="str">
        <f>IF(O185=0,"",_xlfn.XLOOKUP(D185,'6月份计划'!A:A,'6月份计划'!A:A))</f>
        <v>吉林省德邦汽车电子有限公司</v>
      </c>
    </row>
    <row r="186" s="1" customFormat="1" ht="15" customHeight="1" spans="1:16">
      <c r="A186" s="8" t="s">
        <v>444</v>
      </c>
      <c r="B186" s="11" t="s">
        <v>445</v>
      </c>
      <c r="C186" s="8" t="s">
        <v>41</v>
      </c>
      <c r="D186" s="11" t="s">
        <v>259</v>
      </c>
      <c r="E186" s="8" t="s">
        <v>41</v>
      </c>
      <c r="F186" s="8" t="s">
        <v>443</v>
      </c>
      <c r="G186" s="8" t="s">
        <v>447</v>
      </c>
      <c r="H186" s="36">
        <v>957800.62</v>
      </c>
      <c r="I186" s="36">
        <v>150000</v>
      </c>
      <c r="J186" s="36">
        <v>0</v>
      </c>
      <c r="K186" s="36">
        <v>1177392.18</v>
      </c>
      <c r="L186" s="36">
        <v>1199443.21</v>
      </c>
      <c r="M186" s="8" t="s">
        <v>447</v>
      </c>
      <c r="N186" s="36">
        <v>807800.62</v>
      </c>
      <c r="O186" s="1">
        <f t="shared" si="2"/>
        <v>807800.62</v>
      </c>
      <c r="P186" s="75" t="str">
        <f>IF(O186=0,"",_xlfn.XLOOKUP(D186,'6月份计划'!A:A,'6月份计划'!A:A))</f>
        <v>吉林省方舟电子科技有限公司</v>
      </c>
    </row>
    <row r="187" s="1" customFormat="1" ht="15" customHeight="1" spans="1:16">
      <c r="A187" s="12" t="s">
        <v>444</v>
      </c>
      <c r="B187" s="15" t="s">
        <v>445</v>
      </c>
      <c r="C187" s="12" t="s">
        <v>41</v>
      </c>
      <c r="D187" s="15" t="s">
        <v>299</v>
      </c>
      <c r="E187" s="12" t="s">
        <v>41</v>
      </c>
      <c r="F187" s="12" t="s">
        <v>443</v>
      </c>
      <c r="G187" s="12" t="s">
        <v>447</v>
      </c>
      <c r="H187" s="37">
        <v>735340.16</v>
      </c>
      <c r="I187" s="37">
        <v>505612</v>
      </c>
      <c r="J187" s="37">
        <v>0</v>
      </c>
      <c r="K187" s="37">
        <v>1327440.49</v>
      </c>
      <c r="L187" s="37">
        <v>1269734.22</v>
      </c>
      <c r="M187" s="12" t="s">
        <v>447</v>
      </c>
      <c r="N187" s="37">
        <v>229728.16</v>
      </c>
      <c r="O187" s="1">
        <f t="shared" si="2"/>
        <v>229728.16</v>
      </c>
      <c r="P187" s="75" t="str">
        <f>IF(O187=0,"",_xlfn.XLOOKUP(D187,'6月份计划'!A:A,'6月份计划'!A:A))</f>
        <v>长春富维安道拓汽车金属零部件</v>
      </c>
    </row>
    <row r="188" s="1" customFormat="1" ht="15" customHeight="1" spans="1:16">
      <c r="A188" s="8" t="s">
        <v>444</v>
      </c>
      <c r="B188" s="11" t="s">
        <v>445</v>
      </c>
      <c r="C188" s="8" t="s">
        <v>41</v>
      </c>
      <c r="D188" s="11" t="s">
        <v>544</v>
      </c>
      <c r="E188" s="8" t="s">
        <v>41</v>
      </c>
      <c r="F188" s="8" t="s">
        <v>443</v>
      </c>
      <c r="G188" s="8" t="s">
        <v>489</v>
      </c>
      <c r="H188" s="36">
        <v>0</v>
      </c>
      <c r="I188" s="36">
        <v>0</v>
      </c>
      <c r="J188" s="36">
        <v>0</v>
      </c>
      <c r="K188" s="36">
        <v>0</v>
      </c>
      <c r="L188" s="36">
        <v>0</v>
      </c>
      <c r="M188" s="8" t="s">
        <v>489</v>
      </c>
      <c r="N188" s="36">
        <v>0</v>
      </c>
      <c r="O188" s="1">
        <f t="shared" si="2"/>
        <v>0</v>
      </c>
      <c r="P188" s="75" t="str">
        <f>IF(O188=0,"",_xlfn.XLOOKUP(D188,'6月份计划'!A:A,'6月份计划'!A:A))</f>
        <v/>
      </c>
    </row>
    <row r="189" s="1" customFormat="1" ht="15" customHeight="1" spans="1:16">
      <c r="A189" s="12" t="s">
        <v>444</v>
      </c>
      <c r="B189" s="15" t="s">
        <v>445</v>
      </c>
      <c r="C189" s="12" t="s">
        <v>41</v>
      </c>
      <c r="D189" s="15" t="s">
        <v>415</v>
      </c>
      <c r="E189" s="12" t="s">
        <v>41</v>
      </c>
      <c r="F189" s="12" t="s">
        <v>443</v>
      </c>
      <c r="G189" s="12" t="s">
        <v>489</v>
      </c>
      <c r="H189" s="37">
        <v>0</v>
      </c>
      <c r="I189" s="37">
        <v>0</v>
      </c>
      <c r="J189" s="37">
        <v>0</v>
      </c>
      <c r="K189" s="37">
        <v>0</v>
      </c>
      <c r="L189" s="37">
        <v>0</v>
      </c>
      <c r="M189" s="12" t="s">
        <v>489</v>
      </c>
      <c r="N189" s="37">
        <v>0</v>
      </c>
      <c r="O189" s="1">
        <f t="shared" si="2"/>
        <v>0</v>
      </c>
      <c r="P189" s="75" t="str">
        <f>IF(O189=0,"",_xlfn.XLOOKUP(D189,'6月份计划'!A:A,'6月份计划'!A:A))</f>
        <v/>
      </c>
    </row>
    <row r="190" s="1" customFormat="1" ht="15" customHeight="1" spans="1:16">
      <c r="A190" s="8" t="s">
        <v>444</v>
      </c>
      <c r="B190" s="11" t="s">
        <v>445</v>
      </c>
      <c r="C190" s="8" t="s">
        <v>41</v>
      </c>
      <c r="D190" s="11" t="s">
        <v>260</v>
      </c>
      <c r="E190" s="8" t="s">
        <v>41</v>
      </c>
      <c r="F190" s="8" t="s">
        <v>443</v>
      </c>
      <c r="G190" s="8" t="s">
        <v>447</v>
      </c>
      <c r="H190" s="36">
        <v>279407.59</v>
      </c>
      <c r="I190" s="36">
        <v>0</v>
      </c>
      <c r="J190" s="36">
        <v>22470.12</v>
      </c>
      <c r="K190" s="36">
        <v>672067.01</v>
      </c>
      <c r="L190" s="36">
        <v>450237.97</v>
      </c>
      <c r="M190" s="8" t="s">
        <v>447</v>
      </c>
      <c r="N190" s="36">
        <v>301877.71</v>
      </c>
      <c r="O190" s="1">
        <f t="shared" si="2"/>
        <v>301877.71</v>
      </c>
      <c r="P190" s="75" t="str">
        <f>IF(O190=0,"",_xlfn.XLOOKUP(D190,'6月份计划'!A:A,'6月份计划'!A:A))</f>
        <v>黄骅市雍丰塑料制品有限公司</v>
      </c>
    </row>
    <row r="191" s="1" customFormat="1" ht="15" customHeight="1" spans="1:16">
      <c r="A191" s="12" t="s">
        <v>444</v>
      </c>
      <c r="B191" s="15" t="s">
        <v>445</v>
      </c>
      <c r="C191" s="12" t="s">
        <v>41</v>
      </c>
      <c r="D191" s="15" t="s">
        <v>545</v>
      </c>
      <c r="E191" s="12" t="s">
        <v>41</v>
      </c>
      <c r="F191" s="12" t="s">
        <v>443</v>
      </c>
      <c r="G191" s="12" t="s">
        <v>489</v>
      </c>
      <c r="H191" s="37">
        <v>0</v>
      </c>
      <c r="I191" s="37">
        <v>0</v>
      </c>
      <c r="J191" s="37">
        <v>0</v>
      </c>
      <c r="K191" s="37">
        <v>0</v>
      </c>
      <c r="L191" s="37">
        <v>0</v>
      </c>
      <c r="M191" s="12" t="s">
        <v>489</v>
      </c>
      <c r="N191" s="37">
        <v>0</v>
      </c>
      <c r="O191" s="1">
        <f t="shared" si="2"/>
        <v>0</v>
      </c>
      <c r="P191" s="75" t="str">
        <f>IF(O191=0,"",_xlfn.XLOOKUP(D191,'6月份计划'!A:A,'6月份计划'!A:A))</f>
        <v/>
      </c>
    </row>
    <row r="192" s="1" customFormat="1" ht="15" hidden="1" customHeight="1" spans="1:16">
      <c r="A192" s="8" t="s">
        <v>444</v>
      </c>
      <c r="B192" s="11" t="s">
        <v>445</v>
      </c>
      <c r="C192" s="8" t="s">
        <v>41</v>
      </c>
      <c r="D192" s="11" t="s">
        <v>466</v>
      </c>
      <c r="E192" s="8" t="s">
        <v>41</v>
      </c>
      <c r="F192" s="8" t="s">
        <v>443</v>
      </c>
      <c r="G192" s="8" t="s">
        <v>447</v>
      </c>
      <c r="H192" s="36">
        <v>1508.81</v>
      </c>
      <c r="I192" s="36">
        <v>0</v>
      </c>
      <c r="J192" s="36">
        <v>0</v>
      </c>
      <c r="K192" s="36">
        <v>0</v>
      </c>
      <c r="L192" s="36">
        <v>0</v>
      </c>
      <c r="M192" s="8" t="s">
        <v>447</v>
      </c>
      <c r="N192" s="36">
        <v>1508.81</v>
      </c>
      <c r="O192" s="1">
        <f t="shared" si="2"/>
        <v>1508.81</v>
      </c>
      <c r="P192" s="75" t="e">
        <f>IF(O192=0,"",_xlfn.XLOOKUP(D192,'6月份计划'!A:A,'6月份计划'!A:A))</f>
        <v>#N/A</v>
      </c>
    </row>
    <row r="193" s="1" customFormat="1" ht="15" hidden="1" customHeight="1" spans="1:16">
      <c r="A193" s="12" t="s">
        <v>444</v>
      </c>
      <c r="B193" s="15" t="s">
        <v>445</v>
      </c>
      <c r="C193" s="12" t="s">
        <v>41</v>
      </c>
      <c r="D193" s="15" t="s">
        <v>467</v>
      </c>
      <c r="E193" s="12" t="s">
        <v>41</v>
      </c>
      <c r="F193" s="12" t="s">
        <v>443</v>
      </c>
      <c r="G193" s="12" t="s">
        <v>447</v>
      </c>
      <c r="H193" s="37">
        <v>19684</v>
      </c>
      <c r="I193" s="37">
        <v>0</v>
      </c>
      <c r="J193" s="37">
        <v>0</v>
      </c>
      <c r="K193" s="37">
        <v>0</v>
      </c>
      <c r="L193" s="37">
        <v>0</v>
      </c>
      <c r="M193" s="12" t="s">
        <v>447</v>
      </c>
      <c r="N193" s="37">
        <v>19684</v>
      </c>
      <c r="O193" s="1">
        <f t="shared" si="2"/>
        <v>19684</v>
      </c>
      <c r="P193" s="75" t="e">
        <f>IF(O193=0,"",_xlfn.XLOOKUP(D193,'6月份计划'!A:A,'6月份计划'!A:A))</f>
        <v>#N/A</v>
      </c>
    </row>
    <row r="194" s="1" customFormat="1" ht="15" customHeight="1" spans="1:16">
      <c r="A194" s="8" t="s">
        <v>444</v>
      </c>
      <c r="B194" s="11" t="s">
        <v>445</v>
      </c>
      <c r="C194" s="8" t="s">
        <v>41</v>
      </c>
      <c r="D194" s="11" t="s">
        <v>306</v>
      </c>
      <c r="E194" s="8" t="s">
        <v>41</v>
      </c>
      <c r="F194" s="8" t="s">
        <v>443</v>
      </c>
      <c r="G194" s="8" t="s">
        <v>447</v>
      </c>
      <c r="H194" s="36">
        <v>19789.69</v>
      </c>
      <c r="I194" s="36">
        <v>0</v>
      </c>
      <c r="J194" s="36">
        <v>0</v>
      </c>
      <c r="K194" s="36">
        <v>125059.36</v>
      </c>
      <c r="L194" s="36">
        <v>104755.52</v>
      </c>
      <c r="M194" s="8" t="s">
        <v>447</v>
      </c>
      <c r="N194" s="36">
        <v>19789.69</v>
      </c>
      <c r="O194" s="1">
        <f t="shared" si="2"/>
        <v>19789.69</v>
      </c>
      <c r="P194" s="75" t="str">
        <f>IF(O194=0,"",_xlfn.XLOOKUP(D194,'6月份计划'!A:A,'6月份计划'!A:A))</f>
        <v>江苏忠明祥和精工股份有限公司</v>
      </c>
    </row>
    <row r="195" s="1" customFormat="1" ht="15" hidden="1" customHeight="1" spans="1:16">
      <c r="A195" s="12" t="s">
        <v>444</v>
      </c>
      <c r="B195" s="15" t="s">
        <v>445</v>
      </c>
      <c r="C195" s="12" t="s">
        <v>41</v>
      </c>
      <c r="D195" s="15" t="s">
        <v>468</v>
      </c>
      <c r="E195" s="12" t="s">
        <v>41</v>
      </c>
      <c r="F195" s="12" t="s">
        <v>443</v>
      </c>
      <c r="G195" s="12" t="s">
        <v>447</v>
      </c>
      <c r="H195" s="37">
        <v>23.19</v>
      </c>
      <c r="I195" s="37">
        <v>0</v>
      </c>
      <c r="J195" s="37">
        <v>0</v>
      </c>
      <c r="K195" s="37">
        <v>0</v>
      </c>
      <c r="L195" s="37">
        <v>0</v>
      </c>
      <c r="M195" s="12" t="s">
        <v>447</v>
      </c>
      <c r="N195" s="37">
        <v>23.19</v>
      </c>
      <c r="O195" s="1">
        <f t="shared" ref="O195:O241" si="3">IF(M195="贷",N195,-N195)</f>
        <v>23.19</v>
      </c>
      <c r="P195" s="75" t="e">
        <f>IF(O195=0,"",_xlfn.XLOOKUP(D195,'6月份计划'!A:A,'6月份计划'!A:A))</f>
        <v>#N/A</v>
      </c>
    </row>
    <row r="196" s="1" customFormat="1" ht="15" hidden="1" customHeight="1" spans="1:16">
      <c r="A196" s="8" t="s">
        <v>444</v>
      </c>
      <c r="B196" s="11" t="s">
        <v>445</v>
      </c>
      <c r="C196" s="8" t="s">
        <v>41</v>
      </c>
      <c r="D196" s="11" t="s">
        <v>469</v>
      </c>
      <c r="E196" s="8" t="s">
        <v>41</v>
      </c>
      <c r="F196" s="8" t="s">
        <v>443</v>
      </c>
      <c r="G196" s="8" t="s">
        <v>447</v>
      </c>
      <c r="H196" s="36">
        <v>5878.26</v>
      </c>
      <c r="I196" s="36">
        <v>0</v>
      </c>
      <c r="J196" s="36">
        <v>0</v>
      </c>
      <c r="K196" s="36">
        <v>0</v>
      </c>
      <c r="L196" s="36">
        <v>0</v>
      </c>
      <c r="M196" s="8" t="s">
        <v>447</v>
      </c>
      <c r="N196" s="36">
        <v>5878.26</v>
      </c>
      <c r="O196" s="1">
        <f t="shared" si="3"/>
        <v>5878.26</v>
      </c>
      <c r="P196" s="75" t="e">
        <f>IF(O196=0,"",_xlfn.XLOOKUP(D196,'6月份计划'!A:A,'6月份计划'!A:A))</f>
        <v>#N/A</v>
      </c>
    </row>
    <row r="197" s="1" customFormat="1" ht="15" customHeight="1" spans="1:16">
      <c r="A197" s="12" t="s">
        <v>444</v>
      </c>
      <c r="B197" s="15" t="s">
        <v>445</v>
      </c>
      <c r="C197" s="12" t="s">
        <v>41</v>
      </c>
      <c r="D197" s="15" t="s">
        <v>546</v>
      </c>
      <c r="E197" s="12" t="s">
        <v>41</v>
      </c>
      <c r="F197" s="12" t="s">
        <v>443</v>
      </c>
      <c r="G197" s="12" t="s">
        <v>489</v>
      </c>
      <c r="H197" s="37">
        <v>0</v>
      </c>
      <c r="I197" s="37">
        <v>0</v>
      </c>
      <c r="J197" s="37">
        <v>0</v>
      </c>
      <c r="K197" s="37">
        <v>0</v>
      </c>
      <c r="L197" s="37">
        <v>0</v>
      </c>
      <c r="M197" s="12" t="s">
        <v>489</v>
      </c>
      <c r="N197" s="37">
        <v>0</v>
      </c>
      <c r="O197" s="1">
        <f t="shared" si="3"/>
        <v>0</v>
      </c>
      <c r="P197" s="75" t="str">
        <f>IF(O197=0,"",_xlfn.XLOOKUP(D197,'6月份计划'!A:A,'6月份计划'!A:A))</f>
        <v/>
      </c>
    </row>
    <row r="198" s="1" customFormat="1" ht="15" customHeight="1" spans="1:16">
      <c r="A198" s="8" t="s">
        <v>444</v>
      </c>
      <c r="B198" s="11" t="s">
        <v>445</v>
      </c>
      <c r="C198" s="8" t="s">
        <v>41</v>
      </c>
      <c r="D198" s="11" t="s">
        <v>547</v>
      </c>
      <c r="E198" s="8" t="s">
        <v>41</v>
      </c>
      <c r="F198" s="8" t="s">
        <v>443</v>
      </c>
      <c r="G198" s="8" t="s">
        <v>489</v>
      </c>
      <c r="H198" s="36">
        <v>0</v>
      </c>
      <c r="I198" s="36">
        <v>0</v>
      </c>
      <c r="J198" s="36">
        <v>0</v>
      </c>
      <c r="K198" s="36">
        <v>0</v>
      </c>
      <c r="L198" s="36">
        <v>0</v>
      </c>
      <c r="M198" s="8" t="s">
        <v>489</v>
      </c>
      <c r="N198" s="36">
        <v>0</v>
      </c>
      <c r="O198" s="1">
        <f t="shared" si="3"/>
        <v>0</v>
      </c>
      <c r="P198" s="75" t="str">
        <f>IF(O198=0,"",_xlfn.XLOOKUP(D198,'6月份计划'!A:A,'6月份计划'!A:A))</f>
        <v/>
      </c>
    </row>
    <row r="199" s="1" customFormat="1" ht="15" hidden="1" customHeight="1" spans="1:16">
      <c r="A199" s="12" t="s">
        <v>444</v>
      </c>
      <c r="B199" s="15" t="s">
        <v>445</v>
      </c>
      <c r="C199" s="12" t="s">
        <v>41</v>
      </c>
      <c r="D199" s="15" t="s">
        <v>470</v>
      </c>
      <c r="E199" s="12" t="s">
        <v>41</v>
      </c>
      <c r="F199" s="12" t="s">
        <v>443</v>
      </c>
      <c r="G199" s="12" t="s">
        <v>447</v>
      </c>
      <c r="H199" s="37">
        <v>65450</v>
      </c>
      <c r="I199" s="37">
        <v>0</v>
      </c>
      <c r="J199" s="37">
        <v>0</v>
      </c>
      <c r="K199" s="37">
        <v>0</v>
      </c>
      <c r="L199" s="37">
        <v>0</v>
      </c>
      <c r="M199" s="12" t="s">
        <v>447</v>
      </c>
      <c r="N199" s="37">
        <v>65450</v>
      </c>
      <c r="O199" s="1">
        <f t="shared" si="3"/>
        <v>65450</v>
      </c>
      <c r="P199" s="75" t="e">
        <f>IF(O199=0,"",_xlfn.XLOOKUP(D199,'6月份计划'!A:A,'6月份计划'!A:A))</f>
        <v>#N/A</v>
      </c>
    </row>
    <row r="200" s="1" customFormat="1" ht="15" customHeight="1" spans="1:16">
      <c r="A200" s="8" t="s">
        <v>444</v>
      </c>
      <c r="B200" s="11" t="s">
        <v>445</v>
      </c>
      <c r="C200" s="8" t="s">
        <v>41</v>
      </c>
      <c r="D200" s="11" t="s">
        <v>548</v>
      </c>
      <c r="E200" s="8" t="s">
        <v>41</v>
      </c>
      <c r="F200" s="8" t="s">
        <v>443</v>
      </c>
      <c r="G200" s="8" t="s">
        <v>489</v>
      </c>
      <c r="H200" s="36">
        <v>0</v>
      </c>
      <c r="I200" s="36">
        <v>0</v>
      </c>
      <c r="J200" s="36">
        <v>0</v>
      </c>
      <c r="K200" s="36">
        <v>0</v>
      </c>
      <c r="L200" s="36">
        <v>0</v>
      </c>
      <c r="M200" s="8" t="s">
        <v>489</v>
      </c>
      <c r="N200" s="36">
        <v>0</v>
      </c>
      <c r="O200" s="1">
        <f t="shared" si="3"/>
        <v>0</v>
      </c>
      <c r="P200" s="75" t="str">
        <f>IF(O200=0,"",_xlfn.XLOOKUP(D200,'6月份计划'!A:A,'6月份计划'!A:A))</f>
        <v/>
      </c>
    </row>
    <row r="201" s="1" customFormat="1" ht="15" hidden="1" customHeight="1" spans="1:16">
      <c r="A201" s="12" t="s">
        <v>444</v>
      </c>
      <c r="B201" s="15" t="s">
        <v>445</v>
      </c>
      <c r="C201" s="12" t="s">
        <v>41</v>
      </c>
      <c r="D201" s="15" t="s">
        <v>471</v>
      </c>
      <c r="E201" s="12" t="s">
        <v>41</v>
      </c>
      <c r="F201" s="12" t="s">
        <v>443</v>
      </c>
      <c r="G201" s="12" t="s">
        <v>447</v>
      </c>
      <c r="H201" s="37">
        <v>61614.37</v>
      </c>
      <c r="I201" s="37">
        <v>0</v>
      </c>
      <c r="J201" s="37">
        <v>0</v>
      </c>
      <c r="K201" s="37">
        <v>0</v>
      </c>
      <c r="L201" s="37">
        <v>0</v>
      </c>
      <c r="M201" s="12" t="s">
        <v>447</v>
      </c>
      <c r="N201" s="37">
        <v>61614.37</v>
      </c>
      <c r="O201" s="1">
        <f t="shared" si="3"/>
        <v>61614.37</v>
      </c>
      <c r="P201" s="75" t="e">
        <f>IF(O201=0,"",_xlfn.XLOOKUP(D201,'6月份计划'!A:A,'6月份计划'!A:A))</f>
        <v>#N/A</v>
      </c>
    </row>
    <row r="202" s="1" customFormat="1" ht="15" customHeight="1" spans="1:16">
      <c r="A202" s="8" t="s">
        <v>444</v>
      </c>
      <c r="B202" s="11" t="s">
        <v>445</v>
      </c>
      <c r="C202" s="8" t="s">
        <v>41</v>
      </c>
      <c r="D202" s="11" t="s">
        <v>549</v>
      </c>
      <c r="E202" s="8" t="s">
        <v>41</v>
      </c>
      <c r="F202" s="8" t="s">
        <v>443</v>
      </c>
      <c r="G202" s="8" t="s">
        <v>489</v>
      </c>
      <c r="H202" s="36">
        <v>0</v>
      </c>
      <c r="I202" s="36">
        <v>0</v>
      </c>
      <c r="J202" s="36">
        <v>0</v>
      </c>
      <c r="K202" s="36">
        <v>0</v>
      </c>
      <c r="L202" s="36">
        <v>0</v>
      </c>
      <c r="M202" s="8" t="s">
        <v>489</v>
      </c>
      <c r="N202" s="36">
        <v>0</v>
      </c>
      <c r="O202" s="1">
        <f t="shared" si="3"/>
        <v>0</v>
      </c>
      <c r="P202" s="75" t="str">
        <f>IF(O202=0,"",_xlfn.XLOOKUP(D202,'6月份计划'!A:A,'6月份计划'!A:A))</f>
        <v/>
      </c>
    </row>
    <row r="203" s="1" customFormat="1" ht="15" customHeight="1" spans="1:16">
      <c r="A203" s="12" t="s">
        <v>444</v>
      </c>
      <c r="B203" s="15" t="s">
        <v>445</v>
      </c>
      <c r="C203" s="12" t="s">
        <v>41</v>
      </c>
      <c r="D203" s="15" t="s">
        <v>261</v>
      </c>
      <c r="E203" s="12" t="s">
        <v>41</v>
      </c>
      <c r="F203" s="12" t="s">
        <v>443</v>
      </c>
      <c r="G203" s="12" t="s">
        <v>447</v>
      </c>
      <c r="H203" s="37">
        <v>414985.11</v>
      </c>
      <c r="I203" s="37">
        <v>0</v>
      </c>
      <c r="J203" s="37">
        <v>0</v>
      </c>
      <c r="K203" s="37">
        <v>1400000</v>
      </c>
      <c r="L203" s="37">
        <v>711388.5</v>
      </c>
      <c r="M203" s="12" t="s">
        <v>447</v>
      </c>
      <c r="N203" s="37">
        <v>414985.11</v>
      </c>
      <c r="O203" s="1">
        <f t="shared" si="3"/>
        <v>414985.11</v>
      </c>
      <c r="P203" s="75" t="str">
        <f>IF(O203=0,"",_xlfn.XLOOKUP(D203,'6月份计划'!A:A,'6月份计划'!A:A))</f>
        <v>景德镇市乾立运输有限公司</v>
      </c>
    </row>
    <row r="204" s="1" customFormat="1" ht="15" customHeight="1" spans="1:16">
      <c r="A204" s="8" t="s">
        <v>444</v>
      </c>
      <c r="B204" s="11" t="s">
        <v>445</v>
      </c>
      <c r="C204" s="8" t="s">
        <v>41</v>
      </c>
      <c r="D204" s="11" t="s">
        <v>550</v>
      </c>
      <c r="E204" s="8" t="s">
        <v>41</v>
      </c>
      <c r="F204" s="8" t="s">
        <v>443</v>
      </c>
      <c r="G204" s="8" t="s">
        <v>489</v>
      </c>
      <c r="H204" s="36">
        <v>0</v>
      </c>
      <c r="I204" s="36">
        <v>0</v>
      </c>
      <c r="J204" s="36">
        <v>0</v>
      </c>
      <c r="K204" s="36">
        <v>0</v>
      </c>
      <c r="L204" s="36">
        <v>0</v>
      </c>
      <c r="M204" s="8" t="s">
        <v>489</v>
      </c>
      <c r="N204" s="36">
        <v>0</v>
      </c>
      <c r="O204" s="1">
        <f t="shared" si="3"/>
        <v>0</v>
      </c>
      <c r="P204" s="75" t="str">
        <f>IF(O204=0,"",_xlfn.XLOOKUP(D204,'6月份计划'!A:A,'6月份计划'!A:A))</f>
        <v/>
      </c>
    </row>
    <row r="205" s="1" customFormat="1" ht="15" hidden="1" customHeight="1" spans="1:16">
      <c r="A205" s="12" t="s">
        <v>444</v>
      </c>
      <c r="B205" s="15" t="s">
        <v>445</v>
      </c>
      <c r="C205" s="12" t="s">
        <v>41</v>
      </c>
      <c r="D205" s="15" t="s">
        <v>472</v>
      </c>
      <c r="E205" s="12" t="s">
        <v>41</v>
      </c>
      <c r="F205" s="12" t="s">
        <v>443</v>
      </c>
      <c r="G205" s="12" t="s">
        <v>447</v>
      </c>
      <c r="H205" s="37">
        <v>474</v>
      </c>
      <c r="I205" s="37">
        <v>0</v>
      </c>
      <c r="J205" s="37">
        <v>0</v>
      </c>
      <c r="K205" s="37">
        <v>0</v>
      </c>
      <c r="L205" s="37">
        <v>0</v>
      </c>
      <c r="M205" s="12" t="s">
        <v>447</v>
      </c>
      <c r="N205" s="37">
        <v>474</v>
      </c>
      <c r="O205" s="1">
        <f t="shared" si="3"/>
        <v>474</v>
      </c>
      <c r="P205" s="75" t="e">
        <f>IF(O205=0,"",_xlfn.XLOOKUP(D205,'6月份计划'!A:A,'6月份计划'!A:A))</f>
        <v>#N/A</v>
      </c>
    </row>
    <row r="206" s="1" customFormat="1" ht="15" customHeight="1" spans="1:16">
      <c r="A206" s="8" t="s">
        <v>444</v>
      </c>
      <c r="B206" s="11" t="s">
        <v>445</v>
      </c>
      <c r="C206" s="8" t="s">
        <v>41</v>
      </c>
      <c r="D206" s="11" t="s">
        <v>262</v>
      </c>
      <c r="E206" s="8" t="s">
        <v>41</v>
      </c>
      <c r="F206" s="8" t="s">
        <v>443</v>
      </c>
      <c r="G206" s="8" t="s">
        <v>447</v>
      </c>
      <c r="H206" s="36">
        <v>879103.74</v>
      </c>
      <c r="I206" s="36">
        <v>0</v>
      </c>
      <c r="J206" s="36">
        <v>0</v>
      </c>
      <c r="K206" s="36">
        <v>1100000</v>
      </c>
      <c r="L206" s="36">
        <v>818238.84</v>
      </c>
      <c r="M206" s="8" t="s">
        <v>447</v>
      </c>
      <c r="N206" s="36">
        <v>879103.74</v>
      </c>
      <c r="O206" s="1">
        <f t="shared" si="3"/>
        <v>879103.74</v>
      </c>
      <c r="P206" s="75" t="str">
        <f>IF(O206=0,"",_xlfn.XLOOKUP(D206,'6月份计划'!A:A,'6月份计划'!A:A))</f>
        <v>景德镇市凯达汽车配件有限公司</v>
      </c>
    </row>
    <row r="207" s="1" customFormat="1" ht="15" customHeight="1" spans="1:16">
      <c r="A207" s="12" t="s">
        <v>444</v>
      </c>
      <c r="B207" s="15" t="s">
        <v>445</v>
      </c>
      <c r="C207" s="12" t="s">
        <v>41</v>
      </c>
      <c r="D207" s="15" t="s">
        <v>551</v>
      </c>
      <c r="E207" s="12" t="s">
        <v>41</v>
      </c>
      <c r="F207" s="12" t="s">
        <v>443</v>
      </c>
      <c r="G207" s="12" t="s">
        <v>489</v>
      </c>
      <c r="H207" s="37">
        <v>0</v>
      </c>
      <c r="I207" s="37">
        <v>0</v>
      </c>
      <c r="J207" s="37">
        <v>0</v>
      </c>
      <c r="K207" s="37">
        <v>0</v>
      </c>
      <c r="L207" s="37">
        <v>0</v>
      </c>
      <c r="M207" s="12" t="s">
        <v>489</v>
      </c>
      <c r="N207" s="37">
        <v>0</v>
      </c>
      <c r="O207" s="1">
        <f t="shared" si="3"/>
        <v>0</v>
      </c>
      <c r="P207" s="75" t="str">
        <f>IF(O207=0,"",_xlfn.XLOOKUP(D207,'6月份计划'!A:A,'6月份计划'!A:A))</f>
        <v/>
      </c>
    </row>
    <row r="208" s="1" customFormat="1" ht="15" customHeight="1" spans="1:16">
      <c r="A208" s="8" t="s">
        <v>444</v>
      </c>
      <c r="B208" s="11" t="s">
        <v>445</v>
      </c>
      <c r="C208" s="8" t="s">
        <v>41</v>
      </c>
      <c r="D208" s="11" t="s">
        <v>263</v>
      </c>
      <c r="E208" s="8" t="s">
        <v>41</v>
      </c>
      <c r="F208" s="8" t="s">
        <v>443</v>
      </c>
      <c r="G208" s="8" t="s">
        <v>447</v>
      </c>
      <c r="H208" s="36">
        <v>394126.29</v>
      </c>
      <c r="I208" s="36">
        <v>150000</v>
      </c>
      <c r="J208" s="36">
        <v>125377.98</v>
      </c>
      <c r="K208" s="36">
        <v>923065.81</v>
      </c>
      <c r="L208" s="36">
        <v>1022383.72</v>
      </c>
      <c r="M208" s="8" t="s">
        <v>447</v>
      </c>
      <c r="N208" s="36">
        <v>369504.27</v>
      </c>
      <c r="O208" s="1">
        <f t="shared" si="3"/>
        <v>369504.27</v>
      </c>
      <c r="P208" s="75" t="str">
        <f>IF(O208=0,"",_xlfn.XLOOKUP(D208,'6月份计划'!A:A,'6月份计划'!A:A))</f>
        <v>武汉德锐隆科技有限公司</v>
      </c>
    </row>
    <row r="209" s="1" customFormat="1" ht="15" hidden="1" customHeight="1" spans="1:16">
      <c r="A209" s="12" t="s">
        <v>444</v>
      </c>
      <c r="B209" s="15" t="s">
        <v>445</v>
      </c>
      <c r="C209" s="12" t="s">
        <v>41</v>
      </c>
      <c r="D209" s="15" t="s">
        <v>473</v>
      </c>
      <c r="E209" s="12" t="s">
        <v>41</v>
      </c>
      <c r="F209" s="12" t="s">
        <v>443</v>
      </c>
      <c r="G209" s="12" t="s">
        <v>447</v>
      </c>
      <c r="H209" s="37">
        <v>13000</v>
      </c>
      <c r="I209" s="37">
        <v>0</v>
      </c>
      <c r="J209" s="37">
        <v>0</v>
      </c>
      <c r="K209" s="37">
        <v>0</v>
      </c>
      <c r="L209" s="37">
        <v>0</v>
      </c>
      <c r="M209" s="12" t="s">
        <v>447</v>
      </c>
      <c r="N209" s="37">
        <v>13000</v>
      </c>
      <c r="O209" s="1">
        <f t="shared" si="3"/>
        <v>13000</v>
      </c>
      <c r="P209" s="75" t="e">
        <f>IF(O209=0,"",_xlfn.XLOOKUP(D209,'6月份计划'!A:A,'6月份计划'!A:A))</f>
        <v>#N/A</v>
      </c>
    </row>
    <row r="210" s="1" customFormat="1" ht="15" customHeight="1" spans="1:16">
      <c r="A210" s="8" t="s">
        <v>444</v>
      </c>
      <c r="B210" s="11" t="s">
        <v>445</v>
      </c>
      <c r="C210" s="8" t="s">
        <v>41</v>
      </c>
      <c r="D210" s="11" t="s">
        <v>552</v>
      </c>
      <c r="E210" s="8" t="s">
        <v>41</v>
      </c>
      <c r="F210" s="8" t="s">
        <v>443</v>
      </c>
      <c r="G210" s="8" t="s">
        <v>489</v>
      </c>
      <c r="H210" s="36">
        <v>0</v>
      </c>
      <c r="I210" s="36">
        <v>0</v>
      </c>
      <c r="J210" s="36">
        <v>0</v>
      </c>
      <c r="K210" s="36">
        <v>0</v>
      </c>
      <c r="L210" s="36">
        <v>0</v>
      </c>
      <c r="M210" s="8" t="s">
        <v>489</v>
      </c>
      <c r="N210" s="36">
        <v>0</v>
      </c>
      <c r="O210" s="1">
        <f t="shared" si="3"/>
        <v>0</v>
      </c>
      <c r="P210" s="75" t="str">
        <f>IF(O210=0,"",_xlfn.XLOOKUP(D210,'6月份计划'!A:A,'6月份计划'!A:A))</f>
        <v/>
      </c>
    </row>
    <row r="211" s="1" customFormat="1" ht="15" customHeight="1" spans="1:16">
      <c r="A211" s="12" t="s">
        <v>444</v>
      </c>
      <c r="B211" s="15" t="s">
        <v>445</v>
      </c>
      <c r="C211" s="12" t="s">
        <v>41</v>
      </c>
      <c r="D211" s="15" t="s">
        <v>282</v>
      </c>
      <c r="E211" s="12" t="s">
        <v>41</v>
      </c>
      <c r="F211" s="12" t="s">
        <v>443</v>
      </c>
      <c r="G211" s="12" t="s">
        <v>447</v>
      </c>
      <c r="H211" s="37">
        <v>138312</v>
      </c>
      <c r="I211" s="37">
        <v>0</v>
      </c>
      <c r="J211" s="37">
        <v>25425</v>
      </c>
      <c r="K211" s="37">
        <v>175096</v>
      </c>
      <c r="L211" s="37">
        <v>253233</v>
      </c>
      <c r="M211" s="12" t="s">
        <v>447</v>
      </c>
      <c r="N211" s="37">
        <v>163737</v>
      </c>
      <c r="O211" s="1">
        <f t="shared" si="3"/>
        <v>163737</v>
      </c>
      <c r="P211" s="75" t="str">
        <f>IF(O211=0,"",_xlfn.XLOOKUP(D211,'6月份计划'!A:A,'6月份计划'!A:A))</f>
        <v>天津鑫淼塑料制品有限公司</v>
      </c>
    </row>
    <row r="212" s="1" customFormat="1" ht="15" hidden="1" customHeight="1" spans="1:16">
      <c r="A212" s="8" t="s">
        <v>444</v>
      </c>
      <c r="B212" s="11" t="s">
        <v>445</v>
      </c>
      <c r="C212" s="8" t="s">
        <v>41</v>
      </c>
      <c r="D212" s="11" t="s">
        <v>292</v>
      </c>
      <c r="E212" s="8" t="s">
        <v>41</v>
      </c>
      <c r="F212" s="8" t="s">
        <v>443</v>
      </c>
      <c r="G212" s="8" t="s">
        <v>447</v>
      </c>
      <c r="H212" s="36">
        <v>22035</v>
      </c>
      <c r="I212" s="36">
        <v>22035</v>
      </c>
      <c r="J212" s="36">
        <v>35030</v>
      </c>
      <c r="K212" s="36">
        <v>22035</v>
      </c>
      <c r="L212" s="36">
        <v>57065</v>
      </c>
      <c r="M212" s="8" t="s">
        <v>447</v>
      </c>
      <c r="N212" s="36">
        <v>35030</v>
      </c>
      <c r="O212" s="1">
        <f t="shared" si="3"/>
        <v>35030</v>
      </c>
      <c r="P212" s="75" t="e">
        <f>IF(O212=0,"",_xlfn.XLOOKUP(D212,'6月份计划'!A:A,'6月份计划'!A:A))</f>
        <v>#N/A</v>
      </c>
    </row>
    <row r="213" s="1" customFormat="1" ht="15" customHeight="1" spans="1:16">
      <c r="A213" s="12" t="s">
        <v>444</v>
      </c>
      <c r="B213" s="15" t="s">
        <v>445</v>
      </c>
      <c r="C213" s="12" t="s">
        <v>41</v>
      </c>
      <c r="D213" s="15" t="s">
        <v>307</v>
      </c>
      <c r="E213" s="12" t="s">
        <v>41</v>
      </c>
      <c r="F213" s="12" t="s">
        <v>443</v>
      </c>
      <c r="G213" s="12" t="s">
        <v>447</v>
      </c>
      <c r="H213" s="37">
        <v>17866.2</v>
      </c>
      <c r="I213" s="37">
        <v>0</v>
      </c>
      <c r="J213" s="37">
        <v>0</v>
      </c>
      <c r="K213" s="37">
        <v>41963.22</v>
      </c>
      <c r="L213" s="37">
        <v>31192.79</v>
      </c>
      <c r="M213" s="12" t="s">
        <v>447</v>
      </c>
      <c r="N213" s="37">
        <v>17866.2</v>
      </c>
      <c r="O213" s="1">
        <f t="shared" si="3"/>
        <v>17866.2</v>
      </c>
      <c r="P213" s="75" t="str">
        <f>IF(O213=0,"",_xlfn.XLOOKUP(D213,'6月份计划'!A:A,'6月份计划'!A:A))</f>
        <v>沧州宇诺五金制造有限公司</v>
      </c>
    </row>
    <row r="214" s="1" customFormat="1" ht="15" customHeight="1" spans="1:16">
      <c r="A214" s="8" t="s">
        <v>444</v>
      </c>
      <c r="B214" s="11" t="s">
        <v>445</v>
      </c>
      <c r="C214" s="8" t="s">
        <v>41</v>
      </c>
      <c r="D214" s="11" t="s">
        <v>594</v>
      </c>
      <c r="E214" s="8" t="s">
        <v>41</v>
      </c>
      <c r="F214" s="8" t="s">
        <v>443</v>
      </c>
      <c r="G214" s="8" t="s">
        <v>489</v>
      </c>
      <c r="H214" s="36">
        <v>0</v>
      </c>
      <c r="I214" s="36">
        <v>0</v>
      </c>
      <c r="J214" s="36">
        <v>0</v>
      </c>
      <c r="K214" s="36">
        <v>0</v>
      </c>
      <c r="L214" s="36">
        <v>0</v>
      </c>
      <c r="M214" s="8" t="s">
        <v>489</v>
      </c>
      <c r="N214" s="36">
        <v>0</v>
      </c>
      <c r="O214" s="1">
        <f t="shared" si="3"/>
        <v>0</v>
      </c>
      <c r="P214" s="75" t="str">
        <f>IF(O214=0,"",_xlfn.XLOOKUP(D214,'6月份计划'!A:A,'6月份计划'!A:A))</f>
        <v/>
      </c>
    </row>
    <row r="215" s="1" customFormat="1" ht="15" customHeight="1" spans="1:16">
      <c r="A215" s="12" t="s">
        <v>444</v>
      </c>
      <c r="B215" s="15" t="s">
        <v>445</v>
      </c>
      <c r="C215" s="12" t="s">
        <v>41</v>
      </c>
      <c r="D215" s="15" t="s">
        <v>305</v>
      </c>
      <c r="E215" s="12" t="s">
        <v>41</v>
      </c>
      <c r="F215" s="12" t="s">
        <v>443</v>
      </c>
      <c r="G215" s="12" t="s">
        <v>447</v>
      </c>
      <c r="H215" s="37">
        <v>24899.55</v>
      </c>
      <c r="I215" s="37">
        <v>3847.62</v>
      </c>
      <c r="J215" s="37">
        <v>0</v>
      </c>
      <c r="K215" s="37">
        <v>15475.32</v>
      </c>
      <c r="L215" s="37">
        <v>29035.35</v>
      </c>
      <c r="M215" s="12" t="s">
        <v>447</v>
      </c>
      <c r="N215" s="37">
        <v>21051.93</v>
      </c>
      <c r="O215" s="1">
        <f t="shared" si="3"/>
        <v>21051.93</v>
      </c>
      <c r="P215" s="75" t="str">
        <f>IF(O215=0,"",_xlfn.XLOOKUP(D215,'6月份计划'!A:A,'6月份计划'!A:A))</f>
        <v>霸州市政锦五金制品有限公司</v>
      </c>
    </row>
    <row r="216" s="1" customFormat="1" ht="15" customHeight="1" spans="1:16">
      <c r="A216" s="8" t="s">
        <v>444</v>
      </c>
      <c r="B216" s="11" t="s">
        <v>445</v>
      </c>
      <c r="C216" s="8" t="s">
        <v>41</v>
      </c>
      <c r="D216" s="11" t="s">
        <v>409</v>
      </c>
      <c r="E216" s="8" t="s">
        <v>41</v>
      </c>
      <c r="F216" s="8" t="s">
        <v>443</v>
      </c>
      <c r="G216" s="8" t="s">
        <v>489</v>
      </c>
      <c r="H216" s="36">
        <v>0</v>
      </c>
      <c r="I216" s="36">
        <v>0</v>
      </c>
      <c r="J216" s="36">
        <v>0</v>
      </c>
      <c r="K216" s="36">
        <v>74590.72</v>
      </c>
      <c r="L216" s="36">
        <v>0</v>
      </c>
      <c r="M216" s="8" t="s">
        <v>489</v>
      </c>
      <c r="N216" s="36">
        <v>0</v>
      </c>
      <c r="O216" s="1">
        <f t="shared" si="3"/>
        <v>0</v>
      </c>
      <c r="P216" s="75" t="str">
        <f>IF(O216=0,"",_xlfn.XLOOKUP(D216,'6月份计划'!A:A,'6月份计划'!A:A))</f>
        <v/>
      </c>
    </row>
    <row r="217" s="1" customFormat="1" ht="15" customHeight="1" spans="1:16">
      <c r="A217" s="12" t="s">
        <v>444</v>
      </c>
      <c r="B217" s="15" t="s">
        <v>445</v>
      </c>
      <c r="C217" s="12" t="s">
        <v>41</v>
      </c>
      <c r="D217" s="15" t="s">
        <v>308</v>
      </c>
      <c r="E217" s="12" t="s">
        <v>41</v>
      </c>
      <c r="F217" s="12" t="s">
        <v>443</v>
      </c>
      <c r="G217" s="12" t="s">
        <v>447</v>
      </c>
      <c r="H217" s="37">
        <v>32220.82</v>
      </c>
      <c r="I217" s="37">
        <v>0</v>
      </c>
      <c r="J217" s="37">
        <v>0</v>
      </c>
      <c r="K217" s="37">
        <v>49982.16</v>
      </c>
      <c r="L217" s="37">
        <v>42343.36</v>
      </c>
      <c r="M217" s="12" t="s">
        <v>447</v>
      </c>
      <c r="N217" s="37">
        <v>32220.82</v>
      </c>
      <c r="O217" s="1">
        <f t="shared" si="3"/>
        <v>32220.82</v>
      </c>
      <c r="P217" s="75" t="str">
        <f>IF(O217=0,"",_xlfn.XLOOKUP(D217,'6月份计划'!A:A,'6月份计划'!A:A))</f>
        <v>清河县沁园汽车零部件有限公司</v>
      </c>
    </row>
    <row r="218" s="1" customFormat="1" ht="15" customHeight="1" spans="1:16">
      <c r="A218" s="8" t="s">
        <v>444</v>
      </c>
      <c r="B218" s="11" t="s">
        <v>445</v>
      </c>
      <c r="C218" s="8" t="s">
        <v>41</v>
      </c>
      <c r="D218" s="11" t="s">
        <v>321</v>
      </c>
      <c r="E218" s="8" t="s">
        <v>41</v>
      </c>
      <c r="F218" s="8" t="s">
        <v>443</v>
      </c>
      <c r="G218" s="8" t="s">
        <v>447</v>
      </c>
      <c r="H218" s="36">
        <v>3497.49</v>
      </c>
      <c r="I218" s="36">
        <v>2623.12</v>
      </c>
      <c r="J218" s="36">
        <v>0</v>
      </c>
      <c r="K218" s="36">
        <v>2623.12</v>
      </c>
      <c r="L218" s="36">
        <v>3497.49</v>
      </c>
      <c r="M218" s="8" t="s">
        <v>447</v>
      </c>
      <c r="N218" s="36">
        <v>874.37</v>
      </c>
      <c r="O218" s="1">
        <f t="shared" si="3"/>
        <v>874.37</v>
      </c>
      <c r="P218" s="75" t="str">
        <f>IF(O218=0,"",_xlfn.XLOOKUP(D218,'6月份计划'!A:A,'6月份计划'!A:A))</f>
        <v>霸州市汇行汽车零部件有限公司</v>
      </c>
    </row>
    <row r="219" s="1" customFormat="1" ht="15" customHeight="1" spans="1:16">
      <c r="A219" s="12" t="s">
        <v>444</v>
      </c>
      <c r="B219" s="15" t="s">
        <v>445</v>
      </c>
      <c r="C219" s="12" t="s">
        <v>41</v>
      </c>
      <c r="D219" s="15" t="s">
        <v>309</v>
      </c>
      <c r="E219" s="12" t="s">
        <v>41</v>
      </c>
      <c r="F219" s="12" t="s">
        <v>443</v>
      </c>
      <c r="G219" s="12" t="s">
        <v>447</v>
      </c>
      <c r="H219" s="37">
        <v>1622.68</v>
      </c>
      <c r="I219" s="37">
        <v>0</v>
      </c>
      <c r="J219" s="37">
        <v>0</v>
      </c>
      <c r="K219" s="37">
        <v>9736.08</v>
      </c>
      <c r="L219" s="37">
        <v>1622.68</v>
      </c>
      <c r="M219" s="12" t="s">
        <v>447</v>
      </c>
      <c r="N219" s="37">
        <v>1622.68</v>
      </c>
      <c r="O219" s="1">
        <f t="shared" si="3"/>
        <v>1622.68</v>
      </c>
      <c r="P219" s="75" t="str">
        <f>IF(O219=0,"",_xlfn.XLOOKUP(D219,'6月份计划'!A:A,'6月份计划'!A:A))</f>
        <v>新梦顶（上海）贸易有限公司</v>
      </c>
    </row>
    <row r="220" s="1" customFormat="1" ht="15" customHeight="1" spans="1:16">
      <c r="A220" s="8" t="s">
        <v>444</v>
      </c>
      <c r="B220" s="11" t="s">
        <v>445</v>
      </c>
      <c r="C220" s="8" t="s">
        <v>41</v>
      </c>
      <c r="D220" s="11" t="s">
        <v>595</v>
      </c>
      <c r="E220" s="8" t="s">
        <v>41</v>
      </c>
      <c r="F220" s="8" t="s">
        <v>443</v>
      </c>
      <c r="G220" s="8" t="s">
        <v>489</v>
      </c>
      <c r="H220" s="36">
        <v>0</v>
      </c>
      <c r="I220" s="36">
        <v>0</v>
      </c>
      <c r="J220" s="36">
        <v>0</v>
      </c>
      <c r="K220" s="36">
        <v>0</v>
      </c>
      <c r="L220" s="36">
        <v>0</v>
      </c>
      <c r="M220" s="8" t="s">
        <v>489</v>
      </c>
      <c r="N220" s="36">
        <v>0</v>
      </c>
      <c r="O220" s="1">
        <f t="shared" si="3"/>
        <v>0</v>
      </c>
      <c r="P220" s="75" t="str">
        <f>IF(O220=0,"",_xlfn.XLOOKUP(D220,'6月份计划'!A:A,'6月份计划'!A:A))</f>
        <v/>
      </c>
    </row>
    <row r="221" s="1" customFormat="1" ht="15" customHeight="1" spans="1:16">
      <c r="A221" s="12" t="s">
        <v>444</v>
      </c>
      <c r="B221" s="15" t="s">
        <v>445</v>
      </c>
      <c r="C221" s="12" t="s">
        <v>41</v>
      </c>
      <c r="D221" s="15" t="s">
        <v>286</v>
      </c>
      <c r="E221" s="12" t="s">
        <v>41</v>
      </c>
      <c r="F221" s="12" t="s">
        <v>443</v>
      </c>
      <c r="G221" s="12" t="s">
        <v>489</v>
      </c>
      <c r="H221" s="37">
        <v>0</v>
      </c>
      <c r="I221" s="37">
        <v>0</v>
      </c>
      <c r="J221" s="37">
        <v>20701.6</v>
      </c>
      <c r="K221" s="37">
        <v>105580.99</v>
      </c>
      <c r="L221" s="37">
        <v>126282.59</v>
      </c>
      <c r="M221" s="12" t="s">
        <v>447</v>
      </c>
      <c r="N221" s="37">
        <v>20701.6</v>
      </c>
      <c r="O221" s="1">
        <f t="shared" si="3"/>
        <v>20701.6</v>
      </c>
      <c r="P221" s="75" t="str">
        <f>IF(O221=0,"",_xlfn.XLOOKUP(D221,'6月份计划'!A:A,'6月份计划'!A:A))</f>
        <v>俱泰(上海)汽车零部件有限公司</v>
      </c>
    </row>
    <row r="222" s="1" customFormat="1" ht="15" customHeight="1" spans="1:16">
      <c r="A222" s="8" t="s">
        <v>444</v>
      </c>
      <c r="B222" s="11" t="s">
        <v>445</v>
      </c>
      <c r="C222" s="8" t="s">
        <v>41</v>
      </c>
      <c r="D222" s="11" t="s">
        <v>313</v>
      </c>
      <c r="E222" s="8" t="s">
        <v>41</v>
      </c>
      <c r="F222" s="8" t="s">
        <v>443</v>
      </c>
      <c r="G222" s="8" t="s">
        <v>447</v>
      </c>
      <c r="H222" s="36">
        <v>4430</v>
      </c>
      <c r="I222" s="36">
        <v>0</v>
      </c>
      <c r="J222" s="36">
        <v>0</v>
      </c>
      <c r="K222" s="36">
        <v>51057.72</v>
      </c>
      <c r="L222" s="36">
        <v>51500.88</v>
      </c>
      <c r="M222" s="8" t="s">
        <v>447</v>
      </c>
      <c r="N222" s="36">
        <v>4430</v>
      </c>
      <c r="O222" s="1">
        <f t="shared" si="3"/>
        <v>4430</v>
      </c>
      <c r="P222" s="75" t="str">
        <f>IF(O222=0,"",_xlfn.XLOOKUP(D222,'6月份计划'!A:A,'6月份计划'!A:A))</f>
        <v>江苏万金汽车零部件制造有限公</v>
      </c>
    </row>
    <row r="223" s="1" customFormat="1" ht="15" customHeight="1" spans="1:16">
      <c r="A223" s="12" t="s">
        <v>444</v>
      </c>
      <c r="B223" s="15" t="s">
        <v>445</v>
      </c>
      <c r="C223" s="12" t="s">
        <v>41</v>
      </c>
      <c r="D223" s="15" t="s">
        <v>315</v>
      </c>
      <c r="E223" s="12" t="s">
        <v>41</v>
      </c>
      <c r="F223" s="12" t="s">
        <v>443</v>
      </c>
      <c r="G223" s="12" t="s">
        <v>447</v>
      </c>
      <c r="H223" s="37">
        <v>14543.1</v>
      </c>
      <c r="I223" s="37">
        <v>0</v>
      </c>
      <c r="J223" s="37">
        <v>0</v>
      </c>
      <c r="K223" s="37">
        <v>3305.25</v>
      </c>
      <c r="L223" s="37">
        <v>17848.35</v>
      </c>
      <c r="M223" s="12" t="s">
        <v>447</v>
      </c>
      <c r="N223" s="37">
        <v>14543.1</v>
      </c>
      <c r="O223" s="1">
        <f t="shared" si="3"/>
        <v>14543.1</v>
      </c>
      <c r="P223" s="75" t="str">
        <f>IF(O223=0,"",_xlfn.XLOOKUP(D223,'6月份计划'!A:A,'6月份计划'!A:A))</f>
        <v>江苏凌派通信科技有限公司</v>
      </c>
    </row>
    <row r="224" s="1" customFormat="1" ht="15" customHeight="1" spans="1:16">
      <c r="A224" s="8" t="s">
        <v>444</v>
      </c>
      <c r="B224" s="11" t="s">
        <v>445</v>
      </c>
      <c r="C224" s="8" t="s">
        <v>41</v>
      </c>
      <c r="D224" s="11" t="s">
        <v>596</v>
      </c>
      <c r="E224" s="8" t="s">
        <v>41</v>
      </c>
      <c r="F224" s="8" t="s">
        <v>443</v>
      </c>
      <c r="G224" s="8" t="s">
        <v>489</v>
      </c>
      <c r="H224" s="36">
        <v>0</v>
      </c>
      <c r="I224" s="36">
        <v>0</v>
      </c>
      <c r="J224" s="36">
        <v>0</v>
      </c>
      <c r="K224" s="36">
        <v>0</v>
      </c>
      <c r="L224" s="36">
        <v>0</v>
      </c>
      <c r="M224" s="8" t="s">
        <v>489</v>
      </c>
      <c r="N224" s="36">
        <v>0</v>
      </c>
      <c r="O224" s="1">
        <f t="shared" si="3"/>
        <v>0</v>
      </c>
      <c r="P224" s="75" t="str">
        <f>IF(O224=0,"",_xlfn.XLOOKUP(D224,'6月份计划'!A:A,'6月份计划'!A:A))</f>
        <v/>
      </c>
    </row>
    <row r="225" s="1" customFormat="1" ht="15" hidden="1" customHeight="1" spans="1:16">
      <c r="A225" s="12" t="s">
        <v>444</v>
      </c>
      <c r="B225" s="15" t="s">
        <v>445</v>
      </c>
      <c r="C225" s="12" t="s">
        <v>41</v>
      </c>
      <c r="D225" s="15" t="s">
        <v>599</v>
      </c>
      <c r="E225" s="12" t="s">
        <v>41</v>
      </c>
      <c r="F225" s="12" t="s">
        <v>443</v>
      </c>
      <c r="G225" s="12" t="s">
        <v>447</v>
      </c>
      <c r="H225" s="37">
        <v>15000</v>
      </c>
      <c r="I225" s="37">
        <v>113000</v>
      </c>
      <c r="J225" s="37">
        <v>113000</v>
      </c>
      <c r="K225" s="37">
        <v>173000</v>
      </c>
      <c r="L225" s="37">
        <v>147000</v>
      </c>
      <c r="M225" s="12" t="s">
        <v>447</v>
      </c>
      <c r="N225" s="37">
        <v>15000</v>
      </c>
      <c r="O225" s="1">
        <f t="shared" si="3"/>
        <v>15000</v>
      </c>
      <c r="P225" s="75" t="e">
        <f>IF(O225=0,"",_xlfn.XLOOKUP(D225,'6月份计划'!A:A,'6月份计划'!A:A))</f>
        <v>#N/A</v>
      </c>
    </row>
    <row r="226" s="1" customFormat="1" ht="15" customHeight="1" spans="1:16">
      <c r="A226" s="8" t="s">
        <v>444</v>
      </c>
      <c r="B226" s="11" t="s">
        <v>445</v>
      </c>
      <c r="C226" s="8" t="s">
        <v>41</v>
      </c>
      <c r="D226" s="11" t="s">
        <v>290</v>
      </c>
      <c r="E226" s="8" t="s">
        <v>41</v>
      </c>
      <c r="F226" s="8" t="s">
        <v>443</v>
      </c>
      <c r="G226" s="8" t="s">
        <v>447</v>
      </c>
      <c r="H226" s="36">
        <v>86509.41</v>
      </c>
      <c r="I226" s="36">
        <v>72108.69</v>
      </c>
      <c r="J226" s="36">
        <v>43202.16</v>
      </c>
      <c r="K226" s="36">
        <v>83379.29</v>
      </c>
      <c r="L226" s="36">
        <v>140982.17</v>
      </c>
      <c r="M226" s="8" t="s">
        <v>447</v>
      </c>
      <c r="N226" s="36">
        <v>57602.88</v>
      </c>
      <c r="O226" s="1">
        <f t="shared" si="3"/>
        <v>57602.88</v>
      </c>
      <c r="P226" s="75" t="str">
        <f>IF(O226=0,"",_xlfn.XLOOKUP(D226,'6月份计划'!A:A,'6月份计划'!A:A))</f>
        <v>江阴同威科技有限公司</v>
      </c>
    </row>
    <row r="227" s="1" customFormat="1" ht="15" customHeight="1" spans="1:16">
      <c r="A227" s="12" t="s">
        <v>444</v>
      </c>
      <c r="B227" s="15" t="s">
        <v>445</v>
      </c>
      <c r="C227" s="12" t="s">
        <v>41</v>
      </c>
      <c r="D227" s="15" t="s">
        <v>319</v>
      </c>
      <c r="E227" s="12" t="s">
        <v>41</v>
      </c>
      <c r="F227" s="12" t="s">
        <v>443</v>
      </c>
      <c r="G227" s="12" t="s">
        <v>447</v>
      </c>
      <c r="H227" s="37">
        <v>5720.63</v>
      </c>
      <c r="I227" s="37">
        <v>5720.63</v>
      </c>
      <c r="J227" s="37">
        <v>0</v>
      </c>
      <c r="K227" s="37">
        <v>5720.63</v>
      </c>
      <c r="L227" s="37">
        <v>5720.63</v>
      </c>
      <c r="M227" s="12" t="s">
        <v>489</v>
      </c>
      <c r="N227" s="37">
        <v>0</v>
      </c>
      <c r="O227" s="1">
        <f t="shared" si="3"/>
        <v>0</v>
      </c>
      <c r="P227" s="75" t="str">
        <f>IF(O227=0,"",_xlfn.XLOOKUP(D227,'6月份计划'!A:A,'6月份计划'!A:A))</f>
        <v/>
      </c>
    </row>
    <row r="228" s="1" customFormat="1" ht="15" customHeight="1" spans="1:16">
      <c r="A228" s="8" t="s">
        <v>444</v>
      </c>
      <c r="B228" s="11" t="s">
        <v>445</v>
      </c>
      <c r="C228" s="8" t="s">
        <v>41</v>
      </c>
      <c r="D228" s="11" t="s">
        <v>316</v>
      </c>
      <c r="E228" s="8" t="s">
        <v>41</v>
      </c>
      <c r="F228" s="8" t="s">
        <v>443</v>
      </c>
      <c r="G228" s="8" t="s">
        <v>489</v>
      </c>
      <c r="H228" s="36">
        <v>0</v>
      </c>
      <c r="I228" s="36">
        <v>0</v>
      </c>
      <c r="J228" s="36">
        <v>0</v>
      </c>
      <c r="K228" s="36">
        <v>21022.78</v>
      </c>
      <c r="L228" s="36">
        <v>21022.78</v>
      </c>
      <c r="M228" s="8" t="s">
        <v>489</v>
      </c>
      <c r="N228" s="36">
        <v>0</v>
      </c>
      <c r="O228" s="1">
        <f t="shared" si="3"/>
        <v>0</v>
      </c>
      <c r="P228" s="75" t="str">
        <f>IF(O228=0,"",_xlfn.XLOOKUP(D228,'6月份计划'!A:A,'6月份计划'!A:A))</f>
        <v/>
      </c>
    </row>
    <row r="229" s="1" customFormat="1" ht="15" customHeight="1" spans="1:16">
      <c r="A229" s="12" t="s">
        <v>444</v>
      </c>
      <c r="B229" s="15" t="s">
        <v>445</v>
      </c>
      <c r="C229" s="12" t="s">
        <v>41</v>
      </c>
      <c r="D229" s="15" t="s">
        <v>289</v>
      </c>
      <c r="E229" s="12" t="s">
        <v>41</v>
      </c>
      <c r="F229" s="12" t="s">
        <v>443</v>
      </c>
      <c r="G229" s="12" t="s">
        <v>447</v>
      </c>
      <c r="H229" s="37">
        <v>7739.9</v>
      </c>
      <c r="I229" s="37">
        <v>0</v>
      </c>
      <c r="J229" s="37">
        <v>0</v>
      </c>
      <c r="K229" s="37">
        <v>0</v>
      </c>
      <c r="L229" s="37">
        <v>7739.9</v>
      </c>
      <c r="M229" s="12" t="s">
        <v>447</v>
      </c>
      <c r="N229" s="37">
        <v>7739.9</v>
      </c>
      <c r="O229" s="1">
        <f t="shared" si="3"/>
        <v>7739.9</v>
      </c>
      <c r="P229" s="75" t="str">
        <f>IF(O229=0,"",_xlfn.XLOOKUP(D229,'6月份计划'!A:A,'6月份计划'!A:A))</f>
        <v>维克罗（中国）搭扣系统有限公</v>
      </c>
    </row>
    <row r="230" s="1" customFormat="1" ht="15" customHeight="1" spans="1:16">
      <c r="A230" s="8" t="s">
        <v>444</v>
      </c>
      <c r="B230" s="11" t="s">
        <v>445</v>
      </c>
      <c r="C230" s="8" t="s">
        <v>41</v>
      </c>
      <c r="D230" s="11" t="s">
        <v>410</v>
      </c>
      <c r="E230" s="8" t="s">
        <v>41</v>
      </c>
      <c r="F230" s="8" t="s">
        <v>443</v>
      </c>
      <c r="G230" s="8" t="s">
        <v>489</v>
      </c>
      <c r="H230" s="36">
        <v>0</v>
      </c>
      <c r="I230" s="36">
        <v>0</v>
      </c>
      <c r="J230" s="36">
        <v>0</v>
      </c>
      <c r="K230" s="36">
        <v>94880</v>
      </c>
      <c r="L230" s="36">
        <v>0</v>
      </c>
      <c r="M230" s="8" t="s">
        <v>489</v>
      </c>
      <c r="N230" s="36">
        <v>0</v>
      </c>
      <c r="O230" s="1">
        <f t="shared" si="3"/>
        <v>0</v>
      </c>
      <c r="P230" s="75" t="str">
        <f>IF(O230=0,"",_xlfn.XLOOKUP(D230,'6月份计划'!A:A,'6月份计划'!A:A))</f>
        <v/>
      </c>
    </row>
    <row r="231" s="1" customFormat="1" ht="15" customHeight="1" spans="1:16">
      <c r="A231" s="12" t="s">
        <v>444</v>
      </c>
      <c r="B231" s="15" t="s">
        <v>445</v>
      </c>
      <c r="C231" s="12" t="s">
        <v>41</v>
      </c>
      <c r="D231" s="15" t="s">
        <v>597</v>
      </c>
      <c r="E231" s="12" t="s">
        <v>41</v>
      </c>
      <c r="F231" s="12" t="s">
        <v>443</v>
      </c>
      <c r="G231" s="12" t="s">
        <v>489</v>
      </c>
      <c r="H231" s="37">
        <v>0</v>
      </c>
      <c r="I231" s="37">
        <v>0</v>
      </c>
      <c r="J231" s="37">
        <v>0</v>
      </c>
      <c r="K231" s="37">
        <v>0</v>
      </c>
      <c r="L231" s="37">
        <v>0</v>
      </c>
      <c r="M231" s="12" t="s">
        <v>489</v>
      </c>
      <c r="N231" s="37">
        <v>0</v>
      </c>
      <c r="O231" s="1">
        <f t="shared" si="3"/>
        <v>0</v>
      </c>
      <c r="P231" s="75" t="str">
        <f>IF(O231=0,"",_xlfn.XLOOKUP(D231,'6月份计划'!A:A,'6月份计划'!A:A))</f>
        <v/>
      </c>
    </row>
    <row r="232" s="1" customFormat="1" ht="15" customHeight="1" spans="1:16">
      <c r="A232" s="8" t="s">
        <v>444</v>
      </c>
      <c r="B232" s="11" t="s">
        <v>445</v>
      </c>
      <c r="C232" s="8" t="s">
        <v>41</v>
      </c>
      <c r="D232" s="11" t="s">
        <v>598</v>
      </c>
      <c r="E232" s="8" t="s">
        <v>41</v>
      </c>
      <c r="F232" s="8" t="s">
        <v>443</v>
      </c>
      <c r="G232" s="8" t="s">
        <v>489</v>
      </c>
      <c r="H232" s="36">
        <v>0</v>
      </c>
      <c r="I232" s="36">
        <v>0</v>
      </c>
      <c r="J232" s="36">
        <v>0</v>
      </c>
      <c r="K232" s="36">
        <v>0</v>
      </c>
      <c r="L232" s="36">
        <v>0</v>
      </c>
      <c r="M232" s="8" t="s">
        <v>489</v>
      </c>
      <c r="N232" s="36">
        <v>0</v>
      </c>
      <c r="O232" s="1">
        <f t="shared" si="3"/>
        <v>0</v>
      </c>
      <c r="P232" s="75" t="str">
        <f>IF(O232=0,"",_xlfn.XLOOKUP(D232,'6月份计划'!A:A,'6月份计划'!A:A))</f>
        <v/>
      </c>
    </row>
    <row r="233" s="1" customFormat="1" ht="15" customHeight="1" spans="1:16">
      <c r="A233" s="12" t="s">
        <v>444</v>
      </c>
      <c r="B233" s="15" t="s">
        <v>445</v>
      </c>
      <c r="C233" s="12" t="s">
        <v>41</v>
      </c>
      <c r="D233" s="15" t="s">
        <v>411</v>
      </c>
      <c r="E233" s="12" t="s">
        <v>41</v>
      </c>
      <c r="F233" s="12" t="s">
        <v>443</v>
      </c>
      <c r="G233" s="12" t="s">
        <v>489</v>
      </c>
      <c r="H233" s="37">
        <v>0</v>
      </c>
      <c r="I233" s="37">
        <v>0</v>
      </c>
      <c r="J233" s="37">
        <v>0</v>
      </c>
      <c r="K233" s="37">
        <v>39034.81</v>
      </c>
      <c r="L233" s="37">
        <v>0</v>
      </c>
      <c r="M233" s="12" t="s">
        <v>489</v>
      </c>
      <c r="N233" s="37">
        <v>0</v>
      </c>
      <c r="O233" s="1">
        <f t="shared" si="3"/>
        <v>0</v>
      </c>
      <c r="P233" s="75" t="str">
        <f>IF(O233=0,"",_xlfn.XLOOKUP(D233,'6月份计划'!A:A,'6月份计划'!A:A))</f>
        <v/>
      </c>
    </row>
    <row r="234" s="1" customFormat="1" ht="15" customHeight="1" spans="1:16">
      <c r="A234" s="8" t="s">
        <v>444</v>
      </c>
      <c r="B234" s="11" t="s">
        <v>445</v>
      </c>
      <c r="C234" s="8" t="s">
        <v>41</v>
      </c>
      <c r="D234" s="11" t="s">
        <v>320</v>
      </c>
      <c r="E234" s="8" t="s">
        <v>41</v>
      </c>
      <c r="F234" s="8" t="s">
        <v>443</v>
      </c>
      <c r="G234" s="8" t="s">
        <v>447</v>
      </c>
      <c r="H234" s="36">
        <v>4018.39</v>
      </c>
      <c r="I234" s="36">
        <v>0</v>
      </c>
      <c r="J234" s="36">
        <v>3640.86</v>
      </c>
      <c r="K234" s="36">
        <v>76877.75</v>
      </c>
      <c r="L234" s="36">
        <v>84537</v>
      </c>
      <c r="M234" s="8" t="s">
        <v>447</v>
      </c>
      <c r="N234" s="36">
        <v>7659.25</v>
      </c>
      <c r="O234" s="1">
        <f t="shared" si="3"/>
        <v>7659.25</v>
      </c>
      <c r="P234" s="75" t="str">
        <f>IF(O234=0,"",_xlfn.XLOOKUP(D234,'6月份计划'!A:A,'6月份计划'!A:A))</f>
        <v>武汉凯密科汽车零部件有限公司</v>
      </c>
    </row>
    <row r="235" s="1" customFormat="1" ht="15" customHeight="1" spans="1:16">
      <c r="A235" s="12" t="s">
        <v>444</v>
      </c>
      <c r="B235" s="15" t="s">
        <v>445</v>
      </c>
      <c r="C235" s="12" t="s">
        <v>41</v>
      </c>
      <c r="D235" s="15" t="s">
        <v>288</v>
      </c>
      <c r="E235" s="12" t="s">
        <v>41</v>
      </c>
      <c r="F235" s="12" t="s">
        <v>443</v>
      </c>
      <c r="G235" s="12" t="s">
        <v>447</v>
      </c>
      <c r="H235" s="37">
        <v>18086.68</v>
      </c>
      <c r="I235" s="37">
        <v>0</v>
      </c>
      <c r="J235" s="37">
        <v>20181.8</v>
      </c>
      <c r="K235" s="37">
        <v>67802.26</v>
      </c>
      <c r="L235" s="37">
        <v>106070.74</v>
      </c>
      <c r="M235" s="12" t="s">
        <v>447</v>
      </c>
      <c r="N235" s="37">
        <v>38268.48</v>
      </c>
      <c r="O235" s="1">
        <f t="shared" si="3"/>
        <v>38268.48</v>
      </c>
      <c r="P235" s="75" t="str">
        <f>IF(O235=0,"",_xlfn.XLOOKUP(D235,'6月份计划'!A:A,'6月份计划'!A:A))</f>
        <v>广州市三泰汽车内饰材料有限公</v>
      </c>
    </row>
    <row r="236" spans="1:16">
      <c r="A236" s="15" t="s">
        <v>444</v>
      </c>
      <c r="B236" s="15" t="s">
        <v>445</v>
      </c>
      <c r="C236" s="15" t="s">
        <v>41</v>
      </c>
      <c r="D236" s="15" t="s">
        <v>291</v>
      </c>
      <c r="E236" s="15" t="s">
        <v>41</v>
      </c>
      <c r="F236" s="15" t="s">
        <v>443</v>
      </c>
      <c r="G236" s="15" t="s">
        <v>447</v>
      </c>
      <c r="H236" s="36">
        <v>89795.18</v>
      </c>
      <c r="I236" s="36">
        <v>74313.21</v>
      </c>
      <c r="J236" s="36">
        <v>0</v>
      </c>
      <c r="K236" s="36">
        <v>74313.21</v>
      </c>
      <c r="L236" s="36">
        <v>89795.18</v>
      </c>
      <c r="M236" s="36" t="s">
        <v>447</v>
      </c>
      <c r="N236" s="36">
        <v>15481.97</v>
      </c>
      <c r="O236" s="1">
        <f t="shared" si="3"/>
        <v>15481.97</v>
      </c>
      <c r="P236" s="75" t="str">
        <f>IF(O236=0,"",_xlfn.XLOOKUP(D236,'6月份计划'!A:A,'6月份计划'!A:A))</f>
        <v>深圳市新和荣无纺布有限公司</v>
      </c>
    </row>
    <row r="237" spans="1:16">
      <c r="A237" s="1" t="s">
        <v>444</v>
      </c>
      <c r="B237" s="1" t="s">
        <v>445</v>
      </c>
      <c r="C237" s="1" t="s">
        <v>41</v>
      </c>
      <c r="D237" s="1" t="s">
        <v>287</v>
      </c>
      <c r="E237" s="1" t="s">
        <v>41</v>
      </c>
      <c r="F237" s="1" t="s">
        <v>443</v>
      </c>
      <c r="G237" s="1" t="s">
        <v>489</v>
      </c>
      <c r="H237" s="1">
        <v>0</v>
      </c>
      <c r="I237" s="1">
        <v>0</v>
      </c>
      <c r="J237" s="1">
        <v>0</v>
      </c>
      <c r="K237" s="1">
        <v>55019.85</v>
      </c>
      <c r="L237" s="1">
        <v>55019.85</v>
      </c>
      <c r="M237" s="1" t="s">
        <v>489</v>
      </c>
      <c r="N237" s="1">
        <v>0</v>
      </c>
      <c r="O237" s="1">
        <f t="shared" si="3"/>
        <v>0</v>
      </c>
      <c r="P237" s="75" t="str">
        <f>IF(O237=0,"",_xlfn.XLOOKUP(D237,'6月份计划'!A:A,'6月份计划'!A:A))</f>
        <v/>
      </c>
    </row>
    <row r="238" spans="1:16">
      <c r="A238" s="1" t="s">
        <v>444</v>
      </c>
      <c r="B238" s="1" t="s">
        <v>445</v>
      </c>
      <c r="C238" s="1" t="s">
        <v>41</v>
      </c>
      <c r="D238" s="1" t="s">
        <v>240</v>
      </c>
      <c r="E238" s="1" t="s">
        <v>41</v>
      </c>
      <c r="F238" s="1" t="s">
        <v>443</v>
      </c>
      <c r="G238" s="1" t="s">
        <v>447</v>
      </c>
      <c r="H238" s="1">
        <v>425930.67</v>
      </c>
      <c r="I238" s="1">
        <v>0</v>
      </c>
      <c r="J238" s="1">
        <v>137311.16</v>
      </c>
      <c r="K238" s="1">
        <v>208523.86</v>
      </c>
      <c r="L238" s="1">
        <v>713068.97</v>
      </c>
      <c r="M238" s="1" t="s">
        <v>447</v>
      </c>
      <c r="N238" s="1">
        <v>563241.83</v>
      </c>
      <c r="O238" s="1">
        <f t="shared" si="3"/>
        <v>563241.83</v>
      </c>
      <c r="P238" s="75" t="str">
        <f>IF(O238=0,"",_xlfn.XLOOKUP(D238,'6月份计划'!A:A,'6月份计划'!A:A))</f>
        <v>重庆厚元汽车配件有限公司</v>
      </c>
    </row>
    <row r="239" spans="1:16">
      <c r="A239" s="1" t="s">
        <v>444</v>
      </c>
      <c r="B239" s="1" t="s">
        <v>445</v>
      </c>
      <c r="C239" s="1" t="s">
        <v>41</v>
      </c>
      <c r="D239" s="1" t="s">
        <v>318</v>
      </c>
      <c r="E239" s="1" t="s">
        <v>41</v>
      </c>
      <c r="F239" s="1" t="s">
        <v>443</v>
      </c>
      <c r="G239" s="1" t="s">
        <v>447</v>
      </c>
      <c r="H239" s="1">
        <v>360087.69</v>
      </c>
      <c r="I239" s="1">
        <v>237747.11</v>
      </c>
      <c r="J239" s="1">
        <v>0</v>
      </c>
      <c r="K239" s="1">
        <v>403932.25</v>
      </c>
      <c r="L239" s="1">
        <v>526272.83</v>
      </c>
      <c r="M239" s="1" t="s">
        <v>447</v>
      </c>
      <c r="N239" s="1">
        <v>122340.58</v>
      </c>
      <c r="O239" s="1">
        <f t="shared" si="3"/>
        <v>122340.58</v>
      </c>
      <c r="P239" s="75" t="str">
        <f>IF(O239=0,"",_xlfn.XLOOKUP(D239,'6月份计划'!A:A,'6月份计划'!A:A))</f>
        <v>重庆品高弹簧有限公司</v>
      </c>
    </row>
    <row r="240" hidden="1" spans="1:16">
      <c r="A240" s="1" t="s">
        <v>444</v>
      </c>
      <c r="B240" s="1" t="s">
        <v>445</v>
      </c>
      <c r="C240" s="1" t="s">
        <v>41</v>
      </c>
      <c r="D240" s="1" t="s">
        <v>322</v>
      </c>
      <c r="E240" s="1" t="s">
        <v>41</v>
      </c>
      <c r="F240" s="1" t="s">
        <v>443</v>
      </c>
      <c r="G240" s="1" t="s">
        <v>489</v>
      </c>
      <c r="H240" s="1">
        <v>0</v>
      </c>
      <c r="I240" s="1">
        <v>0</v>
      </c>
      <c r="J240" s="1">
        <v>14800</v>
      </c>
      <c r="K240" s="1">
        <v>0</v>
      </c>
      <c r="L240" s="1">
        <v>14800</v>
      </c>
      <c r="M240" s="1" t="s">
        <v>447</v>
      </c>
      <c r="N240" s="1">
        <v>14800</v>
      </c>
      <c r="O240" s="1">
        <f t="shared" si="3"/>
        <v>14800</v>
      </c>
      <c r="P240" s="75" t="e">
        <f>IF(O240=0,"",_xlfn.XLOOKUP(D240,'6月份计划'!A:A,'6月份计划'!A:A))</f>
        <v>#N/A</v>
      </c>
    </row>
    <row r="241" spans="1:16">
      <c r="A241" s="1" t="s">
        <v>444</v>
      </c>
      <c r="B241" s="1" t="s">
        <v>445</v>
      </c>
      <c r="C241" s="1" t="s">
        <v>41</v>
      </c>
      <c r="D241" s="1" t="s">
        <v>493</v>
      </c>
      <c r="E241" s="1" t="s">
        <v>41</v>
      </c>
      <c r="F241" s="1" t="s">
        <v>443</v>
      </c>
      <c r="G241" s="1" t="s">
        <v>489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 t="s">
        <v>489</v>
      </c>
      <c r="N241" s="1">
        <v>0</v>
      </c>
      <c r="O241" s="1">
        <f t="shared" si="3"/>
        <v>0</v>
      </c>
      <c r="P241" s="75" t="str">
        <f>IF(O241=0,"",_xlfn.XLOOKUP(D241,'6月份计划'!A:A,'6月份计划'!A:A))</f>
        <v/>
      </c>
    </row>
  </sheetData>
  <autoFilter xmlns:etc="http://www.wps.cn/officeDocument/2017/etCustomData" ref="A1:P241" etc:filterBottomFollowUsedRange="0">
    <filterColumn colId="15">
      <filters blank="1">
        <filter val="黄骅市成卓汽车部件厂"/>
        <filter val="江苏力乐汽车部件股份有限公司"/>
        <filter val="湖南驷马机械有限公司"/>
        <filter val="江苏凌派通信科技有限公司"/>
        <filter val="广州市信征汽车零件有限公司"/>
        <filter val="吉林省方舟电子科技有限公司"/>
        <filter val="湖北伟士通汽车零件有限公司"/>
        <filter val="浙江华悦汽车零部件股份有限公"/>
        <filter val="湖南兴天宏实业有限公司"/>
        <filter val="长春超力内饰件有限公司"/>
        <filter val="醴陵广仁环保科技有限公司"/>
        <filter val="俱泰(上海)汽车零部件有限公司"/>
        <filter val="湖南裕腾兴汽车配件有限公司"/>
        <filter val="山东鼎昌智能科技有限公司"/>
        <filter val="沧州宇诺五金制造有限公司"/>
        <filter val="黄骅市雍丰塑料制品有限公司"/>
        <filter val="厦门凯平化工有限公司"/>
        <filter val="黄骅市建昌塑料制品有限公司"/>
        <filter val="武汉德锐隆科技有限公司"/>
        <filter val="重庆光大产业有限公司"/>
        <filter val="湘乡简美工贸有限公司"/>
        <filter val="霸州市自强汽车零部件厂"/>
        <filter val="江苏全盛座舱技术股份有限公司"/>
        <filter val="武汉凯密科汽车零部件有限公司"/>
        <filter val="霸州市政锦五金制品有限公司"/>
        <filter val="吉林省德邦汽车电子有限公司"/>
        <filter val="新梦顶（上海）贸易有限公司"/>
        <filter val="湖南奥瑞格工贸有限公司"/>
        <filter val="上海秉直精密机械有限公司"/>
        <filter val="株洲铖亿轨道交通技术有限"/>
        <filter val="江阴同威科技有限公司"/>
        <filter val="天津力登维汽车部件有限公司"/>
        <filter val="景德镇市凯达汽车配件有限公司"/>
        <filter val="深州市晶立泰机械配件有限公司"/>
        <filter val="江苏忠明祥和精工股份有限公司"/>
        <filter val="广州市三泰汽车内饰材料有限公"/>
        <filter val="维克罗（中国）搭扣系统有限公"/>
        <filter val="重庆厚元汽车配件有限公司"/>
        <filter val="天津鑫淼塑料制品有限公司"/>
        <filter val="上海明芳汽车零件有限公司"/>
        <filter val="重庆市宏立摩托车制造有限公司"/>
        <filter val="常州立天汽车零部件有限公司"/>
        <filter val="天津琪安科技有限公司"/>
        <filter val="株洲诚康实业有限责任公司"/>
        <filter val="深圳市新和荣无纺布有限公司"/>
        <filter val="海兴中盛弹簧有限公司"/>
        <filter val="湖南凌天汽车零部件有限公司"/>
        <filter val="佛吉亚（无锡）座椅部件有限公"/>
        <filter val="江苏万金汽车零部件制造有限公"/>
        <filter val="沧州临港明康汽车配件有限公司"/>
        <filter val="廊坊市烁鑫汽车配件有限公司"/>
        <filter val="文安县德实汽车配件有限公司"/>
        <filter val="景德镇市乾立运输有限公司"/>
        <filter val="湖南中道机械设备有限公司"/>
        <filter val="重庆渝融兴汽车配件有限公司"/>
        <filter val="北京美好生活家居用品有限公司"/>
        <filter val="湘潭市忠强气体有限公司"/>
        <filter val="湖南诺亿科技有限公司"/>
        <filter val="长沙真旺钢铁贸易有限公司"/>
        <filter val="山东鼎信新材料科技有限公司"/>
        <filter val="汇阅（上海）新材料科技有限公"/>
        <filter val="湘潭湘和汽车零部件制造有限公"/>
        <filter val="重庆品高弹簧有限公司"/>
        <filter val="溧阳鑫岩汽车零部件有限公司"/>
        <filter val="衡阳县标准件厂株洲销售处"/>
        <filter val="长春富维安道拓汽车金属零部件"/>
        <filter val="黄骅市广亿汽车部件有限公司"/>
        <filter val="清河县沁园汽车零部件有限公司"/>
        <filter val="黄骅市汇铭汽车部件有限公司"/>
        <filter val="霸州市汇行汽车零部件有限公司"/>
      </filters>
    </filterColumn>
    <extLst/>
  </autoFilter>
  <pageMargins left="0.75" right="0.75" top="1" bottom="1" header="0.5" footer="0.5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/>
  <dimension ref="A1:P103"/>
  <sheetViews>
    <sheetView workbookViewId="0">
      <pane xSplit="28725" topLeftCell="Q1" activePane="topLeft"/>
      <selection activeCell="M10" sqref="M10"/>
      <selection pane="topRight"/>
    </sheetView>
  </sheetViews>
  <sheetFormatPr defaultColWidth="8" defaultRowHeight="14.25"/>
  <cols>
    <col min="1" max="1" width="7.75" style="1" customWidth="1"/>
    <col min="2" max="2" width="15.75" style="1" customWidth="1"/>
    <col min="3" max="3" width="9.375" style="1" customWidth="1"/>
    <col min="4" max="4" width="23.125" style="1" customWidth="1"/>
    <col min="5" max="6" width="7.75" style="1" customWidth="1"/>
    <col min="7" max="7" width="8.125" style="1" customWidth="1"/>
    <col min="8" max="8" width="10.75" style="1" customWidth="1"/>
    <col min="9" max="10" width="12.375" style="1" customWidth="1"/>
    <col min="11" max="12" width="11.125" style="1" customWidth="1"/>
    <col min="13" max="13" width="8.125" style="1" customWidth="1"/>
    <col min="14" max="14" width="10.75" style="1" customWidth="1"/>
    <col min="15" max="15" width="12.125" style="74" customWidth="1"/>
    <col min="16" max="16" width="12.25" style="1" customWidth="1"/>
    <col min="17" max="16384" width="8" style="1"/>
  </cols>
  <sheetData>
    <row r="1" s="2" customFormat="1" spans="1:15">
      <c r="A1" s="16" t="s">
        <v>429</v>
      </c>
      <c r="B1" s="16" t="s">
        <v>430</v>
      </c>
      <c r="C1" s="16" t="s">
        <v>431</v>
      </c>
      <c r="D1" s="16" t="s">
        <v>432</v>
      </c>
      <c r="E1" s="16" t="s">
        <v>433</v>
      </c>
      <c r="F1" s="16" t="s">
        <v>434</v>
      </c>
      <c r="G1" s="16" t="s">
        <v>435</v>
      </c>
      <c r="H1" s="16" t="s">
        <v>436</v>
      </c>
      <c r="I1" s="16" t="s">
        <v>437</v>
      </c>
      <c r="J1" s="16" t="s">
        <v>438</v>
      </c>
      <c r="K1" s="16" t="s">
        <v>439</v>
      </c>
      <c r="L1" s="16" t="s">
        <v>440</v>
      </c>
      <c r="M1" s="16" t="s">
        <v>435</v>
      </c>
      <c r="N1" s="16" t="s">
        <v>441</v>
      </c>
      <c r="O1" s="16" t="s">
        <v>442</v>
      </c>
    </row>
    <row r="2" s="1" customFormat="1" ht="15" customHeight="1" spans="1:15">
      <c r="A2" s="8" t="s">
        <v>41</v>
      </c>
      <c r="B2" s="11" t="s">
        <v>41</v>
      </c>
      <c r="C2" s="8" t="s">
        <v>41</v>
      </c>
      <c r="D2" s="11" t="s">
        <v>29</v>
      </c>
      <c r="E2" s="8" t="s">
        <v>41</v>
      </c>
      <c r="F2" s="8" t="s">
        <v>443</v>
      </c>
      <c r="G2" s="8" t="s">
        <v>41</v>
      </c>
      <c r="H2" s="36">
        <v>-36751726.16</v>
      </c>
      <c r="I2" s="36">
        <v>11078600.88</v>
      </c>
      <c r="J2" s="36">
        <v>6599563.23</v>
      </c>
      <c r="K2" s="36">
        <v>100056069.24</v>
      </c>
      <c r="L2" s="36">
        <v>102494461.03</v>
      </c>
      <c r="M2" s="8" t="s">
        <v>41</v>
      </c>
      <c r="N2" s="36">
        <v>-32272688.51</v>
      </c>
      <c r="O2" s="74">
        <f>SUMIFS(O3:O161,D3:D161,"&lt;&gt;*光华*")</f>
        <v>16741694.04</v>
      </c>
    </row>
    <row r="3" s="1" customFormat="1" ht="15" customHeight="1" spans="1:16">
      <c r="A3" s="12" t="s">
        <v>444</v>
      </c>
      <c r="B3" s="15" t="s">
        <v>445</v>
      </c>
      <c r="C3" s="12" t="s">
        <v>41</v>
      </c>
      <c r="D3" s="15" t="s">
        <v>446</v>
      </c>
      <c r="E3" s="12" t="s">
        <v>41</v>
      </c>
      <c r="F3" s="12" t="s">
        <v>443</v>
      </c>
      <c r="G3" s="12" t="s">
        <v>447</v>
      </c>
      <c r="H3" s="37">
        <v>17933061.51</v>
      </c>
      <c r="I3" s="37">
        <v>0</v>
      </c>
      <c r="J3" s="37">
        <v>98013.54</v>
      </c>
      <c r="K3" s="37">
        <v>0</v>
      </c>
      <c r="L3" s="37">
        <v>9626138.48</v>
      </c>
      <c r="M3" s="12" t="s">
        <v>447</v>
      </c>
      <c r="N3" s="37">
        <v>18031075.05</v>
      </c>
      <c r="O3" s="74">
        <f t="shared" ref="O3:O66" si="0">IF(M3="贷",N3,-N3)</f>
        <v>18031075.05</v>
      </c>
      <c r="P3" s="1" t="e">
        <f>_xlfn.XLOOKUP(D3,'8月份计划'!A:A,'8月份计划'!A:A)</f>
        <v>#N/A</v>
      </c>
    </row>
    <row r="4" s="1" customFormat="1" ht="15" customHeight="1" spans="1:16">
      <c r="A4" s="12" t="s">
        <v>444</v>
      </c>
      <c r="B4" s="15" t="s">
        <v>445</v>
      </c>
      <c r="C4" s="12" t="s">
        <v>41</v>
      </c>
      <c r="D4" s="15" t="s">
        <v>448</v>
      </c>
      <c r="E4" s="12" t="s">
        <v>41</v>
      </c>
      <c r="F4" s="12" t="s">
        <v>443</v>
      </c>
      <c r="G4" s="12" t="s">
        <v>447</v>
      </c>
      <c r="H4" s="37">
        <v>80.3</v>
      </c>
      <c r="I4" s="37">
        <v>0</v>
      </c>
      <c r="J4" s="37">
        <v>0</v>
      </c>
      <c r="K4" s="37">
        <v>0</v>
      </c>
      <c r="L4" s="37">
        <v>0</v>
      </c>
      <c r="M4" s="12" t="s">
        <v>447</v>
      </c>
      <c r="N4" s="37">
        <v>80.3</v>
      </c>
      <c r="O4" s="74">
        <f t="shared" si="0"/>
        <v>80.3</v>
      </c>
      <c r="P4" s="1" t="e">
        <f>_xlfn.XLOOKUP(D4,'8月份计划'!A:A,'8月份计划'!A:A)</f>
        <v>#N/A</v>
      </c>
    </row>
    <row r="5" s="1" customFormat="1" ht="15" customHeight="1" spans="1:16">
      <c r="A5" s="8" t="s">
        <v>444</v>
      </c>
      <c r="B5" s="11" t="s">
        <v>445</v>
      </c>
      <c r="C5" s="8" t="s">
        <v>41</v>
      </c>
      <c r="D5" s="11" t="s">
        <v>449</v>
      </c>
      <c r="E5" s="8" t="s">
        <v>41</v>
      </c>
      <c r="F5" s="8" t="s">
        <v>443</v>
      </c>
      <c r="G5" s="8" t="s">
        <v>447</v>
      </c>
      <c r="H5" s="36">
        <v>23367.17</v>
      </c>
      <c r="I5" s="36">
        <v>0</v>
      </c>
      <c r="J5" s="36">
        <v>0</v>
      </c>
      <c r="K5" s="36">
        <v>0</v>
      </c>
      <c r="L5" s="36">
        <v>0</v>
      </c>
      <c r="M5" s="8" t="s">
        <v>447</v>
      </c>
      <c r="N5" s="36">
        <v>23367.17</v>
      </c>
      <c r="O5" s="74">
        <f t="shared" si="0"/>
        <v>23367.17</v>
      </c>
      <c r="P5" s="1" t="e">
        <f>_xlfn.XLOOKUP(D5,'8月份计划'!A:A,'8月份计划'!A:A)</f>
        <v>#N/A</v>
      </c>
    </row>
    <row r="6" s="1" customFormat="1" ht="15" customHeight="1" spans="1:16">
      <c r="A6" s="12" t="s">
        <v>444</v>
      </c>
      <c r="B6" s="15" t="s">
        <v>445</v>
      </c>
      <c r="C6" s="12" t="s">
        <v>41</v>
      </c>
      <c r="D6" s="15" t="s">
        <v>450</v>
      </c>
      <c r="E6" s="12" t="s">
        <v>41</v>
      </c>
      <c r="F6" s="12" t="s">
        <v>443</v>
      </c>
      <c r="G6" s="12" t="s">
        <v>447</v>
      </c>
      <c r="H6" s="37">
        <v>9685.4</v>
      </c>
      <c r="I6" s="37">
        <v>0</v>
      </c>
      <c r="J6" s="37">
        <v>0</v>
      </c>
      <c r="K6" s="37">
        <v>0</v>
      </c>
      <c r="L6" s="37">
        <v>0</v>
      </c>
      <c r="M6" s="12" t="s">
        <v>447</v>
      </c>
      <c r="N6" s="37">
        <v>9685.4</v>
      </c>
      <c r="O6" s="74">
        <f t="shared" si="0"/>
        <v>9685.4</v>
      </c>
      <c r="P6" s="1" t="e">
        <f>_xlfn.XLOOKUP(D6,'8月份计划'!A:A,'8月份计划'!A:A)</f>
        <v>#N/A</v>
      </c>
    </row>
    <row r="7" s="1" customFormat="1" ht="15" customHeight="1" spans="1:16">
      <c r="A7" s="8" t="s">
        <v>444</v>
      </c>
      <c r="B7" s="11" t="s">
        <v>445</v>
      </c>
      <c r="C7" s="8" t="s">
        <v>41</v>
      </c>
      <c r="D7" s="11" t="s">
        <v>241</v>
      </c>
      <c r="E7" s="8" t="s">
        <v>41</v>
      </c>
      <c r="F7" s="8" t="s">
        <v>443</v>
      </c>
      <c r="G7" s="8" t="s">
        <v>447</v>
      </c>
      <c r="H7" s="36">
        <v>49618.48</v>
      </c>
      <c r="I7" s="36">
        <v>20978.3</v>
      </c>
      <c r="J7" s="36">
        <v>96599.41</v>
      </c>
      <c r="K7" s="36">
        <v>583398</v>
      </c>
      <c r="L7" s="36">
        <v>286217.89</v>
      </c>
      <c r="M7" s="8" t="s">
        <v>447</v>
      </c>
      <c r="N7" s="36">
        <v>125239.59</v>
      </c>
      <c r="O7" s="74">
        <f t="shared" si="0"/>
        <v>125239.59</v>
      </c>
      <c r="P7" s="1" t="str">
        <f>_xlfn.XLOOKUP(D7,'8月份计划'!A:A,'8月份计划'!A:A)</f>
        <v>天津琪安科技有限公司</v>
      </c>
    </row>
    <row r="8" s="1" customFormat="1" ht="15" customHeight="1" spans="1:16">
      <c r="A8" s="12" t="s">
        <v>444</v>
      </c>
      <c r="B8" s="15" t="s">
        <v>445</v>
      </c>
      <c r="C8" s="12" t="s">
        <v>41</v>
      </c>
      <c r="D8" s="15" t="s">
        <v>242</v>
      </c>
      <c r="E8" s="12" t="s">
        <v>41</v>
      </c>
      <c r="F8" s="12" t="s">
        <v>443</v>
      </c>
      <c r="G8" s="12" t="s">
        <v>447</v>
      </c>
      <c r="H8" s="37">
        <v>106941.31</v>
      </c>
      <c r="I8" s="37">
        <v>46001.91</v>
      </c>
      <c r="J8" s="37">
        <v>12513.17</v>
      </c>
      <c r="K8" s="37">
        <v>335590.66</v>
      </c>
      <c r="L8" s="37">
        <v>219454.48</v>
      </c>
      <c r="M8" s="12" t="s">
        <v>447</v>
      </c>
      <c r="N8" s="37">
        <v>73452.57</v>
      </c>
      <c r="O8" s="74">
        <f t="shared" si="0"/>
        <v>73452.57</v>
      </c>
      <c r="P8" s="1" t="str">
        <f>_xlfn.XLOOKUP(D8,'8月份计划'!A:A,'8月份计划'!A:A)</f>
        <v>黄骅市广亿汽车部件有限公司</v>
      </c>
    </row>
    <row r="9" s="1" customFormat="1" ht="15" customHeight="1" spans="1:16">
      <c r="A9" s="12" t="s">
        <v>444</v>
      </c>
      <c r="B9" s="15" t="s">
        <v>445</v>
      </c>
      <c r="C9" s="12" t="s">
        <v>41</v>
      </c>
      <c r="D9" s="15" t="s">
        <v>243</v>
      </c>
      <c r="E9" s="12" t="s">
        <v>41</v>
      </c>
      <c r="F9" s="12" t="s">
        <v>443</v>
      </c>
      <c r="G9" s="12" t="s">
        <v>447</v>
      </c>
      <c r="H9" s="37">
        <v>92578.13</v>
      </c>
      <c r="I9" s="37">
        <v>50000</v>
      </c>
      <c r="J9" s="37">
        <v>17208.53</v>
      </c>
      <c r="K9" s="37">
        <v>197350.41</v>
      </c>
      <c r="L9" s="37">
        <v>146694.94</v>
      </c>
      <c r="M9" s="12" t="s">
        <v>447</v>
      </c>
      <c r="N9" s="37">
        <v>59786.66</v>
      </c>
      <c r="O9" s="74">
        <f t="shared" si="0"/>
        <v>59786.66</v>
      </c>
      <c r="P9" s="1" t="str">
        <f>_xlfn.XLOOKUP(D9,'8月份计划'!A:A,'8月份计划'!A:A)</f>
        <v>霸州市自强汽车零部件厂</v>
      </c>
    </row>
    <row r="10" s="1" customFormat="1" ht="15" customHeight="1" spans="1:16">
      <c r="A10" s="8" t="s">
        <v>444</v>
      </c>
      <c r="B10" s="11" t="s">
        <v>445</v>
      </c>
      <c r="C10" s="8" t="s">
        <v>41</v>
      </c>
      <c r="D10" s="11" t="s">
        <v>297</v>
      </c>
      <c r="E10" s="8" t="s">
        <v>41</v>
      </c>
      <c r="F10" s="8" t="s">
        <v>443</v>
      </c>
      <c r="G10" s="8" t="s">
        <v>447</v>
      </c>
      <c r="H10" s="36">
        <v>25334.21</v>
      </c>
      <c r="I10" s="36">
        <v>17283.35</v>
      </c>
      <c r="J10" s="36">
        <v>3667.98</v>
      </c>
      <c r="K10" s="36">
        <v>67441.97</v>
      </c>
      <c r="L10" s="36">
        <v>32670.17</v>
      </c>
      <c r="M10" s="8" t="s">
        <v>447</v>
      </c>
      <c r="N10" s="36">
        <v>11718.84</v>
      </c>
      <c r="O10" s="74">
        <f t="shared" si="0"/>
        <v>11718.84</v>
      </c>
      <c r="P10" s="1" t="str">
        <f>_xlfn.XLOOKUP(D10,'8月份计划'!A:A,'8月份计划'!A:A)</f>
        <v>海兴中盛弹簧有限公司</v>
      </c>
    </row>
    <row r="11" s="1" customFormat="1" ht="15" customHeight="1" spans="1:16">
      <c r="A11" s="12" t="s">
        <v>444</v>
      </c>
      <c r="B11" s="15" t="s">
        <v>445</v>
      </c>
      <c r="C11" s="12" t="s">
        <v>41</v>
      </c>
      <c r="D11" s="15" t="s">
        <v>451</v>
      </c>
      <c r="E11" s="12" t="s">
        <v>41</v>
      </c>
      <c r="F11" s="12" t="s">
        <v>443</v>
      </c>
      <c r="G11" s="12" t="s">
        <v>447</v>
      </c>
      <c r="H11" s="37">
        <v>28403004.46</v>
      </c>
      <c r="I11" s="37">
        <v>200000</v>
      </c>
      <c r="J11" s="37">
        <v>364869.43</v>
      </c>
      <c r="K11" s="37">
        <v>900000</v>
      </c>
      <c r="L11" s="37">
        <v>172060.43</v>
      </c>
      <c r="M11" s="12" t="s">
        <v>447</v>
      </c>
      <c r="N11" s="37">
        <v>28567873.89</v>
      </c>
      <c r="O11" s="74">
        <f t="shared" si="0"/>
        <v>28567873.89</v>
      </c>
      <c r="P11" s="1" t="e">
        <f>_xlfn.XLOOKUP(D11,'8月份计划'!A:A,'8月份计划'!A:A)</f>
        <v>#N/A</v>
      </c>
    </row>
    <row r="12" s="1" customFormat="1" ht="15" customHeight="1" spans="1:16">
      <c r="A12" s="8" t="s">
        <v>444</v>
      </c>
      <c r="B12" s="11" t="s">
        <v>445</v>
      </c>
      <c r="C12" s="8" t="s">
        <v>41</v>
      </c>
      <c r="D12" s="11" t="s">
        <v>499</v>
      </c>
      <c r="E12" s="8" t="s">
        <v>41</v>
      </c>
      <c r="F12" s="8" t="s">
        <v>443</v>
      </c>
      <c r="G12" s="8" t="s">
        <v>489</v>
      </c>
      <c r="H12" s="36">
        <v>0</v>
      </c>
      <c r="I12" s="36">
        <v>0</v>
      </c>
      <c r="J12" s="36">
        <v>745215.21</v>
      </c>
      <c r="K12" s="36">
        <v>0</v>
      </c>
      <c r="L12" s="36">
        <v>745215.21</v>
      </c>
      <c r="M12" s="8" t="s">
        <v>447</v>
      </c>
      <c r="N12" s="36">
        <v>745215.21</v>
      </c>
      <c r="O12" s="74">
        <f t="shared" si="0"/>
        <v>745215.21</v>
      </c>
      <c r="P12" s="1" t="e">
        <f>_xlfn.XLOOKUP(D12,'8月份计划'!A:A,'8月份计划'!A:A)</f>
        <v>#N/A</v>
      </c>
    </row>
    <row r="13" s="1" customFormat="1" ht="15" customHeight="1" spans="1:16">
      <c r="A13" s="8" t="s">
        <v>444</v>
      </c>
      <c r="B13" s="11" t="s">
        <v>445</v>
      </c>
      <c r="C13" s="8" t="s">
        <v>41</v>
      </c>
      <c r="D13" s="11" t="s">
        <v>244</v>
      </c>
      <c r="E13" s="8" t="s">
        <v>41</v>
      </c>
      <c r="F13" s="8" t="s">
        <v>443</v>
      </c>
      <c r="G13" s="8" t="s">
        <v>447</v>
      </c>
      <c r="H13" s="36">
        <v>89168.54</v>
      </c>
      <c r="I13" s="36">
        <v>50000</v>
      </c>
      <c r="J13" s="36">
        <v>45688.16</v>
      </c>
      <c r="K13" s="36">
        <v>472055.59</v>
      </c>
      <c r="L13" s="36">
        <v>263458.37</v>
      </c>
      <c r="M13" s="8" t="s">
        <v>447</v>
      </c>
      <c r="N13" s="36">
        <v>84856.7</v>
      </c>
      <c r="O13" s="74">
        <f t="shared" si="0"/>
        <v>84856.7</v>
      </c>
      <c r="P13" s="1" t="str">
        <f>_xlfn.XLOOKUP(D13,'8月份计划'!A:A,'8月份计划'!A:A)</f>
        <v>沧州临港明康汽车配件有限公司</v>
      </c>
    </row>
    <row r="14" s="1" customFormat="1" ht="15" customHeight="1" spans="1:16">
      <c r="A14" s="12" t="s">
        <v>444</v>
      </c>
      <c r="B14" s="15" t="s">
        <v>445</v>
      </c>
      <c r="C14" s="12" t="s">
        <v>41</v>
      </c>
      <c r="D14" s="15" t="s">
        <v>245</v>
      </c>
      <c r="E14" s="12" t="s">
        <v>41</v>
      </c>
      <c r="F14" s="12" t="s">
        <v>443</v>
      </c>
      <c r="G14" s="12" t="s">
        <v>447</v>
      </c>
      <c r="H14" s="37">
        <v>126464.85</v>
      </c>
      <c r="I14" s="37">
        <v>50000</v>
      </c>
      <c r="J14" s="37">
        <v>18876.1</v>
      </c>
      <c r="K14" s="37">
        <v>399395</v>
      </c>
      <c r="L14" s="37">
        <v>266718.3</v>
      </c>
      <c r="M14" s="12" t="s">
        <v>447</v>
      </c>
      <c r="N14" s="37">
        <v>95340.95</v>
      </c>
      <c r="O14" s="74">
        <f t="shared" si="0"/>
        <v>95340.95</v>
      </c>
      <c r="P14" s="1" t="str">
        <f>_xlfn.XLOOKUP(D14,'8月份计划'!A:A,'8月份计划'!A:A)</f>
        <v>黄骅市建昌塑料制品有限公司</v>
      </c>
    </row>
    <row r="15" s="1" customFormat="1" ht="15" customHeight="1" spans="1:16">
      <c r="A15" s="8" t="s">
        <v>444</v>
      </c>
      <c r="B15" s="11" t="s">
        <v>445</v>
      </c>
      <c r="C15" s="8" t="s">
        <v>41</v>
      </c>
      <c r="D15" s="11" t="s">
        <v>283</v>
      </c>
      <c r="E15" s="8" t="s">
        <v>41</v>
      </c>
      <c r="F15" s="8" t="s">
        <v>443</v>
      </c>
      <c r="G15" s="8" t="s">
        <v>447</v>
      </c>
      <c r="H15" s="36">
        <v>36763.93</v>
      </c>
      <c r="I15" s="36">
        <v>21663.12</v>
      </c>
      <c r="J15" s="36">
        <v>0</v>
      </c>
      <c r="K15" s="36">
        <v>64885.38</v>
      </c>
      <c r="L15" s="36">
        <v>56934.43</v>
      </c>
      <c r="M15" s="8" t="s">
        <v>447</v>
      </c>
      <c r="N15" s="36">
        <v>15100.81</v>
      </c>
      <c r="O15" s="74">
        <f t="shared" si="0"/>
        <v>15100.81</v>
      </c>
      <c r="P15" s="1" t="str">
        <f>_xlfn.XLOOKUP(D15,'8月份计划'!A:A,'8月份计划'!A:A)</f>
        <v>黄骅市成卓汽车部件厂</v>
      </c>
    </row>
    <row r="16" s="1" customFormat="1" ht="15" customHeight="1" spans="1:16">
      <c r="A16" s="12" t="s">
        <v>444</v>
      </c>
      <c r="B16" s="15" t="s">
        <v>445</v>
      </c>
      <c r="C16" s="12" t="s">
        <v>41</v>
      </c>
      <c r="D16" s="15" t="s">
        <v>452</v>
      </c>
      <c r="E16" s="12" t="s">
        <v>41</v>
      </c>
      <c r="F16" s="12" t="s">
        <v>443</v>
      </c>
      <c r="G16" s="12" t="s">
        <v>447</v>
      </c>
      <c r="H16" s="37">
        <v>5200.09</v>
      </c>
      <c r="I16" s="37">
        <v>0</v>
      </c>
      <c r="J16" s="37">
        <v>0</v>
      </c>
      <c r="K16" s="37">
        <v>0</v>
      </c>
      <c r="L16" s="37">
        <v>0</v>
      </c>
      <c r="M16" s="12" t="s">
        <v>447</v>
      </c>
      <c r="N16" s="37">
        <v>5200.09</v>
      </c>
      <c r="O16" s="74">
        <f t="shared" si="0"/>
        <v>5200.09</v>
      </c>
      <c r="P16" s="1" t="e">
        <f>_xlfn.XLOOKUP(D16,'8月份计划'!A:A,'8月份计划'!A:A)</f>
        <v>#N/A</v>
      </c>
    </row>
    <row r="17" s="1" customFormat="1" ht="15" customHeight="1" spans="1:16">
      <c r="A17" s="8" t="s">
        <v>444</v>
      </c>
      <c r="B17" s="11" t="s">
        <v>445</v>
      </c>
      <c r="C17" s="8" t="s">
        <v>41</v>
      </c>
      <c r="D17" s="11" t="s">
        <v>280</v>
      </c>
      <c r="E17" s="8" t="s">
        <v>41</v>
      </c>
      <c r="F17" s="8" t="s">
        <v>443</v>
      </c>
      <c r="G17" s="8" t="s">
        <v>447</v>
      </c>
      <c r="H17" s="36">
        <v>104741.97</v>
      </c>
      <c r="I17" s="36">
        <v>49447.68</v>
      </c>
      <c r="J17" s="36">
        <v>0</v>
      </c>
      <c r="K17" s="36">
        <v>238434.98</v>
      </c>
      <c r="L17" s="36">
        <v>161123.77</v>
      </c>
      <c r="M17" s="8" t="s">
        <v>447</v>
      </c>
      <c r="N17" s="36">
        <v>55294.29</v>
      </c>
      <c r="O17" s="74">
        <f t="shared" si="0"/>
        <v>55294.29</v>
      </c>
      <c r="P17" s="1" t="str">
        <f>_xlfn.XLOOKUP(D17,'8月份计划'!A:A,'8月份计划'!A:A)</f>
        <v>文安县德实汽车配件有限公司</v>
      </c>
    </row>
    <row r="18" s="1" customFormat="1" ht="15" customHeight="1" spans="1:16">
      <c r="A18" s="8" t="s">
        <v>444</v>
      </c>
      <c r="B18" s="11" t="s">
        <v>445</v>
      </c>
      <c r="C18" s="8" t="s">
        <v>41</v>
      </c>
      <c r="D18" s="11" t="s">
        <v>246</v>
      </c>
      <c r="E18" s="8" t="s">
        <v>41</v>
      </c>
      <c r="F18" s="8" t="s">
        <v>443</v>
      </c>
      <c r="G18" s="8" t="s">
        <v>447</v>
      </c>
      <c r="H18" s="36">
        <v>88226.66</v>
      </c>
      <c r="I18" s="36">
        <v>50000</v>
      </c>
      <c r="J18" s="36">
        <v>1668.49</v>
      </c>
      <c r="K18" s="36">
        <v>379030.41</v>
      </c>
      <c r="L18" s="36">
        <v>214990.41</v>
      </c>
      <c r="M18" s="8" t="s">
        <v>447</v>
      </c>
      <c r="N18" s="36">
        <v>39895.15</v>
      </c>
      <c r="O18" s="74">
        <f t="shared" si="0"/>
        <v>39895.15</v>
      </c>
      <c r="P18" s="1" t="str">
        <f>_xlfn.XLOOKUP(D18,'8月份计划'!A:A,'8月份计划'!A:A)</f>
        <v>廊坊市烁鑫汽车配件有限公司</v>
      </c>
    </row>
    <row r="19" s="1" customFormat="1" ht="15" customHeight="1" spans="1:16">
      <c r="A19" s="12" t="s">
        <v>444</v>
      </c>
      <c r="B19" s="15" t="s">
        <v>445</v>
      </c>
      <c r="C19" s="12" t="s">
        <v>41</v>
      </c>
      <c r="D19" s="15" t="s">
        <v>247</v>
      </c>
      <c r="E19" s="12" t="s">
        <v>41</v>
      </c>
      <c r="F19" s="12" t="s">
        <v>443</v>
      </c>
      <c r="G19" s="12" t="s">
        <v>447</v>
      </c>
      <c r="H19" s="37">
        <v>77922.31</v>
      </c>
      <c r="I19" s="37">
        <v>50000</v>
      </c>
      <c r="J19" s="37">
        <v>22962.21</v>
      </c>
      <c r="K19" s="37">
        <v>129977.88</v>
      </c>
      <c r="L19" s="37">
        <v>140884.52</v>
      </c>
      <c r="M19" s="12" t="s">
        <v>447</v>
      </c>
      <c r="N19" s="37">
        <v>50884.52</v>
      </c>
      <c r="O19" s="74">
        <f t="shared" si="0"/>
        <v>50884.52</v>
      </c>
      <c r="P19" s="1" t="str">
        <f>_xlfn.XLOOKUP(D19,'8月份计划'!A:A,'8月份计划'!A:A)</f>
        <v>黄骅市汇铭汽车部件有限公司</v>
      </c>
    </row>
    <row r="20" s="1" customFormat="1" ht="15" customHeight="1" spans="1:16">
      <c r="A20" s="8" t="s">
        <v>444</v>
      </c>
      <c r="B20" s="11" t="s">
        <v>445</v>
      </c>
      <c r="C20" s="8" t="s">
        <v>41</v>
      </c>
      <c r="D20" s="11" t="s">
        <v>248</v>
      </c>
      <c r="E20" s="8" t="s">
        <v>41</v>
      </c>
      <c r="F20" s="8" t="s">
        <v>443</v>
      </c>
      <c r="G20" s="8" t="s">
        <v>447</v>
      </c>
      <c r="H20" s="36">
        <v>156040.34</v>
      </c>
      <c r="I20" s="36">
        <v>0</v>
      </c>
      <c r="J20" s="36">
        <v>0</v>
      </c>
      <c r="K20" s="36">
        <v>1742450.5</v>
      </c>
      <c r="L20" s="36">
        <v>1040268.96</v>
      </c>
      <c r="M20" s="8" t="s">
        <v>447</v>
      </c>
      <c r="N20" s="36">
        <v>156040.34</v>
      </c>
      <c r="O20" s="74">
        <f t="shared" si="0"/>
        <v>156040.34</v>
      </c>
      <c r="P20" s="1" t="str">
        <f>_xlfn.XLOOKUP(D20,'8月份计划'!A:A,'8月份计划'!A:A)</f>
        <v>上海明芳汽车零件有限公司</v>
      </c>
    </row>
    <row r="21" s="1" customFormat="1" ht="15" customHeight="1" spans="1:16">
      <c r="A21" s="8" t="s">
        <v>444</v>
      </c>
      <c r="B21" s="11" t="s">
        <v>445</v>
      </c>
      <c r="C21" s="8" t="s">
        <v>41</v>
      </c>
      <c r="D21" s="11" t="s">
        <v>279</v>
      </c>
      <c r="E21" s="8" t="s">
        <v>41</v>
      </c>
      <c r="F21" s="8" t="s">
        <v>443</v>
      </c>
      <c r="G21" s="8" t="s">
        <v>447</v>
      </c>
      <c r="H21" s="36">
        <v>13932.9</v>
      </c>
      <c r="I21" s="36">
        <v>0</v>
      </c>
      <c r="J21" s="36">
        <v>0</v>
      </c>
      <c r="K21" s="36">
        <v>0</v>
      </c>
      <c r="L21" s="36">
        <v>0</v>
      </c>
      <c r="M21" s="8" t="s">
        <v>447</v>
      </c>
      <c r="N21" s="36">
        <v>13932.9</v>
      </c>
      <c r="O21" s="74">
        <f t="shared" si="0"/>
        <v>13932.9</v>
      </c>
      <c r="P21" s="1" t="str">
        <f>_xlfn.XLOOKUP(D21,'8月份计划'!A:A,'8月份计划'!A:A)</f>
        <v>上海秉直精密机械有限公司</v>
      </c>
    </row>
    <row r="22" s="1" customFormat="1" ht="15" customHeight="1" spans="1:16">
      <c r="A22" s="8" t="s">
        <v>444</v>
      </c>
      <c r="B22" s="11" t="s">
        <v>445</v>
      </c>
      <c r="C22" s="8" t="s">
        <v>41</v>
      </c>
      <c r="D22" s="11" t="s">
        <v>249</v>
      </c>
      <c r="E22" s="8" t="s">
        <v>41</v>
      </c>
      <c r="F22" s="8" t="s">
        <v>443</v>
      </c>
      <c r="G22" s="8" t="s">
        <v>447</v>
      </c>
      <c r="H22" s="36">
        <v>202755.37</v>
      </c>
      <c r="I22" s="36">
        <v>155076.16</v>
      </c>
      <c r="J22" s="36">
        <v>4678.2</v>
      </c>
      <c r="K22" s="36">
        <v>1765899.17</v>
      </c>
      <c r="L22" s="36">
        <v>961892.9</v>
      </c>
      <c r="M22" s="8" t="s">
        <v>447</v>
      </c>
      <c r="N22" s="36">
        <v>52357.41</v>
      </c>
      <c r="O22" s="74">
        <f t="shared" si="0"/>
        <v>52357.41</v>
      </c>
      <c r="P22" s="1" t="str">
        <f>_xlfn.XLOOKUP(D22,'8月份计划'!A:A,'8月份计划'!A:A)</f>
        <v>江苏力乐汽车部件股份有限公司</v>
      </c>
    </row>
    <row r="23" s="1" customFormat="1" ht="15" customHeight="1" spans="1:16">
      <c r="A23" s="12" t="s">
        <v>444</v>
      </c>
      <c r="B23" s="15" t="s">
        <v>445</v>
      </c>
      <c r="C23" s="12" t="s">
        <v>41</v>
      </c>
      <c r="D23" s="15" t="s">
        <v>417</v>
      </c>
      <c r="E23" s="12" t="s">
        <v>41</v>
      </c>
      <c r="F23" s="12" t="s">
        <v>443</v>
      </c>
      <c r="G23" s="12" t="s">
        <v>447</v>
      </c>
      <c r="H23" s="37">
        <v>494.15</v>
      </c>
      <c r="I23" s="37">
        <v>0</v>
      </c>
      <c r="J23" s="37">
        <v>494.15</v>
      </c>
      <c r="K23" s="37">
        <v>69562.26</v>
      </c>
      <c r="L23" s="37">
        <v>69340.46</v>
      </c>
      <c r="M23" s="12" t="s">
        <v>447</v>
      </c>
      <c r="N23" s="37">
        <v>988.3</v>
      </c>
      <c r="O23" s="74">
        <f t="shared" si="0"/>
        <v>988.3</v>
      </c>
      <c r="P23" s="1" t="e">
        <f>_xlfn.XLOOKUP(D23,'8月份计划'!A:A,'8月份计划'!A:A)</f>
        <v>#N/A</v>
      </c>
    </row>
    <row r="24" s="1" customFormat="1" ht="15" customHeight="1" spans="1:16">
      <c r="A24" s="8" t="s">
        <v>444</v>
      </c>
      <c r="B24" s="11" t="s">
        <v>445</v>
      </c>
      <c r="C24" s="8" t="s">
        <v>41</v>
      </c>
      <c r="D24" s="11" t="s">
        <v>250</v>
      </c>
      <c r="E24" s="8" t="s">
        <v>41</v>
      </c>
      <c r="F24" s="8" t="s">
        <v>443</v>
      </c>
      <c r="G24" s="8" t="s">
        <v>447</v>
      </c>
      <c r="H24" s="36">
        <v>408139.15</v>
      </c>
      <c r="I24" s="36">
        <v>254299.95</v>
      </c>
      <c r="J24" s="36">
        <v>92363.01</v>
      </c>
      <c r="K24" s="36">
        <v>1725314.76</v>
      </c>
      <c r="L24" s="36">
        <v>1067635.06</v>
      </c>
      <c r="M24" s="8" t="s">
        <v>447</v>
      </c>
      <c r="N24" s="36">
        <v>246202.21</v>
      </c>
      <c r="O24" s="74">
        <f t="shared" si="0"/>
        <v>246202.21</v>
      </c>
      <c r="P24" s="1" t="str">
        <f>_xlfn.XLOOKUP(D24,'8月份计划'!A:A,'8月份计划'!A:A)</f>
        <v>溧阳鑫岩汽车零部件有限公司</v>
      </c>
    </row>
    <row r="25" s="1" customFormat="1" ht="15" customHeight="1" spans="1:16">
      <c r="A25" s="8" t="s">
        <v>444</v>
      </c>
      <c r="B25" s="11" t="s">
        <v>445</v>
      </c>
      <c r="C25" s="8" t="s">
        <v>41</v>
      </c>
      <c r="D25" s="11" t="s">
        <v>251</v>
      </c>
      <c r="E25" s="8" t="s">
        <v>41</v>
      </c>
      <c r="F25" s="8" t="s">
        <v>443</v>
      </c>
      <c r="G25" s="8" t="s">
        <v>447</v>
      </c>
      <c r="H25" s="36">
        <v>544769.3</v>
      </c>
      <c r="I25" s="36">
        <v>69589.13</v>
      </c>
      <c r="J25" s="36">
        <v>146831.97</v>
      </c>
      <c r="K25" s="36">
        <v>2679013.26</v>
      </c>
      <c r="L25" s="36">
        <v>3123235.27</v>
      </c>
      <c r="M25" s="8" t="s">
        <v>447</v>
      </c>
      <c r="N25" s="36">
        <v>622012.14</v>
      </c>
      <c r="O25" s="74">
        <f t="shared" si="0"/>
        <v>622012.14</v>
      </c>
      <c r="P25" s="1" t="str">
        <f>_xlfn.XLOOKUP(D25,'8月份计划'!A:A,'8月份计划'!A:A)</f>
        <v>厦门凯平化工有限公司</v>
      </c>
    </row>
    <row r="26" s="1" customFormat="1" ht="15" customHeight="1" spans="1:16">
      <c r="A26" s="8" t="s">
        <v>444</v>
      </c>
      <c r="B26" s="11" t="s">
        <v>445</v>
      </c>
      <c r="C26" s="8" t="s">
        <v>41</v>
      </c>
      <c r="D26" s="11" t="s">
        <v>252</v>
      </c>
      <c r="E26" s="8" t="s">
        <v>41</v>
      </c>
      <c r="F26" s="8" t="s">
        <v>443</v>
      </c>
      <c r="G26" s="8" t="s">
        <v>447</v>
      </c>
      <c r="H26" s="36">
        <v>206828.21</v>
      </c>
      <c r="I26" s="36">
        <v>134520.34</v>
      </c>
      <c r="J26" s="36">
        <v>0</v>
      </c>
      <c r="K26" s="36">
        <v>654054.78</v>
      </c>
      <c r="L26" s="36">
        <v>319824.99</v>
      </c>
      <c r="M26" s="8" t="s">
        <v>447</v>
      </c>
      <c r="N26" s="36">
        <v>72307.87</v>
      </c>
      <c r="O26" s="74">
        <f t="shared" si="0"/>
        <v>72307.87</v>
      </c>
      <c r="P26" s="1" t="str">
        <f>_xlfn.XLOOKUP(D26,'8月份计划'!A:A,'8月份计划'!A:A)</f>
        <v>湖北伟士通汽车零件有限公司</v>
      </c>
    </row>
    <row r="27" s="1" customFormat="1" ht="15" customHeight="1" spans="1:16">
      <c r="A27" s="12" t="s">
        <v>444</v>
      </c>
      <c r="B27" s="15" t="s">
        <v>445</v>
      </c>
      <c r="C27" s="12" t="s">
        <v>41</v>
      </c>
      <c r="D27" s="15" t="s">
        <v>253</v>
      </c>
      <c r="E27" s="12" t="s">
        <v>41</v>
      </c>
      <c r="F27" s="12" t="s">
        <v>443</v>
      </c>
      <c r="G27" s="12" t="s">
        <v>447</v>
      </c>
      <c r="H27" s="37">
        <v>469726.32</v>
      </c>
      <c r="I27" s="37">
        <v>187969.53</v>
      </c>
      <c r="J27" s="37">
        <v>13574.43</v>
      </c>
      <c r="K27" s="37">
        <v>742190</v>
      </c>
      <c r="L27" s="37">
        <v>698757.02</v>
      </c>
      <c r="M27" s="12" t="s">
        <v>447</v>
      </c>
      <c r="N27" s="37">
        <v>295331.22</v>
      </c>
      <c r="O27" s="74">
        <f t="shared" si="0"/>
        <v>295331.22</v>
      </c>
      <c r="P27" s="1" t="str">
        <f>_xlfn.XLOOKUP(D27,'8月份计划'!A:A,'8月份计划'!A:A)</f>
        <v>衡阳县标准件厂株洲销售处</v>
      </c>
    </row>
    <row r="28" s="1" customFormat="1" ht="15" customHeight="1" spans="1:16">
      <c r="A28" s="8" t="s">
        <v>444</v>
      </c>
      <c r="B28" s="11" t="s">
        <v>445</v>
      </c>
      <c r="C28" s="8" t="s">
        <v>41</v>
      </c>
      <c r="D28" s="11" t="s">
        <v>254</v>
      </c>
      <c r="E28" s="8" t="s">
        <v>41</v>
      </c>
      <c r="F28" s="8" t="s">
        <v>443</v>
      </c>
      <c r="G28" s="8" t="s">
        <v>447</v>
      </c>
      <c r="H28" s="36">
        <v>728583.63</v>
      </c>
      <c r="I28" s="36">
        <v>800000</v>
      </c>
      <c r="J28" s="36">
        <v>470854.55</v>
      </c>
      <c r="K28" s="36">
        <v>5650000</v>
      </c>
      <c r="L28" s="36">
        <v>5452136.24</v>
      </c>
      <c r="M28" s="8" t="s">
        <v>447</v>
      </c>
      <c r="N28" s="36">
        <v>399438.18</v>
      </c>
      <c r="O28" s="74">
        <f t="shared" si="0"/>
        <v>399438.18</v>
      </c>
      <c r="P28" s="1" t="str">
        <f>_xlfn.XLOOKUP(D28,'8月份计划'!A:A,'8月份计划'!A:A)</f>
        <v>湖南凌天汽车零部件有限公司</v>
      </c>
    </row>
    <row r="29" s="1" customFormat="1" ht="15" customHeight="1" spans="1:16">
      <c r="A29" s="12" t="s">
        <v>444</v>
      </c>
      <c r="B29" s="15" t="s">
        <v>445</v>
      </c>
      <c r="C29" s="12" t="s">
        <v>41</v>
      </c>
      <c r="D29" s="15" t="s">
        <v>454</v>
      </c>
      <c r="E29" s="12" t="s">
        <v>41</v>
      </c>
      <c r="F29" s="12" t="s">
        <v>443</v>
      </c>
      <c r="G29" s="12" t="s">
        <v>447</v>
      </c>
      <c r="H29" s="37">
        <v>0.5</v>
      </c>
      <c r="I29" s="37">
        <v>0</v>
      </c>
      <c r="J29" s="37">
        <v>0</v>
      </c>
      <c r="K29" s="37">
        <v>101763.51</v>
      </c>
      <c r="L29" s="37">
        <v>0</v>
      </c>
      <c r="M29" s="12" t="s">
        <v>447</v>
      </c>
      <c r="N29" s="37">
        <v>0.5</v>
      </c>
      <c r="O29" s="74">
        <f t="shared" si="0"/>
        <v>0.5</v>
      </c>
      <c r="P29" s="1" t="e">
        <f>_xlfn.XLOOKUP(D29,'8月份计划'!A:A,'8月份计划'!A:A)</f>
        <v>#N/A</v>
      </c>
    </row>
    <row r="30" s="1" customFormat="1" ht="15" customHeight="1" spans="1:16">
      <c r="A30" s="8" t="s">
        <v>444</v>
      </c>
      <c r="B30" s="11" t="s">
        <v>445</v>
      </c>
      <c r="C30" s="8" t="s">
        <v>41</v>
      </c>
      <c r="D30" s="11" t="s">
        <v>255</v>
      </c>
      <c r="E30" s="8" t="s">
        <v>41</v>
      </c>
      <c r="F30" s="8" t="s">
        <v>443</v>
      </c>
      <c r="G30" s="8" t="s">
        <v>447</v>
      </c>
      <c r="H30" s="36">
        <v>118421.13</v>
      </c>
      <c r="I30" s="36">
        <v>26480.42</v>
      </c>
      <c r="J30" s="36">
        <v>6782.25</v>
      </c>
      <c r="K30" s="36">
        <v>689155.89</v>
      </c>
      <c r="L30" s="36">
        <v>421533.59</v>
      </c>
      <c r="M30" s="8" t="s">
        <v>447</v>
      </c>
      <c r="N30" s="36">
        <v>98722.96</v>
      </c>
      <c r="O30" s="74">
        <f t="shared" si="0"/>
        <v>98722.96</v>
      </c>
      <c r="P30" s="1" t="str">
        <f>_xlfn.XLOOKUP(D30,'8月份计划'!A:A,'8月份计划'!A:A)</f>
        <v>重庆光大产业有限公司</v>
      </c>
    </row>
    <row r="31" s="1" customFormat="1" ht="15" customHeight="1" spans="1:16">
      <c r="A31" s="12" t="s">
        <v>444</v>
      </c>
      <c r="B31" s="15" t="s">
        <v>445</v>
      </c>
      <c r="C31" s="12" t="s">
        <v>41</v>
      </c>
      <c r="D31" s="15" t="s">
        <v>256</v>
      </c>
      <c r="E31" s="12" t="s">
        <v>41</v>
      </c>
      <c r="F31" s="12" t="s">
        <v>443</v>
      </c>
      <c r="G31" s="12" t="s">
        <v>447</v>
      </c>
      <c r="H31" s="37">
        <v>3073515.31</v>
      </c>
      <c r="I31" s="37">
        <v>1023419.23</v>
      </c>
      <c r="J31" s="37">
        <v>339973.44</v>
      </c>
      <c r="K31" s="37">
        <v>18828263.7</v>
      </c>
      <c r="L31" s="37">
        <v>16323699.85</v>
      </c>
      <c r="M31" s="12" t="s">
        <v>447</v>
      </c>
      <c r="N31" s="37">
        <v>2390069.52</v>
      </c>
      <c r="O31" s="74">
        <f t="shared" si="0"/>
        <v>2390069.52</v>
      </c>
      <c r="P31" s="1" t="str">
        <f>_xlfn.XLOOKUP(D31,'8月份计划'!A:A,'8月份计划'!A:A)</f>
        <v>湘乡简美工贸有限公司</v>
      </c>
    </row>
    <row r="32" s="1" customFormat="1" ht="15" customHeight="1" spans="1:16">
      <c r="A32" s="8" t="s">
        <v>444</v>
      </c>
      <c r="B32" s="11" t="s">
        <v>445</v>
      </c>
      <c r="C32" s="8" t="s">
        <v>41</v>
      </c>
      <c r="D32" s="11" t="s">
        <v>600</v>
      </c>
      <c r="E32" s="8" t="s">
        <v>41</v>
      </c>
      <c r="F32" s="8" t="s">
        <v>443</v>
      </c>
      <c r="G32" s="8" t="s">
        <v>447</v>
      </c>
      <c r="H32" s="36">
        <v>4338025.93</v>
      </c>
      <c r="I32" s="36">
        <v>861384.76</v>
      </c>
      <c r="J32" s="36">
        <v>609047.63</v>
      </c>
      <c r="K32" s="36">
        <v>861384.76</v>
      </c>
      <c r="L32" s="36">
        <v>4947073.56</v>
      </c>
      <c r="M32" s="8" t="s">
        <v>447</v>
      </c>
      <c r="N32" s="36">
        <v>4085688.8</v>
      </c>
      <c r="O32" s="74">
        <f t="shared" si="0"/>
        <v>4085688.8</v>
      </c>
      <c r="P32" s="1" t="e">
        <f>_xlfn.XLOOKUP(D32,'8月份计划'!A:A,'8月份计划'!A:A)</f>
        <v>#N/A</v>
      </c>
    </row>
    <row r="33" s="1" customFormat="1" ht="15" customHeight="1" spans="1:16">
      <c r="A33" s="12" t="s">
        <v>444</v>
      </c>
      <c r="B33" s="15" t="s">
        <v>445</v>
      </c>
      <c r="C33" s="12" t="s">
        <v>41</v>
      </c>
      <c r="D33" s="15" t="s">
        <v>456</v>
      </c>
      <c r="E33" s="12" t="s">
        <v>41</v>
      </c>
      <c r="F33" s="12" t="s">
        <v>443</v>
      </c>
      <c r="G33" s="12" t="s">
        <v>447</v>
      </c>
      <c r="H33" s="37">
        <v>115723.23</v>
      </c>
      <c r="I33" s="37">
        <v>0</v>
      </c>
      <c r="J33" s="37">
        <v>0</v>
      </c>
      <c r="K33" s="37">
        <v>344500</v>
      </c>
      <c r="L33" s="37">
        <v>144500</v>
      </c>
      <c r="M33" s="12" t="s">
        <v>447</v>
      </c>
      <c r="N33" s="37">
        <v>115723.23</v>
      </c>
      <c r="O33" s="74">
        <f t="shared" si="0"/>
        <v>115723.23</v>
      </c>
      <c r="P33" s="1" t="e">
        <f>_xlfn.XLOOKUP(D33,'8月份计划'!A:A,'8月份计划'!A:A)</f>
        <v>#N/A</v>
      </c>
    </row>
    <row r="34" s="1" customFormat="1" ht="15" customHeight="1" spans="1:16">
      <c r="A34" s="8" t="s">
        <v>444</v>
      </c>
      <c r="B34" s="11" t="s">
        <v>445</v>
      </c>
      <c r="C34" s="8" t="s">
        <v>41</v>
      </c>
      <c r="D34" s="11" t="s">
        <v>457</v>
      </c>
      <c r="E34" s="8" t="s">
        <v>41</v>
      </c>
      <c r="F34" s="8" t="s">
        <v>443</v>
      </c>
      <c r="G34" s="8" t="s">
        <v>447</v>
      </c>
      <c r="H34" s="36">
        <v>1400</v>
      </c>
      <c r="I34" s="36">
        <v>0</v>
      </c>
      <c r="J34" s="36">
        <v>0</v>
      </c>
      <c r="K34" s="36">
        <v>0</v>
      </c>
      <c r="L34" s="36">
        <v>0</v>
      </c>
      <c r="M34" s="8" t="s">
        <v>447</v>
      </c>
      <c r="N34" s="36">
        <v>1400</v>
      </c>
      <c r="O34" s="74">
        <f t="shared" si="0"/>
        <v>1400</v>
      </c>
      <c r="P34" s="1" t="e">
        <f>_xlfn.XLOOKUP(D34,'8月份计划'!A:A,'8月份计划'!A:A)</f>
        <v>#N/A</v>
      </c>
    </row>
    <row r="35" s="1" customFormat="1" ht="15" customHeight="1" spans="1:16">
      <c r="A35" s="12" t="s">
        <v>444</v>
      </c>
      <c r="B35" s="15" t="s">
        <v>445</v>
      </c>
      <c r="C35" s="12" t="s">
        <v>41</v>
      </c>
      <c r="D35" s="15" t="s">
        <v>458</v>
      </c>
      <c r="E35" s="12" t="s">
        <v>41</v>
      </c>
      <c r="F35" s="12" t="s">
        <v>443</v>
      </c>
      <c r="G35" s="12" t="s">
        <v>447</v>
      </c>
      <c r="H35" s="37">
        <v>5600</v>
      </c>
      <c r="I35" s="37">
        <v>0</v>
      </c>
      <c r="J35" s="37">
        <v>0</v>
      </c>
      <c r="K35" s="37">
        <v>0</v>
      </c>
      <c r="L35" s="37">
        <v>0</v>
      </c>
      <c r="M35" s="12" t="s">
        <v>447</v>
      </c>
      <c r="N35" s="37">
        <v>5600</v>
      </c>
      <c r="O35" s="74">
        <f t="shared" si="0"/>
        <v>5600</v>
      </c>
      <c r="P35" s="1" t="e">
        <f>_xlfn.XLOOKUP(D35,'8月份计划'!A:A,'8月份计划'!A:A)</f>
        <v>#N/A</v>
      </c>
    </row>
    <row r="36" s="1" customFormat="1" ht="15" customHeight="1" spans="1:16">
      <c r="A36" s="8" t="s">
        <v>444</v>
      </c>
      <c r="B36" s="11" t="s">
        <v>445</v>
      </c>
      <c r="C36" s="8" t="s">
        <v>41</v>
      </c>
      <c r="D36" s="11" t="s">
        <v>459</v>
      </c>
      <c r="E36" s="8" t="s">
        <v>41</v>
      </c>
      <c r="F36" s="8" t="s">
        <v>443</v>
      </c>
      <c r="G36" s="8" t="s">
        <v>447</v>
      </c>
      <c r="H36" s="36">
        <v>6250</v>
      </c>
      <c r="I36" s="36">
        <v>0</v>
      </c>
      <c r="J36" s="36">
        <v>0</v>
      </c>
      <c r="K36" s="36">
        <v>0</v>
      </c>
      <c r="L36" s="36">
        <v>0</v>
      </c>
      <c r="M36" s="8" t="s">
        <v>447</v>
      </c>
      <c r="N36" s="36">
        <v>6250</v>
      </c>
      <c r="O36" s="74">
        <f t="shared" si="0"/>
        <v>6250</v>
      </c>
      <c r="P36" s="1" t="e">
        <f>_xlfn.XLOOKUP(D36,'8月份计划'!A:A,'8月份计划'!A:A)</f>
        <v>#N/A</v>
      </c>
    </row>
    <row r="37" s="1" customFormat="1" ht="15" customHeight="1" spans="1:16">
      <c r="A37" s="8" t="s">
        <v>444</v>
      </c>
      <c r="B37" s="11" t="s">
        <v>445</v>
      </c>
      <c r="C37" s="8" t="s">
        <v>41</v>
      </c>
      <c r="D37" s="11" t="s">
        <v>461</v>
      </c>
      <c r="E37" s="8" t="s">
        <v>41</v>
      </c>
      <c r="F37" s="8" t="s">
        <v>443</v>
      </c>
      <c r="G37" s="8" t="s">
        <v>447</v>
      </c>
      <c r="H37" s="36">
        <v>9600</v>
      </c>
      <c r="I37" s="36">
        <v>0</v>
      </c>
      <c r="J37" s="36">
        <v>0</v>
      </c>
      <c r="K37" s="36">
        <v>0</v>
      </c>
      <c r="L37" s="36">
        <v>0</v>
      </c>
      <c r="M37" s="8" t="s">
        <v>447</v>
      </c>
      <c r="N37" s="36">
        <v>9600</v>
      </c>
      <c r="O37" s="74">
        <f t="shared" si="0"/>
        <v>9600</v>
      </c>
      <c r="P37" s="1" t="e">
        <f>_xlfn.XLOOKUP(D37,'8月份计划'!A:A,'8月份计划'!A:A)</f>
        <v>#N/A</v>
      </c>
    </row>
    <row r="38" s="1" customFormat="1" ht="15" customHeight="1" spans="1:16">
      <c r="A38" s="8" t="s">
        <v>444</v>
      </c>
      <c r="B38" s="11" t="s">
        <v>445</v>
      </c>
      <c r="C38" s="8" t="s">
        <v>41</v>
      </c>
      <c r="D38" s="11" t="s">
        <v>462</v>
      </c>
      <c r="E38" s="8" t="s">
        <v>41</v>
      </c>
      <c r="F38" s="8" t="s">
        <v>443</v>
      </c>
      <c r="G38" s="8" t="s">
        <v>453</v>
      </c>
      <c r="H38" s="36">
        <v>15365.76</v>
      </c>
      <c r="I38" s="36">
        <v>0</v>
      </c>
      <c r="J38" s="36">
        <v>0</v>
      </c>
      <c r="K38" s="36">
        <v>0</v>
      </c>
      <c r="L38" s="36">
        <v>0</v>
      </c>
      <c r="M38" s="8" t="s">
        <v>453</v>
      </c>
      <c r="N38" s="36">
        <v>15365.76</v>
      </c>
      <c r="O38" s="74">
        <f t="shared" si="0"/>
        <v>-15365.76</v>
      </c>
      <c r="P38" s="1" t="e">
        <f>_xlfn.XLOOKUP(D38,'8月份计划'!A:A,'8月份计划'!A:A)</f>
        <v>#N/A</v>
      </c>
    </row>
    <row r="39" s="1" customFormat="1" ht="15" customHeight="1" spans="1:16">
      <c r="A39" s="12" t="s">
        <v>444</v>
      </c>
      <c r="B39" s="15" t="s">
        <v>445</v>
      </c>
      <c r="C39" s="12" t="s">
        <v>41</v>
      </c>
      <c r="D39" s="15" t="s">
        <v>463</v>
      </c>
      <c r="E39" s="12" t="s">
        <v>41</v>
      </c>
      <c r="F39" s="12" t="s">
        <v>443</v>
      </c>
      <c r="G39" s="12" t="s">
        <v>447</v>
      </c>
      <c r="H39" s="37">
        <v>2200</v>
      </c>
      <c r="I39" s="37">
        <v>0</v>
      </c>
      <c r="J39" s="37">
        <v>0</v>
      </c>
      <c r="K39" s="37">
        <v>0</v>
      </c>
      <c r="L39" s="37">
        <v>0</v>
      </c>
      <c r="M39" s="12" t="s">
        <v>447</v>
      </c>
      <c r="N39" s="37">
        <v>2200</v>
      </c>
      <c r="O39" s="74">
        <f t="shared" si="0"/>
        <v>2200</v>
      </c>
      <c r="P39" s="1" t="e">
        <f>_xlfn.XLOOKUP(D39,'8月份计划'!A:A,'8月份计划'!A:A)</f>
        <v>#N/A</v>
      </c>
    </row>
    <row r="40" s="1" customFormat="1" ht="15" customHeight="1" spans="1:16">
      <c r="A40" s="8" t="s">
        <v>444</v>
      </c>
      <c r="B40" s="11" t="s">
        <v>445</v>
      </c>
      <c r="C40" s="8" t="s">
        <v>41</v>
      </c>
      <c r="D40" s="11" t="s">
        <v>464</v>
      </c>
      <c r="E40" s="8" t="s">
        <v>41</v>
      </c>
      <c r="F40" s="8" t="s">
        <v>443</v>
      </c>
      <c r="G40" s="8" t="s">
        <v>447</v>
      </c>
      <c r="H40" s="36">
        <v>6340</v>
      </c>
      <c r="I40" s="36">
        <v>0</v>
      </c>
      <c r="J40" s="36">
        <v>0</v>
      </c>
      <c r="K40" s="36">
        <v>0</v>
      </c>
      <c r="L40" s="36">
        <v>0</v>
      </c>
      <c r="M40" s="8" t="s">
        <v>447</v>
      </c>
      <c r="N40" s="36">
        <v>6340</v>
      </c>
      <c r="O40" s="74">
        <f t="shared" si="0"/>
        <v>6340</v>
      </c>
      <c r="P40" s="1" t="e">
        <f>_xlfn.XLOOKUP(D40,'8月份计划'!A:A,'8月份计划'!A:A)</f>
        <v>#N/A</v>
      </c>
    </row>
    <row r="41" s="1" customFormat="1" ht="15" customHeight="1" spans="1:16">
      <c r="A41" s="12" t="s">
        <v>444</v>
      </c>
      <c r="B41" s="15" t="s">
        <v>445</v>
      </c>
      <c r="C41" s="12" t="s">
        <v>41</v>
      </c>
      <c r="D41" s="15" t="s">
        <v>465</v>
      </c>
      <c r="E41" s="12" t="s">
        <v>41</v>
      </c>
      <c r="F41" s="12" t="s">
        <v>443</v>
      </c>
      <c r="G41" s="12" t="s">
        <v>447</v>
      </c>
      <c r="H41" s="37">
        <v>30585</v>
      </c>
      <c r="I41" s="37">
        <v>0</v>
      </c>
      <c r="J41" s="37">
        <v>0</v>
      </c>
      <c r="K41" s="37">
        <v>0</v>
      </c>
      <c r="L41" s="37">
        <v>0</v>
      </c>
      <c r="M41" s="12" t="s">
        <v>447</v>
      </c>
      <c r="N41" s="37">
        <v>30585</v>
      </c>
      <c r="O41" s="74">
        <f t="shared" si="0"/>
        <v>30585</v>
      </c>
      <c r="P41" s="1" t="e">
        <f>_xlfn.XLOOKUP(D41,'8月份计划'!A:A,'8月份计划'!A:A)</f>
        <v>#N/A</v>
      </c>
    </row>
    <row r="42" s="1" customFormat="1" ht="15" customHeight="1" spans="1:16">
      <c r="A42" s="8" t="s">
        <v>444</v>
      </c>
      <c r="B42" s="11" t="s">
        <v>445</v>
      </c>
      <c r="C42" s="8" t="s">
        <v>41</v>
      </c>
      <c r="D42" s="11" t="s">
        <v>257</v>
      </c>
      <c r="E42" s="8" t="s">
        <v>41</v>
      </c>
      <c r="F42" s="8" t="s">
        <v>443</v>
      </c>
      <c r="G42" s="8" t="s">
        <v>453</v>
      </c>
      <c r="H42" s="36">
        <v>39.99</v>
      </c>
      <c r="I42" s="36">
        <v>0</v>
      </c>
      <c r="J42" s="36">
        <v>0</v>
      </c>
      <c r="K42" s="36">
        <v>288131.92</v>
      </c>
      <c r="L42" s="36">
        <v>512604.16</v>
      </c>
      <c r="M42" s="8" t="s">
        <v>453</v>
      </c>
      <c r="N42" s="36">
        <v>39.99</v>
      </c>
      <c r="O42" s="74">
        <f t="shared" si="0"/>
        <v>-39.99</v>
      </c>
      <c r="P42" s="1" t="str">
        <f>_xlfn.XLOOKUP(D42,'8月份计划'!A:A,'8月份计划'!A:A)</f>
        <v>佛吉亚（无锡）座椅部件有限公</v>
      </c>
    </row>
    <row r="43" s="1" customFormat="1" ht="15" customHeight="1" spans="1:16">
      <c r="A43" s="12" t="s">
        <v>444</v>
      </c>
      <c r="B43" s="15" t="s">
        <v>445</v>
      </c>
      <c r="C43" s="12" t="s">
        <v>41</v>
      </c>
      <c r="D43" s="15" t="s">
        <v>258</v>
      </c>
      <c r="E43" s="12" t="s">
        <v>41</v>
      </c>
      <c r="F43" s="12" t="s">
        <v>443</v>
      </c>
      <c r="G43" s="12" t="s">
        <v>447</v>
      </c>
      <c r="H43" s="37">
        <v>441432.7</v>
      </c>
      <c r="I43" s="37">
        <v>397162.69</v>
      </c>
      <c r="J43" s="37">
        <v>6789.4</v>
      </c>
      <c r="K43" s="37">
        <v>1547529.52</v>
      </c>
      <c r="L43" s="37">
        <v>859835.71</v>
      </c>
      <c r="M43" s="12" t="s">
        <v>447</v>
      </c>
      <c r="N43" s="37">
        <v>51059.41</v>
      </c>
      <c r="O43" s="74">
        <f t="shared" si="0"/>
        <v>51059.41</v>
      </c>
      <c r="P43" s="1" t="str">
        <f>_xlfn.XLOOKUP(D43,'8月份计划'!A:A,'8月份计划'!A:A)</f>
        <v>吉林省德邦汽车电子有限公司</v>
      </c>
    </row>
    <row r="44" s="1" customFormat="1" ht="15" customHeight="1" spans="1:16">
      <c r="A44" s="8" t="s">
        <v>444</v>
      </c>
      <c r="B44" s="11" t="s">
        <v>445</v>
      </c>
      <c r="C44" s="8" t="s">
        <v>41</v>
      </c>
      <c r="D44" s="11" t="s">
        <v>259</v>
      </c>
      <c r="E44" s="8" t="s">
        <v>41</v>
      </c>
      <c r="F44" s="8" t="s">
        <v>443</v>
      </c>
      <c r="G44" s="8" t="s">
        <v>447</v>
      </c>
      <c r="H44" s="36">
        <v>807800.62</v>
      </c>
      <c r="I44" s="36">
        <v>0</v>
      </c>
      <c r="J44" s="36">
        <v>0</v>
      </c>
      <c r="K44" s="36">
        <v>1177392.18</v>
      </c>
      <c r="L44" s="36">
        <v>1199443.21</v>
      </c>
      <c r="M44" s="8" t="s">
        <v>447</v>
      </c>
      <c r="N44" s="36">
        <v>807800.62</v>
      </c>
      <c r="O44" s="74">
        <f t="shared" si="0"/>
        <v>807800.62</v>
      </c>
      <c r="P44" s="1" t="str">
        <f>_xlfn.XLOOKUP(D44,'8月份计划'!A:A,'8月份计划'!A:A)</f>
        <v>吉林省方舟电子科技有限公司</v>
      </c>
    </row>
    <row r="45" s="1" customFormat="1" ht="15" customHeight="1" spans="1:16">
      <c r="A45" s="8" t="s">
        <v>444</v>
      </c>
      <c r="B45" s="11" t="s">
        <v>445</v>
      </c>
      <c r="C45" s="8" t="s">
        <v>41</v>
      </c>
      <c r="D45" s="11" t="s">
        <v>260</v>
      </c>
      <c r="E45" s="8" t="s">
        <v>41</v>
      </c>
      <c r="F45" s="8" t="s">
        <v>443</v>
      </c>
      <c r="G45" s="8" t="s">
        <v>447</v>
      </c>
      <c r="H45" s="36">
        <v>301877.71</v>
      </c>
      <c r="I45" s="36">
        <v>150000</v>
      </c>
      <c r="J45" s="36">
        <v>40732.2</v>
      </c>
      <c r="K45" s="36">
        <v>822067.01</v>
      </c>
      <c r="L45" s="36">
        <v>490970.17</v>
      </c>
      <c r="M45" s="8" t="s">
        <v>447</v>
      </c>
      <c r="N45" s="36">
        <v>192609.91</v>
      </c>
      <c r="O45" s="74">
        <f t="shared" si="0"/>
        <v>192609.91</v>
      </c>
      <c r="P45" s="1" t="str">
        <f>_xlfn.XLOOKUP(D45,'8月份计划'!A:A,'8月份计划'!A:A)</f>
        <v>黄骅市雍丰塑料制品有限公司</v>
      </c>
    </row>
    <row r="46" s="1" customFormat="1" ht="15" customHeight="1" spans="1:16">
      <c r="A46" s="8" t="s">
        <v>444</v>
      </c>
      <c r="B46" s="11" t="s">
        <v>445</v>
      </c>
      <c r="C46" s="8" t="s">
        <v>41</v>
      </c>
      <c r="D46" s="11" t="s">
        <v>466</v>
      </c>
      <c r="E46" s="8" t="s">
        <v>41</v>
      </c>
      <c r="F46" s="8" t="s">
        <v>443</v>
      </c>
      <c r="G46" s="8" t="s">
        <v>447</v>
      </c>
      <c r="H46" s="36">
        <v>1508.81</v>
      </c>
      <c r="I46" s="36">
        <v>0</v>
      </c>
      <c r="J46" s="36">
        <v>0</v>
      </c>
      <c r="K46" s="36">
        <v>0</v>
      </c>
      <c r="L46" s="36">
        <v>0</v>
      </c>
      <c r="M46" s="8" t="s">
        <v>447</v>
      </c>
      <c r="N46" s="36">
        <v>1508.81</v>
      </c>
      <c r="O46" s="74">
        <f t="shared" si="0"/>
        <v>1508.81</v>
      </c>
      <c r="P46" s="1" t="e">
        <f>_xlfn.XLOOKUP(D46,'8月份计划'!A:A,'8月份计划'!A:A)</f>
        <v>#N/A</v>
      </c>
    </row>
    <row r="47" s="1" customFormat="1" ht="15" customHeight="1" spans="1:16">
      <c r="A47" s="12" t="s">
        <v>444</v>
      </c>
      <c r="B47" s="15" t="s">
        <v>445</v>
      </c>
      <c r="C47" s="12" t="s">
        <v>41</v>
      </c>
      <c r="D47" s="15" t="s">
        <v>467</v>
      </c>
      <c r="E47" s="12" t="s">
        <v>41</v>
      </c>
      <c r="F47" s="12" t="s">
        <v>443</v>
      </c>
      <c r="G47" s="12" t="s">
        <v>447</v>
      </c>
      <c r="H47" s="37">
        <v>19684</v>
      </c>
      <c r="I47" s="37">
        <v>0</v>
      </c>
      <c r="J47" s="37">
        <v>0</v>
      </c>
      <c r="K47" s="37">
        <v>0</v>
      </c>
      <c r="L47" s="37">
        <v>0</v>
      </c>
      <c r="M47" s="12" t="s">
        <v>447</v>
      </c>
      <c r="N47" s="37">
        <v>19684</v>
      </c>
      <c r="O47" s="74">
        <f t="shared" si="0"/>
        <v>19684</v>
      </c>
      <c r="P47" s="1" t="e">
        <f>_xlfn.XLOOKUP(D47,'8月份计划'!A:A,'8月份计划'!A:A)</f>
        <v>#N/A</v>
      </c>
    </row>
    <row r="48" s="1" customFormat="1" ht="15" customHeight="1" spans="1:16">
      <c r="A48" s="12" t="s">
        <v>444</v>
      </c>
      <c r="B48" s="15" t="s">
        <v>445</v>
      </c>
      <c r="C48" s="12" t="s">
        <v>41</v>
      </c>
      <c r="D48" s="15" t="s">
        <v>468</v>
      </c>
      <c r="E48" s="12" t="s">
        <v>41</v>
      </c>
      <c r="F48" s="12" t="s">
        <v>443</v>
      </c>
      <c r="G48" s="12" t="s">
        <v>447</v>
      </c>
      <c r="H48" s="37">
        <v>23.19</v>
      </c>
      <c r="I48" s="37">
        <v>0</v>
      </c>
      <c r="J48" s="37">
        <v>0</v>
      </c>
      <c r="K48" s="37">
        <v>0</v>
      </c>
      <c r="L48" s="37">
        <v>0</v>
      </c>
      <c r="M48" s="12" t="s">
        <v>447</v>
      </c>
      <c r="N48" s="37">
        <v>23.19</v>
      </c>
      <c r="O48" s="74">
        <f t="shared" si="0"/>
        <v>23.19</v>
      </c>
      <c r="P48" s="1" t="e">
        <f>_xlfn.XLOOKUP(D48,'8月份计划'!A:A,'8月份计划'!A:A)</f>
        <v>#N/A</v>
      </c>
    </row>
    <row r="49" s="1" customFormat="1" ht="15" customHeight="1" spans="1:16">
      <c r="A49" s="8" t="s">
        <v>444</v>
      </c>
      <c r="B49" s="11" t="s">
        <v>445</v>
      </c>
      <c r="C49" s="8" t="s">
        <v>41</v>
      </c>
      <c r="D49" s="11" t="s">
        <v>469</v>
      </c>
      <c r="E49" s="8" t="s">
        <v>41</v>
      </c>
      <c r="F49" s="8" t="s">
        <v>443</v>
      </c>
      <c r="G49" s="8" t="s">
        <v>447</v>
      </c>
      <c r="H49" s="36">
        <v>5878.26</v>
      </c>
      <c r="I49" s="36">
        <v>0</v>
      </c>
      <c r="J49" s="36">
        <v>0</v>
      </c>
      <c r="K49" s="36">
        <v>0</v>
      </c>
      <c r="L49" s="36">
        <v>0</v>
      </c>
      <c r="M49" s="8" t="s">
        <v>447</v>
      </c>
      <c r="N49" s="36">
        <v>5878.26</v>
      </c>
      <c r="O49" s="74">
        <f t="shared" si="0"/>
        <v>5878.26</v>
      </c>
      <c r="P49" s="1" t="e">
        <f>_xlfn.XLOOKUP(D49,'8月份计划'!A:A,'8月份计划'!A:A)</f>
        <v>#N/A</v>
      </c>
    </row>
    <row r="50" s="1" customFormat="1" ht="15" customHeight="1" spans="1:16">
      <c r="A50" s="12" t="s">
        <v>444</v>
      </c>
      <c r="B50" s="15" t="s">
        <v>445</v>
      </c>
      <c r="C50" s="12" t="s">
        <v>41</v>
      </c>
      <c r="D50" s="15" t="s">
        <v>470</v>
      </c>
      <c r="E50" s="12" t="s">
        <v>41</v>
      </c>
      <c r="F50" s="12" t="s">
        <v>443</v>
      </c>
      <c r="G50" s="12" t="s">
        <v>447</v>
      </c>
      <c r="H50" s="37">
        <v>65450</v>
      </c>
      <c r="I50" s="37">
        <v>0</v>
      </c>
      <c r="J50" s="37">
        <v>0</v>
      </c>
      <c r="K50" s="37">
        <v>0</v>
      </c>
      <c r="L50" s="37">
        <v>0</v>
      </c>
      <c r="M50" s="12" t="s">
        <v>447</v>
      </c>
      <c r="N50" s="37">
        <v>65450</v>
      </c>
      <c r="O50" s="74">
        <f t="shared" si="0"/>
        <v>65450</v>
      </c>
      <c r="P50" s="1" t="e">
        <f>_xlfn.XLOOKUP(D50,'8月份计划'!A:A,'8月份计划'!A:A)</f>
        <v>#N/A</v>
      </c>
    </row>
    <row r="51" s="1" customFormat="1" ht="15" customHeight="1" spans="1:16">
      <c r="A51" s="12" t="s">
        <v>444</v>
      </c>
      <c r="B51" s="15" t="s">
        <v>445</v>
      </c>
      <c r="C51" s="12" t="s">
        <v>41</v>
      </c>
      <c r="D51" s="15" t="s">
        <v>471</v>
      </c>
      <c r="E51" s="12" t="s">
        <v>41</v>
      </c>
      <c r="F51" s="12" t="s">
        <v>443</v>
      </c>
      <c r="G51" s="12" t="s">
        <v>447</v>
      </c>
      <c r="H51" s="37">
        <v>61614.37</v>
      </c>
      <c r="I51" s="37">
        <v>0</v>
      </c>
      <c r="J51" s="37">
        <v>0</v>
      </c>
      <c r="K51" s="37">
        <v>0</v>
      </c>
      <c r="L51" s="37">
        <v>0</v>
      </c>
      <c r="M51" s="12" t="s">
        <v>447</v>
      </c>
      <c r="N51" s="37">
        <v>61614.37</v>
      </c>
      <c r="O51" s="74">
        <f t="shared" si="0"/>
        <v>61614.37</v>
      </c>
      <c r="P51" s="1" t="e">
        <f>_xlfn.XLOOKUP(D51,'8月份计划'!A:A,'8月份计划'!A:A)</f>
        <v>#N/A</v>
      </c>
    </row>
    <row r="52" s="1" customFormat="1" ht="15" customHeight="1" spans="1:16">
      <c r="A52" s="12" t="s">
        <v>444</v>
      </c>
      <c r="B52" s="15" t="s">
        <v>445</v>
      </c>
      <c r="C52" s="12" t="s">
        <v>41</v>
      </c>
      <c r="D52" s="15" t="s">
        <v>261</v>
      </c>
      <c r="E52" s="12" t="s">
        <v>41</v>
      </c>
      <c r="F52" s="12" t="s">
        <v>443</v>
      </c>
      <c r="G52" s="12" t="s">
        <v>447</v>
      </c>
      <c r="H52" s="37">
        <v>414985.11</v>
      </c>
      <c r="I52" s="37">
        <v>200000</v>
      </c>
      <c r="J52" s="37">
        <v>146932</v>
      </c>
      <c r="K52" s="37">
        <v>1600000</v>
      </c>
      <c r="L52" s="37">
        <v>858320.5</v>
      </c>
      <c r="M52" s="12" t="s">
        <v>447</v>
      </c>
      <c r="N52" s="37">
        <v>361917.11</v>
      </c>
      <c r="O52" s="74">
        <f t="shared" si="0"/>
        <v>361917.11</v>
      </c>
      <c r="P52" s="1" t="str">
        <f>_xlfn.XLOOKUP(D52,'8月份计划'!A:A,'8月份计划'!A:A)</f>
        <v>景德镇市乾立运输有限公司</v>
      </c>
    </row>
    <row r="53" s="1" customFormat="1" ht="15" customHeight="1" spans="1:16">
      <c r="A53" s="12" t="s">
        <v>444</v>
      </c>
      <c r="B53" s="15" t="s">
        <v>445</v>
      </c>
      <c r="C53" s="12" t="s">
        <v>41</v>
      </c>
      <c r="D53" s="15" t="s">
        <v>472</v>
      </c>
      <c r="E53" s="12" t="s">
        <v>41</v>
      </c>
      <c r="F53" s="12" t="s">
        <v>443</v>
      </c>
      <c r="G53" s="12" t="s">
        <v>447</v>
      </c>
      <c r="H53" s="37">
        <v>474</v>
      </c>
      <c r="I53" s="37">
        <v>0</v>
      </c>
      <c r="J53" s="37">
        <v>0</v>
      </c>
      <c r="K53" s="37">
        <v>0</v>
      </c>
      <c r="L53" s="37">
        <v>0</v>
      </c>
      <c r="M53" s="12" t="s">
        <v>447</v>
      </c>
      <c r="N53" s="37">
        <v>474</v>
      </c>
      <c r="O53" s="74">
        <f t="shared" si="0"/>
        <v>474</v>
      </c>
      <c r="P53" s="1" t="e">
        <f>_xlfn.XLOOKUP(D53,'8月份计划'!A:A,'8月份计划'!A:A)</f>
        <v>#N/A</v>
      </c>
    </row>
    <row r="54" s="1" customFormat="1" ht="15" customHeight="1" spans="1:16">
      <c r="A54" s="8" t="s">
        <v>444</v>
      </c>
      <c r="B54" s="11" t="s">
        <v>445</v>
      </c>
      <c r="C54" s="8" t="s">
        <v>41</v>
      </c>
      <c r="D54" s="11" t="s">
        <v>262</v>
      </c>
      <c r="E54" s="8" t="s">
        <v>41</v>
      </c>
      <c r="F54" s="8" t="s">
        <v>443</v>
      </c>
      <c r="G54" s="8" t="s">
        <v>447</v>
      </c>
      <c r="H54" s="36">
        <v>879103.74</v>
      </c>
      <c r="I54" s="36">
        <v>300000</v>
      </c>
      <c r="J54" s="36">
        <v>0</v>
      </c>
      <c r="K54" s="36">
        <v>1400000</v>
      </c>
      <c r="L54" s="36">
        <v>818238.84</v>
      </c>
      <c r="M54" s="8" t="s">
        <v>447</v>
      </c>
      <c r="N54" s="36">
        <v>579103.74</v>
      </c>
      <c r="O54" s="74">
        <f t="shared" si="0"/>
        <v>579103.74</v>
      </c>
      <c r="P54" s="1" t="str">
        <f>_xlfn.XLOOKUP(D54,'8月份计划'!A:A,'8月份计划'!A:A)</f>
        <v>景德镇市凯达汽车配件有限公司</v>
      </c>
    </row>
    <row r="55" s="1" customFormat="1" ht="15" customHeight="1" spans="1:16">
      <c r="A55" s="8" t="s">
        <v>444</v>
      </c>
      <c r="B55" s="11" t="s">
        <v>445</v>
      </c>
      <c r="C55" s="8" t="s">
        <v>41</v>
      </c>
      <c r="D55" s="11" t="s">
        <v>263</v>
      </c>
      <c r="E55" s="8" t="s">
        <v>41</v>
      </c>
      <c r="F55" s="8" t="s">
        <v>443</v>
      </c>
      <c r="G55" s="8" t="s">
        <v>447</v>
      </c>
      <c r="H55" s="36">
        <v>369504.27</v>
      </c>
      <c r="I55" s="36">
        <v>244126.29</v>
      </c>
      <c r="J55" s="36">
        <v>15358.5</v>
      </c>
      <c r="K55" s="36">
        <v>1167192.1</v>
      </c>
      <c r="L55" s="36">
        <v>1037742.22</v>
      </c>
      <c r="M55" s="8" t="s">
        <v>447</v>
      </c>
      <c r="N55" s="36">
        <v>140736.48</v>
      </c>
      <c r="O55" s="74">
        <f t="shared" si="0"/>
        <v>140736.48</v>
      </c>
      <c r="P55" s="1" t="str">
        <f>_xlfn.XLOOKUP(D55,'8月份计划'!A:A,'8月份计划'!A:A)</f>
        <v>武汉德锐隆科技有限公司</v>
      </c>
    </row>
    <row r="56" s="1" customFormat="1" ht="15" customHeight="1" spans="1:16">
      <c r="A56" s="12" t="s">
        <v>444</v>
      </c>
      <c r="B56" s="15" t="s">
        <v>445</v>
      </c>
      <c r="C56" s="12" t="s">
        <v>41</v>
      </c>
      <c r="D56" s="15" t="s">
        <v>473</v>
      </c>
      <c r="E56" s="12" t="s">
        <v>41</v>
      </c>
      <c r="F56" s="12" t="s">
        <v>443</v>
      </c>
      <c r="G56" s="12" t="s">
        <v>447</v>
      </c>
      <c r="H56" s="37">
        <v>13000</v>
      </c>
      <c r="I56" s="37">
        <v>0</v>
      </c>
      <c r="J56" s="37">
        <v>0</v>
      </c>
      <c r="K56" s="37">
        <v>0</v>
      </c>
      <c r="L56" s="37">
        <v>0</v>
      </c>
      <c r="M56" s="12" t="s">
        <v>447</v>
      </c>
      <c r="N56" s="37">
        <v>13000</v>
      </c>
      <c r="O56" s="74">
        <f t="shared" si="0"/>
        <v>13000</v>
      </c>
      <c r="P56" s="1" t="e">
        <f>_xlfn.XLOOKUP(D56,'8月份计划'!A:A,'8月份计划'!A:A)</f>
        <v>#N/A</v>
      </c>
    </row>
    <row r="57" s="1" customFormat="1" ht="15" customHeight="1" spans="1:16">
      <c r="A57" s="8" t="s">
        <v>444</v>
      </c>
      <c r="B57" s="11" t="s">
        <v>445</v>
      </c>
      <c r="C57" s="8" t="s">
        <v>41</v>
      </c>
      <c r="D57" s="11" t="s">
        <v>474</v>
      </c>
      <c r="E57" s="8" t="s">
        <v>41</v>
      </c>
      <c r="F57" s="8" t="s">
        <v>443</v>
      </c>
      <c r="G57" s="8" t="s">
        <v>447</v>
      </c>
      <c r="H57" s="36">
        <v>117.55</v>
      </c>
      <c r="I57" s="36">
        <v>0</v>
      </c>
      <c r="J57" s="36">
        <v>0</v>
      </c>
      <c r="K57" s="36">
        <v>0</v>
      </c>
      <c r="L57" s="36">
        <v>0</v>
      </c>
      <c r="M57" s="8" t="s">
        <v>447</v>
      </c>
      <c r="N57" s="36">
        <v>117.55</v>
      </c>
      <c r="O57" s="74">
        <f t="shared" si="0"/>
        <v>117.55</v>
      </c>
      <c r="P57" s="1" t="e">
        <f>_xlfn.XLOOKUP(D57,'8月份计划'!A:A,'8月份计划'!A:A)</f>
        <v>#N/A</v>
      </c>
    </row>
    <row r="58" s="1" customFormat="1" ht="15" customHeight="1" spans="1:16">
      <c r="A58" s="8" t="s">
        <v>444</v>
      </c>
      <c r="B58" s="11" t="s">
        <v>445</v>
      </c>
      <c r="C58" s="8" t="s">
        <v>41</v>
      </c>
      <c r="D58" s="11" t="s">
        <v>475</v>
      </c>
      <c r="E58" s="8" t="s">
        <v>41</v>
      </c>
      <c r="F58" s="8" t="s">
        <v>443</v>
      </c>
      <c r="G58" s="8" t="s">
        <v>447</v>
      </c>
      <c r="H58" s="36">
        <v>32648.8</v>
      </c>
      <c r="I58" s="36">
        <v>0</v>
      </c>
      <c r="J58" s="36">
        <v>0</v>
      </c>
      <c r="K58" s="36">
        <v>0</v>
      </c>
      <c r="L58" s="36">
        <v>0</v>
      </c>
      <c r="M58" s="8" t="s">
        <v>447</v>
      </c>
      <c r="N58" s="36">
        <v>32648.8</v>
      </c>
      <c r="O58" s="74">
        <f t="shared" si="0"/>
        <v>32648.8</v>
      </c>
      <c r="P58" s="1" t="e">
        <f>_xlfn.XLOOKUP(D58,'8月份计划'!A:A,'8月份计划'!A:A)</f>
        <v>#N/A</v>
      </c>
    </row>
    <row r="59" s="1" customFormat="1" ht="15" customHeight="1" spans="1:16">
      <c r="A59" s="8" t="s">
        <v>444</v>
      </c>
      <c r="B59" s="11" t="s">
        <v>445</v>
      </c>
      <c r="C59" s="8" t="s">
        <v>41</v>
      </c>
      <c r="D59" s="11" t="s">
        <v>476</v>
      </c>
      <c r="E59" s="8" t="s">
        <v>41</v>
      </c>
      <c r="F59" s="8" t="s">
        <v>443</v>
      </c>
      <c r="G59" s="8" t="s">
        <v>447</v>
      </c>
      <c r="H59" s="36">
        <v>10486.2</v>
      </c>
      <c r="I59" s="36">
        <v>0</v>
      </c>
      <c r="J59" s="36">
        <v>0</v>
      </c>
      <c r="K59" s="36">
        <v>0</v>
      </c>
      <c r="L59" s="36">
        <v>0</v>
      </c>
      <c r="M59" s="8" t="s">
        <v>447</v>
      </c>
      <c r="N59" s="36">
        <v>10486.2</v>
      </c>
      <c r="O59" s="74">
        <f t="shared" si="0"/>
        <v>10486.2</v>
      </c>
      <c r="P59" s="1" t="e">
        <f>_xlfn.XLOOKUP(D59,'8月份计划'!A:A,'8月份计划'!A:A)</f>
        <v>#N/A</v>
      </c>
    </row>
    <row r="60" s="1" customFormat="1" ht="15" customHeight="1" spans="1:16">
      <c r="A60" s="12" t="s">
        <v>444</v>
      </c>
      <c r="B60" s="15" t="s">
        <v>445</v>
      </c>
      <c r="C60" s="12" t="s">
        <v>41</v>
      </c>
      <c r="D60" s="15" t="s">
        <v>477</v>
      </c>
      <c r="E60" s="12" t="s">
        <v>41</v>
      </c>
      <c r="F60" s="12" t="s">
        <v>443</v>
      </c>
      <c r="G60" s="12" t="s">
        <v>447</v>
      </c>
      <c r="H60" s="37">
        <v>3730</v>
      </c>
      <c r="I60" s="37">
        <v>0</v>
      </c>
      <c r="J60" s="37">
        <v>0</v>
      </c>
      <c r="K60" s="37">
        <v>0</v>
      </c>
      <c r="L60" s="37">
        <v>0</v>
      </c>
      <c r="M60" s="12" t="s">
        <v>447</v>
      </c>
      <c r="N60" s="37">
        <v>3730</v>
      </c>
      <c r="O60" s="74">
        <f t="shared" si="0"/>
        <v>3730</v>
      </c>
      <c r="P60" s="1" t="e">
        <f>_xlfn.XLOOKUP(D60,'8月份计划'!A:A,'8月份计划'!A:A)</f>
        <v>#N/A</v>
      </c>
    </row>
    <row r="61" s="1" customFormat="1" ht="15" customHeight="1" spans="1:16">
      <c r="A61" s="12" t="s">
        <v>444</v>
      </c>
      <c r="B61" s="15" t="s">
        <v>445</v>
      </c>
      <c r="C61" s="12" t="s">
        <v>41</v>
      </c>
      <c r="D61" s="15" t="s">
        <v>264</v>
      </c>
      <c r="E61" s="12" t="s">
        <v>41</v>
      </c>
      <c r="F61" s="12" t="s">
        <v>443</v>
      </c>
      <c r="G61" s="12" t="s">
        <v>447</v>
      </c>
      <c r="H61" s="37">
        <v>2149929.18</v>
      </c>
      <c r="I61" s="37">
        <v>600000</v>
      </c>
      <c r="J61" s="37">
        <v>231873.71</v>
      </c>
      <c r="K61" s="37">
        <v>9310000</v>
      </c>
      <c r="L61" s="37">
        <v>8077740.39</v>
      </c>
      <c r="M61" s="12" t="s">
        <v>447</v>
      </c>
      <c r="N61" s="37">
        <v>1781802.89</v>
      </c>
      <c r="O61" s="74">
        <f t="shared" si="0"/>
        <v>1781802.89</v>
      </c>
      <c r="P61" s="1" t="str">
        <f>_xlfn.XLOOKUP(D61,'8月份计划'!A:A,'8月份计划'!A:A)</f>
        <v>湘潭湘和汽车零部件制造有限公</v>
      </c>
    </row>
    <row r="62" s="1" customFormat="1" ht="15" customHeight="1" spans="1:16">
      <c r="A62" s="8" t="s">
        <v>444</v>
      </c>
      <c r="B62" s="11" t="s">
        <v>445</v>
      </c>
      <c r="C62" s="8" t="s">
        <v>41</v>
      </c>
      <c r="D62" s="11" t="s">
        <v>265</v>
      </c>
      <c r="E62" s="8" t="s">
        <v>41</v>
      </c>
      <c r="F62" s="8" t="s">
        <v>443</v>
      </c>
      <c r="G62" s="8" t="s">
        <v>447</v>
      </c>
      <c r="H62" s="36">
        <v>2246233.56</v>
      </c>
      <c r="I62" s="36">
        <v>700000</v>
      </c>
      <c r="J62" s="36">
        <v>762117.04</v>
      </c>
      <c r="K62" s="36">
        <v>10201315.77</v>
      </c>
      <c r="L62" s="36">
        <v>8920737.08</v>
      </c>
      <c r="M62" s="8" t="s">
        <v>447</v>
      </c>
      <c r="N62" s="36">
        <v>2308350.6</v>
      </c>
      <c r="O62" s="74">
        <f t="shared" si="0"/>
        <v>2308350.6</v>
      </c>
      <c r="P62" s="1" t="str">
        <f>_xlfn.XLOOKUP(D62,'8月份计划'!A:A,'8月份计划'!A:A)</f>
        <v>湖南中道机械设备有限公司</v>
      </c>
    </row>
    <row r="63" s="1" customFormat="1" ht="15" customHeight="1" spans="1:16">
      <c r="A63" s="12" t="s">
        <v>444</v>
      </c>
      <c r="B63" s="15" t="s">
        <v>445</v>
      </c>
      <c r="C63" s="12" t="s">
        <v>41</v>
      </c>
      <c r="D63" s="15" t="s">
        <v>267</v>
      </c>
      <c r="E63" s="12" t="s">
        <v>41</v>
      </c>
      <c r="F63" s="12" t="s">
        <v>443</v>
      </c>
      <c r="G63" s="12" t="s">
        <v>447</v>
      </c>
      <c r="H63" s="37">
        <v>24851.5</v>
      </c>
      <c r="I63" s="37">
        <v>20501.28</v>
      </c>
      <c r="J63" s="37">
        <v>4272.99</v>
      </c>
      <c r="K63" s="37">
        <v>79665.01</v>
      </c>
      <c r="L63" s="37">
        <v>46665.12</v>
      </c>
      <c r="M63" s="12" t="s">
        <v>447</v>
      </c>
      <c r="N63" s="37">
        <v>8623.21</v>
      </c>
      <c r="O63" s="74">
        <f t="shared" si="0"/>
        <v>8623.21</v>
      </c>
      <c r="P63" s="1" t="str">
        <f>_xlfn.XLOOKUP(D63,'8月份计划'!A:A,'8月份计划'!A:A)</f>
        <v>湘潭市忠强气体有限公司</v>
      </c>
    </row>
    <row r="64" s="1" customFormat="1" ht="15" customHeight="1" spans="1:16">
      <c r="A64" s="8" t="s">
        <v>444</v>
      </c>
      <c r="B64" s="11" t="s">
        <v>445</v>
      </c>
      <c r="C64" s="8" t="s">
        <v>41</v>
      </c>
      <c r="D64" s="11" t="s">
        <v>268</v>
      </c>
      <c r="E64" s="8" t="s">
        <v>41</v>
      </c>
      <c r="F64" s="8" t="s">
        <v>443</v>
      </c>
      <c r="G64" s="8" t="s">
        <v>447</v>
      </c>
      <c r="H64" s="36">
        <v>12533.25</v>
      </c>
      <c r="I64" s="36">
        <v>0</v>
      </c>
      <c r="J64" s="36">
        <v>0</v>
      </c>
      <c r="K64" s="36">
        <v>58048.31</v>
      </c>
      <c r="L64" s="36">
        <v>37593.75</v>
      </c>
      <c r="M64" s="8" t="s">
        <v>447</v>
      </c>
      <c r="N64" s="36">
        <v>12533.25</v>
      </c>
      <c r="O64" s="74">
        <f t="shared" si="0"/>
        <v>12533.25</v>
      </c>
      <c r="P64" s="1" t="str">
        <f>_xlfn.XLOOKUP(D64,'8月份计划'!A:A,'8月份计划'!A:A)</f>
        <v>湖南驷马机械有限公司</v>
      </c>
    </row>
    <row r="65" s="1" customFormat="1" ht="15" customHeight="1" spans="1:16">
      <c r="A65" s="12" t="s">
        <v>444</v>
      </c>
      <c r="B65" s="15" t="s">
        <v>445</v>
      </c>
      <c r="C65" s="12" t="s">
        <v>41</v>
      </c>
      <c r="D65" s="15" t="s">
        <v>478</v>
      </c>
      <c r="E65" s="12" t="s">
        <v>41</v>
      </c>
      <c r="F65" s="12" t="s">
        <v>443</v>
      </c>
      <c r="G65" s="12" t="s">
        <v>447</v>
      </c>
      <c r="H65" s="37">
        <v>3629.95</v>
      </c>
      <c r="I65" s="37">
        <v>0</v>
      </c>
      <c r="J65" s="37">
        <v>0</v>
      </c>
      <c r="K65" s="37">
        <v>0</v>
      </c>
      <c r="L65" s="37">
        <v>0</v>
      </c>
      <c r="M65" s="12" t="s">
        <v>447</v>
      </c>
      <c r="N65" s="37">
        <v>3629.95</v>
      </c>
      <c r="O65" s="74">
        <f t="shared" si="0"/>
        <v>3629.95</v>
      </c>
      <c r="P65" s="1" t="e">
        <f>_xlfn.XLOOKUP(D65,'8月份计划'!A:A,'8月份计划'!A:A)</f>
        <v>#N/A</v>
      </c>
    </row>
    <row r="66" s="1" customFormat="1" ht="15" customHeight="1" spans="1:16">
      <c r="A66" s="12" t="s">
        <v>444</v>
      </c>
      <c r="B66" s="15" t="s">
        <v>445</v>
      </c>
      <c r="C66" s="12" t="s">
        <v>41</v>
      </c>
      <c r="D66" s="15" t="s">
        <v>479</v>
      </c>
      <c r="E66" s="12" t="s">
        <v>41</v>
      </c>
      <c r="F66" s="12" t="s">
        <v>443</v>
      </c>
      <c r="G66" s="12" t="s">
        <v>447</v>
      </c>
      <c r="H66" s="37">
        <v>949</v>
      </c>
      <c r="I66" s="37">
        <v>0</v>
      </c>
      <c r="J66" s="37">
        <v>0</v>
      </c>
      <c r="K66" s="37">
        <v>0</v>
      </c>
      <c r="L66" s="37">
        <v>0</v>
      </c>
      <c r="M66" s="12" t="s">
        <v>447</v>
      </c>
      <c r="N66" s="37">
        <v>949</v>
      </c>
      <c r="O66" s="74">
        <f t="shared" si="0"/>
        <v>949</v>
      </c>
      <c r="P66" s="1" t="e">
        <f>_xlfn.XLOOKUP(D66,'8月份计划'!A:A,'8月份计划'!A:A)</f>
        <v>#N/A</v>
      </c>
    </row>
    <row r="67" s="1" customFormat="1" ht="15" customHeight="1" spans="1:16">
      <c r="A67" s="8" t="s">
        <v>444</v>
      </c>
      <c r="B67" s="11" t="s">
        <v>445</v>
      </c>
      <c r="C67" s="8" t="s">
        <v>41</v>
      </c>
      <c r="D67" s="11" t="s">
        <v>480</v>
      </c>
      <c r="E67" s="8" t="s">
        <v>41</v>
      </c>
      <c r="F67" s="8" t="s">
        <v>443</v>
      </c>
      <c r="G67" s="8" t="s">
        <v>447</v>
      </c>
      <c r="H67" s="36">
        <v>497.5</v>
      </c>
      <c r="I67" s="36">
        <v>0</v>
      </c>
      <c r="J67" s="36">
        <v>0</v>
      </c>
      <c r="K67" s="36">
        <v>0</v>
      </c>
      <c r="L67" s="36">
        <v>0</v>
      </c>
      <c r="M67" s="8" t="s">
        <v>447</v>
      </c>
      <c r="N67" s="36">
        <v>497.5</v>
      </c>
      <c r="O67" s="74">
        <f t="shared" ref="O67:O103" si="1">IF(M67="贷",N67,-N67)</f>
        <v>497.5</v>
      </c>
      <c r="P67" s="1" t="e">
        <f>_xlfn.XLOOKUP(D67,'8月份计划'!A:A,'8月份计划'!A:A)</f>
        <v>#N/A</v>
      </c>
    </row>
    <row r="68" s="1" customFormat="1" ht="15" customHeight="1" spans="1:16">
      <c r="A68" s="12" t="s">
        <v>444</v>
      </c>
      <c r="B68" s="15" t="s">
        <v>445</v>
      </c>
      <c r="C68" s="12" t="s">
        <v>41</v>
      </c>
      <c r="D68" s="15" t="s">
        <v>406</v>
      </c>
      <c r="E68" s="12" t="s">
        <v>41</v>
      </c>
      <c r="F68" s="12" t="s">
        <v>443</v>
      </c>
      <c r="G68" s="12" t="s">
        <v>447</v>
      </c>
      <c r="H68" s="37">
        <v>2621.52</v>
      </c>
      <c r="I68" s="37">
        <v>0</v>
      </c>
      <c r="J68" s="37">
        <v>0</v>
      </c>
      <c r="K68" s="37">
        <v>0</v>
      </c>
      <c r="L68" s="37">
        <v>0</v>
      </c>
      <c r="M68" s="12" t="s">
        <v>447</v>
      </c>
      <c r="N68" s="37">
        <v>2621.52</v>
      </c>
      <c r="O68" s="74">
        <f t="shared" si="1"/>
        <v>2621.52</v>
      </c>
      <c r="P68" s="1" t="e">
        <f>_xlfn.XLOOKUP(D68,'8月份计划'!A:A,'8月份计划'!A:A)</f>
        <v>#N/A</v>
      </c>
    </row>
    <row r="69" s="1" customFormat="1" ht="15" customHeight="1" spans="1:16">
      <c r="A69" s="8" t="s">
        <v>444</v>
      </c>
      <c r="B69" s="11" t="s">
        <v>445</v>
      </c>
      <c r="C69" s="8" t="s">
        <v>41</v>
      </c>
      <c r="D69" s="11" t="s">
        <v>407</v>
      </c>
      <c r="E69" s="8" t="s">
        <v>41</v>
      </c>
      <c r="F69" s="8" t="s">
        <v>443</v>
      </c>
      <c r="G69" s="8" t="s">
        <v>447</v>
      </c>
      <c r="H69" s="36">
        <v>54943.1</v>
      </c>
      <c r="I69" s="36">
        <v>0</v>
      </c>
      <c r="J69" s="36">
        <v>0</v>
      </c>
      <c r="K69" s="36">
        <v>0</v>
      </c>
      <c r="L69" s="36">
        <v>0</v>
      </c>
      <c r="M69" s="8" t="s">
        <v>447</v>
      </c>
      <c r="N69" s="36">
        <v>54943.1</v>
      </c>
      <c r="O69" s="74">
        <f t="shared" si="1"/>
        <v>54943.1</v>
      </c>
      <c r="P69" s="1" t="e">
        <f>_xlfn.XLOOKUP(D69,'8月份计划'!A:A,'8月份计划'!A:A)</f>
        <v>#N/A</v>
      </c>
    </row>
    <row r="70" s="1" customFormat="1" ht="15" customHeight="1" spans="1:16">
      <c r="A70" s="12" t="s">
        <v>444</v>
      </c>
      <c r="B70" s="15" t="s">
        <v>445</v>
      </c>
      <c r="C70" s="12" t="s">
        <v>41</v>
      </c>
      <c r="D70" s="15" t="s">
        <v>481</v>
      </c>
      <c r="E70" s="12" t="s">
        <v>41</v>
      </c>
      <c r="F70" s="12" t="s">
        <v>443</v>
      </c>
      <c r="G70" s="12" t="s">
        <v>447</v>
      </c>
      <c r="H70" s="37">
        <v>760</v>
      </c>
      <c r="I70" s="37">
        <v>0</v>
      </c>
      <c r="J70" s="37">
        <v>0</v>
      </c>
      <c r="K70" s="37">
        <v>0</v>
      </c>
      <c r="L70" s="37">
        <v>0</v>
      </c>
      <c r="M70" s="12" t="s">
        <v>447</v>
      </c>
      <c r="N70" s="37">
        <v>760</v>
      </c>
      <c r="O70" s="74">
        <f t="shared" si="1"/>
        <v>760</v>
      </c>
      <c r="P70" s="1" t="e">
        <f>_xlfn.XLOOKUP(D70,'8月份计划'!A:A,'8月份计划'!A:A)</f>
        <v>#N/A</v>
      </c>
    </row>
    <row r="71" s="1" customFormat="1" ht="15" customHeight="1" spans="1:16">
      <c r="A71" s="12" t="s">
        <v>444</v>
      </c>
      <c r="B71" s="15" t="s">
        <v>445</v>
      </c>
      <c r="C71" s="12" t="s">
        <v>41</v>
      </c>
      <c r="D71" s="15" t="s">
        <v>300</v>
      </c>
      <c r="E71" s="12" t="s">
        <v>41</v>
      </c>
      <c r="F71" s="12" t="s">
        <v>443</v>
      </c>
      <c r="G71" s="12" t="s">
        <v>447</v>
      </c>
      <c r="H71" s="37">
        <v>58827.8</v>
      </c>
      <c r="I71" s="37">
        <v>45708.5</v>
      </c>
      <c r="J71" s="37">
        <v>0</v>
      </c>
      <c r="K71" s="37">
        <v>973249.3</v>
      </c>
      <c r="L71" s="37">
        <v>458440.39</v>
      </c>
      <c r="M71" s="12" t="s">
        <v>447</v>
      </c>
      <c r="N71" s="37">
        <v>13119.3</v>
      </c>
      <c r="O71" s="74">
        <f t="shared" si="1"/>
        <v>13119.3</v>
      </c>
      <c r="P71" s="1" t="str">
        <f>_xlfn.XLOOKUP(D71,'8月份计划'!A:A,'8月份计划'!A:A)</f>
        <v>广州市信征汽车零件有限公司</v>
      </c>
    </row>
    <row r="72" s="1" customFormat="1" ht="15" customHeight="1" spans="1:16">
      <c r="A72" s="8" t="s">
        <v>444</v>
      </c>
      <c r="B72" s="11" t="s">
        <v>445</v>
      </c>
      <c r="C72" s="8" t="s">
        <v>41</v>
      </c>
      <c r="D72" s="11" t="s">
        <v>482</v>
      </c>
      <c r="E72" s="8" t="s">
        <v>41</v>
      </c>
      <c r="F72" s="8" t="s">
        <v>443</v>
      </c>
      <c r="G72" s="8" t="s">
        <v>447</v>
      </c>
      <c r="H72" s="36">
        <v>15050.16</v>
      </c>
      <c r="I72" s="36">
        <v>0</v>
      </c>
      <c r="J72" s="36">
        <v>0</v>
      </c>
      <c r="K72" s="36">
        <v>0</v>
      </c>
      <c r="L72" s="36">
        <v>0</v>
      </c>
      <c r="M72" s="8" t="s">
        <v>447</v>
      </c>
      <c r="N72" s="36">
        <v>15050.16</v>
      </c>
      <c r="O72" s="74">
        <f t="shared" si="1"/>
        <v>15050.16</v>
      </c>
      <c r="P72" s="1" t="e">
        <f>_xlfn.XLOOKUP(D72,'8月份计划'!A:A,'8月份计划'!A:A)</f>
        <v>#N/A</v>
      </c>
    </row>
    <row r="73" s="1" customFormat="1" ht="15" customHeight="1" spans="1:16">
      <c r="A73" s="12" t="s">
        <v>444</v>
      </c>
      <c r="B73" s="15" t="s">
        <v>445</v>
      </c>
      <c r="C73" s="12" t="s">
        <v>41</v>
      </c>
      <c r="D73" s="15" t="s">
        <v>483</v>
      </c>
      <c r="E73" s="12" t="s">
        <v>41</v>
      </c>
      <c r="F73" s="12" t="s">
        <v>484</v>
      </c>
      <c r="G73" s="12" t="s">
        <v>453</v>
      </c>
      <c r="H73" s="37">
        <v>566</v>
      </c>
      <c r="I73" s="37">
        <v>0</v>
      </c>
      <c r="J73" s="37">
        <v>0</v>
      </c>
      <c r="K73" s="37">
        <v>0</v>
      </c>
      <c r="L73" s="37">
        <v>0</v>
      </c>
      <c r="M73" s="12" t="s">
        <v>453</v>
      </c>
      <c r="N73" s="37">
        <v>566</v>
      </c>
      <c r="O73" s="74">
        <f t="shared" si="1"/>
        <v>-566</v>
      </c>
      <c r="P73" s="1" t="e">
        <f>_xlfn.XLOOKUP(D73,'8月份计划'!A:A,'8月份计划'!A:A)</f>
        <v>#N/A</v>
      </c>
    </row>
    <row r="74" s="1" customFormat="1" ht="15" customHeight="1" spans="1:16">
      <c r="A74" s="12" t="s">
        <v>444</v>
      </c>
      <c r="B74" s="15" t="s">
        <v>445</v>
      </c>
      <c r="C74" s="12" t="s">
        <v>41</v>
      </c>
      <c r="D74" s="15" t="s">
        <v>285</v>
      </c>
      <c r="E74" s="12" t="s">
        <v>41</v>
      </c>
      <c r="F74" s="12" t="s">
        <v>443</v>
      </c>
      <c r="G74" s="12" t="s">
        <v>447</v>
      </c>
      <c r="H74" s="37">
        <v>163878.59</v>
      </c>
      <c r="I74" s="37">
        <v>76568.91</v>
      </c>
      <c r="J74" s="37">
        <v>0</v>
      </c>
      <c r="K74" s="37">
        <v>202230.45</v>
      </c>
      <c r="L74" s="37">
        <v>233878.59</v>
      </c>
      <c r="M74" s="12" t="s">
        <v>447</v>
      </c>
      <c r="N74" s="37">
        <v>87309.68</v>
      </c>
      <c r="O74" s="74">
        <f t="shared" si="1"/>
        <v>87309.68</v>
      </c>
      <c r="P74" s="1" t="str">
        <f>_xlfn.XLOOKUP(D74,'8月份计划'!A:A,'8月份计划'!A:A)</f>
        <v>株洲铖亿轨道交通技术有限</v>
      </c>
    </row>
    <row r="75" s="1" customFormat="1" ht="15" customHeight="1" spans="1:16">
      <c r="A75" s="8" t="s">
        <v>444</v>
      </c>
      <c r="B75" s="11" t="s">
        <v>445</v>
      </c>
      <c r="C75" s="8" t="s">
        <v>41</v>
      </c>
      <c r="D75" s="11" t="s">
        <v>485</v>
      </c>
      <c r="E75" s="8" t="s">
        <v>41</v>
      </c>
      <c r="F75" s="8" t="s">
        <v>443</v>
      </c>
      <c r="G75" s="8" t="s">
        <v>447</v>
      </c>
      <c r="H75" s="36">
        <v>7961.51</v>
      </c>
      <c r="I75" s="36">
        <v>0</v>
      </c>
      <c r="J75" s="36">
        <v>0</v>
      </c>
      <c r="K75" s="36">
        <v>0</v>
      </c>
      <c r="L75" s="36">
        <v>0</v>
      </c>
      <c r="M75" s="8" t="s">
        <v>447</v>
      </c>
      <c r="N75" s="36">
        <v>7961.51</v>
      </c>
      <c r="O75" s="74">
        <f t="shared" si="1"/>
        <v>7961.51</v>
      </c>
      <c r="P75" s="1" t="e">
        <f>_xlfn.XLOOKUP(D75,'8月份计划'!A:A,'8月份计划'!A:A)</f>
        <v>#N/A</v>
      </c>
    </row>
    <row r="76" s="1" customFormat="1" ht="15" customHeight="1" spans="1:16">
      <c r="A76" s="12" t="s">
        <v>444</v>
      </c>
      <c r="B76" s="15" t="s">
        <v>445</v>
      </c>
      <c r="C76" s="12" t="s">
        <v>41</v>
      </c>
      <c r="D76" s="15" t="s">
        <v>269</v>
      </c>
      <c r="E76" s="12" t="s">
        <v>41</v>
      </c>
      <c r="F76" s="12" t="s">
        <v>443</v>
      </c>
      <c r="G76" s="12" t="s">
        <v>453</v>
      </c>
      <c r="H76" s="37">
        <v>11152.91</v>
      </c>
      <c r="I76" s="37">
        <v>0</v>
      </c>
      <c r="J76" s="37">
        <v>0</v>
      </c>
      <c r="K76" s="37">
        <v>0</v>
      </c>
      <c r="L76" s="37">
        <v>46706.2</v>
      </c>
      <c r="M76" s="12" t="s">
        <v>453</v>
      </c>
      <c r="N76" s="37">
        <v>11152.91</v>
      </c>
      <c r="O76" s="74">
        <f t="shared" si="1"/>
        <v>-11152.91</v>
      </c>
      <c r="P76" s="1" t="str">
        <f>_xlfn.XLOOKUP(D76,'8月份计划'!A:A,'8月份计划'!A:A)</f>
        <v>长沙真旺钢铁贸易有限公司</v>
      </c>
    </row>
    <row r="77" s="1" customFormat="1" ht="15" customHeight="1" spans="1:16">
      <c r="A77" s="12" t="s">
        <v>444</v>
      </c>
      <c r="B77" s="15" t="s">
        <v>445</v>
      </c>
      <c r="C77" s="12" t="s">
        <v>41</v>
      </c>
      <c r="D77" s="15" t="s">
        <v>270</v>
      </c>
      <c r="E77" s="12" t="s">
        <v>41</v>
      </c>
      <c r="F77" s="12" t="s">
        <v>443</v>
      </c>
      <c r="G77" s="12" t="s">
        <v>447</v>
      </c>
      <c r="H77" s="37">
        <v>19729.55</v>
      </c>
      <c r="I77" s="37">
        <v>15030.08</v>
      </c>
      <c r="J77" s="37">
        <v>3689.67</v>
      </c>
      <c r="K77" s="37">
        <v>81868.61</v>
      </c>
      <c r="L77" s="37">
        <v>48265.42</v>
      </c>
      <c r="M77" s="12" t="s">
        <v>447</v>
      </c>
      <c r="N77" s="37">
        <v>8389.14</v>
      </c>
      <c r="O77" s="74">
        <f t="shared" si="1"/>
        <v>8389.14</v>
      </c>
      <c r="P77" s="1" t="str">
        <f>_xlfn.XLOOKUP(D77,'8月份计划'!A:A,'8月份计划'!A:A)</f>
        <v>深州市晶立泰机械配件有限公司</v>
      </c>
    </row>
    <row r="78" s="1" customFormat="1" ht="15" customHeight="1" spans="1:16">
      <c r="A78" s="8" t="s">
        <v>444</v>
      </c>
      <c r="B78" s="11" t="s">
        <v>445</v>
      </c>
      <c r="C78" s="8" t="s">
        <v>41</v>
      </c>
      <c r="D78" s="11" t="s">
        <v>271</v>
      </c>
      <c r="E78" s="8" t="s">
        <v>41</v>
      </c>
      <c r="F78" s="8" t="s">
        <v>443</v>
      </c>
      <c r="G78" s="8" t="s">
        <v>447</v>
      </c>
      <c r="H78" s="36">
        <v>22774.59</v>
      </c>
      <c r="I78" s="36">
        <v>0</v>
      </c>
      <c r="J78" s="36">
        <v>0</v>
      </c>
      <c r="K78" s="36">
        <v>0</v>
      </c>
      <c r="L78" s="36">
        <v>0</v>
      </c>
      <c r="M78" s="8" t="s">
        <v>447</v>
      </c>
      <c r="N78" s="36">
        <v>22774.59</v>
      </c>
      <c r="O78" s="74">
        <f t="shared" si="1"/>
        <v>22774.59</v>
      </c>
      <c r="P78" s="1" t="str">
        <f>_xlfn.XLOOKUP(D78,'8月份计划'!A:A,'8月份计划'!A:A)</f>
        <v>山东鼎信新材料科技有限公司</v>
      </c>
    </row>
    <row r="79" s="1" customFormat="1" ht="15" customHeight="1" spans="1:16">
      <c r="A79" s="12" t="s">
        <v>444</v>
      </c>
      <c r="B79" s="15" t="s">
        <v>445</v>
      </c>
      <c r="C79" s="12" t="s">
        <v>41</v>
      </c>
      <c r="D79" s="15" t="s">
        <v>272</v>
      </c>
      <c r="E79" s="12" t="s">
        <v>41</v>
      </c>
      <c r="F79" s="12" t="s">
        <v>443</v>
      </c>
      <c r="G79" s="12" t="s">
        <v>447</v>
      </c>
      <c r="H79" s="37">
        <v>258173.03</v>
      </c>
      <c r="I79" s="37">
        <v>0</v>
      </c>
      <c r="J79" s="37">
        <v>21776.5</v>
      </c>
      <c r="K79" s="37">
        <v>878471.91</v>
      </c>
      <c r="L79" s="37">
        <v>605658.48</v>
      </c>
      <c r="M79" s="12" t="s">
        <v>447</v>
      </c>
      <c r="N79" s="37">
        <v>279949.53</v>
      </c>
      <c r="O79" s="74">
        <f t="shared" si="1"/>
        <v>279949.53</v>
      </c>
      <c r="P79" s="1" t="str">
        <f>_xlfn.XLOOKUP(D79,'8月份计划'!A:A,'8月份计划'!A:A)</f>
        <v>湖南诺亿科技有限公司</v>
      </c>
    </row>
    <row r="80" s="1" customFormat="1" ht="15" customHeight="1" spans="1:16">
      <c r="A80" s="8" t="s">
        <v>444</v>
      </c>
      <c r="B80" s="11" t="s">
        <v>445</v>
      </c>
      <c r="C80" s="8" t="s">
        <v>41</v>
      </c>
      <c r="D80" s="11" t="s">
        <v>273</v>
      </c>
      <c r="E80" s="8" t="s">
        <v>41</v>
      </c>
      <c r="F80" s="8" t="s">
        <v>443</v>
      </c>
      <c r="G80" s="8" t="s">
        <v>447</v>
      </c>
      <c r="H80" s="36">
        <v>347940.88</v>
      </c>
      <c r="I80" s="36">
        <v>183755.27</v>
      </c>
      <c r="J80" s="36">
        <v>25087.13</v>
      </c>
      <c r="K80" s="36">
        <v>235520.25</v>
      </c>
      <c r="L80" s="36">
        <v>393028.01</v>
      </c>
      <c r="M80" s="8" t="s">
        <v>447</v>
      </c>
      <c r="N80" s="36">
        <v>189272.74</v>
      </c>
      <c r="O80" s="74">
        <f t="shared" si="1"/>
        <v>189272.74</v>
      </c>
      <c r="P80" s="1" t="str">
        <f>_xlfn.XLOOKUP(D80,'8月份计划'!A:A,'8月份计划'!A:A)</f>
        <v>长春超力内饰件有限公司</v>
      </c>
    </row>
    <row r="81" s="1" customFormat="1" ht="15" customHeight="1" spans="1:16">
      <c r="A81" s="12" t="s">
        <v>444</v>
      </c>
      <c r="B81" s="15" t="s">
        <v>445</v>
      </c>
      <c r="C81" s="12" t="s">
        <v>41</v>
      </c>
      <c r="D81" s="15" t="s">
        <v>274</v>
      </c>
      <c r="E81" s="12" t="s">
        <v>41</v>
      </c>
      <c r="F81" s="12" t="s">
        <v>443</v>
      </c>
      <c r="G81" s="12" t="s">
        <v>447</v>
      </c>
      <c r="H81" s="37">
        <v>258512.03</v>
      </c>
      <c r="I81" s="37">
        <v>100000</v>
      </c>
      <c r="J81" s="37">
        <v>0</v>
      </c>
      <c r="K81" s="37">
        <v>250000</v>
      </c>
      <c r="L81" s="37">
        <v>84607.09</v>
      </c>
      <c r="M81" s="12" t="s">
        <v>447</v>
      </c>
      <c r="N81" s="37">
        <v>158512.03</v>
      </c>
      <c r="O81" s="74">
        <f t="shared" si="1"/>
        <v>158512.03</v>
      </c>
      <c r="P81" s="1" t="str">
        <f>_xlfn.XLOOKUP(D81,'8月份计划'!A:A,'8月份计划'!A:A)</f>
        <v>湖南裕腾兴汽车配件有限公司</v>
      </c>
    </row>
    <row r="82" s="1" customFormat="1" ht="15" customHeight="1" spans="1:16">
      <c r="A82" s="8" t="s">
        <v>444</v>
      </c>
      <c r="B82" s="11" t="s">
        <v>445</v>
      </c>
      <c r="C82" s="8" t="s">
        <v>41</v>
      </c>
      <c r="D82" s="11" t="s">
        <v>486</v>
      </c>
      <c r="E82" s="8" t="s">
        <v>41</v>
      </c>
      <c r="F82" s="8" t="s">
        <v>443</v>
      </c>
      <c r="G82" s="8" t="s">
        <v>453</v>
      </c>
      <c r="H82" s="36">
        <v>27216</v>
      </c>
      <c r="I82" s="36">
        <v>0</v>
      </c>
      <c r="J82" s="36">
        <v>0</v>
      </c>
      <c r="K82" s="36">
        <v>0</v>
      </c>
      <c r="L82" s="36">
        <v>0</v>
      </c>
      <c r="M82" s="8" t="s">
        <v>453</v>
      </c>
      <c r="N82" s="36">
        <v>27216</v>
      </c>
      <c r="O82" s="74">
        <f t="shared" si="1"/>
        <v>-27216</v>
      </c>
      <c r="P82" s="1" t="e">
        <f>_xlfn.XLOOKUP(D82,'8月份计划'!A:A,'8月份计划'!A:A)</f>
        <v>#N/A</v>
      </c>
    </row>
    <row r="83" s="1" customFormat="1" ht="15" customHeight="1" spans="1:16">
      <c r="A83" s="12" t="s">
        <v>444</v>
      </c>
      <c r="B83" s="15" t="s">
        <v>445</v>
      </c>
      <c r="C83" s="12" t="s">
        <v>41</v>
      </c>
      <c r="D83" s="15" t="s">
        <v>275</v>
      </c>
      <c r="E83" s="12" t="s">
        <v>41</v>
      </c>
      <c r="F83" s="12" t="s">
        <v>443</v>
      </c>
      <c r="G83" s="12" t="s">
        <v>447</v>
      </c>
      <c r="H83" s="37">
        <v>26646.6</v>
      </c>
      <c r="I83" s="37">
        <v>5326.28</v>
      </c>
      <c r="J83" s="37">
        <v>0</v>
      </c>
      <c r="K83" s="37">
        <v>53418.13</v>
      </c>
      <c r="L83" s="37">
        <v>32353.33</v>
      </c>
      <c r="M83" s="12" t="s">
        <v>447</v>
      </c>
      <c r="N83" s="37">
        <v>21320.32</v>
      </c>
      <c r="O83" s="74">
        <f t="shared" si="1"/>
        <v>21320.32</v>
      </c>
      <c r="P83" s="1" t="str">
        <f>_xlfn.XLOOKUP(D83,'8月份计划'!A:A,'8月份计划'!A:A)</f>
        <v>株洲诚康实业有限责任公司</v>
      </c>
    </row>
    <row r="84" s="1" customFormat="1" ht="15" customHeight="1" spans="1:16">
      <c r="A84" s="8" t="s">
        <v>444</v>
      </c>
      <c r="B84" s="11" t="s">
        <v>445</v>
      </c>
      <c r="C84" s="8" t="s">
        <v>41</v>
      </c>
      <c r="D84" s="11" t="s">
        <v>284</v>
      </c>
      <c r="E84" s="8" t="s">
        <v>41</v>
      </c>
      <c r="F84" s="8" t="s">
        <v>443</v>
      </c>
      <c r="G84" s="8" t="s">
        <v>447</v>
      </c>
      <c r="H84" s="36">
        <v>91489.28</v>
      </c>
      <c r="I84" s="36">
        <v>76017</v>
      </c>
      <c r="J84" s="36">
        <v>0</v>
      </c>
      <c r="K84" s="36">
        <v>177867.69</v>
      </c>
      <c r="L84" s="36">
        <v>191489.28</v>
      </c>
      <c r="M84" s="8" t="s">
        <v>447</v>
      </c>
      <c r="N84" s="36">
        <v>15472.28</v>
      </c>
      <c r="O84" s="74">
        <f t="shared" si="1"/>
        <v>15472.28</v>
      </c>
      <c r="P84" s="1" t="str">
        <f>_xlfn.XLOOKUP(D84,'8月份计划'!A:A,'8月份计划'!A:A)</f>
        <v>湖南兴天宏实业有限公司</v>
      </c>
    </row>
    <row r="85" s="1" customFormat="1" ht="15" customHeight="1" spans="1:16">
      <c r="A85" s="8" t="s">
        <v>444</v>
      </c>
      <c r="B85" s="11" t="s">
        <v>445</v>
      </c>
      <c r="C85" s="8" t="s">
        <v>41</v>
      </c>
      <c r="D85" s="11" t="s">
        <v>487</v>
      </c>
      <c r="E85" s="8" t="s">
        <v>41</v>
      </c>
      <c r="F85" s="8" t="s">
        <v>443</v>
      </c>
      <c r="G85" s="8" t="s">
        <v>447</v>
      </c>
      <c r="H85" s="36">
        <v>20</v>
      </c>
      <c r="I85" s="36">
        <v>0</v>
      </c>
      <c r="J85" s="36">
        <v>0</v>
      </c>
      <c r="K85" s="36">
        <v>0</v>
      </c>
      <c r="L85" s="36">
        <v>0</v>
      </c>
      <c r="M85" s="8" t="s">
        <v>447</v>
      </c>
      <c r="N85" s="36">
        <v>20</v>
      </c>
      <c r="O85" s="74">
        <f t="shared" si="1"/>
        <v>20</v>
      </c>
      <c r="P85" s="1" t="e">
        <f>_xlfn.XLOOKUP(D85,'8月份计划'!A:A,'8月份计划'!A:A)</f>
        <v>#N/A</v>
      </c>
    </row>
    <row r="86" s="1" customFormat="1" ht="15" customHeight="1" spans="1:16">
      <c r="A86" s="12" t="s">
        <v>444</v>
      </c>
      <c r="B86" s="15" t="s">
        <v>445</v>
      </c>
      <c r="C86" s="12" t="s">
        <v>41</v>
      </c>
      <c r="D86" s="15" t="s">
        <v>276</v>
      </c>
      <c r="E86" s="12" t="s">
        <v>41</v>
      </c>
      <c r="F86" s="12" t="s">
        <v>443</v>
      </c>
      <c r="G86" s="12" t="s">
        <v>447</v>
      </c>
      <c r="H86" s="37">
        <v>38188.24</v>
      </c>
      <c r="I86" s="37">
        <v>0</v>
      </c>
      <c r="J86" s="37">
        <v>0</v>
      </c>
      <c r="K86" s="37">
        <v>0</v>
      </c>
      <c r="L86" s="37">
        <v>0</v>
      </c>
      <c r="M86" s="12" t="s">
        <v>447</v>
      </c>
      <c r="N86" s="37">
        <v>38188.24</v>
      </c>
      <c r="O86" s="74">
        <f t="shared" si="1"/>
        <v>38188.24</v>
      </c>
      <c r="P86" s="1" t="str">
        <f>_xlfn.XLOOKUP(D86,'8月份计划'!A:A,'8月份计划'!A:A)</f>
        <v>山东鼎昌智能科技有限公司</v>
      </c>
    </row>
    <row r="87" s="1" customFormat="1" ht="15" customHeight="1" spans="1:16">
      <c r="A87" s="8" t="s">
        <v>444</v>
      </c>
      <c r="B87" s="11" t="s">
        <v>445</v>
      </c>
      <c r="C87" s="8" t="s">
        <v>41</v>
      </c>
      <c r="D87" s="11" t="s">
        <v>277</v>
      </c>
      <c r="E87" s="8" t="s">
        <v>41</v>
      </c>
      <c r="F87" s="8" t="s">
        <v>443</v>
      </c>
      <c r="G87" s="8" t="s">
        <v>447</v>
      </c>
      <c r="H87" s="36">
        <v>3990189.19</v>
      </c>
      <c r="I87" s="36">
        <v>1397944.94</v>
      </c>
      <c r="J87" s="36">
        <v>990808.46</v>
      </c>
      <c r="K87" s="36">
        <v>6104932.17</v>
      </c>
      <c r="L87" s="36">
        <v>8307750.37</v>
      </c>
      <c r="M87" s="8" t="s">
        <v>447</v>
      </c>
      <c r="N87" s="36">
        <v>3583052.71</v>
      </c>
      <c r="O87" s="74">
        <f t="shared" si="1"/>
        <v>3583052.71</v>
      </c>
      <c r="P87" s="1" t="str">
        <f>_xlfn.XLOOKUP(D87,'8月份计划'!A:A,'8月份计划'!A:A)</f>
        <v>汇阅（上海）新材料科技有限公</v>
      </c>
    </row>
    <row r="88" s="1" customFormat="1" ht="15" customHeight="1" spans="1:16">
      <c r="A88" s="8" t="s">
        <v>444</v>
      </c>
      <c r="B88" s="11" t="s">
        <v>445</v>
      </c>
      <c r="C88" s="8" t="s">
        <v>41</v>
      </c>
      <c r="D88" s="11" t="s">
        <v>488</v>
      </c>
      <c r="E88" s="8" t="s">
        <v>41</v>
      </c>
      <c r="F88" s="8" t="s">
        <v>443</v>
      </c>
      <c r="G88" s="8" t="s">
        <v>447</v>
      </c>
      <c r="H88" s="36">
        <v>2927</v>
      </c>
      <c r="I88" s="36">
        <v>0</v>
      </c>
      <c r="J88" s="36">
        <v>0</v>
      </c>
      <c r="K88" s="36">
        <v>0</v>
      </c>
      <c r="L88" s="36">
        <v>0</v>
      </c>
      <c r="M88" s="8" t="s">
        <v>447</v>
      </c>
      <c r="N88" s="36">
        <v>2927</v>
      </c>
      <c r="O88" s="74">
        <f t="shared" si="1"/>
        <v>2927</v>
      </c>
      <c r="P88" s="1" t="e">
        <f>_xlfn.XLOOKUP(D88,'8月份计划'!A:A,'8月份计划'!A:A)</f>
        <v>#N/A</v>
      </c>
    </row>
    <row r="89" s="1" customFormat="1" ht="15" customHeight="1" spans="1:16">
      <c r="A89" s="8" t="s">
        <v>444</v>
      </c>
      <c r="B89" s="11" t="s">
        <v>445</v>
      </c>
      <c r="C89" s="8" t="s">
        <v>41</v>
      </c>
      <c r="D89" s="11" t="s">
        <v>317</v>
      </c>
      <c r="E89" s="8" t="s">
        <v>41</v>
      </c>
      <c r="F89" s="8" t="s">
        <v>443</v>
      </c>
      <c r="G89" s="8" t="s">
        <v>447</v>
      </c>
      <c r="H89" s="36">
        <v>56873.98</v>
      </c>
      <c r="I89" s="36">
        <v>41053.98</v>
      </c>
      <c r="J89" s="36">
        <v>0</v>
      </c>
      <c r="K89" s="36">
        <v>267167.9</v>
      </c>
      <c r="L89" s="36">
        <v>282987.9</v>
      </c>
      <c r="M89" s="8" t="s">
        <v>447</v>
      </c>
      <c r="N89" s="36">
        <v>15820</v>
      </c>
      <c r="O89" s="74">
        <f t="shared" si="1"/>
        <v>15820</v>
      </c>
      <c r="P89" s="1" t="str">
        <f>_xlfn.XLOOKUP(D89,'8月份计划'!A:A,'8月份计划'!A:A)</f>
        <v>天津力登维汽车部件有限公司</v>
      </c>
    </row>
    <row r="90" s="1" customFormat="1" ht="15" customHeight="1" spans="1:16">
      <c r="A90" s="12" t="s">
        <v>444</v>
      </c>
      <c r="B90" s="15" t="s">
        <v>445</v>
      </c>
      <c r="C90" s="12" t="s">
        <v>41</v>
      </c>
      <c r="D90" s="15" t="s">
        <v>282</v>
      </c>
      <c r="E90" s="12" t="s">
        <v>41</v>
      </c>
      <c r="F90" s="12" t="s">
        <v>443</v>
      </c>
      <c r="G90" s="12" t="s">
        <v>447</v>
      </c>
      <c r="H90" s="37">
        <v>163737</v>
      </c>
      <c r="I90" s="37">
        <v>103734</v>
      </c>
      <c r="J90" s="37">
        <v>10170</v>
      </c>
      <c r="K90" s="37">
        <v>278830</v>
      </c>
      <c r="L90" s="37">
        <v>263403</v>
      </c>
      <c r="M90" s="12" t="s">
        <v>447</v>
      </c>
      <c r="N90" s="37">
        <v>70173</v>
      </c>
      <c r="O90" s="74">
        <f t="shared" si="1"/>
        <v>70173</v>
      </c>
      <c r="P90" s="1" t="str">
        <f>_xlfn.XLOOKUP(D90,'8月份计划'!A:A,'8月份计划'!A:A)</f>
        <v>天津鑫淼塑料制品有限公司</v>
      </c>
    </row>
    <row r="91" s="1" customFormat="1" ht="15" customHeight="1" spans="1:16">
      <c r="A91" s="8" t="s">
        <v>444</v>
      </c>
      <c r="B91" s="11" t="s">
        <v>445</v>
      </c>
      <c r="C91" s="8" t="s">
        <v>41</v>
      </c>
      <c r="D91" s="11" t="s">
        <v>292</v>
      </c>
      <c r="E91" s="8" t="s">
        <v>41</v>
      </c>
      <c r="F91" s="8" t="s">
        <v>443</v>
      </c>
      <c r="G91" s="8" t="s">
        <v>447</v>
      </c>
      <c r="H91" s="36">
        <v>35030</v>
      </c>
      <c r="I91" s="36">
        <v>35030</v>
      </c>
      <c r="J91" s="36">
        <v>53245.6</v>
      </c>
      <c r="K91" s="36">
        <v>57065</v>
      </c>
      <c r="L91" s="36">
        <v>110310.6</v>
      </c>
      <c r="M91" s="8" t="s">
        <v>447</v>
      </c>
      <c r="N91" s="36">
        <v>53245.6</v>
      </c>
      <c r="O91" s="74">
        <f t="shared" si="1"/>
        <v>53245.6</v>
      </c>
      <c r="P91" s="1" t="str">
        <f>_xlfn.XLOOKUP(D91,'8月份计划'!A:A,'8月份计划'!A:A)</f>
        <v>天津市鹰力目标新材料有限公司</v>
      </c>
    </row>
    <row r="92" s="1" customFormat="1" ht="15" customHeight="1" spans="1:16">
      <c r="A92" s="12" t="s">
        <v>444</v>
      </c>
      <c r="B92" s="15" t="s">
        <v>445</v>
      </c>
      <c r="C92" s="12" t="s">
        <v>41</v>
      </c>
      <c r="D92" s="15" t="s">
        <v>307</v>
      </c>
      <c r="E92" s="12" t="s">
        <v>41</v>
      </c>
      <c r="F92" s="12" t="s">
        <v>443</v>
      </c>
      <c r="G92" s="12" t="s">
        <v>447</v>
      </c>
      <c r="H92" s="37">
        <v>17866.2</v>
      </c>
      <c r="I92" s="37">
        <v>0</v>
      </c>
      <c r="J92" s="37">
        <v>0</v>
      </c>
      <c r="K92" s="37">
        <v>41963.22</v>
      </c>
      <c r="L92" s="37">
        <v>31192.79</v>
      </c>
      <c r="M92" s="12" t="s">
        <v>447</v>
      </c>
      <c r="N92" s="37">
        <v>17866.2</v>
      </c>
      <c r="O92" s="74">
        <f t="shared" si="1"/>
        <v>17866.2</v>
      </c>
      <c r="P92" s="1" t="str">
        <f>_xlfn.XLOOKUP(D92,'8月份计划'!A:A,'8月份计划'!A:A)</f>
        <v>沧州宇诺五金制造有限公司</v>
      </c>
    </row>
    <row r="93" s="1" customFormat="1" ht="15" customHeight="1" spans="1:16">
      <c r="A93" s="12" t="s">
        <v>444</v>
      </c>
      <c r="B93" s="15" t="s">
        <v>445</v>
      </c>
      <c r="C93" s="12" t="s">
        <v>41</v>
      </c>
      <c r="D93" s="15" t="s">
        <v>305</v>
      </c>
      <c r="E93" s="12" t="s">
        <v>41</v>
      </c>
      <c r="F93" s="12" t="s">
        <v>443</v>
      </c>
      <c r="G93" s="12" t="s">
        <v>447</v>
      </c>
      <c r="H93" s="37">
        <v>21051.93</v>
      </c>
      <c r="I93" s="37">
        <v>16916.13</v>
      </c>
      <c r="J93" s="37">
        <v>0</v>
      </c>
      <c r="K93" s="37">
        <v>32391.45</v>
      </c>
      <c r="L93" s="37">
        <v>29035.35</v>
      </c>
      <c r="M93" s="12" t="s">
        <v>447</v>
      </c>
      <c r="N93" s="37">
        <v>4135.8</v>
      </c>
      <c r="O93" s="74">
        <f t="shared" si="1"/>
        <v>4135.8</v>
      </c>
      <c r="P93" s="1" t="str">
        <f>_xlfn.XLOOKUP(D93,'8月份计划'!A:A,'8月份计划'!A:A)</f>
        <v>霸州市政锦五金制品有限公司</v>
      </c>
    </row>
    <row r="94" s="1" customFormat="1" ht="15" customHeight="1" spans="1:16">
      <c r="A94" s="12" t="s">
        <v>444</v>
      </c>
      <c r="B94" s="15" t="s">
        <v>445</v>
      </c>
      <c r="C94" s="12" t="s">
        <v>41</v>
      </c>
      <c r="D94" s="15" t="s">
        <v>308</v>
      </c>
      <c r="E94" s="12" t="s">
        <v>41</v>
      </c>
      <c r="F94" s="12" t="s">
        <v>443</v>
      </c>
      <c r="G94" s="12" t="s">
        <v>447</v>
      </c>
      <c r="H94" s="37">
        <v>32220.82</v>
      </c>
      <c r="I94" s="37">
        <v>21944.6</v>
      </c>
      <c r="J94" s="37">
        <v>0</v>
      </c>
      <c r="K94" s="37">
        <v>71926.76</v>
      </c>
      <c r="L94" s="37">
        <v>42343.36</v>
      </c>
      <c r="M94" s="12" t="s">
        <v>447</v>
      </c>
      <c r="N94" s="37">
        <v>10276.22</v>
      </c>
      <c r="O94" s="74">
        <f t="shared" si="1"/>
        <v>10276.22</v>
      </c>
      <c r="P94" s="1" t="str">
        <f>_xlfn.XLOOKUP(D94,'8月份计划'!A:A,'8月份计划'!A:A)</f>
        <v>清河县沁园汽车零部件有限公司</v>
      </c>
    </row>
    <row r="95" s="1" customFormat="1" ht="15" customHeight="1" spans="1:16">
      <c r="A95" s="12" t="s">
        <v>444</v>
      </c>
      <c r="B95" s="15" t="s">
        <v>445</v>
      </c>
      <c r="C95" s="12" t="s">
        <v>41</v>
      </c>
      <c r="D95" s="15" t="s">
        <v>286</v>
      </c>
      <c r="E95" s="12" t="s">
        <v>41</v>
      </c>
      <c r="F95" s="12" t="s">
        <v>443</v>
      </c>
      <c r="G95" s="12" t="s">
        <v>447</v>
      </c>
      <c r="H95" s="37">
        <v>20701.6</v>
      </c>
      <c r="I95" s="37">
        <v>0</v>
      </c>
      <c r="J95" s="37">
        <v>17026.62</v>
      </c>
      <c r="K95" s="37">
        <v>105580.99</v>
      </c>
      <c r="L95" s="37">
        <v>143309.21</v>
      </c>
      <c r="M95" s="12" t="s">
        <v>447</v>
      </c>
      <c r="N95" s="37">
        <v>37728.22</v>
      </c>
      <c r="O95" s="74">
        <f t="shared" si="1"/>
        <v>37728.22</v>
      </c>
      <c r="P95" s="1" t="str">
        <f>_xlfn.XLOOKUP(D95,'8月份计划'!A:A,'8月份计划'!A:A)</f>
        <v>俱泰(上海)汽车零部件有限公司</v>
      </c>
    </row>
    <row r="96" s="1" customFormat="1" ht="15" customHeight="1" spans="1:16">
      <c r="A96" s="12" t="s">
        <v>444</v>
      </c>
      <c r="B96" s="15" t="s">
        <v>445</v>
      </c>
      <c r="C96" s="12" t="s">
        <v>41</v>
      </c>
      <c r="D96" s="15" t="s">
        <v>599</v>
      </c>
      <c r="E96" s="12" t="s">
        <v>41</v>
      </c>
      <c r="F96" s="12" t="s">
        <v>443</v>
      </c>
      <c r="G96" s="12" t="s">
        <v>447</v>
      </c>
      <c r="H96" s="37">
        <v>15000</v>
      </c>
      <c r="I96" s="37">
        <v>0</v>
      </c>
      <c r="J96" s="37">
        <v>0</v>
      </c>
      <c r="K96" s="37">
        <v>173000</v>
      </c>
      <c r="L96" s="37">
        <v>147000</v>
      </c>
      <c r="M96" s="12" t="s">
        <v>447</v>
      </c>
      <c r="N96" s="37">
        <v>15000</v>
      </c>
      <c r="O96" s="74">
        <f t="shared" si="1"/>
        <v>15000</v>
      </c>
      <c r="P96" s="1" t="e">
        <f>_xlfn.XLOOKUP(D96,'8月份计划'!A:A,'8月份计划'!A:A)</f>
        <v>#N/A</v>
      </c>
    </row>
    <row r="97" s="1" customFormat="1" ht="15" customHeight="1" spans="1:16">
      <c r="A97" s="8" t="s">
        <v>444</v>
      </c>
      <c r="B97" s="11" t="s">
        <v>445</v>
      </c>
      <c r="C97" s="8" t="s">
        <v>41</v>
      </c>
      <c r="D97" s="11" t="s">
        <v>290</v>
      </c>
      <c r="E97" s="8" t="s">
        <v>41</v>
      </c>
      <c r="F97" s="8" t="s">
        <v>443</v>
      </c>
      <c r="G97" s="8" t="s">
        <v>447</v>
      </c>
      <c r="H97" s="36">
        <v>57602.88</v>
      </c>
      <c r="I97" s="36">
        <v>14400.72</v>
      </c>
      <c r="J97" s="36">
        <v>6600.33</v>
      </c>
      <c r="K97" s="36">
        <v>97780.01</v>
      </c>
      <c r="L97" s="36">
        <v>147582.5</v>
      </c>
      <c r="M97" s="8" t="s">
        <v>447</v>
      </c>
      <c r="N97" s="36">
        <v>49802.49</v>
      </c>
      <c r="O97" s="74">
        <f t="shared" si="1"/>
        <v>49802.49</v>
      </c>
      <c r="P97" s="1" t="str">
        <f>_xlfn.XLOOKUP(D97,'8月份计划'!A:A,'8月份计划'!A:A)</f>
        <v>江阴同威科技有限公司</v>
      </c>
    </row>
    <row r="98" s="1" customFormat="1" ht="15" customHeight="1" spans="1:16">
      <c r="A98" s="12" t="s">
        <v>444</v>
      </c>
      <c r="B98" s="15" t="s">
        <v>445</v>
      </c>
      <c r="C98" s="12" t="s">
        <v>41</v>
      </c>
      <c r="D98" s="15" t="s">
        <v>289</v>
      </c>
      <c r="E98" s="12" t="s">
        <v>41</v>
      </c>
      <c r="F98" s="12" t="s">
        <v>443</v>
      </c>
      <c r="G98" s="12" t="s">
        <v>447</v>
      </c>
      <c r="H98" s="37">
        <v>7739.9</v>
      </c>
      <c r="I98" s="37">
        <v>0</v>
      </c>
      <c r="J98" s="37">
        <v>0</v>
      </c>
      <c r="K98" s="37">
        <v>0</v>
      </c>
      <c r="L98" s="37">
        <v>7739.9</v>
      </c>
      <c r="M98" s="12" t="s">
        <v>447</v>
      </c>
      <c r="N98" s="37">
        <v>7739.9</v>
      </c>
      <c r="O98" s="74">
        <f t="shared" si="1"/>
        <v>7739.9</v>
      </c>
      <c r="P98" s="1" t="str">
        <f>_xlfn.XLOOKUP(D98,'8月份计划'!A:A,'8月份计划'!A:A)</f>
        <v>维克罗（中国）搭扣系统有限公</v>
      </c>
    </row>
    <row r="99" s="1" customFormat="1" ht="15" customHeight="1" spans="1:16">
      <c r="A99" s="8" t="s">
        <v>444</v>
      </c>
      <c r="B99" s="11" t="s">
        <v>445</v>
      </c>
      <c r="C99" s="8" t="s">
        <v>41</v>
      </c>
      <c r="D99" s="11" t="s">
        <v>320</v>
      </c>
      <c r="E99" s="8" t="s">
        <v>41</v>
      </c>
      <c r="F99" s="8" t="s">
        <v>443</v>
      </c>
      <c r="G99" s="8" t="s">
        <v>447</v>
      </c>
      <c r="H99" s="36">
        <v>7659.25</v>
      </c>
      <c r="I99" s="36">
        <v>4018.39</v>
      </c>
      <c r="J99" s="36">
        <v>0</v>
      </c>
      <c r="K99" s="36">
        <v>80896.14</v>
      </c>
      <c r="L99" s="36">
        <v>84537</v>
      </c>
      <c r="M99" s="8" t="s">
        <v>447</v>
      </c>
      <c r="N99" s="36">
        <v>3640.86</v>
      </c>
      <c r="O99" s="74">
        <f t="shared" si="1"/>
        <v>3640.86</v>
      </c>
      <c r="P99" s="1" t="str">
        <f>_xlfn.XLOOKUP(D99,'8月份计划'!A:A,'8月份计划'!A:A)</f>
        <v>武汉凯密科汽车零部件有限公司</v>
      </c>
    </row>
    <row r="100" s="1" customFormat="1" ht="15" customHeight="1" spans="1:16">
      <c r="A100" s="12" t="s">
        <v>444</v>
      </c>
      <c r="B100" s="15" t="s">
        <v>445</v>
      </c>
      <c r="C100" s="12" t="s">
        <v>41</v>
      </c>
      <c r="D100" s="15" t="s">
        <v>288</v>
      </c>
      <c r="E100" s="12" t="s">
        <v>41</v>
      </c>
      <c r="F100" s="12" t="s">
        <v>443</v>
      </c>
      <c r="G100" s="12" t="s">
        <v>447</v>
      </c>
      <c r="H100" s="37">
        <v>38268.48</v>
      </c>
      <c r="I100" s="37">
        <v>18086.68</v>
      </c>
      <c r="J100" s="37">
        <v>4514.35</v>
      </c>
      <c r="K100" s="37">
        <v>85888.94</v>
      </c>
      <c r="L100" s="37">
        <v>110585.09</v>
      </c>
      <c r="M100" s="12" t="s">
        <v>447</v>
      </c>
      <c r="N100" s="37">
        <v>24696.15</v>
      </c>
      <c r="O100" s="74">
        <f t="shared" si="1"/>
        <v>24696.15</v>
      </c>
      <c r="P100" s="1" t="str">
        <f>_xlfn.XLOOKUP(D100,'8月份计划'!A:A,'8月份计划'!A:A)</f>
        <v>广州市三泰汽车内饰材料有限公</v>
      </c>
    </row>
    <row r="101" s="1" customFormat="1" ht="15" customHeight="1" spans="1:16">
      <c r="A101" s="8" t="s">
        <v>444</v>
      </c>
      <c r="B101" s="11" t="s">
        <v>445</v>
      </c>
      <c r="C101" s="8" t="s">
        <v>41</v>
      </c>
      <c r="D101" s="11" t="s">
        <v>291</v>
      </c>
      <c r="E101" s="8" t="s">
        <v>41</v>
      </c>
      <c r="F101" s="8" t="s">
        <v>443</v>
      </c>
      <c r="G101" s="8" t="s">
        <v>447</v>
      </c>
      <c r="H101" s="36">
        <v>15481.97</v>
      </c>
      <c r="I101" s="36">
        <v>15481.34</v>
      </c>
      <c r="J101" s="36">
        <v>0</v>
      </c>
      <c r="K101" s="36">
        <v>89794.55</v>
      </c>
      <c r="L101" s="36">
        <v>89795.18</v>
      </c>
      <c r="M101" s="8" t="s">
        <v>447</v>
      </c>
      <c r="N101" s="36">
        <v>0.63</v>
      </c>
      <c r="O101" s="74">
        <f t="shared" si="1"/>
        <v>0.63</v>
      </c>
      <c r="P101" s="1" t="str">
        <f>_xlfn.XLOOKUP(D101,'8月份计划'!A:A,'8月份计划'!A:A)</f>
        <v>深圳市新和荣无纺布有限公司</v>
      </c>
    </row>
    <row r="102" s="1" customFormat="1" ht="15" customHeight="1" spans="1:16">
      <c r="A102" s="8" t="s">
        <v>444</v>
      </c>
      <c r="B102" s="11" t="s">
        <v>445</v>
      </c>
      <c r="C102" s="8" t="s">
        <v>41</v>
      </c>
      <c r="D102" s="11" t="s">
        <v>240</v>
      </c>
      <c r="E102" s="8" t="s">
        <v>41</v>
      </c>
      <c r="F102" s="8" t="s">
        <v>443</v>
      </c>
      <c r="G102" s="8" t="s">
        <v>447</v>
      </c>
      <c r="H102" s="36">
        <v>563241.83</v>
      </c>
      <c r="I102" s="36">
        <v>276735.87</v>
      </c>
      <c r="J102" s="36">
        <v>43726.15</v>
      </c>
      <c r="K102" s="36">
        <v>485259.73</v>
      </c>
      <c r="L102" s="36">
        <v>756795.12</v>
      </c>
      <c r="M102" s="8" t="s">
        <v>447</v>
      </c>
      <c r="N102" s="36">
        <v>330232.11</v>
      </c>
      <c r="O102" s="74">
        <f t="shared" si="1"/>
        <v>330232.11</v>
      </c>
      <c r="P102" s="1" t="str">
        <f>_xlfn.XLOOKUP(D102,'8月份计划'!A:A,'8月份计划'!A:A)</f>
        <v>重庆厚元汽车配件有限公司</v>
      </c>
    </row>
    <row r="103" s="1" customFormat="1" ht="15" customHeight="1" spans="1:16">
      <c r="A103" s="8" t="s">
        <v>444</v>
      </c>
      <c r="B103" s="11" t="s">
        <v>445</v>
      </c>
      <c r="C103" s="8" t="s">
        <v>41</v>
      </c>
      <c r="D103" s="11" t="s">
        <v>322</v>
      </c>
      <c r="E103" s="8" t="s">
        <v>41</v>
      </c>
      <c r="F103" s="8" t="s">
        <v>443</v>
      </c>
      <c r="G103" s="8" t="s">
        <v>447</v>
      </c>
      <c r="H103" s="36">
        <v>14800</v>
      </c>
      <c r="I103" s="36">
        <v>0</v>
      </c>
      <c r="J103" s="36">
        <v>0</v>
      </c>
      <c r="K103" s="36">
        <v>0</v>
      </c>
      <c r="L103" s="36">
        <v>14800</v>
      </c>
      <c r="M103" s="8" t="s">
        <v>447</v>
      </c>
      <c r="N103" s="36">
        <v>14800</v>
      </c>
      <c r="O103" s="74">
        <f t="shared" si="1"/>
        <v>14800</v>
      </c>
      <c r="P103" s="1" t="str">
        <f>_xlfn.XLOOKUP(D103,'8月份计划'!A:A,'8月份计划'!A:A)</f>
        <v>上海盛创克科技发展有限公司</v>
      </c>
    </row>
  </sheetData>
  <autoFilter xmlns:etc="http://www.wps.cn/officeDocument/2017/etCustomData" ref="A1:O103" etc:filterBottomFollowUsedRange="0">
    <extLst/>
  </autoFilter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3"/>
  <dimension ref="A1:BC48"/>
  <sheetViews>
    <sheetView topLeftCell="U1" workbookViewId="0">
      <selection activeCell="AE17" sqref="AE17"/>
    </sheetView>
  </sheetViews>
  <sheetFormatPr defaultColWidth="8" defaultRowHeight="14.25"/>
  <cols>
    <col min="1" max="1" width="10.875" style="127" customWidth="1"/>
    <col min="2" max="2" width="7.75" style="127" customWidth="1"/>
    <col min="3" max="3" width="10.875" style="127" customWidth="1"/>
    <col min="4" max="4" width="9.375" style="127" customWidth="1"/>
    <col min="5" max="5" width="10.875" style="127" customWidth="1"/>
    <col min="6" max="6" width="17.125" style="127" customWidth="1"/>
    <col min="7" max="7" width="10.875" style="127" customWidth="1"/>
    <col min="8" max="8" width="7.25" style="128" customWidth="1"/>
    <col min="9" max="9" width="7.75" style="127" customWidth="1"/>
    <col min="10" max="10" width="18.875" style="127" customWidth="1"/>
    <col min="11" max="11" width="10.875" style="127" customWidth="1"/>
    <col min="12" max="12" width="14" style="127" customWidth="1"/>
    <col min="13" max="13" width="6.25" style="127" customWidth="1"/>
    <col min="14" max="14" width="9.375" style="127" customWidth="1"/>
    <col min="15" max="15" width="7.75" style="127" customWidth="1"/>
    <col min="16" max="16" width="10.375" style="127" customWidth="1"/>
    <col min="17" max="17" width="10.875" style="127" customWidth="1"/>
    <col min="18" max="18" width="9.375" style="127" customWidth="1"/>
    <col min="19" max="20" width="10.875" style="127" customWidth="1"/>
    <col min="21" max="21" width="14" style="127" customWidth="1"/>
    <col min="22" max="22" width="10.625" style="127" customWidth="1"/>
    <col min="23" max="23" width="10" style="127" customWidth="1"/>
    <col min="24" max="24" width="10.875" style="127" customWidth="1"/>
    <col min="25" max="25" width="9.375" style="127" customWidth="1"/>
    <col min="26" max="26" width="10.875" style="129" customWidth="1"/>
    <col min="27" max="27" width="11.5" style="130" customWidth="1"/>
    <col min="28" max="34" width="11.875" style="131" customWidth="1"/>
    <col min="35" max="35" width="10.875" style="131" customWidth="1"/>
    <col min="36" max="36" width="11" style="131" customWidth="1"/>
    <col min="37" max="37" width="9.375" style="131" customWidth="1"/>
    <col min="38" max="55" width="10.25" style="131" customWidth="1"/>
    <col min="56" max="16384" width="8" style="127"/>
  </cols>
  <sheetData>
    <row r="1" s="127" customFormat="1" ht="26" customHeight="1" spans="1:55">
      <c r="A1" s="132" t="s">
        <v>0</v>
      </c>
      <c r="B1" s="132" t="s">
        <v>1</v>
      </c>
      <c r="C1" s="133" t="s">
        <v>2</v>
      </c>
      <c r="D1" s="132" t="s">
        <v>3</v>
      </c>
      <c r="E1" s="133" t="s">
        <v>4</v>
      </c>
      <c r="F1" s="133" t="s">
        <v>5</v>
      </c>
      <c r="G1" s="132" t="s">
        <v>6</v>
      </c>
      <c r="H1" s="134" t="s">
        <v>7</v>
      </c>
      <c r="I1" s="132" t="s">
        <v>8</v>
      </c>
      <c r="J1" s="132" t="s">
        <v>9</v>
      </c>
      <c r="K1" s="133" t="s">
        <v>10</v>
      </c>
      <c r="L1" s="132" t="s">
        <v>11</v>
      </c>
      <c r="M1" s="133" t="s">
        <v>12</v>
      </c>
      <c r="N1" s="132" t="s">
        <v>13</v>
      </c>
      <c r="O1" s="132" t="s">
        <v>14</v>
      </c>
      <c r="P1" s="132" t="s">
        <v>14</v>
      </c>
      <c r="Q1" s="133" t="s">
        <v>15</v>
      </c>
      <c r="R1" s="132" t="s">
        <v>16</v>
      </c>
      <c r="S1" s="133" t="s">
        <v>17</v>
      </c>
      <c r="T1" s="133" t="s">
        <v>18</v>
      </c>
      <c r="U1" s="133" t="s">
        <v>19</v>
      </c>
      <c r="V1" s="133" t="s">
        <v>20</v>
      </c>
      <c r="W1" s="133" t="s">
        <v>21</v>
      </c>
      <c r="X1" s="132" t="s">
        <v>22</v>
      </c>
      <c r="Y1" s="133" t="s">
        <v>23</v>
      </c>
      <c r="Z1" s="166" t="s">
        <v>24</v>
      </c>
      <c r="AA1" s="167" t="s">
        <v>25</v>
      </c>
      <c r="AB1" s="168">
        <v>8</v>
      </c>
      <c r="AC1" s="169">
        <f>AB1</f>
        <v>8</v>
      </c>
      <c r="AD1" s="169"/>
      <c r="AE1" s="170"/>
      <c r="AF1" s="171" t="s">
        <v>26</v>
      </c>
      <c r="AG1" s="185"/>
      <c r="AH1" s="186"/>
      <c r="AI1" s="187">
        <v>6</v>
      </c>
      <c r="AJ1" s="188"/>
      <c r="AK1" s="188"/>
      <c r="AL1" s="187">
        <v>7</v>
      </c>
      <c r="AM1" s="188"/>
      <c r="AN1" s="188"/>
      <c r="AO1" s="187">
        <v>8</v>
      </c>
      <c r="AP1" s="188"/>
      <c r="AQ1" s="188"/>
      <c r="AR1" s="187">
        <v>9</v>
      </c>
      <c r="AS1" s="188"/>
      <c r="AT1" s="188"/>
      <c r="AU1" s="187">
        <v>10</v>
      </c>
      <c r="AV1" s="188"/>
      <c r="AW1" s="188"/>
      <c r="AX1" s="187">
        <v>11</v>
      </c>
      <c r="AY1" s="188"/>
      <c r="AZ1" s="188"/>
      <c r="BA1" s="187">
        <v>12</v>
      </c>
      <c r="BB1" s="188"/>
      <c r="BC1" s="188"/>
    </row>
    <row r="2" s="127" customFormat="1" ht="26" customHeight="1" spans="1:55">
      <c r="A2" s="135"/>
      <c r="B2" s="135"/>
      <c r="C2" s="136"/>
      <c r="D2" s="135"/>
      <c r="E2" s="136"/>
      <c r="F2" s="136"/>
      <c r="G2" s="135"/>
      <c r="H2" s="193"/>
      <c r="I2" s="135"/>
      <c r="J2" s="135"/>
      <c r="K2" s="136"/>
      <c r="L2" s="135"/>
      <c r="M2" s="136"/>
      <c r="N2" s="135"/>
      <c r="O2" s="135"/>
      <c r="P2" s="135"/>
      <c r="Q2" s="136"/>
      <c r="R2" s="135"/>
      <c r="S2" s="136"/>
      <c r="T2" s="136"/>
      <c r="U2" s="136"/>
      <c r="V2" s="136"/>
      <c r="W2" s="136"/>
      <c r="X2" s="135"/>
      <c r="Y2" s="133"/>
      <c r="Z2" s="172"/>
      <c r="AA2" s="130"/>
      <c r="AB2" s="173"/>
      <c r="AC2" s="174" t="s">
        <v>27</v>
      </c>
      <c r="AD2" s="174" t="s">
        <v>28</v>
      </c>
      <c r="AE2" s="175" t="s">
        <v>29</v>
      </c>
      <c r="AF2" s="176" t="s">
        <v>30</v>
      </c>
      <c r="AG2" s="176" t="s">
        <v>31</v>
      </c>
      <c r="AH2" s="189" t="s">
        <v>29</v>
      </c>
      <c r="AI2" s="190" t="s">
        <v>30</v>
      </c>
      <c r="AJ2" s="190" t="s">
        <v>31</v>
      </c>
      <c r="AK2" s="190" t="s">
        <v>29</v>
      </c>
      <c r="AL2" s="190" t="s">
        <v>30</v>
      </c>
      <c r="AM2" s="190" t="s">
        <v>31</v>
      </c>
      <c r="AN2" s="190" t="s">
        <v>29</v>
      </c>
      <c r="AO2" s="190" t="s">
        <v>30</v>
      </c>
      <c r="AP2" s="190" t="s">
        <v>31</v>
      </c>
      <c r="AQ2" s="190" t="s">
        <v>29</v>
      </c>
      <c r="AR2" s="190" t="s">
        <v>30</v>
      </c>
      <c r="AS2" s="190" t="s">
        <v>31</v>
      </c>
      <c r="AT2" s="190" t="s">
        <v>29</v>
      </c>
      <c r="AU2" s="190" t="s">
        <v>30</v>
      </c>
      <c r="AV2" s="190" t="s">
        <v>31</v>
      </c>
      <c r="AW2" s="190" t="s">
        <v>29</v>
      </c>
      <c r="AX2" s="190" t="s">
        <v>30</v>
      </c>
      <c r="AY2" s="190" t="s">
        <v>31</v>
      </c>
      <c r="AZ2" s="190" t="s">
        <v>29</v>
      </c>
      <c r="BA2" s="190" t="s">
        <v>30</v>
      </c>
      <c r="BB2" s="190" t="s">
        <v>31</v>
      </c>
      <c r="BC2" s="190" t="s">
        <v>29</v>
      </c>
    </row>
    <row r="3" s="127" customFormat="1" ht="16.5" customHeight="1" spans="1:55">
      <c r="A3" s="138" t="s">
        <v>32</v>
      </c>
      <c r="B3" s="139" t="s">
        <v>33</v>
      </c>
      <c r="C3" s="140">
        <v>45688</v>
      </c>
      <c r="D3" s="138" t="s">
        <v>34</v>
      </c>
      <c r="E3" s="141">
        <v>24170</v>
      </c>
      <c r="F3" s="141">
        <v>24170</v>
      </c>
      <c r="G3" s="139" t="s">
        <v>35</v>
      </c>
      <c r="H3" s="137" t="str">
        <f t="shared" ref="H3:H34" si="0">TEXT(K3,"M")</f>
        <v>1</v>
      </c>
      <c r="I3" s="139" t="s">
        <v>36</v>
      </c>
      <c r="J3" s="138" t="s">
        <v>37</v>
      </c>
      <c r="K3" s="140">
        <v>45688</v>
      </c>
      <c r="L3" s="139" t="s">
        <v>38</v>
      </c>
      <c r="M3" s="148">
        <v>1</v>
      </c>
      <c r="N3" s="139" t="s">
        <v>39</v>
      </c>
      <c r="O3" s="138" t="s">
        <v>40</v>
      </c>
      <c r="P3" s="139" t="s">
        <v>41</v>
      </c>
      <c r="Q3" s="152">
        <v>47392.73</v>
      </c>
      <c r="R3" s="138" t="s">
        <v>42</v>
      </c>
      <c r="S3" s="153">
        <v>0.4</v>
      </c>
      <c r="T3" s="153">
        <v>0.4</v>
      </c>
      <c r="U3" s="154">
        <v>0.4</v>
      </c>
      <c r="V3" s="155">
        <v>0</v>
      </c>
      <c r="W3" s="155">
        <v>0</v>
      </c>
      <c r="X3" s="139" t="s">
        <v>43</v>
      </c>
      <c r="Y3" s="133" t="s">
        <v>44</v>
      </c>
      <c r="Z3" s="177">
        <v>45652</v>
      </c>
      <c r="AA3" s="130">
        <f t="shared" ref="AA3:AA34" si="1">Q3*S3*1.13</f>
        <v>21421.51396</v>
      </c>
      <c r="AB3" s="178" cm="1">
        <f ca="1" t="array" ref="AB3">_xlfn.XLOOKUP("汇阅*",INDIRECT("'"&amp;$AB$1&amp;"月份计划'!A:A"),INDIRECT("'"&amp;$AB$1&amp;"月份计划'!C:C"),,2)</f>
        <v>3583052.71</v>
      </c>
      <c r="AC3" s="178">
        <f ca="1">AE3-AD3</f>
        <v>862752.003944</v>
      </c>
      <c r="AD3" s="178">
        <f ca="1">OFFSET($AJ$3,,(AB1-8)*3)</f>
        <v>444864.31668</v>
      </c>
      <c r="AE3" s="178">
        <f ca="1">$AB$3-$AH$3</f>
        <v>1307616.320624</v>
      </c>
      <c r="AF3" s="178">
        <v>2000000</v>
      </c>
      <c r="AG3" s="191">
        <f ca="1">OFFSET($AJ$3,,($AC$1-$AI$1)*3-3)+OFFSET($AM$3,,($AC$1-$AL$1+1)*3-3)</f>
        <v>275436.389376</v>
      </c>
      <c r="AH3" s="178">
        <f ca="1">SUM(AF3:AG3)</f>
        <v>2275436.389376</v>
      </c>
      <c r="AI3" s="192">
        <f>SUMIFS($AA:$AA,$O:$O,$O31,$H:$H,AI1)</f>
        <v>1331747.99999496</v>
      </c>
      <c r="AJ3" s="192">
        <f>SUMIFS($AA:$AA,$H:$H,AI1)-AI3</f>
        <v>444864.31668</v>
      </c>
      <c r="AK3" s="192">
        <f>SUMIFS($AA:$AA,$H:$H,AI1)</f>
        <v>1776612.31667496</v>
      </c>
      <c r="AL3" s="192">
        <f>SUMIFS($AA:$AA,$O:$O,$O31,$H:$H,AL1)</f>
        <v>1775663.99999328</v>
      </c>
      <c r="AM3" s="192">
        <f>SUMIFS($AA:$AA,$H:$H,AL1)-AL3</f>
        <v>147379.93128</v>
      </c>
      <c r="AN3" s="192">
        <f>SUMIFS($AA:$AA,$H:$H,AL1)</f>
        <v>1923043.93127328</v>
      </c>
      <c r="AO3" s="192">
        <f>SUMIFS($AA:$AA,$O:$O,$O31,$H:$H,AO1)</f>
        <v>862751.99999699</v>
      </c>
      <c r="AP3" s="192">
        <f>SUMIFS($AA:$AA,$H:$H,AO1)-AO3</f>
        <v>128056.458096</v>
      </c>
      <c r="AQ3" s="192">
        <f>SUMIFS($AA:$AA,$H:$H,AO1)</f>
        <v>990808.45809299</v>
      </c>
      <c r="AR3" s="192">
        <f>SUMIFS($AA:$AA,$O:$O,$O31,$H:$H,AR1)</f>
        <v>1294127.99999549</v>
      </c>
      <c r="AS3" s="192">
        <f>SUMIFS($AA:$AA,$H:$H,AR1)-AR3</f>
        <v>216676.596</v>
      </c>
      <c r="AT3" s="192">
        <f>SUMIFS($AA:$AA,$H:$H,AR1)</f>
        <v>1510804.59599549</v>
      </c>
      <c r="AU3" s="192">
        <f>SUMIFS($AA:$AA,$O:$O,$O31,$H:$H,AU1)</f>
        <v>0</v>
      </c>
      <c r="AV3" s="192">
        <f>SUMIFS($AA:$AA,$H:$H,AU1)-AU3</f>
        <v>0</v>
      </c>
      <c r="AW3" s="192">
        <f>SUMIFS($AA:$AA,$H:$H,AU1)</f>
        <v>0</v>
      </c>
      <c r="AX3" s="192">
        <f>SUMIFS($AA:$AA,$O:$O,$O31,$H:$H,AX1)</f>
        <v>0</v>
      </c>
      <c r="AY3" s="192">
        <f>SUMIFS($AA:$AA,$H:$H,AX1)-AX3</f>
        <v>0</v>
      </c>
      <c r="AZ3" s="192">
        <f>SUMIFS($AA:$AA,$H:$H,AX1)</f>
        <v>0</v>
      </c>
      <c r="BA3" s="192">
        <f>SUMIFS($AA:$AA,$O:$O,$O31,$H:$H,BA1)</f>
        <v>0</v>
      </c>
      <c r="BB3" s="192">
        <f>SUMIFS($AA:$AA,$H:$H,BA1)-BA3</f>
        <v>0</v>
      </c>
      <c r="BC3" s="192">
        <f>SUMIFS($AA:$AA,$H:$H,BA1)</f>
        <v>0</v>
      </c>
    </row>
    <row r="4" s="127" customFormat="1" ht="16.5" customHeight="1" spans="1:55">
      <c r="A4" s="142" t="s">
        <v>32</v>
      </c>
      <c r="B4" s="143" t="s">
        <v>33</v>
      </c>
      <c r="C4" s="144">
        <v>45688</v>
      </c>
      <c r="D4" s="142" t="s">
        <v>34</v>
      </c>
      <c r="E4" s="145">
        <v>24170</v>
      </c>
      <c r="F4" s="145">
        <v>24170</v>
      </c>
      <c r="G4" s="143" t="s">
        <v>45</v>
      </c>
      <c r="H4" s="137" t="str">
        <f t="shared" si="0"/>
        <v>1</v>
      </c>
      <c r="I4" s="143" t="s">
        <v>36</v>
      </c>
      <c r="J4" s="142" t="s">
        <v>37</v>
      </c>
      <c r="K4" s="144">
        <v>45688</v>
      </c>
      <c r="L4" s="143" t="s">
        <v>38</v>
      </c>
      <c r="M4" s="149">
        <v>1</v>
      </c>
      <c r="N4" s="143" t="s">
        <v>39</v>
      </c>
      <c r="O4" s="142" t="s">
        <v>40</v>
      </c>
      <c r="P4" s="143" t="s">
        <v>41</v>
      </c>
      <c r="Q4" s="156">
        <v>6080.72</v>
      </c>
      <c r="R4" s="142" t="s">
        <v>42</v>
      </c>
      <c r="S4" s="157">
        <v>0.4</v>
      </c>
      <c r="T4" s="157">
        <v>0.4</v>
      </c>
      <c r="U4" s="158">
        <v>0.4</v>
      </c>
      <c r="V4" s="159">
        <v>0</v>
      </c>
      <c r="W4" s="159">
        <v>0</v>
      </c>
      <c r="X4" s="143" t="s">
        <v>43</v>
      </c>
      <c r="Y4" s="179" t="s">
        <v>44</v>
      </c>
      <c r="Z4" s="180">
        <v>45657</v>
      </c>
      <c r="AA4" s="130">
        <f t="shared" si="1"/>
        <v>2748.48544</v>
      </c>
      <c r="AB4" s="181" t="s">
        <v>46</v>
      </c>
      <c r="AC4" s="131">
        <f ca="1">AC3</f>
        <v>862752.003944</v>
      </c>
      <c r="AD4" s="131">
        <f ca="1">AD3*0.5</f>
        <v>222432.15834</v>
      </c>
      <c r="AE4" s="182">
        <f ca="1">SUM(AC4:AD4)</f>
        <v>1085184.162284</v>
      </c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</row>
    <row r="5" s="127" customFormat="1" ht="16.5" customHeight="1" spans="1:55">
      <c r="A5" s="138" t="s">
        <v>32</v>
      </c>
      <c r="B5" s="139" t="s">
        <v>47</v>
      </c>
      <c r="C5" s="140">
        <v>45688</v>
      </c>
      <c r="D5" s="138" t="s">
        <v>34</v>
      </c>
      <c r="E5" s="141">
        <v>489323.75</v>
      </c>
      <c r="F5" s="141">
        <v>489323.75</v>
      </c>
      <c r="G5" s="139" t="s">
        <v>48</v>
      </c>
      <c r="H5" s="137" t="str">
        <f t="shared" si="0"/>
        <v>1</v>
      </c>
      <c r="I5" s="139" t="s">
        <v>36</v>
      </c>
      <c r="J5" s="138" t="s">
        <v>49</v>
      </c>
      <c r="K5" s="140">
        <v>45688</v>
      </c>
      <c r="L5" s="139" t="s">
        <v>34</v>
      </c>
      <c r="M5" s="148">
        <v>4</v>
      </c>
      <c r="N5" s="139" t="s">
        <v>50</v>
      </c>
      <c r="O5" s="138" t="s">
        <v>51</v>
      </c>
      <c r="P5" s="139" t="s">
        <v>41</v>
      </c>
      <c r="Q5" s="152">
        <v>25</v>
      </c>
      <c r="R5" s="138" t="s">
        <v>42</v>
      </c>
      <c r="S5" s="153">
        <v>135</v>
      </c>
      <c r="T5" s="153">
        <v>135</v>
      </c>
      <c r="U5" s="154">
        <v>110.62</v>
      </c>
      <c r="V5" s="155">
        <v>0</v>
      </c>
      <c r="W5" s="155">
        <v>24.38</v>
      </c>
      <c r="X5" s="139" t="s">
        <v>43</v>
      </c>
      <c r="Y5" s="133" t="s">
        <v>44</v>
      </c>
      <c r="Z5" s="177">
        <v>45652</v>
      </c>
      <c r="AA5" s="130">
        <f t="shared" si="1"/>
        <v>3813.75</v>
      </c>
      <c r="AB5" s="181" t="s">
        <v>52</v>
      </c>
      <c r="AC5" s="131"/>
      <c r="AD5" s="131">
        <f ca="1">AD3*0.5</f>
        <v>222432.15834</v>
      </c>
      <c r="AE5" s="182">
        <f ca="1">SUM(AC5:AD5)</f>
        <v>222432.15834</v>
      </c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</row>
    <row r="6" s="127" customFormat="1" ht="16.5" customHeight="1" spans="1:55">
      <c r="A6" s="142" t="s">
        <v>32</v>
      </c>
      <c r="B6" s="143" t="s">
        <v>47</v>
      </c>
      <c r="C6" s="144">
        <v>45688</v>
      </c>
      <c r="D6" s="142" t="s">
        <v>34</v>
      </c>
      <c r="E6" s="145">
        <v>489323.75</v>
      </c>
      <c r="F6" s="145">
        <v>489323.75</v>
      </c>
      <c r="G6" s="143" t="s">
        <v>53</v>
      </c>
      <c r="H6" s="137" t="str">
        <f t="shared" si="0"/>
        <v>1</v>
      </c>
      <c r="I6" s="143" t="s">
        <v>36</v>
      </c>
      <c r="J6" s="142" t="s">
        <v>49</v>
      </c>
      <c r="K6" s="144">
        <v>45688</v>
      </c>
      <c r="L6" s="143" t="s">
        <v>34</v>
      </c>
      <c r="M6" s="149">
        <v>4</v>
      </c>
      <c r="N6" s="143" t="s">
        <v>50</v>
      </c>
      <c r="O6" s="142" t="s">
        <v>51</v>
      </c>
      <c r="P6" s="143" t="s">
        <v>41</v>
      </c>
      <c r="Q6" s="156">
        <v>200</v>
      </c>
      <c r="R6" s="142" t="s">
        <v>42</v>
      </c>
      <c r="S6" s="157">
        <v>135</v>
      </c>
      <c r="T6" s="157">
        <v>135</v>
      </c>
      <c r="U6" s="158">
        <v>110.62</v>
      </c>
      <c r="V6" s="159">
        <v>0</v>
      </c>
      <c r="W6" s="159">
        <v>24.38</v>
      </c>
      <c r="X6" s="143" t="s">
        <v>43</v>
      </c>
      <c r="Y6" s="179" t="s">
        <v>44</v>
      </c>
      <c r="Z6" s="180">
        <v>45656</v>
      </c>
      <c r="AA6" s="130">
        <f t="shared" si="1"/>
        <v>30510</v>
      </c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</row>
    <row r="7" s="127" customFormat="1" ht="16.5" customHeight="1" spans="1:55">
      <c r="A7" s="138" t="s">
        <v>32</v>
      </c>
      <c r="B7" s="139" t="s">
        <v>47</v>
      </c>
      <c r="C7" s="140">
        <v>45688</v>
      </c>
      <c r="D7" s="138" t="s">
        <v>34</v>
      </c>
      <c r="E7" s="141">
        <v>489323.75</v>
      </c>
      <c r="F7" s="141">
        <v>489323.75</v>
      </c>
      <c r="G7" s="139" t="s">
        <v>54</v>
      </c>
      <c r="H7" s="137" t="str">
        <f t="shared" si="0"/>
        <v>1</v>
      </c>
      <c r="I7" s="139" t="s">
        <v>36</v>
      </c>
      <c r="J7" s="138" t="s">
        <v>49</v>
      </c>
      <c r="K7" s="140">
        <v>45688</v>
      </c>
      <c r="L7" s="139" t="s">
        <v>34</v>
      </c>
      <c r="M7" s="148">
        <v>1</v>
      </c>
      <c r="N7" s="139" t="s">
        <v>55</v>
      </c>
      <c r="O7" s="138" t="s">
        <v>30</v>
      </c>
      <c r="P7" s="139" t="s">
        <v>41</v>
      </c>
      <c r="Q7" s="152">
        <v>25000</v>
      </c>
      <c r="R7" s="138" t="s">
        <v>42</v>
      </c>
      <c r="S7" s="153">
        <v>16.1061946902</v>
      </c>
      <c r="T7" s="153">
        <v>19</v>
      </c>
      <c r="U7" s="154">
        <v>16.9</v>
      </c>
      <c r="V7" s="155">
        <v>-2.89</v>
      </c>
      <c r="W7" s="155">
        <v>2.1</v>
      </c>
      <c r="X7" s="139" t="s">
        <v>43</v>
      </c>
      <c r="Y7" s="133" t="s">
        <v>44</v>
      </c>
      <c r="Z7" s="177">
        <v>45657</v>
      </c>
      <c r="AA7" s="130">
        <f t="shared" si="1"/>
        <v>454999.99999815</v>
      </c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</row>
    <row r="8" s="127" customFormat="1" ht="16.5" customHeight="1" spans="1:55">
      <c r="A8" s="142" t="s">
        <v>32</v>
      </c>
      <c r="B8" s="143" t="s">
        <v>56</v>
      </c>
      <c r="C8" s="144">
        <v>45714</v>
      </c>
      <c r="D8" s="142" t="s">
        <v>34</v>
      </c>
      <c r="E8" s="145">
        <v>48307.5</v>
      </c>
      <c r="F8" s="145">
        <v>48307.5</v>
      </c>
      <c r="G8" s="143" t="s">
        <v>57</v>
      </c>
      <c r="H8" s="137" t="str">
        <f t="shared" si="0"/>
        <v>2</v>
      </c>
      <c r="I8" s="143" t="s">
        <v>36</v>
      </c>
      <c r="J8" s="142" t="s">
        <v>58</v>
      </c>
      <c r="K8" s="144">
        <v>45714</v>
      </c>
      <c r="L8" s="143" t="s">
        <v>34</v>
      </c>
      <c r="M8" s="149">
        <v>3</v>
      </c>
      <c r="N8" s="143" t="s">
        <v>59</v>
      </c>
      <c r="O8" s="142" t="s">
        <v>60</v>
      </c>
      <c r="P8" s="143" t="s">
        <v>41</v>
      </c>
      <c r="Q8" s="156">
        <v>570</v>
      </c>
      <c r="R8" s="142" t="s">
        <v>42</v>
      </c>
      <c r="S8" s="157">
        <v>75</v>
      </c>
      <c r="T8" s="157">
        <v>79.65</v>
      </c>
      <c r="U8" s="158">
        <v>75</v>
      </c>
      <c r="V8" s="159">
        <v>-4.65</v>
      </c>
      <c r="W8" s="159">
        <v>4.65</v>
      </c>
      <c r="X8" s="143" t="s">
        <v>43</v>
      </c>
      <c r="Y8" s="179" t="s">
        <v>44</v>
      </c>
      <c r="Z8" s="180">
        <v>45661</v>
      </c>
      <c r="AA8" s="130">
        <f t="shared" si="1"/>
        <v>48307.5</v>
      </c>
      <c r="AB8" s="131"/>
      <c r="AC8" s="131"/>
      <c r="AD8" s="131"/>
      <c r="AE8" s="131"/>
      <c r="AF8" s="131"/>
      <c r="AG8" s="131"/>
      <c r="AH8" s="131"/>
      <c r="AI8" s="131"/>
      <c r="AJ8" s="131"/>
      <c r="AK8" s="131"/>
      <c r="AL8" s="131"/>
      <c r="AM8" s="131"/>
      <c r="AN8" s="131"/>
      <c r="AO8" s="131"/>
      <c r="AP8" s="131"/>
      <c r="AQ8" s="131"/>
      <c r="AR8" s="131"/>
      <c r="AS8" s="131"/>
      <c r="AT8" s="131"/>
      <c r="AU8" s="131"/>
      <c r="AV8" s="131"/>
      <c r="AW8" s="131"/>
      <c r="AX8" s="131"/>
      <c r="AY8" s="131"/>
      <c r="AZ8" s="131"/>
      <c r="BA8" s="131"/>
      <c r="BB8" s="131"/>
      <c r="BC8" s="131"/>
    </row>
    <row r="9" s="127" customFormat="1" ht="16.5" customHeight="1" spans="1:55">
      <c r="A9" s="138" t="s">
        <v>32</v>
      </c>
      <c r="B9" s="139" t="s">
        <v>61</v>
      </c>
      <c r="C9" s="140">
        <v>45715</v>
      </c>
      <c r="D9" s="138" t="s">
        <v>34</v>
      </c>
      <c r="E9" s="141">
        <v>25228.97</v>
      </c>
      <c r="F9" s="141">
        <v>25228.97</v>
      </c>
      <c r="G9" s="139" t="s">
        <v>62</v>
      </c>
      <c r="H9" s="137" t="str">
        <f t="shared" si="0"/>
        <v>2</v>
      </c>
      <c r="I9" s="139" t="s">
        <v>36</v>
      </c>
      <c r="J9" s="138" t="s">
        <v>63</v>
      </c>
      <c r="K9" s="140">
        <v>45715</v>
      </c>
      <c r="L9" s="139" t="s">
        <v>38</v>
      </c>
      <c r="M9" s="148">
        <v>1</v>
      </c>
      <c r="N9" s="139" t="s">
        <v>39</v>
      </c>
      <c r="O9" s="138" t="s">
        <v>40</v>
      </c>
      <c r="P9" s="139" t="s">
        <v>41</v>
      </c>
      <c r="Q9" s="152">
        <v>55816.294</v>
      </c>
      <c r="R9" s="138" t="s">
        <v>42</v>
      </c>
      <c r="S9" s="153">
        <v>0.4</v>
      </c>
      <c r="T9" s="153">
        <v>0.4</v>
      </c>
      <c r="U9" s="154">
        <v>0.4</v>
      </c>
      <c r="V9" s="155">
        <v>0</v>
      </c>
      <c r="W9" s="155">
        <v>0</v>
      </c>
      <c r="X9" s="139" t="s">
        <v>43</v>
      </c>
      <c r="Y9" s="133" t="s">
        <v>44</v>
      </c>
      <c r="Z9" s="177">
        <v>45688</v>
      </c>
      <c r="AA9" s="130">
        <f t="shared" si="1"/>
        <v>25228.964888</v>
      </c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</row>
    <row r="10" s="127" customFormat="1" ht="16.5" customHeight="1" spans="1:55">
      <c r="A10" s="142" t="s">
        <v>32</v>
      </c>
      <c r="B10" s="143" t="s">
        <v>64</v>
      </c>
      <c r="C10" s="144">
        <v>45716</v>
      </c>
      <c r="D10" s="142" t="s">
        <v>34</v>
      </c>
      <c r="E10" s="145">
        <v>910000</v>
      </c>
      <c r="F10" s="145">
        <v>910000</v>
      </c>
      <c r="G10" s="143" t="s">
        <v>65</v>
      </c>
      <c r="H10" s="137" t="str">
        <f t="shared" si="0"/>
        <v>2</v>
      </c>
      <c r="I10" s="143" t="s">
        <v>36</v>
      </c>
      <c r="J10" s="142" t="s">
        <v>66</v>
      </c>
      <c r="K10" s="144">
        <v>45716</v>
      </c>
      <c r="L10" s="143" t="s">
        <v>34</v>
      </c>
      <c r="M10" s="149">
        <v>1</v>
      </c>
      <c r="N10" s="143" t="s">
        <v>55</v>
      </c>
      <c r="O10" s="142" t="s">
        <v>30</v>
      </c>
      <c r="P10" s="143" t="s">
        <v>41</v>
      </c>
      <c r="Q10" s="156">
        <v>50000</v>
      </c>
      <c r="R10" s="142" t="s">
        <v>42</v>
      </c>
      <c r="S10" s="157">
        <v>16.1061946902</v>
      </c>
      <c r="T10" s="157">
        <v>19</v>
      </c>
      <c r="U10" s="158">
        <v>16.9</v>
      </c>
      <c r="V10" s="159">
        <v>-2.89</v>
      </c>
      <c r="W10" s="159">
        <v>2.1</v>
      </c>
      <c r="X10" s="143" t="s">
        <v>43</v>
      </c>
      <c r="Y10" s="179" t="s">
        <v>44</v>
      </c>
      <c r="Z10" s="180">
        <v>45688</v>
      </c>
      <c r="AA10" s="130">
        <f t="shared" si="1"/>
        <v>909999.9999963</v>
      </c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</row>
    <row r="11" s="127" customFormat="1" ht="16.5" customHeight="1" spans="1:55">
      <c r="A11" s="138" t="s">
        <v>32</v>
      </c>
      <c r="B11" s="139" t="s">
        <v>67</v>
      </c>
      <c r="C11" s="140">
        <v>45771</v>
      </c>
      <c r="D11" s="138" t="s">
        <v>34</v>
      </c>
      <c r="E11" s="141">
        <v>456456</v>
      </c>
      <c r="F11" s="141">
        <v>456456</v>
      </c>
      <c r="G11" s="139" t="s">
        <v>68</v>
      </c>
      <c r="H11" s="137" t="str">
        <f t="shared" si="0"/>
        <v>4</v>
      </c>
      <c r="I11" s="139" t="s">
        <v>36</v>
      </c>
      <c r="J11" s="138" t="s">
        <v>69</v>
      </c>
      <c r="K11" s="140">
        <v>45771</v>
      </c>
      <c r="L11" s="139" t="s">
        <v>34</v>
      </c>
      <c r="M11" s="148">
        <v>1</v>
      </c>
      <c r="N11" s="139" t="s">
        <v>55</v>
      </c>
      <c r="O11" s="138" t="s">
        <v>30</v>
      </c>
      <c r="P11" s="139" t="s">
        <v>41</v>
      </c>
      <c r="Q11" s="152">
        <v>25080</v>
      </c>
      <c r="R11" s="138" t="s">
        <v>42</v>
      </c>
      <c r="S11" s="153">
        <v>16.1061946902</v>
      </c>
      <c r="T11" s="153">
        <v>19</v>
      </c>
      <c r="U11" s="154">
        <v>16.9</v>
      </c>
      <c r="V11" s="155">
        <v>-2.89</v>
      </c>
      <c r="W11" s="155">
        <v>2.1</v>
      </c>
      <c r="X11" s="139" t="s">
        <v>43</v>
      </c>
      <c r="Y11" s="133" t="s">
        <v>44</v>
      </c>
      <c r="Z11" s="177">
        <v>45747</v>
      </c>
      <c r="AA11" s="130">
        <f t="shared" si="1"/>
        <v>456455.999998144</v>
      </c>
      <c r="AB11" s="131"/>
      <c r="AC11" s="131"/>
      <c r="AD11" s="131"/>
      <c r="AE11" s="131"/>
      <c r="AF11" s="131"/>
      <c r="AG11" s="131"/>
      <c r="AH11" s="131"/>
      <c r="AI11" s="131"/>
      <c r="AJ11" s="131"/>
      <c r="AK11" s="131"/>
      <c r="AL11" s="131"/>
      <c r="AM11" s="131"/>
      <c r="AN11" s="131"/>
      <c r="AO11" s="131"/>
      <c r="AP11" s="131"/>
      <c r="AQ11" s="131"/>
      <c r="AR11" s="131"/>
      <c r="AS11" s="131"/>
      <c r="AT11" s="131"/>
      <c r="AU11" s="131"/>
      <c r="AV11" s="131"/>
      <c r="AW11" s="131"/>
      <c r="AX11" s="131"/>
      <c r="AY11" s="131"/>
      <c r="AZ11" s="131"/>
      <c r="BA11" s="131"/>
      <c r="BB11" s="131"/>
      <c r="BC11" s="131"/>
    </row>
    <row r="12" s="127" customFormat="1" ht="16.5" customHeight="1" spans="1:55">
      <c r="A12" s="142" t="s">
        <v>32</v>
      </c>
      <c r="B12" s="143" t="s">
        <v>70</v>
      </c>
      <c r="C12" s="144">
        <v>45775</v>
      </c>
      <c r="D12" s="142" t="s">
        <v>34</v>
      </c>
      <c r="E12" s="145">
        <v>456456</v>
      </c>
      <c r="F12" s="145">
        <v>456456</v>
      </c>
      <c r="G12" s="143" t="s">
        <v>71</v>
      </c>
      <c r="H12" s="137" t="str">
        <f t="shared" si="0"/>
        <v>4</v>
      </c>
      <c r="I12" s="143" t="s">
        <v>36</v>
      </c>
      <c r="J12" s="142" t="s">
        <v>72</v>
      </c>
      <c r="K12" s="144">
        <v>45775</v>
      </c>
      <c r="L12" s="143" t="s">
        <v>34</v>
      </c>
      <c r="M12" s="149">
        <v>1</v>
      </c>
      <c r="N12" s="143" t="s">
        <v>55</v>
      </c>
      <c r="O12" s="142" t="s">
        <v>30</v>
      </c>
      <c r="P12" s="143" t="s">
        <v>41</v>
      </c>
      <c r="Q12" s="156">
        <v>25080</v>
      </c>
      <c r="R12" s="142" t="s">
        <v>42</v>
      </c>
      <c r="S12" s="157">
        <v>16.1061946902</v>
      </c>
      <c r="T12" s="157">
        <v>19</v>
      </c>
      <c r="U12" s="158">
        <v>16.9</v>
      </c>
      <c r="V12" s="159">
        <v>-2.89</v>
      </c>
      <c r="W12" s="159">
        <v>2.1</v>
      </c>
      <c r="X12" s="143" t="s">
        <v>43</v>
      </c>
      <c r="Y12" s="179" t="s">
        <v>44</v>
      </c>
      <c r="Z12" s="180">
        <v>45768</v>
      </c>
      <c r="AA12" s="130">
        <f t="shared" si="1"/>
        <v>456455.999998144</v>
      </c>
      <c r="AB12" s="131"/>
      <c r="AC12" s="131"/>
      <c r="AD12" s="131"/>
      <c r="AE12" s="131"/>
      <c r="AF12" s="131"/>
      <c r="AG12" s="131"/>
      <c r="AH12" s="131"/>
      <c r="AI12" s="131"/>
      <c r="AJ12" s="131"/>
      <c r="AK12" s="131"/>
      <c r="AL12" s="131"/>
      <c r="AM12" s="131"/>
      <c r="AN12" s="131"/>
      <c r="AO12" s="131"/>
      <c r="AP12" s="131"/>
      <c r="AQ12" s="131"/>
      <c r="AR12" s="131"/>
      <c r="AS12" s="131"/>
      <c r="AT12" s="131"/>
      <c r="AU12" s="131"/>
      <c r="AV12" s="131"/>
      <c r="AW12" s="131"/>
      <c r="AX12" s="131"/>
      <c r="AY12" s="131"/>
      <c r="AZ12" s="131"/>
      <c r="BA12" s="131"/>
      <c r="BB12" s="131"/>
      <c r="BC12" s="131"/>
    </row>
    <row r="13" s="127" customFormat="1" ht="16.5" customHeight="1" spans="1:55">
      <c r="A13" s="138" t="s">
        <v>32</v>
      </c>
      <c r="B13" s="139" t="s">
        <v>73</v>
      </c>
      <c r="C13" s="140">
        <v>45799</v>
      </c>
      <c r="D13" s="138" t="s">
        <v>34</v>
      </c>
      <c r="E13" s="141">
        <v>456456</v>
      </c>
      <c r="F13" s="141">
        <v>456456</v>
      </c>
      <c r="G13" s="139" t="s">
        <v>74</v>
      </c>
      <c r="H13" s="137" t="str">
        <f t="shared" si="0"/>
        <v>5</v>
      </c>
      <c r="I13" s="139" t="s">
        <v>36</v>
      </c>
      <c r="J13" s="138" t="s">
        <v>75</v>
      </c>
      <c r="K13" s="140">
        <v>45799</v>
      </c>
      <c r="L13" s="139" t="s">
        <v>34</v>
      </c>
      <c r="M13" s="148">
        <v>1</v>
      </c>
      <c r="N13" s="139" t="s">
        <v>55</v>
      </c>
      <c r="O13" s="138" t="s">
        <v>30</v>
      </c>
      <c r="P13" s="139" t="s">
        <v>41</v>
      </c>
      <c r="Q13" s="152">
        <v>25080</v>
      </c>
      <c r="R13" s="138" t="s">
        <v>42</v>
      </c>
      <c r="S13" s="153">
        <v>16.1061946902</v>
      </c>
      <c r="T13" s="153">
        <v>19</v>
      </c>
      <c r="U13" s="154">
        <v>16.9</v>
      </c>
      <c r="V13" s="155">
        <v>-2.89</v>
      </c>
      <c r="W13" s="155">
        <v>2.1</v>
      </c>
      <c r="X13" s="139" t="s">
        <v>43</v>
      </c>
      <c r="Y13" s="133" t="s">
        <v>44</v>
      </c>
      <c r="Z13" s="177">
        <v>45777</v>
      </c>
      <c r="AA13" s="130">
        <f t="shared" si="1"/>
        <v>456455.999998144</v>
      </c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</row>
    <row r="14" s="127" customFormat="1" ht="16.5" customHeight="1" spans="1:55">
      <c r="A14" s="142" t="s">
        <v>32</v>
      </c>
      <c r="B14" s="143" t="s">
        <v>76</v>
      </c>
      <c r="C14" s="144">
        <v>45803</v>
      </c>
      <c r="D14" s="142" t="s">
        <v>34</v>
      </c>
      <c r="E14" s="145">
        <v>292465.23</v>
      </c>
      <c r="F14" s="145">
        <v>292465.22</v>
      </c>
      <c r="G14" s="143" t="s">
        <v>77</v>
      </c>
      <c r="H14" s="137" t="str">
        <f t="shared" si="0"/>
        <v>5</v>
      </c>
      <c r="I14" s="143" t="s">
        <v>36</v>
      </c>
      <c r="J14" s="142" t="s">
        <v>78</v>
      </c>
      <c r="K14" s="144">
        <v>45803</v>
      </c>
      <c r="L14" s="143" t="s">
        <v>34</v>
      </c>
      <c r="M14" s="149">
        <v>3</v>
      </c>
      <c r="N14" s="143" t="s">
        <v>59</v>
      </c>
      <c r="O14" s="142" t="s">
        <v>60</v>
      </c>
      <c r="P14" s="143" t="s">
        <v>41</v>
      </c>
      <c r="Q14" s="156">
        <v>570</v>
      </c>
      <c r="R14" s="142" t="s">
        <v>42</v>
      </c>
      <c r="S14" s="157">
        <v>72</v>
      </c>
      <c r="T14" s="157">
        <v>79.65</v>
      </c>
      <c r="U14" s="158">
        <v>75</v>
      </c>
      <c r="V14" s="159">
        <v>-7.65</v>
      </c>
      <c r="W14" s="159">
        <v>4.65</v>
      </c>
      <c r="X14" s="143" t="s">
        <v>43</v>
      </c>
      <c r="Y14" s="179" t="s">
        <v>44</v>
      </c>
      <c r="Z14" s="180">
        <v>45740</v>
      </c>
      <c r="AA14" s="130">
        <f t="shared" si="1"/>
        <v>46375.2</v>
      </c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</row>
    <row r="15" s="127" customFormat="1" ht="16.5" customHeight="1" spans="1:55">
      <c r="A15" s="138" t="s">
        <v>32</v>
      </c>
      <c r="B15" s="139" t="s">
        <v>76</v>
      </c>
      <c r="C15" s="140">
        <v>45803</v>
      </c>
      <c r="D15" s="138" t="s">
        <v>34</v>
      </c>
      <c r="E15" s="141">
        <v>292465.23</v>
      </c>
      <c r="F15" s="141">
        <v>292465.22</v>
      </c>
      <c r="G15" s="139" t="s">
        <v>79</v>
      </c>
      <c r="H15" s="137" t="str">
        <f t="shared" si="0"/>
        <v>5</v>
      </c>
      <c r="I15" s="139" t="s">
        <v>36</v>
      </c>
      <c r="J15" s="138" t="s">
        <v>78</v>
      </c>
      <c r="K15" s="140">
        <v>45803</v>
      </c>
      <c r="L15" s="139" t="s">
        <v>38</v>
      </c>
      <c r="M15" s="148">
        <v>2</v>
      </c>
      <c r="N15" s="139" t="s">
        <v>80</v>
      </c>
      <c r="O15" s="138" t="s">
        <v>81</v>
      </c>
      <c r="P15" s="139" t="s">
        <v>82</v>
      </c>
      <c r="Q15" s="152">
        <v>700</v>
      </c>
      <c r="R15" s="138" t="s">
        <v>83</v>
      </c>
      <c r="S15" s="153">
        <v>37</v>
      </c>
      <c r="T15" s="153">
        <v>37</v>
      </c>
      <c r="U15" s="154">
        <v>0</v>
      </c>
      <c r="V15" s="155">
        <v>0</v>
      </c>
      <c r="W15" s="155">
        <v>37</v>
      </c>
      <c r="X15" s="139" t="s">
        <v>43</v>
      </c>
      <c r="Y15" s="133" t="s">
        <v>44</v>
      </c>
      <c r="Z15" s="177">
        <v>45747</v>
      </c>
      <c r="AA15" s="130">
        <f t="shared" si="1"/>
        <v>29267</v>
      </c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</row>
    <row r="16" s="127" customFormat="1" ht="16.5" customHeight="1" spans="1:55">
      <c r="A16" s="142" t="s">
        <v>32</v>
      </c>
      <c r="B16" s="143" t="s">
        <v>76</v>
      </c>
      <c r="C16" s="144">
        <v>45803</v>
      </c>
      <c r="D16" s="142" t="s">
        <v>34</v>
      </c>
      <c r="E16" s="145">
        <v>292465.23</v>
      </c>
      <c r="F16" s="145">
        <v>292465.22</v>
      </c>
      <c r="G16" s="143" t="s">
        <v>84</v>
      </c>
      <c r="H16" s="137" t="str">
        <f t="shared" si="0"/>
        <v>5</v>
      </c>
      <c r="I16" s="143" t="s">
        <v>36</v>
      </c>
      <c r="J16" s="142" t="s">
        <v>78</v>
      </c>
      <c r="K16" s="144">
        <v>45803</v>
      </c>
      <c r="L16" s="143" t="s">
        <v>38</v>
      </c>
      <c r="M16" s="149">
        <v>1</v>
      </c>
      <c r="N16" s="143" t="s">
        <v>39</v>
      </c>
      <c r="O16" s="142" t="s">
        <v>40</v>
      </c>
      <c r="P16" s="143" t="s">
        <v>41</v>
      </c>
      <c r="Q16" s="156">
        <v>88052.34</v>
      </c>
      <c r="R16" s="142" t="s">
        <v>42</v>
      </c>
      <c r="S16" s="157">
        <v>0.4</v>
      </c>
      <c r="T16" s="157">
        <v>0.4</v>
      </c>
      <c r="U16" s="158">
        <v>0.4</v>
      </c>
      <c r="V16" s="159">
        <v>0</v>
      </c>
      <c r="W16" s="159">
        <v>0</v>
      </c>
      <c r="X16" s="143" t="s">
        <v>43</v>
      </c>
      <c r="Y16" s="179" t="s">
        <v>44</v>
      </c>
      <c r="Z16" s="180">
        <v>45747</v>
      </c>
      <c r="AA16" s="130">
        <f t="shared" si="1"/>
        <v>39799.65768</v>
      </c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</row>
    <row r="17" s="127" customFormat="1" ht="16.5" customHeight="1" spans="1:55">
      <c r="A17" s="138" t="s">
        <v>32</v>
      </c>
      <c r="B17" s="139" t="s">
        <v>76</v>
      </c>
      <c r="C17" s="140">
        <v>45803</v>
      </c>
      <c r="D17" s="138" t="s">
        <v>34</v>
      </c>
      <c r="E17" s="141">
        <v>292465.23</v>
      </c>
      <c r="F17" s="141">
        <v>292465.22</v>
      </c>
      <c r="G17" s="139" t="s">
        <v>85</v>
      </c>
      <c r="H17" s="137" t="str">
        <f t="shared" si="0"/>
        <v>5</v>
      </c>
      <c r="I17" s="139" t="s">
        <v>36</v>
      </c>
      <c r="J17" s="138" t="s">
        <v>78</v>
      </c>
      <c r="K17" s="140">
        <v>45803</v>
      </c>
      <c r="L17" s="139" t="s">
        <v>38</v>
      </c>
      <c r="M17" s="148">
        <v>2</v>
      </c>
      <c r="N17" s="139" t="s">
        <v>80</v>
      </c>
      <c r="O17" s="138" t="s">
        <v>81</v>
      </c>
      <c r="P17" s="139" t="s">
        <v>82</v>
      </c>
      <c r="Q17" s="152">
        <v>900</v>
      </c>
      <c r="R17" s="138" t="s">
        <v>83</v>
      </c>
      <c r="S17" s="153">
        <v>37</v>
      </c>
      <c r="T17" s="153">
        <v>37</v>
      </c>
      <c r="U17" s="154">
        <v>0</v>
      </c>
      <c r="V17" s="155">
        <v>0</v>
      </c>
      <c r="W17" s="155">
        <v>37</v>
      </c>
      <c r="X17" s="139" t="s">
        <v>43</v>
      </c>
      <c r="Y17" s="133" t="s">
        <v>44</v>
      </c>
      <c r="Z17" s="177">
        <v>45763</v>
      </c>
      <c r="AA17" s="130">
        <f t="shared" si="1"/>
        <v>37629</v>
      </c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</row>
    <row r="18" s="127" customFormat="1" ht="16.5" customHeight="1" spans="1:55">
      <c r="A18" s="142" t="s">
        <v>32</v>
      </c>
      <c r="B18" s="143" t="s">
        <v>76</v>
      </c>
      <c r="C18" s="144">
        <v>45803</v>
      </c>
      <c r="D18" s="142" t="s">
        <v>34</v>
      </c>
      <c r="E18" s="145">
        <v>292465.23</v>
      </c>
      <c r="F18" s="145">
        <v>292465.22</v>
      </c>
      <c r="G18" s="143" t="s">
        <v>71</v>
      </c>
      <c r="H18" s="137" t="str">
        <f t="shared" si="0"/>
        <v>5</v>
      </c>
      <c r="I18" s="143" t="s">
        <v>36</v>
      </c>
      <c r="J18" s="142" t="s">
        <v>78</v>
      </c>
      <c r="K18" s="144">
        <v>45803</v>
      </c>
      <c r="L18" s="143" t="s">
        <v>34</v>
      </c>
      <c r="M18" s="149">
        <v>3</v>
      </c>
      <c r="N18" s="143" t="s">
        <v>59</v>
      </c>
      <c r="O18" s="142" t="s">
        <v>60</v>
      </c>
      <c r="P18" s="143" t="s">
        <v>41</v>
      </c>
      <c r="Q18" s="156">
        <v>570</v>
      </c>
      <c r="R18" s="142" t="s">
        <v>42</v>
      </c>
      <c r="S18" s="157">
        <v>72</v>
      </c>
      <c r="T18" s="157">
        <v>79.65</v>
      </c>
      <c r="U18" s="158">
        <v>75</v>
      </c>
      <c r="V18" s="159">
        <v>-7.65</v>
      </c>
      <c r="W18" s="159">
        <v>4.65</v>
      </c>
      <c r="X18" s="143" t="s">
        <v>43</v>
      </c>
      <c r="Y18" s="179" t="s">
        <v>44</v>
      </c>
      <c r="Z18" s="180">
        <v>45768</v>
      </c>
      <c r="AA18" s="130">
        <f t="shared" si="1"/>
        <v>46375.2</v>
      </c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</row>
    <row r="19" s="127" customFormat="1" ht="16.5" customHeight="1" spans="1:55">
      <c r="A19" s="138" t="s">
        <v>32</v>
      </c>
      <c r="B19" s="139" t="s">
        <v>76</v>
      </c>
      <c r="C19" s="140">
        <v>45803</v>
      </c>
      <c r="D19" s="138" t="s">
        <v>34</v>
      </c>
      <c r="E19" s="141">
        <v>292465.23</v>
      </c>
      <c r="F19" s="141">
        <v>292465.22</v>
      </c>
      <c r="G19" s="139" t="s">
        <v>86</v>
      </c>
      <c r="H19" s="137" t="str">
        <f t="shared" si="0"/>
        <v>5</v>
      </c>
      <c r="I19" s="139" t="s">
        <v>36</v>
      </c>
      <c r="J19" s="138" t="s">
        <v>78</v>
      </c>
      <c r="K19" s="140">
        <v>45803</v>
      </c>
      <c r="L19" s="139" t="s">
        <v>38</v>
      </c>
      <c r="M19" s="148">
        <v>1</v>
      </c>
      <c r="N19" s="139" t="s">
        <v>39</v>
      </c>
      <c r="O19" s="138" t="s">
        <v>40</v>
      </c>
      <c r="P19" s="139" t="s">
        <v>41</v>
      </c>
      <c r="Q19" s="152">
        <v>205794.62</v>
      </c>
      <c r="R19" s="138" t="s">
        <v>42</v>
      </c>
      <c r="S19" s="153">
        <v>0.4</v>
      </c>
      <c r="T19" s="153">
        <v>0.4</v>
      </c>
      <c r="U19" s="154">
        <v>0.4</v>
      </c>
      <c r="V19" s="155">
        <v>0</v>
      </c>
      <c r="W19" s="155">
        <v>0</v>
      </c>
      <c r="X19" s="139" t="s">
        <v>43</v>
      </c>
      <c r="Y19" s="133" t="s">
        <v>44</v>
      </c>
      <c r="Z19" s="177">
        <v>45777</v>
      </c>
      <c r="AA19" s="130">
        <f t="shared" si="1"/>
        <v>93019.16824</v>
      </c>
      <c r="AB19" s="131"/>
      <c r="AC19" s="131"/>
      <c r="AD19" s="131"/>
      <c r="AE19" s="131"/>
      <c r="AF19" s="131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</row>
    <row r="20" s="127" customFormat="1" ht="16.5" customHeight="1" spans="1:55">
      <c r="A20" s="142" t="s">
        <v>32</v>
      </c>
      <c r="B20" s="143" t="s">
        <v>87</v>
      </c>
      <c r="C20" s="144">
        <v>45804</v>
      </c>
      <c r="D20" s="142" t="s">
        <v>34</v>
      </c>
      <c r="E20" s="145">
        <v>456456</v>
      </c>
      <c r="F20" s="145">
        <v>165923.08</v>
      </c>
      <c r="G20" s="143" t="s">
        <v>88</v>
      </c>
      <c r="H20" s="137" t="str">
        <f t="shared" si="0"/>
        <v>5</v>
      </c>
      <c r="I20" s="143" t="s">
        <v>36</v>
      </c>
      <c r="J20" s="142" t="s">
        <v>89</v>
      </c>
      <c r="K20" s="144">
        <v>45804</v>
      </c>
      <c r="L20" s="143" t="s">
        <v>34</v>
      </c>
      <c r="M20" s="149">
        <v>1</v>
      </c>
      <c r="N20" s="143" t="s">
        <v>55</v>
      </c>
      <c r="O20" s="142" t="s">
        <v>30</v>
      </c>
      <c r="P20" s="143" t="s">
        <v>41</v>
      </c>
      <c r="Q20" s="156">
        <v>25080</v>
      </c>
      <c r="R20" s="142" t="s">
        <v>42</v>
      </c>
      <c r="S20" s="157">
        <v>16.1061946902</v>
      </c>
      <c r="T20" s="157">
        <v>19</v>
      </c>
      <c r="U20" s="158">
        <v>16.9</v>
      </c>
      <c r="V20" s="159">
        <v>-2.89</v>
      </c>
      <c r="W20" s="159">
        <v>2.1</v>
      </c>
      <c r="X20" s="143" t="s">
        <v>43</v>
      </c>
      <c r="Y20" s="179" t="s">
        <v>44</v>
      </c>
      <c r="Z20" s="180">
        <v>45799</v>
      </c>
      <c r="AA20" s="130">
        <f t="shared" si="1"/>
        <v>456455.999998144</v>
      </c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</row>
    <row r="21" s="127" customFormat="1" ht="16.5" customHeight="1" spans="1:55">
      <c r="A21" s="138" t="s">
        <v>32</v>
      </c>
      <c r="B21" s="139" t="s">
        <v>90</v>
      </c>
      <c r="C21" s="140">
        <v>45832</v>
      </c>
      <c r="D21" s="138" t="s">
        <v>34</v>
      </c>
      <c r="E21" s="141">
        <v>443916</v>
      </c>
      <c r="F21" s="141">
        <v>0</v>
      </c>
      <c r="G21" s="139" t="s">
        <v>91</v>
      </c>
      <c r="H21" s="137" t="str">
        <f t="shared" si="0"/>
        <v>6</v>
      </c>
      <c r="I21" s="139" t="s">
        <v>36</v>
      </c>
      <c r="J21" s="138" t="s">
        <v>92</v>
      </c>
      <c r="K21" s="140">
        <v>45832</v>
      </c>
      <c r="L21" s="139" t="s">
        <v>34</v>
      </c>
      <c r="M21" s="148">
        <v>1</v>
      </c>
      <c r="N21" s="139" t="s">
        <v>55</v>
      </c>
      <c r="O21" s="138" t="s">
        <v>30</v>
      </c>
      <c r="P21" s="139" t="s">
        <v>41</v>
      </c>
      <c r="Q21" s="152">
        <v>25080</v>
      </c>
      <c r="R21" s="138" t="s">
        <v>42</v>
      </c>
      <c r="S21" s="153">
        <v>15.6637168141</v>
      </c>
      <c r="T21" s="153">
        <v>19</v>
      </c>
      <c r="U21" s="154">
        <v>16.9</v>
      </c>
      <c r="V21" s="155">
        <v>-3.34</v>
      </c>
      <c r="W21" s="155">
        <v>2.1</v>
      </c>
      <c r="X21" s="139" t="s">
        <v>43</v>
      </c>
      <c r="Y21" s="133" t="s">
        <v>44</v>
      </c>
      <c r="Z21" s="177">
        <v>45807</v>
      </c>
      <c r="AA21" s="130">
        <f t="shared" si="1"/>
        <v>443915.99999832</v>
      </c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</row>
    <row r="22" s="127" customFormat="1" ht="16.5" customHeight="1" spans="1:55">
      <c r="A22" s="142" t="s">
        <v>32</v>
      </c>
      <c r="B22" s="143" t="s">
        <v>93</v>
      </c>
      <c r="C22" s="144">
        <v>45832</v>
      </c>
      <c r="D22" s="142" t="s">
        <v>34</v>
      </c>
      <c r="E22" s="145">
        <v>443916</v>
      </c>
      <c r="F22" s="145">
        <v>0</v>
      </c>
      <c r="G22" s="143" t="s">
        <v>94</v>
      </c>
      <c r="H22" s="137" t="str">
        <f t="shared" si="0"/>
        <v>6</v>
      </c>
      <c r="I22" s="143" t="s">
        <v>36</v>
      </c>
      <c r="J22" s="142" t="s">
        <v>95</v>
      </c>
      <c r="K22" s="144">
        <v>45832</v>
      </c>
      <c r="L22" s="143" t="s">
        <v>34</v>
      </c>
      <c r="M22" s="149">
        <v>1</v>
      </c>
      <c r="N22" s="143" t="s">
        <v>55</v>
      </c>
      <c r="O22" s="142" t="s">
        <v>30</v>
      </c>
      <c r="P22" s="143" t="s">
        <v>41</v>
      </c>
      <c r="Q22" s="156">
        <v>25080</v>
      </c>
      <c r="R22" s="142" t="s">
        <v>42</v>
      </c>
      <c r="S22" s="157">
        <v>15.6637168141</v>
      </c>
      <c r="T22" s="157">
        <v>19</v>
      </c>
      <c r="U22" s="158">
        <v>16.9</v>
      </c>
      <c r="V22" s="159">
        <v>-3.34</v>
      </c>
      <c r="W22" s="159">
        <v>2.1</v>
      </c>
      <c r="X22" s="143" t="s">
        <v>43</v>
      </c>
      <c r="Y22" s="179" t="s">
        <v>44</v>
      </c>
      <c r="Z22" s="180">
        <v>45817</v>
      </c>
      <c r="AA22" s="130">
        <f t="shared" si="1"/>
        <v>443915.99999832</v>
      </c>
      <c r="AB22" s="131"/>
      <c r="AC22" s="131"/>
      <c r="AD22" s="131"/>
      <c r="AE22" s="131"/>
      <c r="AF22" s="131"/>
      <c r="AG22" s="131"/>
      <c r="AH22" s="131"/>
      <c r="AI22" s="131"/>
      <c r="AJ22" s="131"/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131"/>
      <c r="AY22" s="131"/>
      <c r="AZ22" s="131"/>
      <c r="BA22" s="131"/>
      <c r="BB22" s="131"/>
      <c r="BC22" s="131"/>
    </row>
    <row r="23" s="127" customFormat="1" ht="16.5" customHeight="1" spans="1:55">
      <c r="A23" s="138" t="s">
        <v>32</v>
      </c>
      <c r="B23" s="139" t="s">
        <v>96</v>
      </c>
      <c r="C23" s="140">
        <v>45832</v>
      </c>
      <c r="D23" s="138" t="s">
        <v>34</v>
      </c>
      <c r="E23" s="141">
        <v>443916</v>
      </c>
      <c r="F23" s="141">
        <v>0</v>
      </c>
      <c r="G23" s="139" t="s">
        <v>97</v>
      </c>
      <c r="H23" s="137" t="str">
        <f t="shared" si="0"/>
        <v>6</v>
      </c>
      <c r="I23" s="139" t="s">
        <v>36</v>
      </c>
      <c r="J23" s="138" t="s">
        <v>98</v>
      </c>
      <c r="K23" s="140">
        <v>45832</v>
      </c>
      <c r="L23" s="139" t="s">
        <v>34</v>
      </c>
      <c r="M23" s="148">
        <v>1</v>
      </c>
      <c r="N23" s="139" t="s">
        <v>55</v>
      </c>
      <c r="O23" s="138" t="s">
        <v>30</v>
      </c>
      <c r="P23" s="139" t="s">
        <v>41</v>
      </c>
      <c r="Q23" s="152">
        <v>25080</v>
      </c>
      <c r="R23" s="138" t="s">
        <v>42</v>
      </c>
      <c r="S23" s="153">
        <v>15.6637168141</v>
      </c>
      <c r="T23" s="153">
        <v>19</v>
      </c>
      <c r="U23" s="154">
        <v>16.9</v>
      </c>
      <c r="V23" s="155">
        <v>-3.34</v>
      </c>
      <c r="W23" s="155">
        <v>2.1</v>
      </c>
      <c r="X23" s="139" t="s">
        <v>43</v>
      </c>
      <c r="Y23" s="133" t="s">
        <v>44</v>
      </c>
      <c r="Z23" s="177">
        <v>45806</v>
      </c>
      <c r="AA23" s="130">
        <f t="shared" si="1"/>
        <v>443915.99999832</v>
      </c>
      <c r="AB23" s="131"/>
      <c r="AC23" s="131"/>
      <c r="AD23" s="131"/>
      <c r="AE23" s="131"/>
      <c r="AF23" s="131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131"/>
    </row>
    <row r="24" s="127" customFormat="1" ht="16.5" customHeight="1" spans="1:55">
      <c r="A24" s="142" t="s">
        <v>32</v>
      </c>
      <c r="B24" s="143" t="s">
        <v>99</v>
      </c>
      <c r="C24" s="144">
        <v>45833</v>
      </c>
      <c r="D24" s="142" t="s">
        <v>34</v>
      </c>
      <c r="E24" s="145">
        <v>168392.6</v>
      </c>
      <c r="F24" s="145">
        <v>0</v>
      </c>
      <c r="G24" s="143" t="s">
        <v>100</v>
      </c>
      <c r="H24" s="137" t="str">
        <f t="shared" si="0"/>
        <v>6</v>
      </c>
      <c r="I24" s="143" t="s">
        <v>36</v>
      </c>
      <c r="J24" s="142" t="s">
        <v>101</v>
      </c>
      <c r="K24" s="144">
        <v>45833</v>
      </c>
      <c r="L24" s="143" t="s">
        <v>34</v>
      </c>
      <c r="M24" s="149">
        <v>3</v>
      </c>
      <c r="N24" s="143" t="s">
        <v>59</v>
      </c>
      <c r="O24" s="142" t="s">
        <v>60</v>
      </c>
      <c r="P24" s="143" t="s">
        <v>41</v>
      </c>
      <c r="Q24" s="156">
        <v>1140</v>
      </c>
      <c r="R24" s="142" t="s">
        <v>42</v>
      </c>
      <c r="S24" s="157">
        <v>72</v>
      </c>
      <c r="T24" s="157">
        <v>72</v>
      </c>
      <c r="U24" s="158">
        <v>75</v>
      </c>
      <c r="V24" s="159">
        <v>0</v>
      </c>
      <c r="W24" s="159">
        <v>-3</v>
      </c>
      <c r="X24" s="143" t="s">
        <v>43</v>
      </c>
      <c r="Y24" s="179" t="s">
        <v>44</v>
      </c>
      <c r="Z24" s="180">
        <v>45804</v>
      </c>
      <c r="AA24" s="130">
        <f t="shared" si="1"/>
        <v>92750.4</v>
      </c>
      <c r="AB24" s="131"/>
      <c r="AC24" s="131"/>
      <c r="AD24" s="131"/>
      <c r="AE24" s="131"/>
      <c r="AF24" s="131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131"/>
      <c r="AY24" s="131"/>
      <c r="AZ24" s="131"/>
      <c r="BA24" s="131"/>
      <c r="BB24" s="131"/>
      <c r="BC24" s="131"/>
    </row>
    <row r="25" s="127" customFormat="1" ht="16.5" customHeight="1" spans="1:55">
      <c r="A25" s="138" t="s">
        <v>32</v>
      </c>
      <c r="B25" s="139" t="s">
        <v>99</v>
      </c>
      <c r="C25" s="140">
        <v>45833</v>
      </c>
      <c r="D25" s="138" t="s">
        <v>34</v>
      </c>
      <c r="E25" s="141">
        <v>168392.6</v>
      </c>
      <c r="F25" s="141">
        <v>0</v>
      </c>
      <c r="G25" s="139" t="s">
        <v>102</v>
      </c>
      <c r="H25" s="137" t="str">
        <f t="shared" si="0"/>
        <v>6</v>
      </c>
      <c r="I25" s="139" t="s">
        <v>36</v>
      </c>
      <c r="J25" s="138" t="s">
        <v>101</v>
      </c>
      <c r="K25" s="140">
        <v>45833</v>
      </c>
      <c r="L25" s="139" t="s">
        <v>38</v>
      </c>
      <c r="M25" s="148">
        <v>2</v>
      </c>
      <c r="N25" s="139" t="s">
        <v>80</v>
      </c>
      <c r="O25" s="138" t="s">
        <v>81</v>
      </c>
      <c r="P25" s="139" t="s">
        <v>82</v>
      </c>
      <c r="Q25" s="152">
        <v>700</v>
      </c>
      <c r="R25" s="138" t="s">
        <v>83</v>
      </c>
      <c r="S25" s="153">
        <v>37</v>
      </c>
      <c r="T25" s="153">
        <v>37</v>
      </c>
      <c r="U25" s="154">
        <v>0</v>
      </c>
      <c r="V25" s="155">
        <v>0</v>
      </c>
      <c r="W25" s="155">
        <v>37</v>
      </c>
      <c r="X25" s="139" t="s">
        <v>43</v>
      </c>
      <c r="Y25" s="133" t="s">
        <v>44</v>
      </c>
      <c r="Z25" s="177">
        <v>45804</v>
      </c>
      <c r="AA25" s="130">
        <f t="shared" si="1"/>
        <v>29267</v>
      </c>
      <c r="AB25" s="131"/>
      <c r="AC25" s="131"/>
      <c r="AD25" s="131"/>
      <c r="AE25" s="131"/>
      <c r="AF25" s="131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  <c r="BC25" s="131"/>
    </row>
    <row r="26" s="127" customFormat="1" ht="16.5" customHeight="1" spans="1:55">
      <c r="A26" s="142" t="s">
        <v>32</v>
      </c>
      <c r="B26" s="143" t="s">
        <v>99</v>
      </c>
      <c r="C26" s="144">
        <v>45833</v>
      </c>
      <c r="D26" s="142" t="s">
        <v>34</v>
      </c>
      <c r="E26" s="145">
        <v>168392.6</v>
      </c>
      <c r="F26" s="145">
        <v>0</v>
      </c>
      <c r="G26" s="143" t="s">
        <v>103</v>
      </c>
      <c r="H26" s="137" t="str">
        <f t="shared" si="0"/>
        <v>6</v>
      </c>
      <c r="I26" s="143" t="s">
        <v>36</v>
      </c>
      <c r="J26" s="142" t="s">
        <v>101</v>
      </c>
      <c r="K26" s="144">
        <v>45833</v>
      </c>
      <c r="L26" s="143" t="s">
        <v>34</v>
      </c>
      <c r="M26" s="149">
        <v>3</v>
      </c>
      <c r="N26" s="143" t="s">
        <v>59</v>
      </c>
      <c r="O26" s="142" t="s">
        <v>60</v>
      </c>
      <c r="P26" s="143" t="s">
        <v>41</v>
      </c>
      <c r="Q26" s="156">
        <v>570</v>
      </c>
      <c r="R26" s="142" t="s">
        <v>42</v>
      </c>
      <c r="S26" s="157">
        <v>72</v>
      </c>
      <c r="T26" s="157">
        <v>72</v>
      </c>
      <c r="U26" s="158">
        <v>75</v>
      </c>
      <c r="V26" s="159">
        <v>0</v>
      </c>
      <c r="W26" s="159">
        <v>-3</v>
      </c>
      <c r="X26" s="143" t="s">
        <v>43</v>
      </c>
      <c r="Y26" s="179" t="s">
        <v>44</v>
      </c>
      <c r="Z26" s="180">
        <v>45808</v>
      </c>
      <c r="AA26" s="130">
        <f t="shared" si="1"/>
        <v>46375.2</v>
      </c>
      <c r="AB26" s="131"/>
      <c r="AC26" s="131"/>
      <c r="AD26" s="131"/>
      <c r="AE26" s="131"/>
      <c r="AF26" s="131"/>
      <c r="AG26" s="131"/>
      <c r="AH26" s="131"/>
      <c r="AI26" s="131"/>
      <c r="AJ26" s="131"/>
      <c r="AK26" s="131"/>
      <c r="AL26" s="131"/>
      <c r="AM26" s="131"/>
      <c r="AN26" s="131"/>
      <c r="AO26" s="131"/>
      <c r="AP26" s="131"/>
      <c r="AQ26" s="131"/>
      <c r="AR26" s="131"/>
      <c r="AS26" s="131"/>
      <c r="AT26" s="131"/>
      <c r="AU26" s="131"/>
      <c r="AV26" s="131"/>
      <c r="AW26" s="131"/>
      <c r="AX26" s="131"/>
      <c r="AY26" s="131"/>
      <c r="AZ26" s="131"/>
      <c r="BA26" s="131"/>
      <c r="BB26" s="131"/>
      <c r="BC26" s="131"/>
    </row>
    <row r="27" s="127" customFormat="1" ht="16.5" customHeight="1" spans="1:55">
      <c r="A27" s="138" t="s">
        <v>32</v>
      </c>
      <c r="B27" s="139" t="s">
        <v>104</v>
      </c>
      <c r="C27" s="140">
        <v>45835</v>
      </c>
      <c r="D27" s="138" t="s">
        <v>34</v>
      </c>
      <c r="E27" s="141">
        <v>117056.97</v>
      </c>
      <c r="F27" s="141">
        <v>0</v>
      </c>
      <c r="G27" s="139" t="s">
        <v>105</v>
      </c>
      <c r="H27" s="137" t="str">
        <f t="shared" si="0"/>
        <v>6</v>
      </c>
      <c r="I27" s="139" t="s">
        <v>36</v>
      </c>
      <c r="J27" s="138" t="s">
        <v>106</v>
      </c>
      <c r="K27" s="140">
        <v>45835</v>
      </c>
      <c r="L27" s="139" t="s">
        <v>38</v>
      </c>
      <c r="M27" s="148">
        <v>1</v>
      </c>
      <c r="N27" s="139" t="s">
        <v>39</v>
      </c>
      <c r="O27" s="138" t="s">
        <v>40</v>
      </c>
      <c r="P27" s="139" t="s">
        <v>41</v>
      </c>
      <c r="Q27" s="152">
        <v>258975.59</v>
      </c>
      <c r="R27" s="138" t="s">
        <v>42</v>
      </c>
      <c r="S27" s="153">
        <v>0.4</v>
      </c>
      <c r="T27" s="153">
        <v>0.4</v>
      </c>
      <c r="U27" s="154">
        <v>0.4</v>
      </c>
      <c r="V27" s="155">
        <v>0</v>
      </c>
      <c r="W27" s="155">
        <v>0</v>
      </c>
      <c r="X27" s="139" t="s">
        <v>43</v>
      </c>
      <c r="Y27" s="133" t="s">
        <v>44</v>
      </c>
      <c r="Z27" s="177">
        <v>45808</v>
      </c>
      <c r="AA27" s="130">
        <f t="shared" si="1"/>
        <v>117056.96668</v>
      </c>
      <c r="AB27" s="131"/>
      <c r="AC27" s="131"/>
      <c r="AD27" s="131"/>
      <c r="AE27" s="131"/>
      <c r="AF27" s="131"/>
      <c r="AG27" s="131"/>
      <c r="AH27" s="131"/>
      <c r="AI27" s="131"/>
      <c r="AJ27" s="131"/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131"/>
      <c r="AY27" s="131"/>
      <c r="AZ27" s="131"/>
      <c r="BA27" s="131"/>
      <c r="BB27" s="131"/>
      <c r="BC27" s="131"/>
    </row>
    <row r="28" s="127" customFormat="1" ht="16.5" customHeight="1" spans="1:55">
      <c r="A28" s="142" t="s">
        <v>32</v>
      </c>
      <c r="B28" s="143" t="s">
        <v>107</v>
      </c>
      <c r="C28" s="144">
        <v>45862</v>
      </c>
      <c r="D28" s="142" t="s">
        <v>34</v>
      </c>
      <c r="E28" s="145">
        <v>162126.37</v>
      </c>
      <c r="F28" s="145">
        <v>0</v>
      </c>
      <c r="G28" s="143" t="s">
        <v>108</v>
      </c>
      <c r="H28" s="137" t="str">
        <f t="shared" si="0"/>
        <v>7</v>
      </c>
      <c r="I28" s="143" t="s">
        <v>36</v>
      </c>
      <c r="J28" s="142" t="s">
        <v>109</v>
      </c>
      <c r="K28" s="144">
        <v>45862</v>
      </c>
      <c r="L28" s="143" t="s">
        <v>38</v>
      </c>
      <c r="M28" s="149">
        <v>2</v>
      </c>
      <c r="N28" s="143" t="s">
        <v>80</v>
      </c>
      <c r="O28" s="142" t="s">
        <v>81</v>
      </c>
      <c r="P28" s="143" t="s">
        <v>82</v>
      </c>
      <c r="Q28" s="156">
        <v>200</v>
      </c>
      <c r="R28" s="142" t="s">
        <v>83</v>
      </c>
      <c r="S28" s="157">
        <v>37</v>
      </c>
      <c r="T28" s="157">
        <v>37</v>
      </c>
      <c r="U28" s="158">
        <v>0</v>
      </c>
      <c r="V28" s="159">
        <v>0</v>
      </c>
      <c r="W28" s="159">
        <v>37</v>
      </c>
      <c r="X28" s="143" t="s">
        <v>43</v>
      </c>
      <c r="Y28" s="179" t="s">
        <v>44</v>
      </c>
      <c r="Z28" s="180">
        <v>45835</v>
      </c>
      <c r="AA28" s="130">
        <f t="shared" si="1"/>
        <v>8362</v>
      </c>
      <c r="AB28" s="131"/>
      <c r="AC28" s="131"/>
      <c r="AD28" s="131"/>
      <c r="AE28" s="131"/>
      <c r="AF28" s="131"/>
      <c r="AG28" s="131"/>
      <c r="AH28" s="131"/>
      <c r="AI28" s="131"/>
      <c r="AJ28" s="131"/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131"/>
      <c r="AY28" s="131"/>
      <c r="AZ28" s="131"/>
      <c r="BA28" s="131"/>
      <c r="BB28" s="131"/>
      <c r="BC28" s="131"/>
    </row>
    <row r="29" s="127" customFormat="1" ht="16.5" customHeight="1" spans="1:55">
      <c r="A29" s="138" t="s">
        <v>32</v>
      </c>
      <c r="B29" s="139" t="s">
        <v>107</v>
      </c>
      <c r="C29" s="140">
        <v>45862</v>
      </c>
      <c r="D29" s="138" t="s">
        <v>34</v>
      </c>
      <c r="E29" s="141">
        <v>162126.37</v>
      </c>
      <c r="F29" s="141">
        <v>0</v>
      </c>
      <c r="G29" s="139" t="s">
        <v>110</v>
      </c>
      <c r="H29" s="137" t="str">
        <f t="shared" si="0"/>
        <v>7</v>
      </c>
      <c r="I29" s="139" t="s">
        <v>36</v>
      </c>
      <c r="J29" s="138" t="s">
        <v>109</v>
      </c>
      <c r="K29" s="140">
        <v>45862</v>
      </c>
      <c r="L29" s="139" t="s">
        <v>38</v>
      </c>
      <c r="M29" s="148">
        <v>1</v>
      </c>
      <c r="N29" s="139" t="s">
        <v>39</v>
      </c>
      <c r="O29" s="138" t="s">
        <v>40</v>
      </c>
      <c r="P29" s="139" t="s">
        <v>41</v>
      </c>
      <c r="Q29" s="152">
        <v>250091.2</v>
      </c>
      <c r="R29" s="138" t="s">
        <v>42</v>
      </c>
      <c r="S29" s="153">
        <v>0.38</v>
      </c>
      <c r="T29" s="153">
        <v>0.4</v>
      </c>
      <c r="U29" s="154">
        <v>0.4</v>
      </c>
      <c r="V29" s="155">
        <v>-0.02</v>
      </c>
      <c r="W29" s="155">
        <v>0</v>
      </c>
      <c r="X29" s="139" t="s">
        <v>43</v>
      </c>
      <c r="Y29" s="133" t="s">
        <v>44</v>
      </c>
      <c r="Z29" s="177">
        <v>45838</v>
      </c>
      <c r="AA29" s="130">
        <f t="shared" si="1"/>
        <v>107389.16128</v>
      </c>
      <c r="AB29" s="131"/>
      <c r="AC29" s="131"/>
      <c r="AD29" s="131"/>
      <c r="AE29" s="131"/>
      <c r="AF29" s="131"/>
      <c r="AG29" s="131"/>
      <c r="AH29" s="131"/>
      <c r="AI29" s="131"/>
      <c r="AJ29" s="131"/>
      <c r="AK29" s="131"/>
      <c r="AL29" s="131"/>
      <c r="AM29" s="131"/>
      <c r="AN29" s="131"/>
      <c r="AO29" s="131"/>
      <c r="AP29" s="131"/>
      <c r="AQ29" s="131"/>
      <c r="AR29" s="131"/>
      <c r="AS29" s="131"/>
      <c r="AT29" s="131"/>
      <c r="AU29" s="131"/>
      <c r="AV29" s="131"/>
      <c r="AW29" s="131"/>
      <c r="AX29" s="131"/>
      <c r="AY29" s="131"/>
      <c r="AZ29" s="131"/>
      <c r="BA29" s="131"/>
      <c r="BB29" s="131"/>
      <c r="BC29" s="131"/>
    </row>
    <row r="30" s="127" customFormat="1" ht="16.5" customHeight="1" spans="1:55">
      <c r="A30" s="142" t="s">
        <v>32</v>
      </c>
      <c r="B30" s="143" t="s">
        <v>107</v>
      </c>
      <c r="C30" s="144">
        <v>45862</v>
      </c>
      <c r="D30" s="142" t="s">
        <v>34</v>
      </c>
      <c r="E30" s="145">
        <v>162126.37</v>
      </c>
      <c r="F30" s="145">
        <v>0</v>
      </c>
      <c r="G30" s="143" t="s">
        <v>111</v>
      </c>
      <c r="H30" s="137" t="str">
        <f t="shared" si="0"/>
        <v>7</v>
      </c>
      <c r="I30" s="143" t="s">
        <v>36</v>
      </c>
      <c r="J30" s="142" t="s">
        <v>109</v>
      </c>
      <c r="K30" s="144">
        <v>45862</v>
      </c>
      <c r="L30" s="143" t="s">
        <v>34</v>
      </c>
      <c r="M30" s="149">
        <v>3</v>
      </c>
      <c r="N30" s="143" t="s">
        <v>59</v>
      </c>
      <c r="O30" s="142" t="s">
        <v>60</v>
      </c>
      <c r="P30" s="143" t="s">
        <v>41</v>
      </c>
      <c r="Q30" s="156">
        <v>570</v>
      </c>
      <c r="R30" s="142" t="s">
        <v>42</v>
      </c>
      <c r="S30" s="157">
        <v>72</v>
      </c>
      <c r="T30" s="157">
        <v>72</v>
      </c>
      <c r="U30" s="158">
        <v>72</v>
      </c>
      <c r="V30" s="159">
        <v>0</v>
      </c>
      <c r="W30" s="159">
        <v>0</v>
      </c>
      <c r="X30" s="143" t="s">
        <v>43</v>
      </c>
      <c r="Y30" s="179" t="s">
        <v>44</v>
      </c>
      <c r="Z30" s="180">
        <v>45862</v>
      </c>
      <c r="AA30" s="130">
        <f t="shared" si="1"/>
        <v>46375.2</v>
      </c>
      <c r="AB30" s="131"/>
      <c r="AC30" s="131"/>
      <c r="AD30" s="131"/>
      <c r="AE30" s="131"/>
      <c r="AF30" s="131"/>
      <c r="AG30" s="131"/>
      <c r="AH30" s="131"/>
      <c r="AI30" s="131"/>
      <c r="AJ30" s="131"/>
      <c r="AK30" s="131"/>
      <c r="AL30" s="131"/>
      <c r="AM30" s="131"/>
      <c r="AN30" s="131"/>
      <c r="AO30" s="131"/>
      <c r="AP30" s="131"/>
      <c r="AQ30" s="131"/>
      <c r="AR30" s="131"/>
      <c r="AS30" s="131"/>
      <c r="AT30" s="131"/>
      <c r="AU30" s="131"/>
      <c r="AV30" s="131"/>
      <c r="AW30" s="131"/>
      <c r="AX30" s="131"/>
      <c r="AY30" s="131"/>
      <c r="AZ30" s="131"/>
      <c r="BA30" s="131"/>
      <c r="BB30" s="131"/>
      <c r="BC30" s="131"/>
    </row>
    <row r="31" s="127" customFormat="1" ht="16.5" customHeight="1" spans="1:55">
      <c r="A31" s="138" t="s">
        <v>32</v>
      </c>
      <c r="B31" s="139" t="s">
        <v>112</v>
      </c>
      <c r="C31" s="140">
        <v>45863</v>
      </c>
      <c r="D31" s="138" t="s">
        <v>34</v>
      </c>
      <c r="E31" s="141">
        <v>1775664</v>
      </c>
      <c r="F31" s="141">
        <v>0</v>
      </c>
      <c r="G31" s="139" t="s">
        <v>100</v>
      </c>
      <c r="H31" s="137" t="str">
        <f t="shared" si="0"/>
        <v>7</v>
      </c>
      <c r="I31" s="139" t="s">
        <v>36</v>
      </c>
      <c r="J31" s="138" t="s">
        <v>113</v>
      </c>
      <c r="K31" s="140">
        <v>45863</v>
      </c>
      <c r="L31" s="139" t="s">
        <v>34</v>
      </c>
      <c r="M31" s="148">
        <v>1</v>
      </c>
      <c r="N31" s="139" t="s">
        <v>55</v>
      </c>
      <c r="O31" s="138" t="s">
        <v>30</v>
      </c>
      <c r="P31" s="139" t="s">
        <v>41</v>
      </c>
      <c r="Q31" s="152">
        <v>25080</v>
      </c>
      <c r="R31" s="138" t="s">
        <v>42</v>
      </c>
      <c r="S31" s="153">
        <v>15.6637168141</v>
      </c>
      <c r="T31" s="153">
        <v>19</v>
      </c>
      <c r="U31" s="154">
        <v>16.9</v>
      </c>
      <c r="V31" s="155">
        <v>-3.34</v>
      </c>
      <c r="W31" s="155">
        <v>2.1</v>
      </c>
      <c r="X31" s="139" t="s">
        <v>43</v>
      </c>
      <c r="Y31" s="133" t="s">
        <v>44</v>
      </c>
      <c r="Z31" s="177">
        <v>45804</v>
      </c>
      <c r="AA31" s="130">
        <f t="shared" si="1"/>
        <v>443915.99999832</v>
      </c>
      <c r="AB31" s="131"/>
      <c r="AC31" s="131"/>
      <c r="AD31" s="131"/>
      <c r="AE31" s="131"/>
      <c r="AF31" s="131"/>
      <c r="AG31" s="131"/>
      <c r="AH31" s="131"/>
      <c r="AI31" s="131"/>
      <c r="AJ31" s="131"/>
      <c r="AK31" s="131"/>
      <c r="AL31" s="131"/>
      <c r="AM31" s="131"/>
      <c r="AN31" s="131"/>
      <c r="AO31" s="131"/>
      <c r="AP31" s="131"/>
      <c r="AQ31" s="131"/>
      <c r="AR31" s="131"/>
      <c r="AS31" s="131"/>
      <c r="AT31" s="131"/>
      <c r="AU31" s="131"/>
      <c r="AV31" s="131"/>
      <c r="AW31" s="131"/>
      <c r="AX31" s="131"/>
      <c r="AY31" s="131"/>
      <c r="AZ31" s="131"/>
      <c r="BA31" s="131"/>
      <c r="BB31" s="131"/>
      <c r="BC31" s="131"/>
    </row>
    <row r="32" s="127" customFormat="1" ht="16.5" customHeight="1" spans="1:55">
      <c r="A32" s="142" t="s">
        <v>32</v>
      </c>
      <c r="B32" s="143" t="s">
        <v>112</v>
      </c>
      <c r="C32" s="144">
        <v>45863</v>
      </c>
      <c r="D32" s="142" t="s">
        <v>34</v>
      </c>
      <c r="E32" s="145">
        <v>1775664</v>
      </c>
      <c r="F32" s="145">
        <v>0</v>
      </c>
      <c r="G32" s="143" t="s">
        <v>114</v>
      </c>
      <c r="H32" s="137" t="str">
        <f t="shared" si="0"/>
        <v>7</v>
      </c>
      <c r="I32" s="143" t="s">
        <v>36</v>
      </c>
      <c r="J32" s="142" t="s">
        <v>113</v>
      </c>
      <c r="K32" s="144">
        <v>45863</v>
      </c>
      <c r="L32" s="143" t="s">
        <v>34</v>
      </c>
      <c r="M32" s="149">
        <v>1</v>
      </c>
      <c r="N32" s="143" t="s">
        <v>55</v>
      </c>
      <c r="O32" s="142" t="s">
        <v>30</v>
      </c>
      <c r="P32" s="143" t="s">
        <v>41</v>
      </c>
      <c r="Q32" s="156">
        <v>25080</v>
      </c>
      <c r="R32" s="142" t="s">
        <v>42</v>
      </c>
      <c r="S32" s="157">
        <v>15.6637168141</v>
      </c>
      <c r="T32" s="157">
        <v>19</v>
      </c>
      <c r="U32" s="158">
        <v>16.9</v>
      </c>
      <c r="V32" s="159">
        <v>-3.34</v>
      </c>
      <c r="W32" s="159">
        <v>2.1</v>
      </c>
      <c r="X32" s="143" t="s">
        <v>43</v>
      </c>
      <c r="Y32" s="179" t="s">
        <v>44</v>
      </c>
      <c r="Z32" s="180">
        <v>45828</v>
      </c>
      <c r="AA32" s="130">
        <f t="shared" si="1"/>
        <v>443915.99999832</v>
      </c>
      <c r="AB32" s="131"/>
      <c r="AC32" s="131"/>
      <c r="AD32" s="131"/>
      <c r="AE32" s="131"/>
      <c r="AF32" s="131"/>
      <c r="AG32" s="131"/>
      <c r="AH32" s="131"/>
      <c r="AI32" s="131"/>
      <c r="AJ32" s="131"/>
      <c r="AK32" s="131"/>
      <c r="AL32" s="131"/>
      <c r="AM32" s="131"/>
      <c r="AN32" s="131"/>
      <c r="AO32" s="131"/>
      <c r="AP32" s="131"/>
      <c r="AQ32" s="131"/>
      <c r="AR32" s="131"/>
      <c r="AS32" s="131"/>
      <c r="AT32" s="131"/>
      <c r="AU32" s="131"/>
      <c r="AV32" s="131"/>
      <c r="AW32" s="131"/>
      <c r="AX32" s="131"/>
      <c r="AY32" s="131"/>
      <c r="AZ32" s="131"/>
      <c r="BA32" s="131"/>
      <c r="BB32" s="131"/>
      <c r="BC32" s="131"/>
    </row>
    <row r="33" s="127" customFormat="1" ht="16.5" customHeight="1" spans="1:55">
      <c r="A33" s="138" t="s">
        <v>32</v>
      </c>
      <c r="B33" s="139" t="s">
        <v>112</v>
      </c>
      <c r="C33" s="140">
        <v>45863</v>
      </c>
      <c r="D33" s="138" t="s">
        <v>34</v>
      </c>
      <c r="E33" s="141">
        <v>1775664</v>
      </c>
      <c r="F33" s="141">
        <v>0</v>
      </c>
      <c r="G33" s="139" t="s">
        <v>111</v>
      </c>
      <c r="H33" s="137" t="str">
        <f t="shared" si="0"/>
        <v>7</v>
      </c>
      <c r="I33" s="139" t="s">
        <v>36</v>
      </c>
      <c r="J33" s="138" t="s">
        <v>113</v>
      </c>
      <c r="K33" s="140">
        <v>45863</v>
      </c>
      <c r="L33" s="139" t="s">
        <v>34</v>
      </c>
      <c r="M33" s="148">
        <v>1</v>
      </c>
      <c r="N33" s="139" t="s">
        <v>55</v>
      </c>
      <c r="O33" s="138" t="s">
        <v>30</v>
      </c>
      <c r="P33" s="139" t="s">
        <v>41</v>
      </c>
      <c r="Q33" s="152">
        <v>25080</v>
      </c>
      <c r="R33" s="138" t="s">
        <v>42</v>
      </c>
      <c r="S33" s="153">
        <v>15.6637168141</v>
      </c>
      <c r="T33" s="153">
        <v>19</v>
      </c>
      <c r="U33" s="154">
        <v>15.664</v>
      </c>
      <c r="V33" s="155">
        <v>-3.34</v>
      </c>
      <c r="W33" s="155">
        <v>3.34</v>
      </c>
      <c r="X33" s="139" t="s">
        <v>43</v>
      </c>
      <c r="Y33" s="133" t="s">
        <v>44</v>
      </c>
      <c r="Z33" s="177">
        <v>45862</v>
      </c>
      <c r="AA33" s="130">
        <f t="shared" si="1"/>
        <v>443915.99999832</v>
      </c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</row>
    <row r="34" s="127" customFormat="1" ht="16.5" customHeight="1" spans="1:55">
      <c r="A34" s="142" t="s">
        <v>32</v>
      </c>
      <c r="B34" s="143" t="s">
        <v>112</v>
      </c>
      <c r="C34" s="144">
        <v>45863</v>
      </c>
      <c r="D34" s="142" t="s">
        <v>34</v>
      </c>
      <c r="E34" s="145">
        <v>1775664</v>
      </c>
      <c r="F34" s="145">
        <v>0</v>
      </c>
      <c r="G34" s="143" t="s">
        <v>115</v>
      </c>
      <c r="H34" s="137" t="str">
        <f t="shared" si="0"/>
        <v>7</v>
      </c>
      <c r="I34" s="143" t="s">
        <v>36</v>
      </c>
      <c r="J34" s="142" t="s">
        <v>113</v>
      </c>
      <c r="K34" s="144">
        <v>45863</v>
      </c>
      <c r="L34" s="143" t="s">
        <v>34</v>
      </c>
      <c r="M34" s="149">
        <v>1</v>
      </c>
      <c r="N34" s="143" t="s">
        <v>55</v>
      </c>
      <c r="O34" s="142" t="s">
        <v>30</v>
      </c>
      <c r="P34" s="143" t="s">
        <v>41</v>
      </c>
      <c r="Q34" s="156">
        <v>25080</v>
      </c>
      <c r="R34" s="142" t="s">
        <v>42</v>
      </c>
      <c r="S34" s="157">
        <v>15.6637168141</v>
      </c>
      <c r="T34" s="157">
        <v>19</v>
      </c>
      <c r="U34" s="158">
        <v>15.664</v>
      </c>
      <c r="V34" s="159">
        <v>-3.34</v>
      </c>
      <c r="W34" s="159">
        <v>3.34</v>
      </c>
      <c r="X34" s="143" t="s">
        <v>43</v>
      </c>
      <c r="Y34" s="179" t="s">
        <v>44</v>
      </c>
      <c r="Z34" s="180">
        <v>45862</v>
      </c>
      <c r="AA34" s="130">
        <f t="shared" si="1"/>
        <v>443915.99999832</v>
      </c>
      <c r="AB34" s="131"/>
      <c r="AC34" s="131"/>
      <c r="AD34" s="131"/>
      <c r="AE34" s="131"/>
      <c r="AF34" s="131"/>
      <c r="AG34" s="131"/>
      <c r="AH34" s="131"/>
      <c r="AI34" s="131"/>
      <c r="AJ34" s="131"/>
      <c r="AK34" s="131"/>
      <c r="AL34" s="131"/>
      <c r="AM34" s="131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31"/>
      <c r="AY34" s="131"/>
      <c r="AZ34" s="131"/>
      <c r="BA34" s="131"/>
      <c r="BB34" s="131"/>
      <c r="BC34" s="131"/>
    </row>
    <row r="35" spans="8:27">
      <c r="H35" s="128">
        <v>7</v>
      </c>
      <c r="J35" s="127" t="s">
        <v>116</v>
      </c>
      <c r="AA35" s="130">
        <v>-14746.43</v>
      </c>
    </row>
    <row r="36" spans="8:27">
      <c r="H36" s="128">
        <v>6</v>
      </c>
      <c r="J36" s="127" t="s">
        <v>117</v>
      </c>
      <c r="AA36" s="130">
        <v>159414.75</v>
      </c>
    </row>
    <row r="37" spans="1:27">
      <c r="A37" s="127" t="s">
        <v>32</v>
      </c>
      <c r="B37" s="127" t="s">
        <v>118</v>
      </c>
      <c r="C37" s="127">
        <v>45895</v>
      </c>
      <c r="D37" s="127" t="s">
        <v>34</v>
      </c>
      <c r="E37" s="127">
        <v>46375.2</v>
      </c>
      <c r="F37" s="127">
        <v>0</v>
      </c>
      <c r="G37" s="127" t="s">
        <v>119</v>
      </c>
      <c r="H37" s="137" t="str">
        <f>TEXT(K37,"M")</f>
        <v>8</v>
      </c>
      <c r="I37" s="127" t="s">
        <v>36</v>
      </c>
      <c r="J37" s="127" t="s">
        <v>120</v>
      </c>
      <c r="K37" s="127">
        <v>45895</v>
      </c>
      <c r="L37" s="127" t="s">
        <v>34</v>
      </c>
      <c r="M37" s="127">
        <v>3</v>
      </c>
      <c r="N37" s="127" t="s">
        <v>59</v>
      </c>
      <c r="O37" s="127" t="s">
        <v>60</v>
      </c>
      <c r="P37" s="127" t="s">
        <v>41</v>
      </c>
      <c r="Q37" s="127">
        <v>570</v>
      </c>
      <c r="R37" s="127" t="s">
        <v>42</v>
      </c>
      <c r="S37" s="127">
        <v>72</v>
      </c>
      <c r="T37" s="127">
        <v>72</v>
      </c>
      <c r="U37" s="127">
        <v>75</v>
      </c>
      <c r="V37" s="127">
        <v>0</v>
      </c>
      <c r="W37" s="127">
        <v>-3</v>
      </c>
      <c r="X37" s="127" t="s">
        <v>43</v>
      </c>
      <c r="Y37" s="127" t="s">
        <v>44</v>
      </c>
      <c r="Z37" s="129">
        <v>45835</v>
      </c>
      <c r="AA37" s="130">
        <f>Q37*S37*1.13</f>
        <v>46375.2</v>
      </c>
    </row>
    <row r="38" spans="1:27">
      <c r="A38" s="127" t="s">
        <v>32</v>
      </c>
      <c r="B38" s="127" t="s">
        <v>121</v>
      </c>
      <c r="C38" s="127">
        <v>45895</v>
      </c>
      <c r="D38" s="127" t="s">
        <v>34</v>
      </c>
      <c r="E38" s="127">
        <v>81681.26</v>
      </c>
      <c r="F38" s="127">
        <v>0</v>
      </c>
      <c r="G38" s="127" t="s">
        <v>122</v>
      </c>
      <c r="H38" s="137" t="str">
        <f>TEXT(K38,"M")</f>
        <v>8</v>
      </c>
      <c r="I38" s="127" t="s">
        <v>36</v>
      </c>
      <c r="J38" s="127" t="s">
        <v>123</v>
      </c>
      <c r="K38" s="127">
        <v>45895</v>
      </c>
      <c r="L38" s="127" t="s">
        <v>38</v>
      </c>
      <c r="M38" s="127">
        <v>1</v>
      </c>
      <c r="N38" s="127" t="s">
        <v>39</v>
      </c>
      <c r="O38" s="127" t="s">
        <v>40</v>
      </c>
      <c r="P38" s="127" t="s">
        <v>41</v>
      </c>
      <c r="Q38" s="127">
        <v>190221.84</v>
      </c>
      <c r="R38" s="127" t="s">
        <v>42</v>
      </c>
      <c r="S38" s="127">
        <v>0.38</v>
      </c>
      <c r="T38" s="127">
        <v>0.38</v>
      </c>
      <c r="U38" s="127">
        <v>0.38</v>
      </c>
      <c r="V38" s="127">
        <v>0</v>
      </c>
      <c r="W38" s="127">
        <v>0</v>
      </c>
      <c r="X38" s="127" t="s">
        <v>43</v>
      </c>
      <c r="Y38" s="127" t="s">
        <v>44</v>
      </c>
      <c r="Z38" s="129">
        <v>45869</v>
      </c>
      <c r="AA38" s="130">
        <f>Q38*S38*1.13</f>
        <v>81681.258096</v>
      </c>
    </row>
    <row r="39" spans="1:27">
      <c r="A39" s="127" t="s">
        <v>32</v>
      </c>
      <c r="B39" s="127" t="s">
        <v>124</v>
      </c>
      <c r="C39" s="127">
        <v>45895</v>
      </c>
      <c r="D39" s="127" t="s">
        <v>34</v>
      </c>
      <c r="E39" s="127">
        <v>862752</v>
      </c>
      <c r="F39" s="127">
        <v>0</v>
      </c>
      <c r="G39" s="127" t="s">
        <v>125</v>
      </c>
      <c r="H39" s="137" t="str">
        <f>TEXT(K39,"M")</f>
        <v>8</v>
      </c>
      <c r="I39" s="127" t="s">
        <v>36</v>
      </c>
      <c r="J39" s="127" t="s">
        <v>126</v>
      </c>
      <c r="K39" s="127">
        <v>45895</v>
      </c>
      <c r="L39" s="127" t="s">
        <v>34</v>
      </c>
      <c r="M39" s="127">
        <v>1</v>
      </c>
      <c r="N39" s="127" t="s">
        <v>55</v>
      </c>
      <c r="O39" s="127" t="s">
        <v>30</v>
      </c>
      <c r="P39" s="127" t="s">
        <v>41</v>
      </c>
      <c r="Q39" s="127">
        <v>25080</v>
      </c>
      <c r="R39" s="127" t="s">
        <v>42</v>
      </c>
      <c r="S39" s="127">
        <v>15.221238938</v>
      </c>
      <c r="T39" s="127">
        <v>19</v>
      </c>
      <c r="U39" s="127">
        <v>15.664</v>
      </c>
      <c r="V39" s="127">
        <v>-3.78</v>
      </c>
      <c r="W39" s="127">
        <v>3.34</v>
      </c>
      <c r="X39" s="127" t="s">
        <v>43</v>
      </c>
      <c r="Y39" s="127" t="s">
        <v>44</v>
      </c>
      <c r="Z39" s="129">
        <v>45884</v>
      </c>
      <c r="AA39" s="130">
        <f>Q39*S39*1.13</f>
        <v>431375.999998495</v>
      </c>
    </row>
    <row r="40" spans="1:27">
      <c r="A40" s="127" t="s">
        <v>32</v>
      </c>
      <c r="B40" s="127" t="s">
        <v>124</v>
      </c>
      <c r="C40" s="127">
        <v>45895</v>
      </c>
      <c r="D40" s="127" t="s">
        <v>34</v>
      </c>
      <c r="E40" s="127">
        <v>862752</v>
      </c>
      <c r="F40" s="127">
        <v>0</v>
      </c>
      <c r="G40" s="127" t="s">
        <v>127</v>
      </c>
      <c r="H40" s="137" t="str">
        <f>TEXT(K40,"M")</f>
        <v>8</v>
      </c>
      <c r="I40" s="127" t="s">
        <v>36</v>
      </c>
      <c r="J40" s="127" t="s">
        <v>126</v>
      </c>
      <c r="K40" s="127">
        <v>45895</v>
      </c>
      <c r="L40" s="127" t="s">
        <v>34</v>
      </c>
      <c r="M40" s="127">
        <v>1</v>
      </c>
      <c r="N40" s="127" t="s">
        <v>55</v>
      </c>
      <c r="O40" s="127" t="s">
        <v>30</v>
      </c>
      <c r="P40" s="127" t="s">
        <v>41</v>
      </c>
      <c r="Q40" s="127">
        <v>25080</v>
      </c>
      <c r="R40" s="127" t="s">
        <v>42</v>
      </c>
      <c r="S40" s="127">
        <v>15.221238938</v>
      </c>
      <c r="T40" s="127">
        <v>19</v>
      </c>
      <c r="U40" s="127">
        <v>15.664</v>
      </c>
      <c r="V40" s="127">
        <v>-3.78</v>
      </c>
      <c r="W40" s="127">
        <v>3.34</v>
      </c>
      <c r="X40" s="127" t="s">
        <v>43</v>
      </c>
      <c r="Y40" s="127" t="s">
        <v>44</v>
      </c>
      <c r="Z40" s="129">
        <v>45889</v>
      </c>
      <c r="AA40" s="130">
        <f>Q40*S40*1.13</f>
        <v>431375.999998495</v>
      </c>
    </row>
    <row r="41" spans="8:8">
      <c r="H41" s="137"/>
    </row>
    <row r="42" s="22" customFormat="1" ht="16.5" customHeight="1" spans="1:27">
      <c r="A42" s="28" t="s">
        <v>32</v>
      </c>
      <c r="B42" s="25" t="s">
        <v>128</v>
      </c>
      <c r="C42" s="27">
        <v>45922</v>
      </c>
      <c r="D42" s="28" t="s">
        <v>34</v>
      </c>
      <c r="E42" s="146">
        <v>78726.2</v>
      </c>
      <c r="F42" s="146">
        <v>0</v>
      </c>
      <c r="G42" s="25" t="s">
        <v>129</v>
      </c>
      <c r="H42" s="137" t="str">
        <f t="shared" ref="H41:H48" si="2">TEXT(K42,"M")</f>
        <v>9</v>
      </c>
      <c r="I42" s="25" t="s">
        <v>36</v>
      </c>
      <c r="J42" s="28" t="s">
        <v>130</v>
      </c>
      <c r="K42" s="27">
        <v>45922</v>
      </c>
      <c r="L42" s="25" t="s">
        <v>34</v>
      </c>
      <c r="M42" s="150">
        <v>2</v>
      </c>
      <c r="N42" s="25" t="s">
        <v>39</v>
      </c>
      <c r="O42" s="28" t="s">
        <v>40</v>
      </c>
      <c r="P42" s="25" t="s">
        <v>41</v>
      </c>
      <c r="Q42" s="160">
        <v>183339.58</v>
      </c>
      <c r="R42" s="28" t="s">
        <v>42</v>
      </c>
      <c r="S42" s="161">
        <v>0.38</v>
      </c>
      <c r="T42" s="161">
        <v>0.42</v>
      </c>
      <c r="U42" s="162">
        <v>0.38</v>
      </c>
      <c r="V42" s="76">
        <v>-0.04</v>
      </c>
      <c r="W42" s="76">
        <v>0.04</v>
      </c>
      <c r="X42" s="25" t="s">
        <v>43</v>
      </c>
      <c r="Y42" s="183" t="s">
        <v>44</v>
      </c>
      <c r="Z42" s="27">
        <v>45900</v>
      </c>
      <c r="AA42" s="130">
        <f t="shared" ref="AA41:AA48" si="3">Q42*S42*1.13</f>
        <v>78726.015652</v>
      </c>
    </row>
    <row r="43" s="22" customFormat="1" ht="16.5" customHeight="1" spans="1:27">
      <c r="A43" s="32" t="s">
        <v>32</v>
      </c>
      <c r="B43" s="29" t="s">
        <v>128</v>
      </c>
      <c r="C43" s="31">
        <v>45922</v>
      </c>
      <c r="D43" s="32" t="s">
        <v>34</v>
      </c>
      <c r="E43" s="147">
        <v>78726.2</v>
      </c>
      <c r="F43" s="147">
        <v>0</v>
      </c>
      <c r="G43" s="29" t="s">
        <v>131</v>
      </c>
      <c r="H43" s="137" t="str">
        <f t="shared" si="2"/>
        <v>9</v>
      </c>
      <c r="I43" s="29" t="s">
        <v>36</v>
      </c>
      <c r="J43" s="32" t="s">
        <v>130</v>
      </c>
      <c r="K43" s="31">
        <v>45922</v>
      </c>
      <c r="L43" s="29" t="s">
        <v>38</v>
      </c>
      <c r="M43" s="151">
        <v>1</v>
      </c>
      <c r="N43" s="29" t="s">
        <v>39</v>
      </c>
      <c r="O43" s="32" t="s">
        <v>40</v>
      </c>
      <c r="P43" s="29" t="s">
        <v>41</v>
      </c>
      <c r="Q43" s="163">
        <v>0.42</v>
      </c>
      <c r="R43" s="32" t="s">
        <v>42</v>
      </c>
      <c r="S43" s="164">
        <v>0.38</v>
      </c>
      <c r="T43" s="164">
        <v>0.38</v>
      </c>
      <c r="U43" s="165">
        <v>0.38</v>
      </c>
      <c r="V43" s="77">
        <v>0</v>
      </c>
      <c r="W43" s="77">
        <v>0</v>
      </c>
      <c r="X43" s="29" t="s">
        <v>43</v>
      </c>
      <c r="Y43" s="184" t="s">
        <v>44</v>
      </c>
      <c r="Z43" s="31">
        <v>45922</v>
      </c>
      <c r="AA43" s="130">
        <f t="shared" si="3"/>
        <v>0.180348</v>
      </c>
    </row>
    <row r="44" s="22" customFormat="1" ht="16.5" customHeight="1" spans="1:27">
      <c r="A44" s="28" t="s">
        <v>32</v>
      </c>
      <c r="B44" s="25" t="s">
        <v>132</v>
      </c>
      <c r="C44" s="27">
        <v>45922</v>
      </c>
      <c r="D44" s="28" t="s">
        <v>34</v>
      </c>
      <c r="E44" s="146">
        <v>431376</v>
      </c>
      <c r="F44" s="146">
        <v>0</v>
      </c>
      <c r="G44" s="25" t="s">
        <v>133</v>
      </c>
      <c r="H44" s="137" t="str">
        <f t="shared" si="2"/>
        <v>9</v>
      </c>
      <c r="I44" s="25" t="s">
        <v>36</v>
      </c>
      <c r="J44" s="28" t="s">
        <v>134</v>
      </c>
      <c r="K44" s="27">
        <v>45922</v>
      </c>
      <c r="L44" s="25" t="s">
        <v>34</v>
      </c>
      <c r="M44" s="150">
        <v>1</v>
      </c>
      <c r="N44" s="25" t="s">
        <v>55</v>
      </c>
      <c r="O44" s="28" t="s">
        <v>30</v>
      </c>
      <c r="P44" s="25" t="s">
        <v>41</v>
      </c>
      <c r="Q44" s="160">
        <v>25080</v>
      </c>
      <c r="R44" s="28" t="s">
        <v>42</v>
      </c>
      <c r="S44" s="161">
        <v>15.221238938</v>
      </c>
      <c r="T44" s="161">
        <v>19</v>
      </c>
      <c r="U44" s="162">
        <v>15.664</v>
      </c>
      <c r="V44" s="76">
        <v>-3.78</v>
      </c>
      <c r="W44" s="76">
        <v>3.34</v>
      </c>
      <c r="X44" s="25" t="s">
        <v>43</v>
      </c>
      <c r="Y44" s="183" t="s">
        <v>44</v>
      </c>
      <c r="Z44" s="27">
        <v>45910</v>
      </c>
      <c r="AA44" s="130">
        <f t="shared" si="3"/>
        <v>431375.999998495</v>
      </c>
    </row>
    <row r="45" s="22" customFormat="1" ht="16.5" customHeight="1" spans="1:27">
      <c r="A45" s="32" t="s">
        <v>32</v>
      </c>
      <c r="B45" s="29" t="s">
        <v>135</v>
      </c>
      <c r="C45" s="31">
        <v>45922</v>
      </c>
      <c r="D45" s="32" t="s">
        <v>34</v>
      </c>
      <c r="E45" s="147">
        <v>431376</v>
      </c>
      <c r="F45" s="147">
        <v>0</v>
      </c>
      <c r="G45" s="29" t="s">
        <v>136</v>
      </c>
      <c r="H45" s="137" t="str">
        <f t="shared" si="2"/>
        <v>9</v>
      </c>
      <c r="I45" s="29" t="s">
        <v>36</v>
      </c>
      <c r="J45" s="32" t="s">
        <v>137</v>
      </c>
      <c r="K45" s="31">
        <v>45922</v>
      </c>
      <c r="L45" s="29" t="s">
        <v>34</v>
      </c>
      <c r="M45" s="151">
        <v>1</v>
      </c>
      <c r="N45" s="29" t="s">
        <v>55</v>
      </c>
      <c r="O45" s="32" t="s">
        <v>30</v>
      </c>
      <c r="P45" s="29" t="s">
        <v>41</v>
      </c>
      <c r="Q45" s="163">
        <v>25080</v>
      </c>
      <c r="R45" s="32" t="s">
        <v>42</v>
      </c>
      <c r="S45" s="164">
        <v>15.221238938</v>
      </c>
      <c r="T45" s="164">
        <v>19</v>
      </c>
      <c r="U45" s="165">
        <v>15.664</v>
      </c>
      <c r="V45" s="77">
        <v>-3.78</v>
      </c>
      <c r="W45" s="77">
        <v>3.34</v>
      </c>
      <c r="X45" s="29" t="s">
        <v>43</v>
      </c>
      <c r="Y45" s="184" t="s">
        <v>44</v>
      </c>
      <c r="Z45" s="31">
        <v>45912</v>
      </c>
      <c r="AA45" s="130">
        <f t="shared" si="3"/>
        <v>431375.999998495</v>
      </c>
    </row>
    <row r="46" s="22" customFormat="1" ht="16.5" customHeight="1" spans="1:27">
      <c r="A46" s="28" t="s">
        <v>32</v>
      </c>
      <c r="B46" s="25" t="s">
        <v>138</v>
      </c>
      <c r="C46" s="27">
        <v>45926</v>
      </c>
      <c r="D46" s="28" t="s">
        <v>34</v>
      </c>
      <c r="E46" s="146">
        <v>431376</v>
      </c>
      <c r="F46" s="146">
        <v>0</v>
      </c>
      <c r="G46" s="25" t="s">
        <v>139</v>
      </c>
      <c r="H46" s="137" t="str">
        <f t="shared" si="2"/>
        <v>9</v>
      </c>
      <c r="I46" s="25" t="s">
        <v>36</v>
      </c>
      <c r="J46" s="28" t="s">
        <v>140</v>
      </c>
      <c r="K46" s="27">
        <v>45926</v>
      </c>
      <c r="L46" s="25" t="s">
        <v>34</v>
      </c>
      <c r="M46" s="150">
        <v>1</v>
      </c>
      <c r="N46" s="25" t="s">
        <v>55</v>
      </c>
      <c r="O46" s="28" t="s">
        <v>30</v>
      </c>
      <c r="P46" s="25" t="s">
        <v>41</v>
      </c>
      <c r="Q46" s="160">
        <v>25080</v>
      </c>
      <c r="R46" s="28" t="s">
        <v>42</v>
      </c>
      <c r="S46" s="161">
        <v>15.221238938</v>
      </c>
      <c r="T46" s="161">
        <v>19</v>
      </c>
      <c r="U46" s="162">
        <v>15.664</v>
      </c>
      <c r="V46" s="76">
        <v>-3.78</v>
      </c>
      <c r="W46" s="76">
        <v>3.34</v>
      </c>
      <c r="X46" s="25" t="s">
        <v>43</v>
      </c>
      <c r="Y46" s="183" t="s">
        <v>44</v>
      </c>
      <c r="Z46" s="27">
        <v>45925</v>
      </c>
      <c r="AA46" s="130">
        <f t="shared" si="3"/>
        <v>431375.999998495</v>
      </c>
    </row>
    <row r="47" s="22" customFormat="1" ht="16.5" customHeight="1" spans="1:27">
      <c r="A47" s="32" t="s">
        <v>32</v>
      </c>
      <c r="B47" s="29" t="s">
        <v>141</v>
      </c>
      <c r="C47" s="31">
        <v>45930</v>
      </c>
      <c r="D47" s="32" t="s">
        <v>34</v>
      </c>
      <c r="E47" s="147">
        <v>137950.4</v>
      </c>
      <c r="F47" s="147">
        <v>0</v>
      </c>
      <c r="G47" s="29" t="s">
        <v>142</v>
      </c>
      <c r="H47" s="137" t="str">
        <f t="shared" si="2"/>
        <v>9</v>
      </c>
      <c r="I47" s="29" t="s">
        <v>36</v>
      </c>
      <c r="J47" s="32" t="s">
        <v>143</v>
      </c>
      <c r="K47" s="31">
        <v>45930</v>
      </c>
      <c r="L47" s="29" t="s">
        <v>34</v>
      </c>
      <c r="M47" s="151">
        <v>3</v>
      </c>
      <c r="N47" s="29" t="s">
        <v>59</v>
      </c>
      <c r="O47" s="32" t="s">
        <v>60</v>
      </c>
      <c r="P47" s="29" t="s">
        <v>41</v>
      </c>
      <c r="Q47" s="163">
        <v>1140</v>
      </c>
      <c r="R47" s="32" t="s">
        <v>42</v>
      </c>
      <c r="S47" s="164">
        <v>72</v>
      </c>
      <c r="T47" s="164">
        <v>72</v>
      </c>
      <c r="U47" s="165">
        <v>72</v>
      </c>
      <c r="V47" s="77">
        <v>0</v>
      </c>
      <c r="W47" s="77">
        <v>0</v>
      </c>
      <c r="X47" s="29" t="s">
        <v>43</v>
      </c>
      <c r="Y47" s="184" t="s">
        <v>44</v>
      </c>
      <c r="Z47" s="31">
        <v>45898</v>
      </c>
      <c r="AA47" s="130">
        <f t="shared" si="3"/>
        <v>92750.4</v>
      </c>
    </row>
    <row r="48" s="22" customFormat="1" ht="16.5" customHeight="1" spans="1:27">
      <c r="A48" s="28" t="s">
        <v>32</v>
      </c>
      <c r="B48" s="25" t="s">
        <v>141</v>
      </c>
      <c r="C48" s="27">
        <v>45930</v>
      </c>
      <c r="D48" s="28" t="s">
        <v>34</v>
      </c>
      <c r="E48" s="146">
        <v>137950.4</v>
      </c>
      <c r="F48" s="146">
        <v>0</v>
      </c>
      <c r="G48" s="25" t="s">
        <v>144</v>
      </c>
      <c r="H48" s="137" t="str">
        <f t="shared" si="2"/>
        <v>9</v>
      </c>
      <c r="I48" s="25" t="s">
        <v>36</v>
      </c>
      <c r="J48" s="28" t="s">
        <v>143</v>
      </c>
      <c r="K48" s="27">
        <v>45930</v>
      </c>
      <c r="L48" s="25" t="s">
        <v>38</v>
      </c>
      <c r="M48" s="150">
        <v>3</v>
      </c>
      <c r="N48" s="25" t="s">
        <v>145</v>
      </c>
      <c r="O48" s="28" t="s">
        <v>146</v>
      </c>
      <c r="P48" s="25" t="s">
        <v>147</v>
      </c>
      <c r="Q48" s="160">
        <v>1000</v>
      </c>
      <c r="R48" s="28" t="s">
        <v>42</v>
      </c>
      <c r="S48" s="161">
        <v>40</v>
      </c>
      <c r="T48" s="161">
        <v>40</v>
      </c>
      <c r="U48" s="162">
        <v>40</v>
      </c>
      <c r="V48" s="76">
        <v>0</v>
      </c>
      <c r="W48" s="76">
        <v>0</v>
      </c>
      <c r="X48" s="25" t="s">
        <v>43</v>
      </c>
      <c r="Y48" s="183" t="s">
        <v>44</v>
      </c>
      <c r="Z48" s="27">
        <v>45898</v>
      </c>
      <c r="AA48" s="130">
        <f t="shared" si="3"/>
        <v>45200</v>
      </c>
    </row>
  </sheetData>
  <mergeCells count="10">
    <mergeCell ref="AC1:AE1"/>
    <mergeCell ref="AF1:AH1"/>
    <mergeCell ref="AI1:AK1"/>
    <mergeCell ref="AL1:AN1"/>
    <mergeCell ref="AO1:AQ1"/>
    <mergeCell ref="AR1:AT1"/>
    <mergeCell ref="AU1:AW1"/>
    <mergeCell ref="AX1:AZ1"/>
    <mergeCell ref="BA1:BC1"/>
    <mergeCell ref="AB1:AB2"/>
  </mergeCells>
  <pageMargins left="0.75" right="0.75" top="1" bottom="1" header="0.5" footer="0.5"/>
  <headerFooter/>
  <ignoredErrors>
    <ignoredError sqref="B3:B40 J3:J40" numberStoredAsText="1"/>
  </ignoredError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4"/>
  <dimension ref="A1:P97"/>
  <sheetViews>
    <sheetView topLeftCell="A62" workbookViewId="0">
      <pane xSplit="28725" topLeftCell="Q1" activePane="topLeft"/>
      <selection activeCell="O62" sqref="O$1:O$1048576"/>
      <selection pane="topRight"/>
    </sheetView>
  </sheetViews>
  <sheetFormatPr defaultColWidth="8" defaultRowHeight="14.25"/>
  <cols>
    <col min="1" max="1" width="7.75" style="1" customWidth="1"/>
    <col min="2" max="2" width="15.75" style="1" customWidth="1"/>
    <col min="3" max="3" width="9.375" style="1" customWidth="1"/>
    <col min="4" max="4" width="23.125" style="1" customWidth="1"/>
    <col min="5" max="6" width="7.75" style="1" customWidth="1"/>
    <col min="7" max="7" width="8.125" style="1" customWidth="1"/>
    <col min="8" max="8" width="12.125" style="1" customWidth="1"/>
    <col min="9" max="10" width="12.375" style="1" customWidth="1"/>
    <col min="11" max="11" width="11.125" style="1" customWidth="1"/>
    <col min="12" max="12" width="12.375" style="1" customWidth="1"/>
    <col min="13" max="13" width="8.125" style="1" customWidth="1"/>
    <col min="14" max="14" width="12.125" style="1" customWidth="1"/>
    <col min="15" max="15" width="12.125" style="74" customWidth="1"/>
    <col min="16" max="16" width="30.125" style="1" customWidth="1"/>
    <col min="17" max="16384" width="8" style="1"/>
  </cols>
  <sheetData>
    <row r="1" s="2" customFormat="1" spans="1:15">
      <c r="A1" s="16" t="s">
        <v>429</v>
      </c>
      <c r="B1" s="16" t="s">
        <v>430</v>
      </c>
      <c r="C1" s="16" t="s">
        <v>431</v>
      </c>
      <c r="D1" s="16" t="s">
        <v>432</v>
      </c>
      <c r="E1" s="16" t="s">
        <v>433</v>
      </c>
      <c r="F1" s="16" t="s">
        <v>434</v>
      </c>
      <c r="G1" s="16" t="s">
        <v>435</v>
      </c>
      <c r="H1" s="16" t="s">
        <v>436</v>
      </c>
      <c r="I1" s="16" t="s">
        <v>437</v>
      </c>
      <c r="J1" s="16" t="s">
        <v>438</v>
      </c>
      <c r="K1" s="16" t="s">
        <v>439</v>
      </c>
      <c r="L1" s="16" t="s">
        <v>440</v>
      </c>
      <c r="M1" s="16" t="s">
        <v>435</v>
      </c>
      <c r="N1" s="16" t="s">
        <v>441</v>
      </c>
      <c r="O1" s="16" t="s">
        <v>442</v>
      </c>
    </row>
    <row r="2" s="1" customFormat="1" ht="15" customHeight="1" spans="1:15">
      <c r="A2" s="8" t="s">
        <v>41</v>
      </c>
      <c r="B2" s="11" t="s">
        <v>41</v>
      </c>
      <c r="C2" s="8" t="s">
        <v>41</v>
      </c>
      <c r="D2" s="11" t="s">
        <v>41</v>
      </c>
      <c r="E2" s="8" t="s">
        <v>41</v>
      </c>
      <c r="F2" s="8" t="s">
        <v>443</v>
      </c>
      <c r="G2" s="8" t="s">
        <v>41</v>
      </c>
      <c r="H2" s="36">
        <v>-32895553.71</v>
      </c>
      <c r="I2" s="36">
        <v>13535505.56</v>
      </c>
      <c r="J2" s="36">
        <v>8446987.91</v>
      </c>
      <c r="K2" s="36">
        <v>113689503.1</v>
      </c>
      <c r="L2" s="36">
        <v>111662242.44</v>
      </c>
      <c r="M2" s="8" t="s">
        <v>41</v>
      </c>
      <c r="N2" s="36">
        <v>-27807036.06</v>
      </c>
      <c r="O2" s="74"/>
    </row>
    <row r="3" s="1" customFormat="1" ht="15" hidden="1" customHeight="1" spans="1:16">
      <c r="A3" s="8" t="s">
        <v>444</v>
      </c>
      <c r="B3" s="11" t="s">
        <v>445</v>
      </c>
      <c r="C3" s="8" t="s">
        <v>41</v>
      </c>
      <c r="D3" s="11" t="s">
        <v>446</v>
      </c>
      <c r="E3" s="8" t="s">
        <v>41</v>
      </c>
      <c r="F3" s="8" t="s">
        <v>443</v>
      </c>
      <c r="G3" s="8" t="s">
        <v>447</v>
      </c>
      <c r="H3" s="36">
        <v>18031075.05</v>
      </c>
      <c r="I3" s="36">
        <v>0</v>
      </c>
      <c r="J3" s="36">
        <v>11279.66</v>
      </c>
      <c r="K3" s="36">
        <v>0</v>
      </c>
      <c r="L3" s="36">
        <v>9637418.14</v>
      </c>
      <c r="M3" s="8" t="s">
        <v>447</v>
      </c>
      <c r="N3" s="36">
        <v>18042354.71</v>
      </c>
      <c r="O3" s="74">
        <f t="shared" ref="O3:O66" si="0">IF(M3="贷",N3,-N3)</f>
        <v>18042354.71</v>
      </c>
      <c r="P3" s="1" t="e">
        <f>_xlfn.XLOOKUP(D3,'9月份计划'!A:A,'9月份计划'!A:A)</f>
        <v>#N/A</v>
      </c>
    </row>
    <row r="4" s="1" customFormat="1" ht="15" hidden="1" customHeight="1" spans="1:16">
      <c r="A4" s="8" t="s">
        <v>444</v>
      </c>
      <c r="B4" s="11" t="s">
        <v>445</v>
      </c>
      <c r="C4" s="8" t="s">
        <v>41</v>
      </c>
      <c r="D4" s="11" t="s">
        <v>448</v>
      </c>
      <c r="E4" s="8" t="s">
        <v>41</v>
      </c>
      <c r="F4" s="8" t="s">
        <v>443</v>
      </c>
      <c r="G4" s="8" t="s">
        <v>447</v>
      </c>
      <c r="H4" s="36">
        <v>80.3</v>
      </c>
      <c r="I4" s="36">
        <v>0</v>
      </c>
      <c r="J4" s="36">
        <v>0</v>
      </c>
      <c r="K4" s="36">
        <v>0</v>
      </c>
      <c r="L4" s="36">
        <v>0</v>
      </c>
      <c r="M4" s="8" t="s">
        <v>447</v>
      </c>
      <c r="N4" s="36">
        <v>80.3</v>
      </c>
      <c r="O4" s="74">
        <f t="shared" si="0"/>
        <v>80.3</v>
      </c>
      <c r="P4" s="1" t="e">
        <f>_xlfn.XLOOKUP(D4,'9月份计划'!A:A,'9月份计划'!A:A)</f>
        <v>#N/A</v>
      </c>
    </row>
    <row r="5" s="1" customFormat="1" ht="15" hidden="1" customHeight="1" spans="1:16">
      <c r="A5" s="8" t="s">
        <v>444</v>
      </c>
      <c r="B5" s="11" t="s">
        <v>445</v>
      </c>
      <c r="C5" s="8" t="s">
        <v>41</v>
      </c>
      <c r="D5" s="11" t="s">
        <v>449</v>
      </c>
      <c r="E5" s="8" t="s">
        <v>41</v>
      </c>
      <c r="F5" s="8" t="s">
        <v>443</v>
      </c>
      <c r="G5" s="8" t="s">
        <v>447</v>
      </c>
      <c r="H5" s="36">
        <v>23367.17</v>
      </c>
      <c r="I5" s="36">
        <v>0</v>
      </c>
      <c r="J5" s="36">
        <v>0</v>
      </c>
      <c r="K5" s="36">
        <v>0</v>
      </c>
      <c r="L5" s="36">
        <v>0</v>
      </c>
      <c r="M5" s="8" t="s">
        <v>447</v>
      </c>
      <c r="N5" s="36">
        <v>23367.17</v>
      </c>
      <c r="O5" s="74">
        <f t="shared" si="0"/>
        <v>23367.17</v>
      </c>
      <c r="P5" s="1" t="e">
        <f>_xlfn.XLOOKUP(D5,'9月份计划'!A:A,'9月份计划'!A:A)</f>
        <v>#N/A</v>
      </c>
    </row>
    <row r="6" s="1" customFormat="1" ht="15" hidden="1" customHeight="1" spans="1:16">
      <c r="A6" s="12" t="s">
        <v>444</v>
      </c>
      <c r="B6" s="15" t="s">
        <v>445</v>
      </c>
      <c r="C6" s="12" t="s">
        <v>41</v>
      </c>
      <c r="D6" s="15" t="s">
        <v>450</v>
      </c>
      <c r="E6" s="12" t="s">
        <v>41</v>
      </c>
      <c r="F6" s="12" t="s">
        <v>443</v>
      </c>
      <c r="G6" s="12" t="s">
        <v>447</v>
      </c>
      <c r="H6" s="37">
        <v>9685.4</v>
      </c>
      <c r="I6" s="37">
        <v>0</v>
      </c>
      <c r="J6" s="37">
        <v>0</v>
      </c>
      <c r="K6" s="37">
        <v>0</v>
      </c>
      <c r="L6" s="37">
        <v>0</v>
      </c>
      <c r="M6" s="12" t="s">
        <v>447</v>
      </c>
      <c r="N6" s="37">
        <v>9685.4</v>
      </c>
      <c r="O6" s="74">
        <f t="shared" si="0"/>
        <v>9685.4</v>
      </c>
      <c r="P6" s="1" t="e">
        <f>_xlfn.XLOOKUP(D6,'9月份计划'!A:A,'9月份计划'!A:A)</f>
        <v>#N/A</v>
      </c>
    </row>
    <row r="7" s="1" customFormat="1" ht="15" customHeight="1" spans="1:16">
      <c r="A7" s="8" t="s">
        <v>444</v>
      </c>
      <c r="B7" s="11" t="s">
        <v>445</v>
      </c>
      <c r="C7" s="8" t="s">
        <v>41</v>
      </c>
      <c r="D7" s="11" t="s">
        <v>241</v>
      </c>
      <c r="E7" s="8" t="s">
        <v>41</v>
      </c>
      <c r="F7" s="8" t="s">
        <v>443</v>
      </c>
      <c r="G7" s="8" t="s">
        <v>447</v>
      </c>
      <c r="H7" s="36">
        <v>125239.59</v>
      </c>
      <c r="I7" s="36">
        <v>23708.98</v>
      </c>
      <c r="J7" s="36">
        <v>58504.11</v>
      </c>
      <c r="K7" s="36">
        <v>607106.98</v>
      </c>
      <c r="L7" s="36">
        <v>344722</v>
      </c>
      <c r="M7" s="8" t="s">
        <v>447</v>
      </c>
      <c r="N7" s="36">
        <v>160034.72</v>
      </c>
      <c r="O7" s="74">
        <f t="shared" si="0"/>
        <v>160034.72</v>
      </c>
      <c r="P7" s="1" t="str">
        <f>_xlfn.XLOOKUP(D7,'9月份计划'!A:A,'9月份计划'!A:A)</f>
        <v>天津琪安科技有限公司</v>
      </c>
    </row>
    <row r="8" s="1" customFormat="1" ht="15" customHeight="1" spans="1:16">
      <c r="A8" s="8" t="s">
        <v>444</v>
      </c>
      <c r="B8" s="11" t="s">
        <v>445</v>
      </c>
      <c r="C8" s="8" t="s">
        <v>41</v>
      </c>
      <c r="D8" s="11" t="s">
        <v>242</v>
      </c>
      <c r="E8" s="8" t="s">
        <v>41</v>
      </c>
      <c r="F8" s="8" t="s">
        <v>443</v>
      </c>
      <c r="G8" s="8" t="s">
        <v>447</v>
      </c>
      <c r="H8" s="36">
        <v>73452.57</v>
      </c>
      <c r="I8" s="36">
        <v>21952.92</v>
      </c>
      <c r="J8" s="36">
        <v>0</v>
      </c>
      <c r="K8" s="36">
        <v>357543.58</v>
      </c>
      <c r="L8" s="36">
        <v>219454.48</v>
      </c>
      <c r="M8" s="8" t="s">
        <v>447</v>
      </c>
      <c r="N8" s="36">
        <v>51499.65</v>
      </c>
      <c r="O8" s="74">
        <f t="shared" si="0"/>
        <v>51499.65</v>
      </c>
      <c r="P8" s="1" t="str">
        <f>_xlfn.XLOOKUP(D8,'9月份计划'!A:A,'9月份计划'!A:A)</f>
        <v>黄骅市广亿汽车部件有限公司</v>
      </c>
    </row>
    <row r="9" s="1" customFormat="1" ht="15" customHeight="1" spans="1:16">
      <c r="A9" s="8" t="s">
        <v>444</v>
      </c>
      <c r="B9" s="11" t="s">
        <v>445</v>
      </c>
      <c r="C9" s="8" t="s">
        <v>41</v>
      </c>
      <c r="D9" s="11" t="s">
        <v>243</v>
      </c>
      <c r="E9" s="8" t="s">
        <v>41</v>
      </c>
      <c r="F9" s="8" t="s">
        <v>443</v>
      </c>
      <c r="G9" s="8" t="s">
        <v>447</v>
      </c>
      <c r="H9" s="36">
        <v>59786.66</v>
      </c>
      <c r="I9" s="36">
        <v>42578.13</v>
      </c>
      <c r="J9" s="36">
        <v>0</v>
      </c>
      <c r="K9" s="36">
        <v>239928.54</v>
      </c>
      <c r="L9" s="36">
        <v>146694.94</v>
      </c>
      <c r="M9" s="8" t="s">
        <v>447</v>
      </c>
      <c r="N9" s="36">
        <v>17208.53</v>
      </c>
      <c r="O9" s="74">
        <f t="shared" si="0"/>
        <v>17208.53</v>
      </c>
      <c r="P9" s="1" t="str">
        <f>_xlfn.XLOOKUP(D9,'9月份计划'!A:A,'9月份计划'!A:A)</f>
        <v>霸州市自强汽车零部件厂</v>
      </c>
    </row>
    <row r="10" s="1" customFormat="1" ht="15" hidden="1" customHeight="1" spans="1:16">
      <c r="A10" s="12" t="s">
        <v>444</v>
      </c>
      <c r="B10" s="15" t="s">
        <v>445</v>
      </c>
      <c r="C10" s="12" t="s">
        <v>41</v>
      </c>
      <c r="D10" s="15" t="s">
        <v>451</v>
      </c>
      <c r="E10" s="12" t="s">
        <v>41</v>
      </c>
      <c r="F10" s="12" t="s">
        <v>443</v>
      </c>
      <c r="G10" s="12" t="s">
        <v>447</v>
      </c>
      <c r="H10" s="37">
        <v>28567873.89</v>
      </c>
      <c r="I10" s="37">
        <v>2000000</v>
      </c>
      <c r="J10" s="37">
        <v>497690.79</v>
      </c>
      <c r="K10" s="37">
        <v>2900000</v>
      </c>
      <c r="L10" s="37">
        <v>669751.22</v>
      </c>
      <c r="M10" s="12" t="s">
        <v>447</v>
      </c>
      <c r="N10" s="37">
        <v>27065564.68</v>
      </c>
      <c r="O10" s="74">
        <f t="shared" si="0"/>
        <v>27065564.68</v>
      </c>
      <c r="P10" s="1" t="e">
        <f>_xlfn.XLOOKUP(D10,'9月份计划'!A:A,'9月份计划'!A:A)</f>
        <v>#N/A</v>
      </c>
    </row>
    <row r="11" s="1" customFormat="1" ht="15" hidden="1" customHeight="1" spans="1:16">
      <c r="A11" s="8" t="s">
        <v>444</v>
      </c>
      <c r="B11" s="11" t="s">
        <v>445</v>
      </c>
      <c r="C11" s="8" t="s">
        <v>41</v>
      </c>
      <c r="D11" s="11" t="s">
        <v>499</v>
      </c>
      <c r="E11" s="8" t="s">
        <v>41</v>
      </c>
      <c r="F11" s="8" t="s">
        <v>443</v>
      </c>
      <c r="G11" s="8" t="s">
        <v>447</v>
      </c>
      <c r="H11" s="36">
        <v>745215.21</v>
      </c>
      <c r="I11" s="36">
        <v>0</v>
      </c>
      <c r="J11" s="36">
        <v>0</v>
      </c>
      <c r="K11" s="36">
        <v>0</v>
      </c>
      <c r="L11" s="36">
        <v>745215.21</v>
      </c>
      <c r="M11" s="8" t="s">
        <v>447</v>
      </c>
      <c r="N11" s="36">
        <v>745215.21</v>
      </c>
      <c r="O11" s="74">
        <f t="shared" si="0"/>
        <v>745215.21</v>
      </c>
      <c r="P11" s="1" t="e">
        <f>_xlfn.XLOOKUP(D11,'9月份计划'!A:A,'9月份计划'!A:A)</f>
        <v>#N/A</v>
      </c>
    </row>
    <row r="12" s="1" customFormat="1" ht="15" customHeight="1" spans="1:16">
      <c r="A12" s="8" t="s">
        <v>444</v>
      </c>
      <c r="B12" s="11" t="s">
        <v>445</v>
      </c>
      <c r="C12" s="8" t="s">
        <v>41</v>
      </c>
      <c r="D12" s="11" t="s">
        <v>244</v>
      </c>
      <c r="E12" s="8" t="s">
        <v>41</v>
      </c>
      <c r="F12" s="8" t="s">
        <v>443</v>
      </c>
      <c r="G12" s="8" t="s">
        <v>447</v>
      </c>
      <c r="H12" s="36">
        <v>84856.7</v>
      </c>
      <c r="I12" s="36">
        <v>30000</v>
      </c>
      <c r="J12" s="36">
        <v>20289.15</v>
      </c>
      <c r="K12" s="36">
        <v>502055.59</v>
      </c>
      <c r="L12" s="36">
        <v>283747.52</v>
      </c>
      <c r="M12" s="8" t="s">
        <v>447</v>
      </c>
      <c r="N12" s="36">
        <v>75145.85</v>
      </c>
      <c r="O12" s="74">
        <f t="shared" si="0"/>
        <v>75145.85</v>
      </c>
      <c r="P12" s="1" t="str">
        <f>_xlfn.XLOOKUP(D12,'9月份计划'!A:A,'9月份计划'!A:A)</f>
        <v>沧州临港明康汽车配件有限公司</v>
      </c>
    </row>
    <row r="13" s="1" customFormat="1" ht="15" customHeight="1" spans="1:16">
      <c r="A13" s="12" t="s">
        <v>444</v>
      </c>
      <c r="B13" s="15" t="s">
        <v>445</v>
      </c>
      <c r="C13" s="12" t="s">
        <v>41</v>
      </c>
      <c r="D13" s="15" t="s">
        <v>245</v>
      </c>
      <c r="E13" s="12" t="s">
        <v>41</v>
      </c>
      <c r="F13" s="12" t="s">
        <v>443</v>
      </c>
      <c r="G13" s="12" t="s">
        <v>447</v>
      </c>
      <c r="H13" s="37">
        <v>95340.95</v>
      </c>
      <c r="I13" s="37">
        <v>50000</v>
      </c>
      <c r="J13" s="37">
        <v>21778.05</v>
      </c>
      <c r="K13" s="37">
        <v>449395</v>
      </c>
      <c r="L13" s="37">
        <v>288496.35</v>
      </c>
      <c r="M13" s="12" t="s">
        <v>447</v>
      </c>
      <c r="N13" s="37">
        <v>67119</v>
      </c>
      <c r="O13" s="74">
        <f t="shared" si="0"/>
        <v>67119</v>
      </c>
      <c r="P13" s="1" t="str">
        <f>_xlfn.XLOOKUP(D13,'9月份计划'!A:A,'9月份计划'!A:A)</f>
        <v>黄骅市建昌塑料制品有限公司</v>
      </c>
    </row>
    <row r="14" s="1" customFormat="1" ht="15" customHeight="1" spans="1:16">
      <c r="A14" s="8" t="s">
        <v>444</v>
      </c>
      <c r="B14" s="11" t="s">
        <v>445</v>
      </c>
      <c r="C14" s="8" t="s">
        <v>41</v>
      </c>
      <c r="D14" s="11" t="s">
        <v>283</v>
      </c>
      <c r="E14" s="8" t="s">
        <v>41</v>
      </c>
      <c r="F14" s="8" t="s">
        <v>443</v>
      </c>
      <c r="G14" s="8" t="s">
        <v>447</v>
      </c>
      <c r="H14" s="36">
        <v>15100.81</v>
      </c>
      <c r="I14" s="36">
        <v>8532.8</v>
      </c>
      <c r="J14" s="36">
        <v>0</v>
      </c>
      <c r="K14" s="36">
        <v>73418.18</v>
      </c>
      <c r="L14" s="36">
        <v>56934.43</v>
      </c>
      <c r="M14" s="8" t="s">
        <v>447</v>
      </c>
      <c r="N14" s="36">
        <v>6568.01</v>
      </c>
      <c r="O14" s="74">
        <f t="shared" si="0"/>
        <v>6568.01</v>
      </c>
      <c r="P14" s="1" t="str">
        <f>_xlfn.XLOOKUP(D14,'9月份计划'!A:A,'9月份计划'!A:A)</f>
        <v>黄骅市成卓汽车部件厂</v>
      </c>
    </row>
    <row r="15" s="1" customFormat="1" ht="15" hidden="1" customHeight="1" spans="1:16">
      <c r="A15" s="12" t="s">
        <v>444</v>
      </c>
      <c r="B15" s="15" t="s">
        <v>445</v>
      </c>
      <c r="C15" s="12" t="s">
        <v>41</v>
      </c>
      <c r="D15" s="15" t="s">
        <v>452</v>
      </c>
      <c r="E15" s="12" t="s">
        <v>41</v>
      </c>
      <c r="F15" s="12" t="s">
        <v>443</v>
      </c>
      <c r="G15" s="12" t="s">
        <v>447</v>
      </c>
      <c r="H15" s="37">
        <v>5200.09</v>
      </c>
      <c r="I15" s="37">
        <v>0</v>
      </c>
      <c r="J15" s="37">
        <v>0</v>
      </c>
      <c r="K15" s="37">
        <v>0</v>
      </c>
      <c r="L15" s="37">
        <v>0</v>
      </c>
      <c r="M15" s="12" t="s">
        <v>447</v>
      </c>
      <c r="N15" s="37">
        <v>5200.09</v>
      </c>
      <c r="O15" s="74">
        <f t="shared" si="0"/>
        <v>5200.09</v>
      </c>
      <c r="P15" s="1" t="e">
        <f>_xlfn.XLOOKUP(D15,'9月份计划'!A:A,'9月份计划'!A:A)</f>
        <v>#N/A</v>
      </c>
    </row>
    <row r="16" s="1" customFormat="1" ht="15" customHeight="1" spans="1:16">
      <c r="A16" s="8" t="s">
        <v>444</v>
      </c>
      <c r="B16" s="11" t="s">
        <v>445</v>
      </c>
      <c r="C16" s="8" t="s">
        <v>41</v>
      </c>
      <c r="D16" s="11" t="s">
        <v>280</v>
      </c>
      <c r="E16" s="8" t="s">
        <v>41</v>
      </c>
      <c r="F16" s="8" t="s">
        <v>443</v>
      </c>
      <c r="G16" s="8" t="s">
        <v>447</v>
      </c>
      <c r="H16" s="36">
        <v>55294.29</v>
      </c>
      <c r="I16" s="36">
        <v>55294.29</v>
      </c>
      <c r="J16" s="36">
        <v>18813.54</v>
      </c>
      <c r="K16" s="36">
        <v>293729.27</v>
      </c>
      <c r="L16" s="36">
        <v>179937.31</v>
      </c>
      <c r="M16" s="8" t="s">
        <v>447</v>
      </c>
      <c r="N16" s="36">
        <v>18813.54</v>
      </c>
      <c r="O16" s="74">
        <f t="shared" si="0"/>
        <v>18813.54</v>
      </c>
      <c r="P16" s="1" t="str">
        <f>_xlfn.XLOOKUP(D16,'9月份计划'!A:A,'9月份计划'!A:A)</f>
        <v>文安县德实汽车配件有限公司</v>
      </c>
    </row>
    <row r="17" s="1" customFormat="1" ht="15" customHeight="1" spans="1:16">
      <c r="A17" s="8" t="s">
        <v>444</v>
      </c>
      <c r="B17" s="11" t="s">
        <v>445</v>
      </c>
      <c r="C17" s="8" t="s">
        <v>41</v>
      </c>
      <c r="D17" s="11" t="s">
        <v>246</v>
      </c>
      <c r="E17" s="8" t="s">
        <v>41</v>
      </c>
      <c r="F17" s="8" t="s">
        <v>443</v>
      </c>
      <c r="G17" s="8" t="s">
        <v>447</v>
      </c>
      <c r="H17" s="36">
        <v>39895.15</v>
      </c>
      <c r="I17" s="36">
        <v>27459.91</v>
      </c>
      <c r="J17" s="36">
        <v>53907.16</v>
      </c>
      <c r="K17" s="36">
        <v>406490.32</v>
      </c>
      <c r="L17" s="36">
        <v>268897.57</v>
      </c>
      <c r="M17" s="8" t="s">
        <v>447</v>
      </c>
      <c r="N17" s="36">
        <v>66342.4</v>
      </c>
      <c r="O17" s="74">
        <f t="shared" si="0"/>
        <v>66342.4</v>
      </c>
      <c r="P17" s="1" t="str">
        <f>_xlfn.XLOOKUP(D17,'9月份计划'!A:A,'9月份计划'!A:A)</f>
        <v>廊坊市烁鑫汽车配件有限公司</v>
      </c>
    </row>
    <row r="18" s="1" customFormat="1" ht="15" customHeight="1" spans="1:16">
      <c r="A18" s="8" t="s">
        <v>444</v>
      </c>
      <c r="B18" s="11" t="s">
        <v>445</v>
      </c>
      <c r="C18" s="8" t="s">
        <v>41</v>
      </c>
      <c r="D18" s="11" t="s">
        <v>247</v>
      </c>
      <c r="E18" s="8" t="s">
        <v>41</v>
      </c>
      <c r="F18" s="8" t="s">
        <v>443</v>
      </c>
      <c r="G18" s="8" t="s">
        <v>447</v>
      </c>
      <c r="H18" s="36">
        <v>50884.52</v>
      </c>
      <c r="I18" s="36">
        <v>0</v>
      </c>
      <c r="J18" s="36">
        <v>18363.63</v>
      </c>
      <c r="K18" s="36">
        <v>129977.88</v>
      </c>
      <c r="L18" s="36">
        <v>159248.15</v>
      </c>
      <c r="M18" s="8" t="s">
        <v>447</v>
      </c>
      <c r="N18" s="36">
        <v>69248.15</v>
      </c>
      <c r="O18" s="74">
        <f t="shared" si="0"/>
        <v>69248.15</v>
      </c>
      <c r="P18" s="1" t="str">
        <f>_xlfn.XLOOKUP(D18,'9月份计划'!A:A,'9月份计划'!A:A)</f>
        <v>黄骅市汇铭汽车部件有限公司</v>
      </c>
    </row>
    <row r="19" s="1" customFormat="1" ht="15" customHeight="1" spans="1:16">
      <c r="A19" s="8" t="s">
        <v>444</v>
      </c>
      <c r="B19" s="11" t="s">
        <v>445</v>
      </c>
      <c r="C19" s="8" t="s">
        <v>41</v>
      </c>
      <c r="D19" s="11" t="s">
        <v>248</v>
      </c>
      <c r="E19" s="8" t="s">
        <v>41</v>
      </c>
      <c r="F19" s="8" t="s">
        <v>443</v>
      </c>
      <c r="G19" s="8" t="s">
        <v>447</v>
      </c>
      <c r="H19" s="36">
        <v>156040.34</v>
      </c>
      <c r="I19" s="36">
        <v>0</v>
      </c>
      <c r="J19" s="36">
        <v>0</v>
      </c>
      <c r="K19" s="36">
        <v>1742450.5</v>
      </c>
      <c r="L19" s="36">
        <v>1040268.96</v>
      </c>
      <c r="M19" s="8" t="s">
        <v>447</v>
      </c>
      <c r="N19" s="36">
        <v>156040.34</v>
      </c>
      <c r="O19" s="74">
        <f t="shared" si="0"/>
        <v>156040.34</v>
      </c>
      <c r="P19" s="1" t="str">
        <f>_xlfn.XLOOKUP(D19,'9月份计划'!A:A,'9月份计划'!A:A)</f>
        <v>上海明芳汽车零件有限公司</v>
      </c>
    </row>
    <row r="20" s="1" customFormat="1" ht="15" customHeight="1" spans="1:16">
      <c r="A20" s="8" t="s">
        <v>444</v>
      </c>
      <c r="B20" s="11" t="s">
        <v>445</v>
      </c>
      <c r="C20" s="8" t="s">
        <v>41</v>
      </c>
      <c r="D20" s="11" t="s">
        <v>279</v>
      </c>
      <c r="E20" s="8" t="s">
        <v>41</v>
      </c>
      <c r="F20" s="8" t="s">
        <v>443</v>
      </c>
      <c r="G20" s="8" t="s">
        <v>447</v>
      </c>
      <c r="H20" s="36">
        <v>13932.9</v>
      </c>
      <c r="I20" s="36">
        <v>0</v>
      </c>
      <c r="J20" s="36">
        <v>0</v>
      </c>
      <c r="K20" s="36">
        <v>0</v>
      </c>
      <c r="L20" s="36">
        <v>0</v>
      </c>
      <c r="M20" s="8" t="s">
        <v>447</v>
      </c>
      <c r="N20" s="36">
        <v>13932.9</v>
      </c>
      <c r="O20" s="74">
        <f t="shared" si="0"/>
        <v>13932.9</v>
      </c>
      <c r="P20" s="1" t="str">
        <f>_xlfn.XLOOKUP(D20,'9月份计划'!A:A,'9月份计划'!A:A)</f>
        <v>上海秉直精密机械有限公司</v>
      </c>
    </row>
    <row r="21" s="1" customFormat="1" ht="15" customHeight="1" spans="1:16">
      <c r="A21" s="8" t="s">
        <v>444</v>
      </c>
      <c r="B21" s="11" t="s">
        <v>445</v>
      </c>
      <c r="C21" s="8" t="s">
        <v>41</v>
      </c>
      <c r="D21" s="11" t="s">
        <v>249</v>
      </c>
      <c r="E21" s="8" t="s">
        <v>41</v>
      </c>
      <c r="F21" s="8" t="s">
        <v>443</v>
      </c>
      <c r="G21" s="8" t="s">
        <v>447</v>
      </c>
      <c r="H21" s="36">
        <v>52357.41</v>
      </c>
      <c r="I21" s="36">
        <v>47679.21</v>
      </c>
      <c r="J21" s="36">
        <v>0</v>
      </c>
      <c r="K21" s="36">
        <v>1813578.38</v>
      </c>
      <c r="L21" s="36">
        <v>961892.9</v>
      </c>
      <c r="M21" s="8" t="s">
        <v>447</v>
      </c>
      <c r="N21" s="36">
        <v>4678.2</v>
      </c>
      <c r="O21" s="74">
        <f t="shared" si="0"/>
        <v>4678.2</v>
      </c>
      <c r="P21" s="1" t="str">
        <f>_xlfn.XLOOKUP(D21,'9月份计划'!A:A,'9月份计划'!A:A)</f>
        <v>江苏力乐汽车部件股份有限公司</v>
      </c>
    </row>
    <row r="22" s="1" customFormat="1" ht="15" customHeight="1" spans="1:16">
      <c r="A22" s="8" t="s">
        <v>444</v>
      </c>
      <c r="B22" s="11" t="s">
        <v>445</v>
      </c>
      <c r="C22" s="8" t="s">
        <v>41</v>
      </c>
      <c r="D22" s="11" t="s">
        <v>250</v>
      </c>
      <c r="E22" s="8" t="s">
        <v>41</v>
      </c>
      <c r="F22" s="8" t="s">
        <v>443</v>
      </c>
      <c r="G22" s="8" t="s">
        <v>447</v>
      </c>
      <c r="H22" s="36">
        <v>246202.21</v>
      </c>
      <c r="I22" s="36">
        <v>103860.05</v>
      </c>
      <c r="J22" s="36">
        <v>69533.07</v>
      </c>
      <c r="K22" s="36">
        <v>1829174.81</v>
      </c>
      <c r="L22" s="36">
        <v>1137168.13</v>
      </c>
      <c r="M22" s="8" t="s">
        <v>447</v>
      </c>
      <c r="N22" s="36">
        <v>211875.23</v>
      </c>
      <c r="O22" s="74">
        <f t="shared" si="0"/>
        <v>211875.23</v>
      </c>
      <c r="P22" s="1" t="str">
        <f>_xlfn.XLOOKUP(D22,'9月份计划'!A:A,'9月份计划'!A:A)</f>
        <v>溧阳鑫岩汽车零部件有限公司</v>
      </c>
    </row>
    <row r="23" s="1" customFormat="1" ht="15" customHeight="1" spans="1:16">
      <c r="A23" s="12" t="s">
        <v>444</v>
      </c>
      <c r="B23" s="15" t="s">
        <v>445</v>
      </c>
      <c r="C23" s="12" t="s">
        <v>41</v>
      </c>
      <c r="D23" s="15" t="s">
        <v>251</v>
      </c>
      <c r="E23" s="12" t="s">
        <v>41</v>
      </c>
      <c r="F23" s="12" t="s">
        <v>443</v>
      </c>
      <c r="G23" s="12" t="s">
        <v>447</v>
      </c>
      <c r="H23" s="37">
        <v>622012.14</v>
      </c>
      <c r="I23" s="37">
        <v>422563.16</v>
      </c>
      <c r="J23" s="37">
        <v>424867.88</v>
      </c>
      <c r="K23" s="37">
        <v>3101576.42</v>
      </c>
      <c r="L23" s="37">
        <v>3548103.15</v>
      </c>
      <c r="M23" s="12" t="s">
        <v>447</v>
      </c>
      <c r="N23" s="37">
        <v>624316.86</v>
      </c>
      <c r="O23" s="74">
        <f t="shared" si="0"/>
        <v>624316.86</v>
      </c>
      <c r="P23" s="1" t="str">
        <f>_xlfn.XLOOKUP(D23,'9月份计划'!A:A,'9月份计划'!A:A)</f>
        <v>厦门凯平化工有限公司</v>
      </c>
    </row>
    <row r="24" s="1" customFormat="1" ht="15" customHeight="1" spans="1:16">
      <c r="A24" s="12" t="s">
        <v>444</v>
      </c>
      <c r="B24" s="15" t="s">
        <v>445</v>
      </c>
      <c r="C24" s="12" t="s">
        <v>41</v>
      </c>
      <c r="D24" s="15" t="s">
        <v>252</v>
      </c>
      <c r="E24" s="12" t="s">
        <v>41</v>
      </c>
      <c r="F24" s="12" t="s">
        <v>443</v>
      </c>
      <c r="G24" s="12" t="s">
        <v>447</v>
      </c>
      <c r="H24" s="37">
        <v>72307.87</v>
      </c>
      <c r="I24" s="37">
        <v>72307.87</v>
      </c>
      <c r="J24" s="37">
        <v>66207.06</v>
      </c>
      <c r="K24" s="37">
        <v>726362.65</v>
      </c>
      <c r="L24" s="37">
        <v>386032.05</v>
      </c>
      <c r="M24" s="12" t="s">
        <v>447</v>
      </c>
      <c r="N24" s="37">
        <v>66207.06</v>
      </c>
      <c r="O24" s="74">
        <f t="shared" si="0"/>
        <v>66207.06</v>
      </c>
      <c r="P24" s="1" t="str">
        <f>_xlfn.XLOOKUP(D24,'9月份计划'!A:A,'9月份计划'!A:A)</f>
        <v>湖北伟士通汽车零件有限公司</v>
      </c>
    </row>
    <row r="25" s="1" customFormat="1" ht="15" customHeight="1" spans="1:16">
      <c r="A25" s="12" t="s">
        <v>444</v>
      </c>
      <c r="B25" s="15" t="s">
        <v>445</v>
      </c>
      <c r="C25" s="12" t="s">
        <v>41</v>
      </c>
      <c r="D25" s="15" t="s">
        <v>253</v>
      </c>
      <c r="E25" s="12" t="s">
        <v>41</v>
      </c>
      <c r="F25" s="12" t="s">
        <v>443</v>
      </c>
      <c r="G25" s="12" t="s">
        <v>447</v>
      </c>
      <c r="H25" s="37">
        <v>295331.22</v>
      </c>
      <c r="I25" s="37">
        <v>276975.65</v>
      </c>
      <c r="J25" s="37">
        <v>31328.38</v>
      </c>
      <c r="K25" s="37">
        <v>1019165.65</v>
      </c>
      <c r="L25" s="37">
        <v>730085.4</v>
      </c>
      <c r="M25" s="12" t="s">
        <v>447</v>
      </c>
      <c r="N25" s="37">
        <v>49683.95</v>
      </c>
      <c r="O25" s="74">
        <f t="shared" si="0"/>
        <v>49683.95</v>
      </c>
      <c r="P25" s="1" t="str">
        <f>_xlfn.XLOOKUP(D25,'9月份计划'!A:A,'9月份计划'!A:A)</f>
        <v>衡阳县标准件厂株洲销售处</v>
      </c>
    </row>
    <row r="26" s="1" customFormat="1" ht="15" customHeight="1" spans="1:16">
      <c r="A26" s="8" t="s">
        <v>444</v>
      </c>
      <c r="B26" s="11" t="s">
        <v>445</v>
      </c>
      <c r="C26" s="8" t="s">
        <v>41</v>
      </c>
      <c r="D26" s="11" t="s">
        <v>254</v>
      </c>
      <c r="E26" s="8" t="s">
        <v>41</v>
      </c>
      <c r="F26" s="8" t="s">
        <v>443</v>
      </c>
      <c r="G26" s="8" t="s">
        <v>447</v>
      </c>
      <c r="H26" s="36">
        <v>399438.18</v>
      </c>
      <c r="I26" s="36">
        <v>580000</v>
      </c>
      <c r="J26" s="36">
        <v>468213.44</v>
      </c>
      <c r="K26" s="36">
        <v>6230000</v>
      </c>
      <c r="L26" s="36">
        <v>5920349.68</v>
      </c>
      <c r="M26" s="8" t="s">
        <v>447</v>
      </c>
      <c r="N26" s="36">
        <v>287651.62</v>
      </c>
      <c r="O26" s="74">
        <f t="shared" si="0"/>
        <v>287651.62</v>
      </c>
      <c r="P26" s="1" t="str">
        <f>_xlfn.XLOOKUP(D26,'9月份计划'!A:A,'9月份计划'!A:A)</f>
        <v>湖南凌天汽车零部件有限公司</v>
      </c>
    </row>
    <row r="27" s="1" customFormat="1" ht="15" hidden="1" customHeight="1" spans="1:16">
      <c r="A27" s="12" t="s">
        <v>444</v>
      </c>
      <c r="B27" s="15" t="s">
        <v>445</v>
      </c>
      <c r="C27" s="12" t="s">
        <v>41</v>
      </c>
      <c r="D27" s="15" t="s">
        <v>454</v>
      </c>
      <c r="E27" s="12" t="s">
        <v>41</v>
      </c>
      <c r="F27" s="12" t="s">
        <v>443</v>
      </c>
      <c r="G27" s="12" t="s">
        <v>447</v>
      </c>
      <c r="H27" s="37">
        <v>0.5</v>
      </c>
      <c r="I27" s="37">
        <v>0</v>
      </c>
      <c r="J27" s="37">
        <v>0</v>
      </c>
      <c r="K27" s="37">
        <v>101763.51</v>
      </c>
      <c r="L27" s="37">
        <v>0</v>
      </c>
      <c r="M27" s="12" t="s">
        <v>447</v>
      </c>
      <c r="N27" s="37">
        <v>0.5</v>
      </c>
      <c r="O27" s="74">
        <f t="shared" si="0"/>
        <v>0.5</v>
      </c>
      <c r="P27" s="1" t="e">
        <f>_xlfn.XLOOKUP(D27,'9月份计划'!A:A,'9月份计划'!A:A)</f>
        <v>#N/A</v>
      </c>
    </row>
    <row r="28" s="1" customFormat="1" ht="15" hidden="1" customHeight="1" spans="1:16">
      <c r="A28" s="8" t="s">
        <v>444</v>
      </c>
      <c r="B28" s="11" t="s">
        <v>445</v>
      </c>
      <c r="C28" s="8" t="s">
        <v>41</v>
      </c>
      <c r="D28" s="11" t="s">
        <v>601</v>
      </c>
      <c r="E28" s="8" t="s">
        <v>41</v>
      </c>
      <c r="F28" s="8" t="s">
        <v>443</v>
      </c>
      <c r="G28" s="8" t="s">
        <v>489</v>
      </c>
      <c r="H28" s="36">
        <v>0</v>
      </c>
      <c r="I28" s="36">
        <v>0</v>
      </c>
      <c r="J28" s="36">
        <v>400000</v>
      </c>
      <c r="K28" s="36">
        <v>0</v>
      </c>
      <c r="L28" s="36">
        <v>400000</v>
      </c>
      <c r="M28" s="8" t="s">
        <v>447</v>
      </c>
      <c r="N28" s="36">
        <v>400000</v>
      </c>
      <c r="O28" s="74">
        <f t="shared" si="0"/>
        <v>400000</v>
      </c>
      <c r="P28" s="1" t="e">
        <f>_xlfn.XLOOKUP(D28,'9月份计划'!A:A,'9月份计划'!A:A)</f>
        <v>#N/A</v>
      </c>
    </row>
    <row r="29" s="1" customFormat="1" ht="15" customHeight="1" spans="1:16">
      <c r="A29" s="12" t="s">
        <v>444</v>
      </c>
      <c r="B29" s="15" t="s">
        <v>445</v>
      </c>
      <c r="C29" s="12" t="s">
        <v>41</v>
      </c>
      <c r="D29" s="15" t="s">
        <v>255</v>
      </c>
      <c r="E29" s="12" t="s">
        <v>41</v>
      </c>
      <c r="F29" s="12" t="s">
        <v>443</v>
      </c>
      <c r="G29" s="12" t="s">
        <v>447</v>
      </c>
      <c r="H29" s="37">
        <v>98722.96</v>
      </c>
      <c r="I29" s="37">
        <v>49949.33</v>
      </c>
      <c r="J29" s="37">
        <v>2033.14</v>
      </c>
      <c r="K29" s="37">
        <v>739105.22</v>
      </c>
      <c r="L29" s="37">
        <v>423566.73</v>
      </c>
      <c r="M29" s="12" t="s">
        <v>447</v>
      </c>
      <c r="N29" s="37">
        <v>50806.77</v>
      </c>
      <c r="O29" s="74">
        <f t="shared" si="0"/>
        <v>50806.77</v>
      </c>
      <c r="P29" s="1" t="str">
        <f>_xlfn.XLOOKUP(D29,'9月份计划'!A:A,'9月份计划'!A:A)</f>
        <v>重庆光大产业有限公司</v>
      </c>
    </row>
    <row r="30" s="1" customFormat="1" ht="15" customHeight="1" spans="1:16">
      <c r="A30" s="8" t="s">
        <v>444</v>
      </c>
      <c r="B30" s="11" t="s">
        <v>445</v>
      </c>
      <c r="C30" s="8" t="s">
        <v>41</v>
      </c>
      <c r="D30" s="11" t="s">
        <v>256</v>
      </c>
      <c r="E30" s="8" t="s">
        <v>41</v>
      </c>
      <c r="F30" s="8" t="s">
        <v>443</v>
      </c>
      <c r="G30" s="8" t="s">
        <v>447</v>
      </c>
      <c r="H30" s="36">
        <v>2889615.22</v>
      </c>
      <c r="I30" s="36">
        <v>2000000</v>
      </c>
      <c r="J30" s="36">
        <v>1328210.89</v>
      </c>
      <c r="K30" s="36">
        <v>20828263.7</v>
      </c>
      <c r="L30" s="36">
        <v>18151456.44</v>
      </c>
      <c r="M30" s="8" t="s">
        <v>447</v>
      </c>
      <c r="N30" s="36">
        <v>2217826.11</v>
      </c>
      <c r="O30" s="74">
        <f t="shared" si="0"/>
        <v>2217826.11</v>
      </c>
      <c r="P30" s="1" t="str">
        <f>_xlfn.XLOOKUP(D30,'9月份计划'!A:A,'9月份计划'!A:A)</f>
        <v>湘乡简美工贸有限公司</v>
      </c>
    </row>
    <row r="31" s="1" customFormat="1" ht="15" hidden="1" customHeight="1" spans="1:16">
      <c r="A31" s="12" t="s">
        <v>444</v>
      </c>
      <c r="B31" s="15" t="s">
        <v>445</v>
      </c>
      <c r="C31" s="12" t="s">
        <v>41</v>
      </c>
      <c r="D31" s="15" t="s">
        <v>600</v>
      </c>
      <c r="E31" s="12" t="s">
        <v>41</v>
      </c>
      <c r="F31" s="12" t="s">
        <v>443</v>
      </c>
      <c r="G31" s="12" t="s">
        <v>447</v>
      </c>
      <c r="H31" s="37">
        <v>4085688.8</v>
      </c>
      <c r="I31" s="37">
        <v>1746058.83</v>
      </c>
      <c r="J31" s="37">
        <v>872679.57</v>
      </c>
      <c r="K31" s="37">
        <v>2607443.59</v>
      </c>
      <c r="L31" s="37">
        <v>5819753.13</v>
      </c>
      <c r="M31" s="12" t="s">
        <v>447</v>
      </c>
      <c r="N31" s="37">
        <v>3212309.54</v>
      </c>
      <c r="O31" s="74">
        <f t="shared" si="0"/>
        <v>3212309.54</v>
      </c>
      <c r="P31" s="1" t="e">
        <f>_xlfn.XLOOKUP(D31,'9月份计划'!A:A,'9月份计划'!A:A)</f>
        <v>#N/A</v>
      </c>
    </row>
    <row r="32" s="1" customFormat="1" ht="15" hidden="1" customHeight="1" spans="1:16">
      <c r="A32" s="8" t="s">
        <v>444</v>
      </c>
      <c r="B32" s="11" t="s">
        <v>445</v>
      </c>
      <c r="C32" s="8" t="s">
        <v>41</v>
      </c>
      <c r="D32" s="11" t="s">
        <v>456</v>
      </c>
      <c r="E32" s="8" t="s">
        <v>41</v>
      </c>
      <c r="F32" s="8" t="s">
        <v>443</v>
      </c>
      <c r="G32" s="8" t="s">
        <v>447</v>
      </c>
      <c r="H32" s="36">
        <v>115723.23</v>
      </c>
      <c r="I32" s="36">
        <v>0</v>
      </c>
      <c r="J32" s="36">
        <v>0</v>
      </c>
      <c r="K32" s="36">
        <v>344500</v>
      </c>
      <c r="L32" s="36">
        <v>144500</v>
      </c>
      <c r="M32" s="8" t="s">
        <v>447</v>
      </c>
      <c r="N32" s="36">
        <v>115723.23</v>
      </c>
      <c r="O32" s="74">
        <f t="shared" si="0"/>
        <v>115723.23</v>
      </c>
      <c r="P32" s="1" t="e">
        <f>_xlfn.XLOOKUP(D32,'9月份计划'!A:A,'9月份计划'!A:A)</f>
        <v>#N/A</v>
      </c>
    </row>
    <row r="33" s="1" customFormat="1" ht="15" hidden="1" customHeight="1" spans="1:16">
      <c r="A33" s="12" t="s">
        <v>444</v>
      </c>
      <c r="B33" s="15" t="s">
        <v>445</v>
      </c>
      <c r="C33" s="12" t="s">
        <v>41</v>
      </c>
      <c r="D33" s="15" t="s">
        <v>457</v>
      </c>
      <c r="E33" s="12" t="s">
        <v>41</v>
      </c>
      <c r="F33" s="12" t="s">
        <v>443</v>
      </c>
      <c r="G33" s="12" t="s">
        <v>447</v>
      </c>
      <c r="H33" s="37">
        <v>1400</v>
      </c>
      <c r="I33" s="37">
        <v>0</v>
      </c>
      <c r="J33" s="37">
        <v>0</v>
      </c>
      <c r="K33" s="37">
        <v>0</v>
      </c>
      <c r="L33" s="37">
        <v>0</v>
      </c>
      <c r="M33" s="12" t="s">
        <v>447</v>
      </c>
      <c r="N33" s="37">
        <v>1400</v>
      </c>
      <c r="O33" s="74">
        <f t="shared" si="0"/>
        <v>1400</v>
      </c>
      <c r="P33" s="1" t="e">
        <f>_xlfn.XLOOKUP(D33,'9月份计划'!A:A,'9月份计划'!A:A)</f>
        <v>#N/A</v>
      </c>
    </row>
    <row r="34" s="1" customFormat="1" ht="15" hidden="1" customHeight="1" spans="1:16">
      <c r="A34" s="8" t="s">
        <v>444</v>
      </c>
      <c r="B34" s="11" t="s">
        <v>445</v>
      </c>
      <c r="C34" s="8" t="s">
        <v>41</v>
      </c>
      <c r="D34" s="11" t="s">
        <v>458</v>
      </c>
      <c r="E34" s="8" t="s">
        <v>41</v>
      </c>
      <c r="F34" s="8" t="s">
        <v>443</v>
      </c>
      <c r="G34" s="8" t="s">
        <v>447</v>
      </c>
      <c r="H34" s="36">
        <v>5600</v>
      </c>
      <c r="I34" s="36">
        <v>0</v>
      </c>
      <c r="J34" s="36">
        <v>0</v>
      </c>
      <c r="K34" s="36">
        <v>0</v>
      </c>
      <c r="L34" s="36">
        <v>0</v>
      </c>
      <c r="M34" s="8" t="s">
        <v>447</v>
      </c>
      <c r="N34" s="36">
        <v>5600</v>
      </c>
      <c r="O34" s="74">
        <f t="shared" si="0"/>
        <v>5600</v>
      </c>
      <c r="P34" s="1" t="e">
        <f>_xlfn.XLOOKUP(D34,'9月份计划'!A:A,'9月份计划'!A:A)</f>
        <v>#N/A</v>
      </c>
    </row>
    <row r="35" s="1" customFormat="1" ht="15" hidden="1" customHeight="1" spans="1:16">
      <c r="A35" s="8" t="s">
        <v>444</v>
      </c>
      <c r="B35" s="11" t="s">
        <v>445</v>
      </c>
      <c r="C35" s="8" t="s">
        <v>41</v>
      </c>
      <c r="D35" s="11" t="s">
        <v>459</v>
      </c>
      <c r="E35" s="8" t="s">
        <v>41</v>
      </c>
      <c r="F35" s="8" t="s">
        <v>443</v>
      </c>
      <c r="G35" s="8" t="s">
        <v>447</v>
      </c>
      <c r="H35" s="36">
        <v>6250</v>
      </c>
      <c r="I35" s="36">
        <v>0</v>
      </c>
      <c r="J35" s="36">
        <v>0</v>
      </c>
      <c r="K35" s="36">
        <v>0</v>
      </c>
      <c r="L35" s="36">
        <v>0</v>
      </c>
      <c r="M35" s="8" t="s">
        <v>447</v>
      </c>
      <c r="N35" s="36">
        <v>6250</v>
      </c>
      <c r="O35" s="74">
        <f t="shared" si="0"/>
        <v>6250</v>
      </c>
      <c r="P35" s="1" t="e">
        <f>_xlfn.XLOOKUP(D35,'9月份计划'!A:A,'9月份计划'!A:A)</f>
        <v>#N/A</v>
      </c>
    </row>
    <row r="36" s="1" customFormat="1" ht="15" hidden="1" customHeight="1" spans="1:16">
      <c r="A36" s="12" t="s">
        <v>444</v>
      </c>
      <c r="B36" s="15" t="s">
        <v>445</v>
      </c>
      <c r="C36" s="12" t="s">
        <v>41</v>
      </c>
      <c r="D36" s="15" t="s">
        <v>461</v>
      </c>
      <c r="E36" s="12" t="s">
        <v>41</v>
      </c>
      <c r="F36" s="12" t="s">
        <v>443</v>
      </c>
      <c r="G36" s="12" t="s">
        <v>447</v>
      </c>
      <c r="H36" s="37">
        <v>9600</v>
      </c>
      <c r="I36" s="37">
        <v>0</v>
      </c>
      <c r="J36" s="37">
        <v>0</v>
      </c>
      <c r="K36" s="37">
        <v>0</v>
      </c>
      <c r="L36" s="37">
        <v>0</v>
      </c>
      <c r="M36" s="12" t="s">
        <v>447</v>
      </c>
      <c r="N36" s="37">
        <v>9600</v>
      </c>
      <c r="O36" s="74">
        <f t="shared" si="0"/>
        <v>9600</v>
      </c>
      <c r="P36" s="1" t="e">
        <f>_xlfn.XLOOKUP(D36,'9月份计划'!A:A,'9月份计划'!A:A)</f>
        <v>#N/A</v>
      </c>
    </row>
    <row r="37" s="1" customFormat="1" ht="15" hidden="1" customHeight="1" spans="1:16">
      <c r="A37" s="12" t="s">
        <v>444</v>
      </c>
      <c r="B37" s="15" t="s">
        <v>445</v>
      </c>
      <c r="C37" s="12" t="s">
        <v>41</v>
      </c>
      <c r="D37" s="15" t="s">
        <v>462</v>
      </c>
      <c r="E37" s="12" t="s">
        <v>41</v>
      </c>
      <c r="F37" s="12" t="s">
        <v>443</v>
      </c>
      <c r="G37" s="12" t="s">
        <v>453</v>
      </c>
      <c r="H37" s="37">
        <v>15365.76</v>
      </c>
      <c r="I37" s="37">
        <v>0</v>
      </c>
      <c r="J37" s="37">
        <v>0</v>
      </c>
      <c r="K37" s="37">
        <v>0</v>
      </c>
      <c r="L37" s="37">
        <v>0</v>
      </c>
      <c r="M37" s="12" t="s">
        <v>453</v>
      </c>
      <c r="N37" s="37">
        <v>15365.76</v>
      </c>
      <c r="O37" s="74">
        <f t="shared" si="0"/>
        <v>-15365.76</v>
      </c>
      <c r="P37" s="1" t="e">
        <f>_xlfn.XLOOKUP(D37,'9月份计划'!A:A,'9月份计划'!A:A)</f>
        <v>#N/A</v>
      </c>
    </row>
    <row r="38" s="1" customFormat="1" ht="15" hidden="1" customHeight="1" spans="1:16">
      <c r="A38" s="12" t="s">
        <v>444</v>
      </c>
      <c r="B38" s="15" t="s">
        <v>445</v>
      </c>
      <c r="C38" s="12" t="s">
        <v>41</v>
      </c>
      <c r="D38" s="15" t="s">
        <v>463</v>
      </c>
      <c r="E38" s="12" t="s">
        <v>41</v>
      </c>
      <c r="F38" s="12" t="s">
        <v>443</v>
      </c>
      <c r="G38" s="12" t="s">
        <v>447</v>
      </c>
      <c r="H38" s="37">
        <v>2200</v>
      </c>
      <c r="I38" s="37">
        <v>0</v>
      </c>
      <c r="J38" s="37">
        <v>0</v>
      </c>
      <c r="K38" s="37">
        <v>0</v>
      </c>
      <c r="L38" s="37">
        <v>0</v>
      </c>
      <c r="M38" s="12" t="s">
        <v>447</v>
      </c>
      <c r="N38" s="37">
        <v>2200</v>
      </c>
      <c r="O38" s="74">
        <f t="shared" si="0"/>
        <v>2200</v>
      </c>
      <c r="P38" s="1" t="e">
        <f>_xlfn.XLOOKUP(D38,'9月份计划'!A:A,'9月份计划'!A:A)</f>
        <v>#N/A</v>
      </c>
    </row>
    <row r="39" s="1" customFormat="1" ht="15" hidden="1" customHeight="1" spans="1:16">
      <c r="A39" s="8" t="s">
        <v>444</v>
      </c>
      <c r="B39" s="11" t="s">
        <v>445</v>
      </c>
      <c r="C39" s="8" t="s">
        <v>41</v>
      </c>
      <c r="D39" s="11" t="s">
        <v>464</v>
      </c>
      <c r="E39" s="8" t="s">
        <v>41</v>
      </c>
      <c r="F39" s="8" t="s">
        <v>443</v>
      </c>
      <c r="G39" s="8" t="s">
        <v>447</v>
      </c>
      <c r="H39" s="36">
        <v>6340</v>
      </c>
      <c r="I39" s="36">
        <v>0</v>
      </c>
      <c r="J39" s="36">
        <v>0</v>
      </c>
      <c r="K39" s="36">
        <v>0</v>
      </c>
      <c r="L39" s="36">
        <v>0</v>
      </c>
      <c r="M39" s="8" t="s">
        <v>447</v>
      </c>
      <c r="N39" s="36">
        <v>6340</v>
      </c>
      <c r="O39" s="74">
        <f t="shared" si="0"/>
        <v>6340</v>
      </c>
      <c r="P39" s="1" t="e">
        <f>_xlfn.XLOOKUP(D39,'9月份计划'!A:A,'9月份计划'!A:A)</f>
        <v>#N/A</v>
      </c>
    </row>
    <row r="40" s="1" customFormat="1" ht="15" hidden="1" customHeight="1" spans="1:16">
      <c r="A40" s="12" t="s">
        <v>444</v>
      </c>
      <c r="B40" s="15" t="s">
        <v>445</v>
      </c>
      <c r="C40" s="12" t="s">
        <v>41</v>
      </c>
      <c r="D40" s="15" t="s">
        <v>465</v>
      </c>
      <c r="E40" s="12" t="s">
        <v>41</v>
      </c>
      <c r="F40" s="12" t="s">
        <v>443</v>
      </c>
      <c r="G40" s="12" t="s">
        <v>447</v>
      </c>
      <c r="H40" s="37">
        <v>30585</v>
      </c>
      <c r="I40" s="37">
        <v>0</v>
      </c>
      <c r="J40" s="37">
        <v>0</v>
      </c>
      <c r="K40" s="37">
        <v>0</v>
      </c>
      <c r="L40" s="37">
        <v>0</v>
      </c>
      <c r="M40" s="12" t="s">
        <v>447</v>
      </c>
      <c r="N40" s="37">
        <v>30585</v>
      </c>
      <c r="O40" s="74">
        <f t="shared" si="0"/>
        <v>30585</v>
      </c>
      <c r="P40" s="1" t="e">
        <f>_xlfn.XLOOKUP(D40,'9月份计划'!A:A,'9月份计划'!A:A)</f>
        <v>#N/A</v>
      </c>
    </row>
    <row r="41" s="1" customFormat="1" ht="15" customHeight="1" spans="1:16">
      <c r="A41" s="8" t="s">
        <v>444</v>
      </c>
      <c r="B41" s="11" t="s">
        <v>445</v>
      </c>
      <c r="C41" s="8" t="s">
        <v>41</v>
      </c>
      <c r="D41" s="11" t="s">
        <v>257</v>
      </c>
      <c r="E41" s="8" t="s">
        <v>41</v>
      </c>
      <c r="F41" s="8" t="s">
        <v>443</v>
      </c>
      <c r="G41" s="8" t="s">
        <v>453</v>
      </c>
      <c r="H41" s="36">
        <v>39.99</v>
      </c>
      <c r="I41" s="36">
        <v>0</v>
      </c>
      <c r="J41" s="36">
        <v>0</v>
      </c>
      <c r="K41" s="36">
        <v>288131.92</v>
      </c>
      <c r="L41" s="36">
        <v>512604.16</v>
      </c>
      <c r="M41" s="8" t="s">
        <v>453</v>
      </c>
      <c r="N41" s="36">
        <v>39.99</v>
      </c>
      <c r="O41" s="74">
        <f t="shared" si="0"/>
        <v>-39.99</v>
      </c>
      <c r="P41" s="1" t="str">
        <f>_xlfn.XLOOKUP(D41,'9月份计划'!A:A,'9月份计划'!A:A)</f>
        <v>佛吉亚（无锡）座椅部件有限公</v>
      </c>
    </row>
    <row r="42" spans="1:16">
      <c r="A42" s="1" t="s">
        <v>444</v>
      </c>
      <c r="B42" s="1" t="s">
        <v>445</v>
      </c>
      <c r="C42" s="1" t="s">
        <v>41</v>
      </c>
      <c r="D42" s="1" t="s">
        <v>278</v>
      </c>
      <c r="E42" s="1" t="s">
        <v>41</v>
      </c>
      <c r="F42" s="1" t="s">
        <v>443</v>
      </c>
      <c r="G42" s="1" t="s">
        <v>489</v>
      </c>
      <c r="H42" s="1">
        <v>0</v>
      </c>
      <c r="I42" s="1">
        <v>0</v>
      </c>
      <c r="J42" s="1">
        <v>3299.6</v>
      </c>
      <c r="K42" s="1">
        <v>46194.4</v>
      </c>
      <c r="L42" s="1">
        <v>24417.04</v>
      </c>
      <c r="M42" s="1" t="s">
        <v>447</v>
      </c>
      <c r="N42" s="1">
        <v>3299.6</v>
      </c>
      <c r="O42" s="74">
        <f t="shared" si="0"/>
        <v>3299.6</v>
      </c>
      <c r="P42" s="1" t="str">
        <f>_xlfn.XLOOKUP(D42,'9月份计划'!A:A,'9月份计划'!A:A)</f>
        <v>重庆渝融兴汽车配件有限公司</v>
      </c>
    </row>
    <row r="43" spans="1:16">
      <c r="A43" s="1" t="s">
        <v>444</v>
      </c>
      <c r="B43" s="1" t="s">
        <v>445</v>
      </c>
      <c r="C43" s="1" t="s">
        <v>41</v>
      </c>
      <c r="D43" s="1" t="s">
        <v>258</v>
      </c>
      <c r="E43" s="1" t="s">
        <v>41</v>
      </c>
      <c r="F43" s="1" t="s">
        <v>443</v>
      </c>
      <c r="G43" s="1" t="s">
        <v>447</v>
      </c>
      <c r="H43" s="1">
        <v>51059.41</v>
      </c>
      <c r="I43" s="1">
        <v>44270.01</v>
      </c>
      <c r="J43" s="1">
        <v>5902.67</v>
      </c>
      <c r="K43" s="1">
        <v>1591799.53</v>
      </c>
      <c r="L43" s="1">
        <v>865738.38</v>
      </c>
      <c r="M43" s="1" t="s">
        <v>447</v>
      </c>
      <c r="N43" s="1">
        <v>12692.07</v>
      </c>
      <c r="O43" s="74">
        <f t="shared" si="0"/>
        <v>12692.07</v>
      </c>
      <c r="P43" s="1" t="str">
        <f>_xlfn.XLOOKUP(D43,'9月份计划'!A:A,'9月份计划'!A:A)</f>
        <v>吉林省德邦汽车电子有限公司</v>
      </c>
    </row>
    <row r="44" spans="1:16">
      <c r="A44" s="1" t="s">
        <v>444</v>
      </c>
      <c r="B44" s="1" t="s">
        <v>445</v>
      </c>
      <c r="C44" s="1" t="s">
        <v>41</v>
      </c>
      <c r="D44" s="1" t="s">
        <v>259</v>
      </c>
      <c r="E44" s="1" t="s">
        <v>41</v>
      </c>
      <c r="F44" s="1" t="s">
        <v>443</v>
      </c>
      <c r="G44" s="1" t="s">
        <v>447</v>
      </c>
      <c r="H44" s="1">
        <v>807800.62</v>
      </c>
      <c r="I44" s="1">
        <v>500000</v>
      </c>
      <c r="J44" s="1">
        <v>0</v>
      </c>
      <c r="K44" s="1">
        <v>1677392.18</v>
      </c>
      <c r="L44" s="1">
        <v>1199443.21</v>
      </c>
      <c r="M44" s="1" t="s">
        <v>447</v>
      </c>
      <c r="N44" s="1">
        <v>307800.62</v>
      </c>
      <c r="O44" s="74">
        <f t="shared" si="0"/>
        <v>307800.62</v>
      </c>
      <c r="P44" s="1" t="str">
        <f>_xlfn.XLOOKUP(D44,'9月份计划'!A:A,'9月份计划'!A:A)</f>
        <v>吉林省方舟电子科技有限公司</v>
      </c>
    </row>
    <row r="45" spans="1:16">
      <c r="A45" s="1" t="s">
        <v>444</v>
      </c>
      <c r="B45" s="1" t="s">
        <v>445</v>
      </c>
      <c r="C45" s="1" t="s">
        <v>41</v>
      </c>
      <c r="D45" s="1" t="s">
        <v>260</v>
      </c>
      <c r="E45" s="1" t="s">
        <v>41</v>
      </c>
      <c r="F45" s="1" t="s">
        <v>443</v>
      </c>
      <c r="G45" s="1" t="s">
        <v>447</v>
      </c>
      <c r="H45" s="1">
        <v>192609.91</v>
      </c>
      <c r="I45" s="1">
        <v>129407.59</v>
      </c>
      <c r="J45" s="1">
        <v>30342.84</v>
      </c>
      <c r="K45" s="1">
        <v>951474.6</v>
      </c>
      <c r="L45" s="1">
        <v>521313.01</v>
      </c>
      <c r="M45" s="1" t="s">
        <v>447</v>
      </c>
      <c r="N45" s="1">
        <v>93545.16</v>
      </c>
      <c r="O45" s="74">
        <f t="shared" si="0"/>
        <v>93545.16</v>
      </c>
      <c r="P45" s="1" t="str">
        <f>_xlfn.XLOOKUP(D45,'9月份计划'!A:A,'9月份计划'!A:A)</f>
        <v>黄骅市雍丰塑料制品有限公司</v>
      </c>
    </row>
    <row r="46" hidden="1" spans="1:16">
      <c r="A46" s="1" t="s">
        <v>444</v>
      </c>
      <c r="B46" s="1" t="s">
        <v>445</v>
      </c>
      <c r="C46" s="1" t="s">
        <v>41</v>
      </c>
      <c r="D46" s="1" t="s">
        <v>466</v>
      </c>
      <c r="E46" s="1" t="s">
        <v>41</v>
      </c>
      <c r="F46" s="1" t="s">
        <v>443</v>
      </c>
      <c r="G46" s="1" t="s">
        <v>447</v>
      </c>
      <c r="H46" s="1">
        <v>1508.81</v>
      </c>
      <c r="I46" s="1">
        <v>0</v>
      </c>
      <c r="J46" s="1">
        <v>0</v>
      </c>
      <c r="K46" s="1">
        <v>0</v>
      </c>
      <c r="L46" s="1">
        <v>0</v>
      </c>
      <c r="M46" s="1" t="s">
        <v>447</v>
      </c>
      <c r="N46" s="1">
        <v>1508.81</v>
      </c>
      <c r="O46" s="74">
        <f t="shared" si="0"/>
        <v>1508.81</v>
      </c>
      <c r="P46" s="1" t="e">
        <f>_xlfn.XLOOKUP(D46,'9月份计划'!A:A,'9月份计划'!A:A)</f>
        <v>#N/A</v>
      </c>
    </row>
    <row r="47" hidden="1" spans="1:16">
      <c r="A47" s="1" t="s">
        <v>444</v>
      </c>
      <c r="B47" s="1" t="s">
        <v>445</v>
      </c>
      <c r="C47" s="1" t="s">
        <v>41</v>
      </c>
      <c r="D47" s="1" t="s">
        <v>467</v>
      </c>
      <c r="E47" s="1" t="s">
        <v>41</v>
      </c>
      <c r="F47" s="1" t="s">
        <v>443</v>
      </c>
      <c r="G47" s="1" t="s">
        <v>447</v>
      </c>
      <c r="H47" s="1">
        <v>19684</v>
      </c>
      <c r="I47" s="1">
        <v>0</v>
      </c>
      <c r="J47" s="1">
        <v>0</v>
      </c>
      <c r="K47" s="1">
        <v>0</v>
      </c>
      <c r="L47" s="1">
        <v>0</v>
      </c>
      <c r="M47" s="1" t="s">
        <v>447</v>
      </c>
      <c r="N47" s="1">
        <v>19684</v>
      </c>
      <c r="O47" s="74">
        <f t="shared" si="0"/>
        <v>19684</v>
      </c>
      <c r="P47" s="1" t="e">
        <f>_xlfn.XLOOKUP(D47,'9月份计划'!A:A,'9月份计划'!A:A)</f>
        <v>#N/A</v>
      </c>
    </row>
    <row r="48" hidden="1" spans="1:16">
      <c r="A48" s="1" t="s">
        <v>444</v>
      </c>
      <c r="B48" s="1" t="s">
        <v>445</v>
      </c>
      <c r="C48" s="1" t="s">
        <v>41</v>
      </c>
      <c r="D48" s="1" t="s">
        <v>468</v>
      </c>
      <c r="E48" s="1" t="s">
        <v>41</v>
      </c>
      <c r="F48" s="1" t="s">
        <v>443</v>
      </c>
      <c r="G48" s="1" t="s">
        <v>447</v>
      </c>
      <c r="H48" s="1">
        <v>23.19</v>
      </c>
      <c r="I48" s="1">
        <v>0</v>
      </c>
      <c r="J48" s="1">
        <v>0</v>
      </c>
      <c r="K48" s="1">
        <v>0</v>
      </c>
      <c r="L48" s="1">
        <v>0</v>
      </c>
      <c r="M48" s="1" t="s">
        <v>447</v>
      </c>
      <c r="N48" s="1">
        <v>23.19</v>
      </c>
      <c r="O48" s="74">
        <f t="shared" si="0"/>
        <v>23.19</v>
      </c>
      <c r="P48" s="1" t="e">
        <f>_xlfn.XLOOKUP(D48,'9月份计划'!A:A,'9月份计划'!A:A)</f>
        <v>#N/A</v>
      </c>
    </row>
    <row r="49" hidden="1" spans="1:16">
      <c r="A49" s="1" t="s">
        <v>444</v>
      </c>
      <c r="B49" s="1" t="s">
        <v>445</v>
      </c>
      <c r="C49" s="1" t="s">
        <v>41</v>
      </c>
      <c r="D49" s="1" t="s">
        <v>469</v>
      </c>
      <c r="E49" s="1" t="s">
        <v>41</v>
      </c>
      <c r="F49" s="1" t="s">
        <v>443</v>
      </c>
      <c r="G49" s="1" t="s">
        <v>447</v>
      </c>
      <c r="H49" s="1">
        <v>5878.26</v>
      </c>
      <c r="I49" s="1">
        <v>0</v>
      </c>
      <c r="J49" s="1">
        <v>0</v>
      </c>
      <c r="K49" s="1">
        <v>0</v>
      </c>
      <c r="L49" s="1">
        <v>0</v>
      </c>
      <c r="M49" s="1" t="s">
        <v>447</v>
      </c>
      <c r="N49" s="1">
        <v>5878.26</v>
      </c>
      <c r="O49" s="74">
        <f t="shared" si="0"/>
        <v>5878.26</v>
      </c>
      <c r="P49" s="1" t="e">
        <f>_xlfn.XLOOKUP(D49,'9月份计划'!A:A,'9月份计划'!A:A)</f>
        <v>#N/A</v>
      </c>
    </row>
    <row r="50" hidden="1" spans="1:16">
      <c r="A50" s="1" t="s">
        <v>444</v>
      </c>
      <c r="B50" s="1" t="s">
        <v>445</v>
      </c>
      <c r="C50" s="1" t="s">
        <v>41</v>
      </c>
      <c r="D50" s="1" t="s">
        <v>470</v>
      </c>
      <c r="E50" s="1" t="s">
        <v>41</v>
      </c>
      <c r="F50" s="1" t="s">
        <v>443</v>
      </c>
      <c r="G50" s="1" t="s">
        <v>447</v>
      </c>
      <c r="H50" s="1">
        <v>65450</v>
      </c>
      <c r="I50" s="1">
        <v>0</v>
      </c>
      <c r="J50" s="1">
        <v>0</v>
      </c>
      <c r="K50" s="1">
        <v>0</v>
      </c>
      <c r="L50" s="1">
        <v>0</v>
      </c>
      <c r="M50" s="1" t="s">
        <v>447</v>
      </c>
      <c r="N50" s="1">
        <v>65450</v>
      </c>
      <c r="O50" s="74">
        <f t="shared" si="0"/>
        <v>65450</v>
      </c>
      <c r="P50" s="1" t="e">
        <f>_xlfn.XLOOKUP(D50,'9月份计划'!A:A,'9月份计划'!A:A)</f>
        <v>#N/A</v>
      </c>
    </row>
    <row r="51" hidden="1" spans="1:16">
      <c r="A51" s="1" t="s">
        <v>444</v>
      </c>
      <c r="B51" s="1" t="s">
        <v>445</v>
      </c>
      <c r="C51" s="1" t="s">
        <v>41</v>
      </c>
      <c r="D51" s="1" t="s">
        <v>471</v>
      </c>
      <c r="E51" s="1" t="s">
        <v>41</v>
      </c>
      <c r="F51" s="1" t="s">
        <v>443</v>
      </c>
      <c r="G51" s="1" t="s">
        <v>447</v>
      </c>
      <c r="H51" s="1">
        <v>61614.37</v>
      </c>
      <c r="I51" s="1">
        <v>0</v>
      </c>
      <c r="J51" s="1">
        <v>0</v>
      </c>
      <c r="K51" s="1">
        <v>0</v>
      </c>
      <c r="L51" s="1">
        <v>0</v>
      </c>
      <c r="M51" s="1" t="s">
        <v>447</v>
      </c>
      <c r="N51" s="1">
        <v>61614.37</v>
      </c>
      <c r="O51" s="74">
        <f t="shared" si="0"/>
        <v>61614.37</v>
      </c>
      <c r="P51" s="1" t="e">
        <f>_xlfn.XLOOKUP(D51,'9月份计划'!A:A,'9月份计划'!A:A)</f>
        <v>#N/A</v>
      </c>
    </row>
    <row r="52" spans="1:16">
      <c r="A52" s="1" t="s">
        <v>444</v>
      </c>
      <c r="B52" s="1" t="s">
        <v>445</v>
      </c>
      <c r="C52" s="1" t="s">
        <v>41</v>
      </c>
      <c r="D52" s="1" t="s">
        <v>261</v>
      </c>
      <c r="E52" s="1" t="s">
        <v>41</v>
      </c>
      <c r="F52" s="1" t="s">
        <v>443</v>
      </c>
      <c r="G52" s="1" t="s">
        <v>447</v>
      </c>
      <c r="H52" s="1">
        <v>485236.61</v>
      </c>
      <c r="I52" s="1">
        <v>100000</v>
      </c>
      <c r="J52" s="1">
        <v>23388</v>
      </c>
      <c r="K52" s="1">
        <v>1700000</v>
      </c>
      <c r="L52" s="1">
        <v>1005028</v>
      </c>
      <c r="M52" s="1" t="s">
        <v>447</v>
      </c>
      <c r="N52" s="1">
        <v>408624.61</v>
      </c>
      <c r="O52" s="74">
        <f t="shared" si="0"/>
        <v>408624.61</v>
      </c>
      <c r="P52" s="1" t="str">
        <f>_xlfn.XLOOKUP(D52,'9月份计划'!A:A,'9月份计划'!A:A)</f>
        <v>景德镇市乾立运输有限公司</v>
      </c>
    </row>
    <row r="53" hidden="1" spans="1:16">
      <c r="A53" s="1" t="s">
        <v>444</v>
      </c>
      <c r="B53" s="1" t="s">
        <v>445</v>
      </c>
      <c r="C53" s="1" t="s">
        <v>41</v>
      </c>
      <c r="D53" s="1" t="s">
        <v>472</v>
      </c>
      <c r="E53" s="1" t="s">
        <v>41</v>
      </c>
      <c r="F53" s="1" t="s">
        <v>443</v>
      </c>
      <c r="G53" s="1" t="s">
        <v>447</v>
      </c>
      <c r="H53" s="1">
        <v>474</v>
      </c>
      <c r="I53" s="1">
        <v>0</v>
      </c>
      <c r="J53" s="1">
        <v>0</v>
      </c>
      <c r="K53" s="1">
        <v>0</v>
      </c>
      <c r="L53" s="1">
        <v>0</v>
      </c>
      <c r="M53" s="1" t="s">
        <v>447</v>
      </c>
      <c r="N53" s="1">
        <v>474</v>
      </c>
      <c r="O53" s="74">
        <f t="shared" si="0"/>
        <v>474</v>
      </c>
      <c r="P53" s="1" t="e">
        <f>_xlfn.XLOOKUP(D53,'9月份计划'!A:A,'9月份计划'!A:A)</f>
        <v>#N/A</v>
      </c>
    </row>
    <row r="54" spans="1:16">
      <c r="A54" s="1" t="s">
        <v>444</v>
      </c>
      <c r="B54" s="1" t="s">
        <v>445</v>
      </c>
      <c r="C54" s="1" t="s">
        <v>41</v>
      </c>
      <c r="D54" s="1" t="s">
        <v>262</v>
      </c>
      <c r="E54" s="1" t="s">
        <v>41</v>
      </c>
      <c r="F54" s="1" t="s">
        <v>443</v>
      </c>
      <c r="G54" s="1" t="s">
        <v>447</v>
      </c>
      <c r="H54" s="1">
        <v>579103.74</v>
      </c>
      <c r="I54" s="1">
        <v>200000</v>
      </c>
      <c r="J54" s="1">
        <v>0</v>
      </c>
      <c r="K54" s="1">
        <v>1600000</v>
      </c>
      <c r="L54" s="1">
        <v>818238.84</v>
      </c>
      <c r="M54" s="1" t="s">
        <v>447</v>
      </c>
      <c r="N54" s="1">
        <v>379103.74</v>
      </c>
      <c r="O54" s="74">
        <f t="shared" si="0"/>
        <v>379103.74</v>
      </c>
      <c r="P54" s="1" t="str">
        <f>_xlfn.XLOOKUP(D54,'9月份计划'!A:A,'9月份计划'!A:A)</f>
        <v>景德镇市凯达汽车配件有限公司</v>
      </c>
    </row>
    <row r="55" spans="1:16">
      <c r="A55" s="1" t="s">
        <v>444</v>
      </c>
      <c r="B55" s="1" t="s">
        <v>445</v>
      </c>
      <c r="C55" s="1" t="s">
        <v>41</v>
      </c>
      <c r="D55" s="1" t="s">
        <v>263</v>
      </c>
      <c r="E55" s="1" t="s">
        <v>41</v>
      </c>
      <c r="F55" s="1" t="s">
        <v>443</v>
      </c>
      <c r="G55" s="1" t="s">
        <v>447</v>
      </c>
      <c r="H55" s="1">
        <v>140736.48</v>
      </c>
      <c r="I55" s="1">
        <v>0</v>
      </c>
      <c r="J55" s="1">
        <v>49045.74</v>
      </c>
      <c r="K55" s="1">
        <v>1167192.1</v>
      </c>
      <c r="L55" s="1">
        <v>1086787.96</v>
      </c>
      <c r="M55" s="1" t="s">
        <v>447</v>
      </c>
      <c r="N55" s="1">
        <v>189782.22</v>
      </c>
      <c r="O55" s="74">
        <f t="shared" si="0"/>
        <v>189782.22</v>
      </c>
      <c r="P55" s="1" t="str">
        <f>_xlfn.XLOOKUP(D55,'9月份计划'!A:A,'9月份计划'!A:A)</f>
        <v>武汉德锐隆科技有限公司</v>
      </c>
    </row>
    <row r="56" hidden="1" spans="1:16">
      <c r="A56" s="1" t="s">
        <v>444</v>
      </c>
      <c r="B56" s="1" t="s">
        <v>445</v>
      </c>
      <c r="C56" s="1" t="s">
        <v>41</v>
      </c>
      <c r="D56" s="1" t="s">
        <v>473</v>
      </c>
      <c r="E56" s="1" t="s">
        <v>41</v>
      </c>
      <c r="F56" s="1" t="s">
        <v>443</v>
      </c>
      <c r="G56" s="1" t="s">
        <v>447</v>
      </c>
      <c r="H56" s="1">
        <v>13000</v>
      </c>
      <c r="I56" s="1">
        <v>0</v>
      </c>
      <c r="J56" s="1">
        <v>0</v>
      </c>
      <c r="K56" s="1">
        <v>0</v>
      </c>
      <c r="L56" s="1">
        <v>0</v>
      </c>
      <c r="M56" s="1" t="s">
        <v>447</v>
      </c>
      <c r="N56" s="1">
        <v>13000</v>
      </c>
      <c r="O56" s="74">
        <f t="shared" si="0"/>
        <v>13000</v>
      </c>
      <c r="P56" s="1" t="e">
        <f>_xlfn.XLOOKUP(D56,'9月份计划'!A:A,'9月份计划'!A:A)</f>
        <v>#N/A</v>
      </c>
    </row>
    <row r="57" hidden="1" spans="1:16">
      <c r="A57" s="1" t="s">
        <v>444</v>
      </c>
      <c r="B57" s="1" t="s">
        <v>445</v>
      </c>
      <c r="C57" s="1" t="s">
        <v>41</v>
      </c>
      <c r="D57" s="1" t="s">
        <v>474</v>
      </c>
      <c r="E57" s="1" t="s">
        <v>41</v>
      </c>
      <c r="F57" s="1" t="s">
        <v>443</v>
      </c>
      <c r="G57" s="1" t="s">
        <v>447</v>
      </c>
      <c r="H57" s="1">
        <v>117.55</v>
      </c>
      <c r="I57" s="1">
        <v>0</v>
      </c>
      <c r="J57" s="1">
        <v>0</v>
      </c>
      <c r="K57" s="1">
        <v>0</v>
      </c>
      <c r="L57" s="1">
        <v>0</v>
      </c>
      <c r="M57" s="1" t="s">
        <v>447</v>
      </c>
      <c r="N57" s="1">
        <v>117.55</v>
      </c>
      <c r="O57" s="74">
        <f t="shared" si="0"/>
        <v>117.55</v>
      </c>
      <c r="P57" s="1" t="e">
        <f>_xlfn.XLOOKUP(D57,'9月份计划'!A:A,'9月份计划'!A:A)</f>
        <v>#N/A</v>
      </c>
    </row>
    <row r="58" hidden="1" spans="1:16">
      <c r="A58" s="1" t="s">
        <v>444</v>
      </c>
      <c r="B58" s="1" t="s">
        <v>445</v>
      </c>
      <c r="C58" s="1" t="s">
        <v>41</v>
      </c>
      <c r="D58" s="1" t="s">
        <v>475</v>
      </c>
      <c r="E58" s="1" t="s">
        <v>41</v>
      </c>
      <c r="F58" s="1" t="s">
        <v>443</v>
      </c>
      <c r="G58" s="1" t="s">
        <v>447</v>
      </c>
      <c r="H58" s="1">
        <v>32648.8</v>
      </c>
      <c r="I58" s="1">
        <v>0</v>
      </c>
      <c r="J58" s="1">
        <v>0</v>
      </c>
      <c r="K58" s="1">
        <v>0</v>
      </c>
      <c r="L58" s="1">
        <v>0</v>
      </c>
      <c r="M58" s="1" t="s">
        <v>447</v>
      </c>
      <c r="N58" s="1">
        <v>32648.8</v>
      </c>
      <c r="O58" s="74">
        <f t="shared" si="0"/>
        <v>32648.8</v>
      </c>
      <c r="P58" s="1" t="e">
        <f>_xlfn.XLOOKUP(D58,'9月份计划'!A:A,'9月份计划'!A:A)</f>
        <v>#N/A</v>
      </c>
    </row>
    <row r="59" hidden="1" spans="1:16">
      <c r="A59" s="1" t="s">
        <v>444</v>
      </c>
      <c r="B59" s="1" t="s">
        <v>445</v>
      </c>
      <c r="C59" s="1" t="s">
        <v>41</v>
      </c>
      <c r="D59" s="1" t="s">
        <v>476</v>
      </c>
      <c r="E59" s="1" t="s">
        <v>41</v>
      </c>
      <c r="F59" s="1" t="s">
        <v>443</v>
      </c>
      <c r="G59" s="1" t="s">
        <v>447</v>
      </c>
      <c r="H59" s="1">
        <v>10486.2</v>
      </c>
      <c r="I59" s="1">
        <v>0</v>
      </c>
      <c r="J59" s="1">
        <v>0</v>
      </c>
      <c r="K59" s="1">
        <v>0</v>
      </c>
      <c r="L59" s="1">
        <v>0</v>
      </c>
      <c r="M59" s="1" t="s">
        <v>447</v>
      </c>
      <c r="N59" s="1">
        <v>10486.2</v>
      </c>
      <c r="O59" s="74">
        <f t="shared" si="0"/>
        <v>10486.2</v>
      </c>
      <c r="P59" s="1" t="e">
        <f>_xlfn.XLOOKUP(D59,'9月份计划'!A:A,'9月份计划'!A:A)</f>
        <v>#N/A</v>
      </c>
    </row>
    <row r="60" hidden="1" spans="1:16">
      <c r="A60" s="1" t="s">
        <v>444</v>
      </c>
      <c r="B60" s="1" t="s">
        <v>445</v>
      </c>
      <c r="C60" s="1" t="s">
        <v>41</v>
      </c>
      <c r="D60" s="1" t="s">
        <v>477</v>
      </c>
      <c r="E60" s="1" t="s">
        <v>41</v>
      </c>
      <c r="F60" s="1" t="s">
        <v>443</v>
      </c>
      <c r="G60" s="1" t="s">
        <v>447</v>
      </c>
      <c r="H60" s="1">
        <v>3730</v>
      </c>
      <c r="I60" s="1">
        <v>0</v>
      </c>
      <c r="J60" s="1">
        <v>0</v>
      </c>
      <c r="K60" s="1">
        <v>0</v>
      </c>
      <c r="L60" s="1">
        <v>0</v>
      </c>
      <c r="M60" s="1" t="s">
        <v>447</v>
      </c>
      <c r="N60" s="1">
        <v>3730</v>
      </c>
      <c r="O60" s="74">
        <f t="shared" si="0"/>
        <v>3730</v>
      </c>
      <c r="P60" s="1" t="e">
        <f>_xlfn.XLOOKUP(D60,'9月份计划'!A:A,'9月份计划'!A:A)</f>
        <v>#N/A</v>
      </c>
    </row>
    <row r="61" spans="1:16">
      <c r="A61" s="1" t="s">
        <v>444</v>
      </c>
      <c r="B61" s="1" t="s">
        <v>445</v>
      </c>
      <c r="C61" s="1" t="s">
        <v>41</v>
      </c>
      <c r="D61" s="1" t="s">
        <v>264</v>
      </c>
      <c r="E61" s="1" t="s">
        <v>41</v>
      </c>
      <c r="F61" s="1" t="s">
        <v>443</v>
      </c>
      <c r="G61" s="1" t="s">
        <v>447</v>
      </c>
      <c r="H61" s="1">
        <v>1781802.89</v>
      </c>
      <c r="I61" s="1">
        <v>1100000</v>
      </c>
      <c r="J61" s="1">
        <v>620355.83</v>
      </c>
      <c r="K61" s="1">
        <v>10410000</v>
      </c>
      <c r="L61" s="1">
        <v>8698096.22</v>
      </c>
      <c r="M61" s="1" t="s">
        <v>447</v>
      </c>
      <c r="N61" s="1">
        <v>1302158.72</v>
      </c>
      <c r="O61" s="74">
        <f t="shared" si="0"/>
        <v>1302158.72</v>
      </c>
      <c r="P61" s="1" t="str">
        <f>_xlfn.XLOOKUP(D61,'9月份计划'!A:A,'9月份计划'!A:A)</f>
        <v>湘潭湘和汽车零部件制造有限公</v>
      </c>
    </row>
    <row r="62" spans="1:16">
      <c r="A62" s="1" t="s">
        <v>444</v>
      </c>
      <c r="B62" s="1" t="s">
        <v>445</v>
      </c>
      <c r="C62" s="1" t="s">
        <v>41</v>
      </c>
      <c r="D62" s="1" t="s">
        <v>265</v>
      </c>
      <c r="E62" s="1" t="s">
        <v>41</v>
      </c>
      <c r="F62" s="1" t="s">
        <v>443</v>
      </c>
      <c r="G62" s="1" t="s">
        <v>447</v>
      </c>
      <c r="H62" s="1">
        <v>2308350.6</v>
      </c>
      <c r="I62" s="1">
        <v>1015000</v>
      </c>
      <c r="J62" s="1">
        <v>543503.64</v>
      </c>
      <c r="K62" s="1">
        <v>11216315.77</v>
      </c>
      <c r="L62" s="1">
        <v>9464240.72</v>
      </c>
      <c r="M62" s="1" t="s">
        <v>447</v>
      </c>
      <c r="N62" s="1">
        <v>1836854.24</v>
      </c>
      <c r="O62" s="74">
        <f t="shared" si="0"/>
        <v>1836854.24</v>
      </c>
      <c r="P62" s="1" t="str">
        <f>_xlfn.XLOOKUP(D62,'9月份计划'!A:A,'9月份计划'!A:A)</f>
        <v>湖南中道机械设备有限公司</v>
      </c>
    </row>
    <row r="63" spans="1:16">
      <c r="A63" s="1" t="s">
        <v>444</v>
      </c>
      <c r="B63" s="1" t="s">
        <v>445</v>
      </c>
      <c r="C63" s="1" t="s">
        <v>41</v>
      </c>
      <c r="D63" s="1" t="s">
        <v>267</v>
      </c>
      <c r="E63" s="1" t="s">
        <v>41</v>
      </c>
      <c r="F63" s="1" t="s">
        <v>443</v>
      </c>
      <c r="G63" s="1" t="s">
        <v>447</v>
      </c>
      <c r="H63" s="1">
        <v>8623.21</v>
      </c>
      <c r="I63" s="1">
        <v>4350.22</v>
      </c>
      <c r="J63" s="1">
        <v>0</v>
      </c>
      <c r="K63" s="1">
        <v>84015.23</v>
      </c>
      <c r="L63" s="1">
        <v>46665.12</v>
      </c>
      <c r="M63" s="1" t="s">
        <v>447</v>
      </c>
      <c r="N63" s="1">
        <v>4272.99</v>
      </c>
      <c r="O63" s="74">
        <f t="shared" si="0"/>
        <v>4272.99</v>
      </c>
      <c r="P63" s="1" t="str">
        <f>_xlfn.XLOOKUP(D63,'9月份计划'!A:A,'9月份计划'!A:A)</f>
        <v>湘潭市忠强气体有限公司</v>
      </c>
    </row>
    <row r="64" spans="1:16">
      <c r="A64" s="1" t="s">
        <v>444</v>
      </c>
      <c r="B64" s="1" t="s">
        <v>445</v>
      </c>
      <c r="C64" s="1" t="s">
        <v>41</v>
      </c>
      <c r="D64" s="1" t="s">
        <v>268</v>
      </c>
      <c r="E64" s="1" t="s">
        <v>41</v>
      </c>
      <c r="F64" s="1" t="s">
        <v>443</v>
      </c>
      <c r="G64" s="1" t="s">
        <v>447</v>
      </c>
      <c r="H64" s="1">
        <v>12533.25</v>
      </c>
      <c r="I64" s="1">
        <v>12533.25</v>
      </c>
      <c r="J64" s="1">
        <v>12531.25</v>
      </c>
      <c r="K64" s="1">
        <v>70581.56</v>
      </c>
      <c r="L64" s="1">
        <v>50125</v>
      </c>
      <c r="M64" s="1" t="s">
        <v>447</v>
      </c>
      <c r="N64" s="1">
        <v>12531.25</v>
      </c>
      <c r="O64" s="74">
        <f t="shared" si="0"/>
        <v>12531.25</v>
      </c>
      <c r="P64" s="1" t="str">
        <f>_xlfn.XLOOKUP(D64,'9月份计划'!A:A,'9月份计划'!A:A)</f>
        <v>湖南驷马机械有限公司</v>
      </c>
    </row>
    <row r="65" hidden="1" spans="1:16">
      <c r="A65" s="1" t="s">
        <v>444</v>
      </c>
      <c r="B65" s="1" t="s">
        <v>445</v>
      </c>
      <c r="C65" s="1" t="s">
        <v>41</v>
      </c>
      <c r="D65" s="1" t="s">
        <v>478</v>
      </c>
      <c r="E65" s="1" t="s">
        <v>41</v>
      </c>
      <c r="F65" s="1" t="s">
        <v>443</v>
      </c>
      <c r="G65" s="1" t="s">
        <v>447</v>
      </c>
      <c r="H65" s="1">
        <v>3629.95</v>
      </c>
      <c r="I65" s="1">
        <v>0</v>
      </c>
      <c r="J65" s="1">
        <v>0</v>
      </c>
      <c r="K65" s="1">
        <v>0</v>
      </c>
      <c r="L65" s="1">
        <v>0</v>
      </c>
      <c r="M65" s="1" t="s">
        <v>447</v>
      </c>
      <c r="N65" s="1">
        <v>3629.95</v>
      </c>
      <c r="O65" s="74">
        <f t="shared" si="0"/>
        <v>3629.95</v>
      </c>
      <c r="P65" s="1" t="e">
        <f>_xlfn.XLOOKUP(D65,'9月份计划'!A:A,'9月份计划'!A:A)</f>
        <v>#N/A</v>
      </c>
    </row>
    <row r="66" hidden="1" spans="1:16">
      <c r="A66" s="1" t="s">
        <v>444</v>
      </c>
      <c r="B66" s="1" t="s">
        <v>445</v>
      </c>
      <c r="C66" s="1" t="s">
        <v>41</v>
      </c>
      <c r="D66" s="1" t="s">
        <v>479</v>
      </c>
      <c r="E66" s="1" t="s">
        <v>41</v>
      </c>
      <c r="F66" s="1" t="s">
        <v>443</v>
      </c>
      <c r="G66" s="1" t="s">
        <v>447</v>
      </c>
      <c r="H66" s="1">
        <v>949</v>
      </c>
      <c r="I66" s="1">
        <v>0</v>
      </c>
      <c r="J66" s="1">
        <v>0</v>
      </c>
      <c r="K66" s="1">
        <v>0</v>
      </c>
      <c r="L66" s="1">
        <v>0</v>
      </c>
      <c r="M66" s="1" t="s">
        <v>447</v>
      </c>
      <c r="N66" s="1">
        <v>949</v>
      </c>
      <c r="O66" s="74">
        <f t="shared" si="0"/>
        <v>949</v>
      </c>
      <c r="P66" s="1" t="e">
        <f>_xlfn.XLOOKUP(D66,'9月份计划'!A:A,'9月份计划'!A:A)</f>
        <v>#N/A</v>
      </c>
    </row>
    <row r="67" hidden="1" spans="1:16">
      <c r="A67" s="1" t="s">
        <v>444</v>
      </c>
      <c r="B67" s="1" t="s">
        <v>445</v>
      </c>
      <c r="C67" s="1" t="s">
        <v>41</v>
      </c>
      <c r="D67" s="1" t="s">
        <v>480</v>
      </c>
      <c r="E67" s="1" t="s">
        <v>41</v>
      </c>
      <c r="F67" s="1" t="s">
        <v>443</v>
      </c>
      <c r="G67" s="1" t="s">
        <v>447</v>
      </c>
      <c r="H67" s="1">
        <v>497.5</v>
      </c>
      <c r="I67" s="1">
        <v>0</v>
      </c>
      <c r="J67" s="1">
        <v>0</v>
      </c>
      <c r="K67" s="1">
        <v>0</v>
      </c>
      <c r="L67" s="1">
        <v>0</v>
      </c>
      <c r="M67" s="1" t="s">
        <v>447</v>
      </c>
      <c r="N67" s="1">
        <v>497.5</v>
      </c>
      <c r="O67" s="74">
        <f t="shared" ref="O67:O97" si="1">IF(M67="贷",N67,-N67)</f>
        <v>497.5</v>
      </c>
      <c r="P67" s="1" t="e">
        <f>_xlfn.XLOOKUP(D67,'9月份计划'!A:A,'9月份计划'!A:A)</f>
        <v>#N/A</v>
      </c>
    </row>
    <row r="68" hidden="1" spans="1:16">
      <c r="A68" s="1" t="s">
        <v>444</v>
      </c>
      <c r="B68" s="1" t="s">
        <v>445</v>
      </c>
      <c r="C68" s="1" t="s">
        <v>41</v>
      </c>
      <c r="D68" s="1" t="s">
        <v>406</v>
      </c>
      <c r="E68" s="1" t="s">
        <v>41</v>
      </c>
      <c r="F68" s="1" t="s">
        <v>443</v>
      </c>
      <c r="G68" s="1" t="s">
        <v>447</v>
      </c>
      <c r="H68" s="1">
        <v>2621.52</v>
      </c>
      <c r="I68" s="1">
        <v>0</v>
      </c>
      <c r="J68" s="1">
        <v>0</v>
      </c>
      <c r="K68" s="1">
        <v>0</v>
      </c>
      <c r="L68" s="1">
        <v>0</v>
      </c>
      <c r="M68" s="1" t="s">
        <v>447</v>
      </c>
      <c r="N68" s="1">
        <v>2621.52</v>
      </c>
      <c r="O68" s="74">
        <f t="shared" si="1"/>
        <v>2621.52</v>
      </c>
      <c r="P68" s="1" t="e">
        <f>_xlfn.XLOOKUP(D68,'9月份计划'!A:A,'9月份计划'!A:A)</f>
        <v>#N/A</v>
      </c>
    </row>
    <row r="69" hidden="1" spans="1:16">
      <c r="A69" s="1" t="s">
        <v>444</v>
      </c>
      <c r="B69" s="1" t="s">
        <v>445</v>
      </c>
      <c r="C69" s="1" t="s">
        <v>41</v>
      </c>
      <c r="D69" s="1" t="s">
        <v>407</v>
      </c>
      <c r="E69" s="1" t="s">
        <v>41</v>
      </c>
      <c r="F69" s="1" t="s">
        <v>443</v>
      </c>
      <c r="G69" s="1" t="s">
        <v>447</v>
      </c>
      <c r="H69" s="1">
        <v>54943.1</v>
      </c>
      <c r="I69" s="1">
        <v>0</v>
      </c>
      <c r="J69" s="1">
        <v>0</v>
      </c>
      <c r="K69" s="1">
        <v>0</v>
      </c>
      <c r="L69" s="1">
        <v>0</v>
      </c>
      <c r="M69" s="1" t="s">
        <v>447</v>
      </c>
      <c r="N69" s="1">
        <v>54943.1</v>
      </c>
      <c r="O69" s="74">
        <f t="shared" si="1"/>
        <v>54943.1</v>
      </c>
      <c r="P69" s="1" t="e">
        <f>_xlfn.XLOOKUP(D69,'9月份计划'!A:A,'9月份计划'!A:A)</f>
        <v>#N/A</v>
      </c>
    </row>
    <row r="70" hidden="1" spans="1:16">
      <c r="A70" s="1" t="s">
        <v>444</v>
      </c>
      <c r="B70" s="1" t="s">
        <v>445</v>
      </c>
      <c r="C70" s="1" t="s">
        <v>41</v>
      </c>
      <c r="D70" s="1" t="s">
        <v>481</v>
      </c>
      <c r="E70" s="1" t="s">
        <v>41</v>
      </c>
      <c r="F70" s="1" t="s">
        <v>443</v>
      </c>
      <c r="G70" s="1" t="s">
        <v>447</v>
      </c>
      <c r="H70" s="1">
        <v>760</v>
      </c>
      <c r="I70" s="1">
        <v>0</v>
      </c>
      <c r="J70" s="1">
        <v>0</v>
      </c>
      <c r="K70" s="1">
        <v>0</v>
      </c>
      <c r="L70" s="1">
        <v>0</v>
      </c>
      <c r="M70" s="1" t="s">
        <v>447</v>
      </c>
      <c r="N70" s="1">
        <v>760</v>
      </c>
      <c r="O70" s="74">
        <f t="shared" si="1"/>
        <v>760</v>
      </c>
      <c r="P70" s="1" t="e">
        <f>_xlfn.XLOOKUP(D70,'9月份计划'!A:A,'9月份计划'!A:A)</f>
        <v>#N/A</v>
      </c>
    </row>
    <row r="71" hidden="1" spans="1:16">
      <c r="A71" s="1" t="s">
        <v>444</v>
      </c>
      <c r="B71" s="1" t="s">
        <v>445</v>
      </c>
      <c r="C71" s="1" t="s">
        <v>41</v>
      </c>
      <c r="D71" s="1" t="s">
        <v>482</v>
      </c>
      <c r="E71" s="1" t="s">
        <v>41</v>
      </c>
      <c r="F71" s="1" t="s">
        <v>443</v>
      </c>
      <c r="G71" s="1" t="s">
        <v>447</v>
      </c>
      <c r="H71" s="1">
        <v>15050.16</v>
      </c>
      <c r="I71" s="1">
        <v>0</v>
      </c>
      <c r="J71" s="1">
        <v>0</v>
      </c>
      <c r="K71" s="1">
        <v>0</v>
      </c>
      <c r="L71" s="1">
        <v>0</v>
      </c>
      <c r="M71" s="1" t="s">
        <v>447</v>
      </c>
      <c r="N71" s="1">
        <v>15050.16</v>
      </c>
      <c r="O71" s="74">
        <f t="shared" si="1"/>
        <v>15050.16</v>
      </c>
      <c r="P71" s="1" t="e">
        <f>_xlfn.XLOOKUP(D71,'9月份计划'!A:A,'9月份计划'!A:A)</f>
        <v>#N/A</v>
      </c>
    </row>
    <row r="72" hidden="1" spans="1:16">
      <c r="A72" s="1" t="s">
        <v>444</v>
      </c>
      <c r="B72" s="1" t="s">
        <v>445</v>
      </c>
      <c r="C72" s="1" t="s">
        <v>41</v>
      </c>
      <c r="D72" s="1" t="s">
        <v>483</v>
      </c>
      <c r="E72" s="1" t="s">
        <v>41</v>
      </c>
      <c r="F72" s="1" t="s">
        <v>484</v>
      </c>
      <c r="G72" s="1" t="s">
        <v>453</v>
      </c>
      <c r="H72" s="1">
        <v>566</v>
      </c>
      <c r="I72" s="1">
        <v>0</v>
      </c>
      <c r="J72" s="1">
        <v>0</v>
      </c>
      <c r="K72" s="1">
        <v>0</v>
      </c>
      <c r="L72" s="1">
        <v>0</v>
      </c>
      <c r="M72" s="1" t="s">
        <v>453</v>
      </c>
      <c r="N72" s="1">
        <v>566</v>
      </c>
      <c r="O72" s="74">
        <f t="shared" si="1"/>
        <v>-566</v>
      </c>
      <c r="P72" s="1" t="e">
        <f>_xlfn.XLOOKUP(D72,'9月份计划'!A:A,'9月份计划'!A:A)</f>
        <v>#N/A</v>
      </c>
    </row>
    <row r="73" spans="1:16">
      <c r="A73" s="1" t="s">
        <v>444</v>
      </c>
      <c r="B73" s="1" t="s">
        <v>445</v>
      </c>
      <c r="C73" s="1" t="s">
        <v>41</v>
      </c>
      <c r="D73" s="1" t="s">
        <v>285</v>
      </c>
      <c r="E73" s="1" t="s">
        <v>41</v>
      </c>
      <c r="F73" s="1" t="s">
        <v>443</v>
      </c>
      <c r="G73" s="1" t="s">
        <v>447</v>
      </c>
      <c r="H73" s="1">
        <v>87309.68</v>
      </c>
      <c r="I73" s="1">
        <v>45852.01</v>
      </c>
      <c r="J73" s="1">
        <v>7642.2</v>
      </c>
      <c r="K73" s="1">
        <v>248082.46</v>
      </c>
      <c r="L73" s="1">
        <v>241520.79</v>
      </c>
      <c r="M73" s="1" t="s">
        <v>447</v>
      </c>
      <c r="N73" s="1">
        <v>49099.87</v>
      </c>
      <c r="O73" s="74">
        <f t="shared" si="1"/>
        <v>49099.87</v>
      </c>
      <c r="P73" s="1" t="str">
        <f>_xlfn.XLOOKUP(D73,'9月份计划'!A:A,'9月份计划'!A:A)</f>
        <v>株洲铖亿轨道交通技术有限</v>
      </c>
    </row>
    <row r="74" hidden="1" spans="1:16">
      <c r="A74" s="1" t="s">
        <v>444</v>
      </c>
      <c r="B74" s="1" t="s">
        <v>445</v>
      </c>
      <c r="C74" s="1" t="s">
        <v>41</v>
      </c>
      <c r="D74" s="1" t="s">
        <v>485</v>
      </c>
      <c r="E74" s="1" t="s">
        <v>41</v>
      </c>
      <c r="F74" s="1" t="s">
        <v>443</v>
      </c>
      <c r="G74" s="1" t="s">
        <v>447</v>
      </c>
      <c r="H74" s="1">
        <v>7961.51</v>
      </c>
      <c r="I74" s="1">
        <v>0</v>
      </c>
      <c r="J74" s="1">
        <v>0</v>
      </c>
      <c r="K74" s="1">
        <v>0</v>
      </c>
      <c r="L74" s="1">
        <v>0</v>
      </c>
      <c r="M74" s="1" t="s">
        <v>447</v>
      </c>
      <c r="N74" s="1">
        <v>7961.51</v>
      </c>
      <c r="O74" s="74">
        <f t="shared" si="1"/>
        <v>7961.51</v>
      </c>
      <c r="P74" s="1" t="e">
        <f>_xlfn.XLOOKUP(D74,'9月份计划'!A:A,'9月份计划'!A:A)</f>
        <v>#N/A</v>
      </c>
    </row>
    <row r="75" spans="1:16">
      <c r="A75" s="1" t="s">
        <v>444</v>
      </c>
      <c r="B75" s="1" t="s">
        <v>445</v>
      </c>
      <c r="C75" s="1" t="s">
        <v>41</v>
      </c>
      <c r="D75" s="1" t="s">
        <v>269</v>
      </c>
      <c r="E75" s="1" t="s">
        <v>41</v>
      </c>
      <c r="F75" s="1" t="s">
        <v>443</v>
      </c>
      <c r="G75" s="1" t="s">
        <v>453</v>
      </c>
      <c r="H75" s="1">
        <v>11152.91</v>
      </c>
      <c r="I75" s="1">
        <v>0</v>
      </c>
      <c r="J75" s="1">
        <v>0</v>
      </c>
      <c r="K75" s="1">
        <v>0</v>
      </c>
      <c r="L75" s="1">
        <v>46706.2</v>
      </c>
      <c r="M75" s="1" t="s">
        <v>453</v>
      </c>
      <c r="N75" s="1">
        <v>11152.91</v>
      </c>
      <c r="O75" s="74">
        <f t="shared" si="1"/>
        <v>-11152.91</v>
      </c>
      <c r="P75" s="1" t="str">
        <f>_xlfn.XLOOKUP(D75,'9月份计划'!A:A,'9月份计划'!A:A)</f>
        <v>长沙真旺钢铁贸易有限公司</v>
      </c>
    </row>
    <row r="76" spans="1:16">
      <c r="A76" s="1" t="s">
        <v>444</v>
      </c>
      <c r="B76" s="1" t="s">
        <v>445</v>
      </c>
      <c r="C76" s="1" t="s">
        <v>41</v>
      </c>
      <c r="D76" s="1" t="s">
        <v>270</v>
      </c>
      <c r="E76" s="1" t="s">
        <v>41</v>
      </c>
      <c r="F76" s="1" t="s">
        <v>443</v>
      </c>
      <c r="G76" s="1" t="s">
        <v>447</v>
      </c>
      <c r="H76" s="1">
        <v>8389.14</v>
      </c>
      <c r="I76" s="1">
        <v>3484.7</v>
      </c>
      <c r="J76" s="1">
        <v>6979.64</v>
      </c>
      <c r="K76" s="1">
        <v>85353.31</v>
      </c>
      <c r="L76" s="1">
        <v>55245.06</v>
      </c>
      <c r="M76" s="1" t="s">
        <v>447</v>
      </c>
      <c r="N76" s="1">
        <v>11884.08</v>
      </c>
      <c r="O76" s="74">
        <f t="shared" si="1"/>
        <v>11884.08</v>
      </c>
      <c r="P76" s="1" t="str">
        <f>_xlfn.XLOOKUP(D76,'9月份计划'!A:A,'9月份计划'!A:A)</f>
        <v>深州市晶立泰机械配件有限公司</v>
      </c>
    </row>
    <row r="77" spans="1:16">
      <c r="A77" s="1" t="s">
        <v>444</v>
      </c>
      <c r="B77" s="1" t="s">
        <v>445</v>
      </c>
      <c r="C77" s="1" t="s">
        <v>41</v>
      </c>
      <c r="D77" s="1" t="s">
        <v>271</v>
      </c>
      <c r="E77" s="1" t="s">
        <v>41</v>
      </c>
      <c r="F77" s="1" t="s">
        <v>443</v>
      </c>
      <c r="G77" s="1" t="s">
        <v>447</v>
      </c>
      <c r="H77" s="1">
        <v>22774.59</v>
      </c>
      <c r="I77" s="1">
        <v>0</v>
      </c>
      <c r="J77" s="1">
        <v>0</v>
      </c>
      <c r="K77" s="1">
        <v>0</v>
      </c>
      <c r="L77" s="1">
        <v>0</v>
      </c>
      <c r="M77" s="1" t="s">
        <v>447</v>
      </c>
      <c r="N77" s="1">
        <v>22774.59</v>
      </c>
      <c r="O77" s="74">
        <f t="shared" si="1"/>
        <v>22774.59</v>
      </c>
      <c r="P77" s="1" t="str">
        <f>_xlfn.XLOOKUP(D77,'9月份计划'!A:A,'9月份计划'!A:A)</f>
        <v>山东鼎信新材料科技有限公司</v>
      </c>
    </row>
    <row r="78" spans="1:16">
      <c r="A78" s="1" t="s">
        <v>444</v>
      </c>
      <c r="B78" s="1" t="s">
        <v>445</v>
      </c>
      <c r="C78" s="1" t="s">
        <v>41</v>
      </c>
      <c r="D78" s="1" t="s">
        <v>272</v>
      </c>
      <c r="E78" s="1" t="s">
        <v>41</v>
      </c>
      <c r="F78" s="1" t="s">
        <v>443</v>
      </c>
      <c r="G78" s="1" t="s">
        <v>447</v>
      </c>
      <c r="H78" s="1">
        <v>279949.53</v>
      </c>
      <c r="I78" s="1">
        <v>170000</v>
      </c>
      <c r="J78" s="1">
        <v>17155.69</v>
      </c>
      <c r="K78" s="1">
        <v>1048471.91</v>
      </c>
      <c r="L78" s="1">
        <v>622814.17</v>
      </c>
      <c r="M78" s="1" t="s">
        <v>447</v>
      </c>
      <c r="N78" s="1">
        <v>127105.22</v>
      </c>
      <c r="O78" s="74">
        <f t="shared" si="1"/>
        <v>127105.22</v>
      </c>
      <c r="P78" s="1" t="str">
        <f>_xlfn.XLOOKUP(D78,'9月份计划'!A:A,'9月份计划'!A:A)</f>
        <v>湖南诺亿科技有限公司</v>
      </c>
    </row>
    <row r="79" spans="1:16">
      <c r="A79" s="1" t="s">
        <v>444</v>
      </c>
      <c r="B79" s="1" t="s">
        <v>445</v>
      </c>
      <c r="C79" s="1" t="s">
        <v>41</v>
      </c>
      <c r="D79" s="1" t="s">
        <v>273</v>
      </c>
      <c r="E79" s="1" t="s">
        <v>41</v>
      </c>
      <c r="F79" s="1" t="s">
        <v>443</v>
      </c>
      <c r="G79" s="1" t="s">
        <v>447</v>
      </c>
      <c r="H79" s="1">
        <v>189272.74</v>
      </c>
      <c r="I79" s="1">
        <v>0</v>
      </c>
      <c r="J79" s="1">
        <v>61086.67</v>
      </c>
      <c r="K79" s="1">
        <v>235520.25</v>
      </c>
      <c r="L79" s="1">
        <v>454114.68</v>
      </c>
      <c r="M79" s="1" t="s">
        <v>447</v>
      </c>
      <c r="N79" s="1">
        <v>250359.41</v>
      </c>
      <c r="O79" s="74">
        <f t="shared" si="1"/>
        <v>250359.41</v>
      </c>
      <c r="P79" s="1" t="str">
        <f>_xlfn.XLOOKUP(D79,'9月份计划'!A:A,'9月份计划'!A:A)</f>
        <v>长春超力内饰件有限公司</v>
      </c>
    </row>
    <row r="80" spans="1:16">
      <c r="A80" s="1" t="s">
        <v>444</v>
      </c>
      <c r="B80" s="1" t="s">
        <v>445</v>
      </c>
      <c r="C80" s="1" t="s">
        <v>41</v>
      </c>
      <c r="D80" s="1" t="s">
        <v>274</v>
      </c>
      <c r="E80" s="1" t="s">
        <v>41</v>
      </c>
      <c r="F80" s="1" t="s">
        <v>443</v>
      </c>
      <c r="G80" s="1" t="s">
        <v>447</v>
      </c>
      <c r="H80" s="1">
        <v>158512.03</v>
      </c>
      <c r="I80" s="1">
        <v>0</v>
      </c>
      <c r="J80" s="1">
        <v>0</v>
      </c>
      <c r="K80" s="1">
        <v>250000</v>
      </c>
      <c r="L80" s="1">
        <v>84607.09</v>
      </c>
      <c r="M80" s="1" t="s">
        <v>447</v>
      </c>
      <c r="N80" s="1">
        <v>158512.03</v>
      </c>
      <c r="O80" s="74">
        <f t="shared" si="1"/>
        <v>158512.03</v>
      </c>
      <c r="P80" s="1" t="str">
        <f>_xlfn.XLOOKUP(D80,'9月份计划'!A:A,'9月份计划'!A:A)</f>
        <v>湖南裕腾兴汽车配件有限公司</v>
      </c>
    </row>
    <row r="81" hidden="1" spans="1:16">
      <c r="A81" s="1" t="s">
        <v>444</v>
      </c>
      <c r="B81" s="1" t="s">
        <v>445</v>
      </c>
      <c r="C81" s="1" t="s">
        <v>41</v>
      </c>
      <c r="D81" s="1" t="s">
        <v>486</v>
      </c>
      <c r="E81" s="1" t="s">
        <v>41</v>
      </c>
      <c r="F81" s="1" t="s">
        <v>443</v>
      </c>
      <c r="G81" s="1" t="s">
        <v>453</v>
      </c>
      <c r="H81" s="1">
        <v>27216</v>
      </c>
      <c r="I81" s="1">
        <v>0</v>
      </c>
      <c r="J81" s="1">
        <v>0</v>
      </c>
      <c r="K81" s="1">
        <v>0</v>
      </c>
      <c r="L81" s="1">
        <v>0</v>
      </c>
      <c r="M81" s="1" t="s">
        <v>453</v>
      </c>
      <c r="N81" s="1">
        <v>27216</v>
      </c>
      <c r="O81" s="74">
        <f t="shared" si="1"/>
        <v>-27216</v>
      </c>
      <c r="P81" s="1" t="e">
        <f>_xlfn.XLOOKUP(D81,'9月份计划'!A:A,'9月份计划'!A:A)</f>
        <v>#N/A</v>
      </c>
    </row>
    <row r="82" spans="1:16">
      <c r="A82" s="1" t="s">
        <v>444</v>
      </c>
      <c r="B82" s="1" t="s">
        <v>445</v>
      </c>
      <c r="C82" s="1" t="s">
        <v>41</v>
      </c>
      <c r="D82" s="1" t="s">
        <v>275</v>
      </c>
      <c r="E82" s="1" t="s">
        <v>41</v>
      </c>
      <c r="F82" s="1" t="s">
        <v>443</v>
      </c>
      <c r="G82" s="1" t="s">
        <v>447</v>
      </c>
      <c r="H82" s="1">
        <v>21320.32</v>
      </c>
      <c r="I82" s="1">
        <v>21320.32</v>
      </c>
      <c r="J82" s="1">
        <v>20492.35</v>
      </c>
      <c r="K82" s="1">
        <v>74738.45</v>
      </c>
      <c r="L82" s="1">
        <v>52845.68</v>
      </c>
      <c r="M82" s="1" t="s">
        <v>447</v>
      </c>
      <c r="N82" s="1">
        <v>20492.35</v>
      </c>
      <c r="O82" s="74">
        <f t="shared" si="1"/>
        <v>20492.35</v>
      </c>
      <c r="P82" s="1" t="str">
        <f>_xlfn.XLOOKUP(D82,'9月份计划'!A:A,'9月份计划'!A:A)</f>
        <v>株洲诚康实业有限责任公司</v>
      </c>
    </row>
    <row r="83" spans="1:16">
      <c r="A83" s="1" t="s">
        <v>444</v>
      </c>
      <c r="B83" s="1" t="s">
        <v>445</v>
      </c>
      <c r="C83" s="1" t="s">
        <v>41</v>
      </c>
      <c r="D83" s="1" t="s">
        <v>281</v>
      </c>
      <c r="E83" s="1" t="s">
        <v>41</v>
      </c>
      <c r="F83" s="1" t="s">
        <v>443</v>
      </c>
      <c r="G83" s="1" t="s">
        <v>489</v>
      </c>
      <c r="H83" s="1">
        <v>0</v>
      </c>
      <c r="I83" s="1">
        <v>0</v>
      </c>
      <c r="J83" s="1">
        <v>9576</v>
      </c>
      <c r="K83" s="1">
        <v>64296</v>
      </c>
      <c r="L83" s="1">
        <v>38304</v>
      </c>
      <c r="M83" s="1" t="s">
        <v>447</v>
      </c>
      <c r="N83" s="1">
        <v>9576</v>
      </c>
      <c r="O83" s="74">
        <f t="shared" si="1"/>
        <v>9576</v>
      </c>
      <c r="P83" s="1" t="str">
        <f>_xlfn.XLOOKUP(D83,'9月份计划'!A:A,'9月份计划'!A:A)</f>
        <v>湖南奥瑞格工贸有限公司</v>
      </c>
    </row>
    <row r="84" spans="1:16">
      <c r="A84" s="1" t="s">
        <v>444</v>
      </c>
      <c r="B84" s="1" t="s">
        <v>445</v>
      </c>
      <c r="C84" s="1" t="s">
        <v>41</v>
      </c>
      <c r="D84" s="1" t="s">
        <v>284</v>
      </c>
      <c r="E84" s="1" t="s">
        <v>41</v>
      </c>
      <c r="F84" s="1" t="s">
        <v>443</v>
      </c>
      <c r="G84" s="1" t="s">
        <v>447</v>
      </c>
      <c r="H84" s="1">
        <v>15472.28</v>
      </c>
      <c r="I84" s="1">
        <v>8600.87</v>
      </c>
      <c r="J84" s="1">
        <v>488.16</v>
      </c>
      <c r="K84" s="1">
        <v>186468.56</v>
      </c>
      <c r="L84" s="1">
        <v>191977.44</v>
      </c>
      <c r="M84" s="1" t="s">
        <v>447</v>
      </c>
      <c r="N84" s="1">
        <v>7359.57</v>
      </c>
      <c r="O84" s="74">
        <f t="shared" si="1"/>
        <v>7359.57</v>
      </c>
      <c r="P84" s="1" t="str">
        <f>_xlfn.XLOOKUP(D84,'9月份计划'!A:A,'9月份计划'!A:A)</f>
        <v>湖南兴天宏实业有限公司</v>
      </c>
    </row>
    <row r="85" hidden="1" spans="1:16">
      <c r="A85" s="1" t="s">
        <v>444</v>
      </c>
      <c r="B85" s="1" t="s">
        <v>445</v>
      </c>
      <c r="C85" s="1" t="s">
        <v>41</v>
      </c>
      <c r="D85" s="1" t="s">
        <v>487</v>
      </c>
      <c r="E85" s="1" t="s">
        <v>41</v>
      </c>
      <c r="F85" s="1" t="s">
        <v>443</v>
      </c>
      <c r="G85" s="1" t="s">
        <v>447</v>
      </c>
      <c r="H85" s="1">
        <v>20</v>
      </c>
      <c r="I85" s="1">
        <v>0</v>
      </c>
      <c r="J85" s="1">
        <v>0</v>
      </c>
      <c r="K85" s="1">
        <v>0</v>
      </c>
      <c r="L85" s="1">
        <v>0</v>
      </c>
      <c r="M85" s="1" t="s">
        <v>447</v>
      </c>
      <c r="N85" s="1">
        <v>20</v>
      </c>
      <c r="O85" s="74">
        <f t="shared" si="1"/>
        <v>20</v>
      </c>
      <c r="P85" s="1" t="e">
        <f>_xlfn.XLOOKUP(D85,'9月份计划'!A:A,'9月份计划'!A:A)</f>
        <v>#N/A</v>
      </c>
    </row>
    <row r="86" spans="1:16">
      <c r="A86" s="1" t="s">
        <v>444</v>
      </c>
      <c r="B86" s="1" t="s">
        <v>445</v>
      </c>
      <c r="C86" s="1" t="s">
        <v>41</v>
      </c>
      <c r="D86" s="1" t="s">
        <v>276</v>
      </c>
      <c r="E86" s="1" t="s">
        <v>41</v>
      </c>
      <c r="F86" s="1" t="s">
        <v>443</v>
      </c>
      <c r="G86" s="1" t="s">
        <v>447</v>
      </c>
      <c r="H86" s="1">
        <v>38188.24</v>
      </c>
      <c r="I86" s="1">
        <v>0</v>
      </c>
      <c r="J86" s="1">
        <v>0</v>
      </c>
      <c r="K86" s="1">
        <v>0</v>
      </c>
      <c r="L86" s="1">
        <v>0</v>
      </c>
      <c r="M86" s="1" t="s">
        <v>447</v>
      </c>
      <c r="N86" s="1">
        <v>38188.24</v>
      </c>
      <c r="O86" s="74">
        <f t="shared" si="1"/>
        <v>38188.24</v>
      </c>
      <c r="P86" s="1" t="str">
        <f>_xlfn.XLOOKUP(D86,'9月份计划'!A:A,'9月份计划'!A:A)</f>
        <v>山东鼎昌智能科技有限公司</v>
      </c>
    </row>
    <row r="87" spans="1:16">
      <c r="A87" s="1" t="s">
        <v>444</v>
      </c>
      <c r="B87" s="1" t="s">
        <v>445</v>
      </c>
      <c r="C87" s="1" t="s">
        <v>41</v>
      </c>
      <c r="D87" s="1" t="s">
        <v>277</v>
      </c>
      <c r="E87" s="1" t="s">
        <v>41</v>
      </c>
      <c r="F87" s="1" t="s">
        <v>443</v>
      </c>
      <c r="G87" s="1" t="s">
        <v>447</v>
      </c>
      <c r="H87" s="1">
        <v>3583052.71</v>
      </c>
      <c r="I87" s="1">
        <v>1307616.32</v>
      </c>
      <c r="J87" s="1">
        <v>1510804.6</v>
      </c>
      <c r="K87" s="1">
        <v>7412548.49</v>
      </c>
      <c r="L87" s="1">
        <v>9818554.97</v>
      </c>
      <c r="M87" s="1" t="s">
        <v>447</v>
      </c>
      <c r="N87" s="1">
        <v>3786240.99</v>
      </c>
      <c r="O87" s="74">
        <f t="shared" si="1"/>
        <v>3786240.99</v>
      </c>
      <c r="P87" s="1" t="str">
        <f>_xlfn.XLOOKUP(D87,'9月份计划'!A:A,'9月份计划'!A:A)</f>
        <v>汇阅（上海）新材料科技有限公</v>
      </c>
    </row>
    <row r="88" hidden="1" spans="1:16">
      <c r="A88" s="1" t="s">
        <v>444</v>
      </c>
      <c r="B88" s="1" t="s">
        <v>445</v>
      </c>
      <c r="C88" s="1" t="s">
        <v>41</v>
      </c>
      <c r="D88" s="1" t="s">
        <v>488</v>
      </c>
      <c r="E88" s="1" t="s">
        <v>41</v>
      </c>
      <c r="F88" s="1" t="s">
        <v>443</v>
      </c>
      <c r="G88" s="1" t="s">
        <v>447</v>
      </c>
      <c r="H88" s="1">
        <v>2927</v>
      </c>
      <c r="I88" s="1">
        <v>0</v>
      </c>
      <c r="J88" s="1">
        <v>0</v>
      </c>
      <c r="K88" s="1">
        <v>0</v>
      </c>
      <c r="L88" s="1">
        <v>0</v>
      </c>
      <c r="M88" s="1" t="s">
        <v>447</v>
      </c>
      <c r="N88" s="1">
        <v>2927</v>
      </c>
      <c r="O88" s="74">
        <f t="shared" si="1"/>
        <v>2927</v>
      </c>
      <c r="P88" s="1" t="e">
        <f>_xlfn.XLOOKUP(D88,'9月份计划'!A:A,'9月份计划'!A:A)</f>
        <v>#N/A</v>
      </c>
    </row>
    <row r="89" spans="1:16">
      <c r="A89" s="1" t="s">
        <v>444</v>
      </c>
      <c r="B89" s="1" t="s">
        <v>445</v>
      </c>
      <c r="C89" s="1" t="s">
        <v>41</v>
      </c>
      <c r="D89" s="1" t="s">
        <v>282</v>
      </c>
      <c r="E89" s="1" t="s">
        <v>41</v>
      </c>
      <c r="F89" s="1" t="s">
        <v>443</v>
      </c>
      <c r="G89" s="1" t="s">
        <v>447</v>
      </c>
      <c r="H89" s="1">
        <v>70173</v>
      </c>
      <c r="I89" s="1">
        <v>34578</v>
      </c>
      <c r="J89" s="1">
        <v>36612</v>
      </c>
      <c r="K89" s="1">
        <v>313408</v>
      </c>
      <c r="L89" s="1">
        <v>300015</v>
      </c>
      <c r="M89" s="1" t="s">
        <v>447</v>
      </c>
      <c r="N89" s="1">
        <v>72207</v>
      </c>
      <c r="O89" s="74">
        <f t="shared" si="1"/>
        <v>72207</v>
      </c>
      <c r="P89" s="1" t="str">
        <f>_xlfn.XLOOKUP(D89,'9月份计划'!A:A,'9月份计划'!A:A)</f>
        <v>天津鑫淼塑料制品有限公司</v>
      </c>
    </row>
    <row r="90" spans="1:16">
      <c r="A90" s="1" t="s">
        <v>444</v>
      </c>
      <c r="B90" s="1" t="s">
        <v>445</v>
      </c>
      <c r="C90" s="1" t="s">
        <v>41</v>
      </c>
      <c r="D90" s="1" t="s">
        <v>286</v>
      </c>
      <c r="E90" s="1" t="s">
        <v>41</v>
      </c>
      <c r="F90" s="1" t="s">
        <v>443</v>
      </c>
      <c r="G90" s="1" t="s">
        <v>447</v>
      </c>
      <c r="H90" s="1">
        <v>37728.22</v>
      </c>
      <c r="I90" s="1">
        <v>20701.6</v>
      </c>
      <c r="J90" s="1">
        <v>65312.53</v>
      </c>
      <c r="K90" s="1">
        <v>126282.59</v>
      </c>
      <c r="L90" s="1">
        <v>208621.74</v>
      </c>
      <c r="M90" s="1" t="s">
        <v>447</v>
      </c>
      <c r="N90" s="1">
        <v>82339.15</v>
      </c>
      <c r="O90" s="74">
        <f t="shared" si="1"/>
        <v>82339.15</v>
      </c>
      <c r="P90" s="1" t="str">
        <f>_xlfn.XLOOKUP(D90,'9月份计划'!A:A,'9月份计划'!A:A)</f>
        <v>俱泰(上海)汽车零部件有限公司</v>
      </c>
    </row>
    <row r="91" spans="1:16">
      <c r="A91" s="1" t="s">
        <v>444</v>
      </c>
      <c r="B91" s="1" t="s">
        <v>445</v>
      </c>
      <c r="C91" s="1" t="s">
        <v>41</v>
      </c>
      <c r="D91" s="1" t="s">
        <v>599</v>
      </c>
      <c r="E91" s="1" t="s">
        <v>41</v>
      </c>
      <c r="F91" s="1" t="s">
        <v>443</v>
      </c>
      <c r="G91" s="1" t="s">
        <v>447</v>
      </c>
      <c r="H91" s="1">
        <v>15000</v>
      </c>
      <c r="I91" s="1">
        <v>0</v>
      </c>
      <c r="J91" s="1">
        <v>0</v>
      </c>
      <c r="K91" s="1">
        <v>173000</v>
      </c>
      <c r="L91" s="1">
        <v>147000</v>
      </c>
      <c r="M91" s="1" t="s">
        <v>447</v>
      </c>
      <c r="N91" s="1">
        <v>15000</v>
      </c>
      <c r="O91" s="74">
        <f t="shared" si="1"/>
        <v>15000</v>
      </c>
      <c r="P91" s="1" t="e">
        <f>_xlfn.XLOOKUP(D91,'9月份计划'!A:A,'9月份计划'!A:A)</f>
        <v>#N/A</v>
      </c>
    </row>
    <row r="92" spans="1:16">
      <c r="A92" s="1" t="s">
        <v>444</v>
      </c>
      <c r="B92" s="1" t="s">
        <v>445</v>
      </c>
      <c r="C92" s="1" t="s">
        <v>41</v>
      </c>
      <c r="D92" s="1" t="s">
        <v>290</v>
      </c>
      <c r="E92" s="1" t="s">
        <v>41</v>
      </c>
      <c r="F92" s="1" t="s">
        <v>443</v>
      </c>
      <c r="G92" s="1" t="s">
        <v>447</v>
      </c>
      <c r="H92" s="1">
        <v>49802.49</v>
      </c>
      <c r="I92" s="1">
        <v>43202.16</v>
      </c>
      <c r="J92" s="1">
        <v>24001.2</v>
      </c>
      <c r="K92" s="1">
        <v>140982.17</v>
      </c>
      <c r="L92" s="1">
        <v>171583.7</v>
      </c>
      <c r="M92" s="1" t="s">
        <v>447</v>
      </c>
      <c r="N92" s="1">
        <v>30601.53</v>
      </c>
      <c r="O92" s="74">
        <f t="shared" si="1"/>
        <v>30601.53</v>
      </c>
      <c r="P92" s="1" t="str">
        <f>_xlfn.XLOOKUP(D92,'9月份计划'!A:A,'9月份计划'!A:A)</f>
        <v>江阴同威科技有限公司</v>
      </c>
    </row>
    <row r="93" spans="1:16">
      <c r="A93" s="1" t="s">
        <v>444</v>
      </c>
      <c r="B93" s="1" t="s">
        <v>445</v>
      </c>
      <c r="C93" s="1" t="s">
        <v>41</v>
      </c>
      <c r="D93" s="1" t="s">
        <v>289</v>
      </c>
      <c r="E93" s="1" t="s">
        <v>41</v>
      </c>
      <c r="F93" s="1" t="s">
        <v>443</v>
      </c>
      <c r="G93" s="1" t="s">
        <v>447</v>
      </c>
      <c r="H93" s="1">
        <v>7739.9</v>
      </c>
      <c r="I93" s="1">
        <v>0</v>
      </c>
      <c r="J93" s="1">
        <v>0</v>
      </c>
      <c r="K93" s="1">
        <v>0</v>
      </c>
      <c r="L93" s="1">
        <v>7739.9</v>
      </c>
      <c r="M93" s="1" t="s">
        <v>447</v>
      </c>
      <c r="N93" s="1">
        <v>7739.9</v>
      </c>
      <c r="O93" s="74">
        <f t="shared" si="1"/>
        <v>7739.9</v>
      </c>
      <c r="P93" s="1" t="str">
        <f>_xlfn.XLOOKUP(D93,'9月份计划'!A:A,'9月份计划'!A:A)</f>
        <v>维克罗（中国）搭扣系统有限公</v>
      </c>
    </row>
    <row r="94" spans="1:16">
      <c r="A94" s="1" t="s">
        <v>444</v>
      </c>
      <c r="B94" s="1" t="s">
        <v>445</v>
      </c>
      <c r="C94" s="1" t="s">
        <v>41</v>
      </c>
      <c r="D94" s="1" t="s">
        <v>288</v>
      </c>
      <c r="E94" s="1" t="s">
        <v>41</v>
      </c>
      <c r="F94" s="1" t="s">
        <v>443</v>
      </c>
      <c r="G94" s="1" t="s">
        <v>447</v>
      </c>
      <c r="H94" s="1">
        <v>24696.15</v>
      </c>
      <c r="I94" s="1">
        <v>20181.8</v>
      </c>
      <c r="J94" s="1">
        <v>9893.15</v>
      </c>
      <c r="K94" s="1">
        <v>106070.74</v>
      </c>
      <c r="L94" s="1">
        <v>120478.24</v>
      </c>
      <c r="M94" s="1" t="s">
        <v>447</v>
      </c>
      <c r="N94" s="1">
        <v>14407.5</v>
      </c>
      <c r="O94" s="74">
        <f t="shared" si="1"/>
        <v>14407.5</v>
      </c>
      <c r="P94" s="1" t="str">
        <f>_xlfn.XLOOKUP(D94,'9月份计划'!A:A,'9月份计划'!A:A)</f>
        <v>广州市三泰汽车内饰材料有限公</v>
      </c>
    </row>
    <row r="95" spans="1:16">
      <c r="A95" s="1" t="s">
        <v>444</v>
      </c>
      <c r="B95" s="1" t="s">
        <v>445</v>
      </c>
      <c r="C95" s="1" t="s">
        <v>41</v>
      </c>
      <c r="D95" s="1" t="s">
        <v>291</v>
      </c>
      <c r="E95" s="1" t="s">
        <v>41</v>
      </c>
      <c r="F95" s="1" t="s">
        <v>443</v>
      </c>
      <c r="G95" s="1" t="s">
        <v>447</v>
      </c>
      <c r="H95" s="1">
        <v>0.63</v>
      </c>
      <c r="I95" s="1">
        <v>0</v>
      </c>
      <c r="J95" s="1">
        <v>0</v>
      </c>
      <c r="K95" s="1">
        <v>89794.55</v>
      </c>
      <c r="L95" s="1">
        <v>89795.18</v>
      </c>
      <c r="M95" s="1" t="s">
        <v>447</v>
      </c>
      <c r="N95" s="1">
        <v>0.63</v>
      </c>
      <c r="O95" s="74">
        <f t="shared" si="1"/>
        <v>0.63</v>
      </c>
      <c r="P95" s="1" t="str">
        <f>_xlfn.XLOOKUP(D95,'9月份计划'!A:A,'9月份计划'!A:A)</f>
        <v>深圳市新和荣无纺布有限公司</v>
      </c>
    </row>
    <row r="96" spans="1:16">
      <c r="A96" s="1" t="s">
        <v>444</v>
      </c>
      <c r="B96" s="1" t="s">
        <v>445</v>
      </c>
      <c r="C96" s="1" t="s">
        <v>41</v>
      </c>
      <c r="D96" s="1" t="s">
        <v>287</v>
      </c>
      <c r="E96" s="1" t="s">
        <v>41</v>
      </c>
      <c r="F96" s="1" t="s">
        <v>443</v>
      </c>
      <c r="G96" s="1" t="s">
        <v>489</v>
      </c>
      <c r="H96" s="1">
        <v>0</v>
      </c>
      <c r="I96" s="1">
        <v>0</v>
      </c>
      <c r="J96" s="1">
        <v>10231.31</v>
      </c>
      <c r="K96" s="1">
        <v>55019.85</v>
      </c>
      <c r="L96" s="1">
        <v>65251.16</v>
      </c>
      <c r="M96" s="1" t="s">
        <v>447</v>
      </c>
      <c r="N96" s="1">
        <v>10231.31</v>
      </c>
      <c r="O96" s="74">
        <f t="shared" si="1"/>
        <v>10231.31</v>
      </c>
      <c r="P96" s="1" t="str">
        <f>_xlfn.XLOOKUP(D96,'9月份计划'!A:A,'9月份计划'!A:A)</f>
        <v>广州自强汽车零部件有限公司</v>
      </c>
    </row>
    <row r="97" spans="1:16">
      <c r="A97" s="1" t="s">
        <v>444</v>
      </c>
      <c r="B97" s="1" t="s">
        <v>445</v>
      </c>
      <c r="C97" s="1" t="s">
        <v>41</v>
      </c>
      <c r="D97" s="1" t="s">
        <v>240</v>
      </c>
      <c r="E97" s="1" t="s">
        <v>41</v>
      </c>
      <c r="F97" s="1" t="s">
        <v>443</v>
      </c>
      <c r="G97" s="1" t="s">
        <v>447</v>
      </c>
      <c r="H97" s="1">
        <v>330232.11</v>
      </c>
      <c r="I97" s="1">
        <v>149194.8</v>
      </c>
      <c r="J97" s="1">
        <v>113963.66</v>
      </c>
      <c r="K97" s="1">
        <v>634454.53</v>
      </c>
      <c r="L97" s="1">
        <v>870758.78</v>
      </c>
      <c r="M97" s="1" t="s">
        <v>447</v>
      </c>
      <c r="N97" s="1">
        <v>295000.97</v>
      </c>
      <c r="O97" s="74">
        <f t="shared" si="1"/>
        <v>295000.97</v>
      </c>
      <c r="P97" s="1" t="str">
        <f>_xlfn.XLOOKUP(D97,'9月份计划'!A:A,'9月份计划'!A:A)</f>
        <v>重庆厚元汽车配件有限公司</v>
      </c>
    </row>
  </sheetData>
  <autoFilter xmlns:etc="http://www.wps.cn/officeDocument/2017/etCustomData" ref="A1:P97" etc:filterBottomFollowUsedRange="0">
    <filterColumn colId="15">
      <filters blank="1">
        <filter val="黄骅市成卓汽车部件厂"/>
        <filter val="黄骅市雍丰塑料制品有限公司"/>
        <filter val="江苏力乐汽车部件股份有限公司"/>
        <filter val="湖南中道机械设备有限公司"/>
        <filter val="厦门凯平化工有限公司"/>
        <filter val="湖南驷马机械有限公司"/>
        <filter val="黄骅市建昌塑料制品有限公司"/>
        <filter val="武汉德锐隆科技有限公司"/>
        <filter val="重庆渝融兴汽车配件有限公司"/>
        <filter val="重庆光大产业有限公司"/>
        <filter val="湘乡简美工贸有限公司"/>
        <filter val="广州市三泰汽车内饰材料有限公"/>
        <filter val="维克罗（中国）搭扣系统有限公"/>
        <filter val="霸州市自强汽车零部件厂"/>
        <filter val="重庆厚元汽车配件有限公司"/>
        <filter val="天津鑫淼塑料制品有限公司"/>
        <filter val="湘潭市忠强气体有限公司"/>
        <filter val="湖南诺亿科技有限公司"/>
        <filter val="长沙真旺钢铁贸易有限公司"/>
        <filter val="上海明芳汽车零件有限公司"/>
        <filter val="吉林省方舟电子科技有限公司"/>
        <filter val="无锡永泰模具制造有限公司"/>
        <filter val="天津琪安科技有限公司"/>
        <filter val="山东鼎信新材料科技有限公司"/>
        <filter val="吉林省德邦汽车电子有限公司"/>
        <filter val="湖北伟士通汽车零件有限公司"/>
        <filter val="汇阅（上海）新材料科技有限公"/>
        <filter val="湘潭湘和汽车零部件制造有限公"/>
        <filter val="株洲诚康实业有限责任公司"/>
        <filter val="溧阳鑫岩汽车零部件有限公司"/>
        <filter val="广州自强汽车零部件有限公司"/>
        <filter val="深圳市新和荣无纺布有限公司"/>
        <filter val="湖南凌天汽车零部件有限公司"/>
        <filter val="湖南奥瑞格工贸有限公司"/>
        <filter val="上海秉直精密机械有限公司"/>
        <filter val="佛吉亚（无锡）座椅部件有限公"/>
        <filter val="株洲铖亿轨道交通技术有限"/>
        <filter val="衡阳县标准件厂株洲销售处"/>
        <filter val="湖南兴天宏实业有限公司"/>
        <filter val="沧州临港明康汽车配件有限公司"/>
        <filter val="江阴同威科技有限公司"/>
        <filter val="廊坊市烁鑫汽车配件有限公司"/>
        <filter val="长春超力内饰件有限公司"/>
        <filter val="俱泰(上海)汽车零部件有限公司"/>
        <filter val="文安县德实汽车配件有限公司"/>
        <filter val="黄骅市广亿汽车部件有限公司"/>
        <filter val="黄骅市汇铭汽车部件有限公司"/>
        <filter val="景德镇市凯达汽车配件有限公司"/>
        <filter val="湖南裕腾兴汽车配件有限公司"/>
        <filter val="山东鼎昌智能科技有限公司"/>
        <filter val="深州市晶立泰机械配件有限公司"/>
        <filter val="景德镇市乾立运输有限公司"/>
      </filters>
    </filterColumn>
    <extLst/>
  </autoFilter>
  <pageMargins left="0.75" right="0.75" top="1" bottom="1" header="0.5" footer="0.5"/>
  <pageSetup paperSize="9" orientation="portrait"/>
  <headerFooter/>
  <ignoredErrors>
    <ignoredError sqref="P3:P97" evalError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14"/>
  <dimension ref="A1:W87"/>
  <sheetViews>
    <sheetView workbookViewId="0">
      <pane xSplit="11" ySplit="3" topLeftCell="L74" activePane="bottomRight" state="frozen"/>
      <selection/>
      <selection pane="topRight"/>
      <selection pane="bottomLeft"/>
      <selection pane="bottomRight" activeCell="B87" sqref="B87:J87"/>
    </sheetView>
  </sheetViews>
  <sheetFormatPr defaultColWidth="9" defaultRowHeight="19" customHeight="1"/>
  <cols>
    <col min="1" max="1" width="22.625" style="38" customWidth="1"/>
    <col min="2" max="2" width="15" style="39" customWidth="1"/>
    <col min="3" max="3" width="13.375" style="40" hidden="1" customWidth="1"/>
    <col min="4" max="4" width="12" style="40" hidden="1" customWidth="1"/>
    <col min="5" max="5" width="0.75" style="40" hidden="1" customWidth="1"/>
    <col min="6" max="6" width="13.625" style="41" customWidth="1"/>
    <col min="7" max="7" width="13.5" style="41" hidden="1" customWidth="1"/>
    <col min="8" max="8" width="11.75" style="40" hidden="1" customWidth="1"/>
    <col min="9" max="9" width="12.875" style="42" customWidth="1"/>
    <col min="10" max="10" width="10.125" style="43"/>
    <col min="11" max="11" width="12.625" style="43"/>
    <col min="12" max="12" width="11.5" style="39" customWidth="1"/>
    <col min="13" max="13" width="11.375" style="39" customWidth="1"/>
    <col min="14" max="14" width="9.75" style="44" customWidth="1"/>
    <col min="15" max="15" width="10.75" style="44" customWidth="1"/>
    <col min="16" max="17" width="10.75" style="39" customWidth="1"/>
    <col min="18" max="18" width="9" style="43"/>
    <col min="19" max="19" width="19.25" style="43" customWidth="1"/>
    <col min="20" max="21" width="9" style="43"/>
    <col min="22" max="22" width="14.25" style="43" customWidth="1"/>
    <col min="23" max="16384" width="9" style="43"/>
  </cols>
  <sheetData>
    <row r="1" ht="29" customHeight="1" spans="1:11">
      <c r="A1" s="45" t="s">
        <v>602</v>
      </c>
      <c r="B1" s="46"/>
      <c r="C1" s="46"/>
      <c r="D1" s="46"/>
      <c r="E1" s="46"/>
      <c r="F1" s="47"/>
      <c r="G1" s="47"/>
      <c r="H1" s="46"/>
      <c r="I1" s="54"/>
      <c r="J1" s="48"/>
      <c r="K1" s="55"/>
    </row>
    <row r="2" ht="36" customHeight="1" spans="1:16">
      <c r="A2" s="45" t="s">
        <v>231</v>
      </c>
      <c r="B2" s="47" t="s">
        <v>603</v>
      </c>
      <c r="C2" s="46" t="s">
        <v>427</v>
      </c>
      <c r="D2" s="46" t="s">
        <v>428</v>
      </c>
      <c r="E2" s="46" t="s">
        <v>401</v>
      </c>
      <c r="F2" s="47" t="s">
        <v>236</v>
      </c>
      <c r="G2" s="47" t="s">
        <v>386</v>
      </c>
      <c r="H2" s="46" t="s">
        <v>423</v>
      </c>
      <c r="I2" s="54" t="s">
        <v>604</v>
      </c>
      <c r="J2" s="48" t="s">
        <v>605</v>
      </c>
      <c r="K2" s="55" t="s">
        <v>606</v>
      </c>
      <c r="L2" s="39" t="s">
        <v>607</v>
      </c>
      <c r="N2" s="44" t="s">
        <v>608</v>
      </c>
      <c r="P2" s="39" t="s">
        <v>29</v>
      </c>
    </row>
    <row r="3" ht="36" customHeight="1" spans="1:17">
      <c r="A3" s="45"/>
      <c r="B3" s="47"/>
      <c r="C3" s="46"/>
      <c r="D3" s="46"/>
      <c r="E3" s="46"/>
      <c r="F3" s="47"/>
      <c r="G3" s="47"/>
      <c r="H3" s="46"/>
      <c r="I3" s="54"/>
      <c r="J3" s="48"/>
      <c r="K3" s="55"/>
      <c r="L3" s="39" t="s">
        <v>609</v>
      </c>
      <c r="M3" s="39" t="s">
        <v>610</v>
      </c>
      <c r="N3" s="44" t="s">
        <v>609</v>
      </c>
      <c r="O3" s="44" t="s">
        <v>610</v>
      </c>
      <c r="P3" s="39" t="s">
        <v>609</v>
      </c>
      <c r="Q3" s="39" t="s">
        <v>610</v>
      </c>
    </row>
    <row r="4" customHeight="1" spans="1:17">
      <c r="A4" s="48" t="s">
        <v>240</v>
      </c>
      <c r="B4" s="49">
        <f>_xlfn.XLOOKUP(A4,'1月份科目余额（2.25导出）'!D:D,'1月份科目余额（2.25导出）'!O:O,0)</f>
        <v>35549.92</v>
      </c>
      <c r="C4" s="49">
        <v>10156.44</v>
      </c>
      <c r="D4" s="49">
        <v>33278.5</v>
      </c>
      <c r="E4" s="49">
        <f>SUMIFS('1月份挂账'!$P:$P,'1月份挂账'!$R:$R,$A4)-SUMIFS('1月份挂账'!$O:$O,'1月份挂账'!$R:$R,$A4)</f>
        <v>1853.2</v>
      </c>
      <c r="F4" s="50">
        <f t="shared" ref="F4:F67" si="0">IF((B4-E4)&gt;0,B4-E4,0)</f>
        <v>33696.72</v>
      </c>
      <c r="G4" s="50"/>
      <c r="H4" s="49">
        <f t="shared" ref="H4:H16" si="1">F4/10000</f>
        <v>3.369672</v>
      </c>
      <c r="I4" s="56">
        <f t="shared" ref="I4:I16" si="2">F4</f>
        <v>33696.72</v>
      </c>
      <c r="J4" s="57">
        <v>33696.72</v>
      </c>
      <c r="K4" s="58">
        <f t="shared" ref="K4:K29" si="3">I4-J4</f>
        <v>0</v>
      </c>
      <c r="L4" s="39">
        <f t="shared" ref="L4:L11" si="4">J4</f>
        <v>33696.72</v>
      </c>
      <c r="P4" s="39">
        <f t="shared" ref="P4:P67" si="5">L4+N4</f>
        <v>33696.72</v>
      </c>
      <c r="Q4" s="39">
        <f t="shared" ref="Q4:Q67" si="6">M4+O4</f>
        <v>0</v>
      </c>
    </row>
    <row r="5" customHeight="1" spans="1:23">
      <c r="A5" s="48" t="s">
        <v>241</v>
      </c>
      <c r="B5" s="49">
        <f>_xlfn.XLOOKUP(A5,'1月份科目余额（2.25导出）'!D:D,'1月份科目余额（2.25导出）'!O:O,0)</f>
        <v>391511.54</v>
      </c>
      <c r="C5" s="49">
        <v>100070.45</v>
      </c>
      <c r="D5" s="49">
        <v>169093.73</v>
      </c>
      <c r="E5" s="49">
        <f>SUMIFS('1月份挂账'!$P:$P,'1月份挂账'!$R:$R,$A5)-SUMIFS('1月份挂账'!$O:$O,'1月份挂账'!$R:$R,$A5)</f>
        <v>119091.84</v>
      </c>
      <c r="F5" s="50">
        <f t="shared" si="0"/>
        <v>272419.7</v>
      </c>
      <c r="G5" s="50"/>
      <c r="H5" s="49">
        <f t="shared" si="1"/>
        <v>27.24197</v>
      </c>
      <c r="I5" s="56">
        <f t="shared" si="2"/>
        <v>272419.7</v>
      </c>
      <c r="J5" s="57">
        <v>150000</v>
      </c>
      <c r="K5" s="58">
        <f t="shared" si="3"/>
        <v>122419.7</v>
      </c>
      <c r="L5" s="39">
        <f t="shared" si="4"/>
        <v>150000</v>
      </c>
      <c r="P5" s="39">
        <f t="shared" si="5"/>
        <v>150000</v>
      </c>
      <c r="Q5" s="39">
        <f t="shared" si="6"/>
        <v>0</v>
      </c>
      <c r="S5" s="59" t="s">
        <v>611</v>
      </c>
      <c r="V5" s="43" t="s">
        <v>383</v>
      </c>
      <c r="W5" s="43">
        <v>1000000</v>
      </c>
    </row>
    <row r="6" customHeight="1" spans="1:23">
      <c r="A6" s="48" t="s">
        <v>242</v>
      </c>
      <c r="B6" s="49">
        <f>_xlfn.XLOOKUP(A6,'1月份科目余额（2.25导出）'!D:D,'1月份科目余额（2.25导出）'!O:O,0)</f>
        <v>147583.76</v>
      </c>
      <c r="C6" s="49">
        <v>57630.52</v>
      </c>
      <c r="D6" s="49">
        <v>66914.09</v>
      </c>
      <c r="E6" s="49">
        <f>SUMIFS('1月份挂账'!$P:$P,'1月份挂账'!$R:$R,$A6)-SUMIFS('1月份挂账'!$O:$O,'1月份挂账'!$R:$R,$A6)</f>
        <v>77995.01</v>
      </c>
      <c r="F6" s="50">
        <f t="shared" si="0"/>
        <v>69588.75</v>
      </c>
      <c r="G6" s="50"/>
      <c r="H6" s="49">
        <f t="shared" si="1"/>
        <v>6.958875</v>
      </c>
      <c r="I6" s="56">
        <f t="shared" si="2"/>
        <v>69588.75</v>
      </c>
      <c r="J6" s="57">
        <v>69588.75</v>
      </c>
      <c r="K6" s="58">
        <f t="shared" si="3"/>
        <v>0</v>
      </c>
      <c r="L6" s="39">
        <f t="shared" si="4"/>
        <v>69588.75</v>
      </c>
      <c r="P6" s="39">
        <f t="shared" si="5"/>
        <v>69588.75</v>
      </c>
      <c r="Q6" s="39">
        <f t="shared" si="6"/>
        <v>0</v>
      </c>
      <c r="S6" s="43" t="s">
        <v>612</v>
      </c>
      <c r="T6" s="43">
        <v>31</v>
      </c>
      <c r="V6" s="60" t="s">
        <v>613</v>
      </c>
      <c r="W6" s="60">
        <v>2190000</v>
      </c>
    </row>
    <row r="7" customHeight="1" spans="1:23">
      <c r="A7" s="48" t="s">
        <v>243</v>
      </c>
      <c r="B7" s="49">
        <f>_xlfn.XLOOKUP(A7,'1月份科目余额（2.25导出）'!D:D,'1月份科目余额（2.25导出）'!O:O,0)</f>
        <v>57350.41</v>
      </c>
      <c r="C7" s="49">
        <v>22164.96</v>
      </c>
      <c r="D7" s="49">
        <v>11091.95</v>
      </c>
      <c r="E7" s="49">
        <f>SUMIFS('1月份挂账'!$P:$P,'1月份挂账'!$R:$R,$A7)-SUMIFS('1月份挂账'!$O:$O,'1月份挂账'!$R:$R,$A7)</f>
        <v>16908.28</v>
      </c>
      <c r="F7" s="50">
        <f t="shared" si="0"/>
        <v>40442.13</v>
      </c>
      <c r="G7" s="50"/>
      <c r="H7" s="49">
        <f t="shared" si="1"/>
        <v>4.044213</v>
      </c>
      <c r="I7" s="56">
        <f t="shared" si="2"/>
        <v>40442.13</v>
      </c>
      <c r="J7" s="57">
        <v>40442.13</v>
      </c>
      <c r="K7" s="58">
        <f t="shared" si="3"/>
        <v>0</v>
      </c>
      <c r="L7" s="39">
        <f t="shared" si="4"/>
        <v>40442.13</v>
      </c>
      <c r="P7" s="39">
        <f t="shared" si="5"/>
        <v>40442.13</v>
      </c>
      <c r="Q7" s="39">
        <f t="shared" si="6"/>
        <v>0</v>
      </c>
      <c r="S7" s="43" t="s">
        <v>614</v>
      </c>
      <c r="T7" s="43">
        <v>215</v>
      </c>
      <c r="V7" s="60" t="s">
        <v>615</v>
      </c>
      <c r="W7" s="60">
        <v>287434.81</v>
      </c>
    </row>
    <row r="8" customHeight="1" spans="1:23">
      <c r="A8" s="48" t="s">
        <v>297</v>
      </c>
      <c r="B8" s="49">
        <f>_xlfn.XLOOKUP(A8,'1月份科目余额（2.25导出）'!D:D,'1月份科目余额（2.25导出）'!O:O,0)</f>
        <v>16490.64</v>
      </c>
      <c r="C8" s="49">
        <v>4158.4</v>
      </c>
      <c r="D8" s="49">
        <v>11955.4</v>
      </c>
      <c r="E8" s="49">
        <f>SUMIFS('1月份挂账'!$P:$P,'1月份挂账'!$R:$R,$A8)-SUMIFS('1月份挂账'!$O:$O,'1月份挂账'!$R:$R,$A8)</f>
        <v>0</v>
      </c>
      <c r="F8" s="50">
        <f t="shared" si="0"/>
        <v>16490.64</v>
      </c>
      <c r="G8" s="50"/>
      <c r="H8" s="49">
        <f t="shared" si="1"/>
        <v>1.649064</v>
      </c>
      <c r="I8" s="56">
        <f t="shared" si="2"/>
        <v>16490.64</v>
      </c>
      <c r="J8" s="57">
        <v>16490.64</v>
      </c>
      <c r="K8" s="58">
        <f t="shared" si="3"/>
        <v>0</v>
      </c>
      <c r="L8" s="39">
        <f t="shared" si="4"/>
        <v>16490.64</v>
      </c>
      <c r="P8" s="39">
        <f t="shared" si="5"/>
        <v>16490.64</v>
      </c>
      <c r="Q8" s="39">
        <f t="shared" si="6"/>
        <v>0</v>
      </c>
      <c r="S8" s="59" t="s">
        <v>616</v>
      </c>
      <c r="V8" s="60" t="s">
        <v>617</v>
      </c>
      <c r="W8" s="60">
        <v>39034.81</v>
      </c>
    </row>
    <row r="9" customHeight="1" spans="1:23">
      <c r="A9" s="48" t="s">
        <v>244</v>
      </c>
      <c r="B9" s="49">
        <f>_xlfn.XLOOKUP(A9,'1月份科目余额（2.25导出）'!D:D,'1月份科目余额（2.25导出）'!O:O,0)</f>
        <v>262055.59</v>
      </c>
      <c r="C9" s="49">
        <v>73431.69</v>
      </c>
      <c r="D9" s="49">
        <v>101896.62</v>
      </c>
      <c r="E9" s="49">
        <f>SUMIFS('1月份挂账'!$P:$P,'1月份挂账'!$R:$R,$A9)-SUMIFS('1月份挂账'!$O:$O,'1月份挂账'!$R:$R,$A9)</f>
        <v>78601.67</v>
      </c>
      <c r="F9" s="50">
        <f t="shared" si="0"/>
        <v>183453.92</v>
      </c>
      <c r="G9" s="50"/>
      <c r="H9" s="49">
        <f t="shared" si="1"/>
        <v>18.345392</v>
      </c>
      <c r="I9" s="56">
        <f t="shared" si="2"/>
        <v>183453.92</v>
      </c>
      <c r="J9" s="57">
        <v>100000</v>
      </c>
      <c r="K9" s="58">
        <f t="shared" si="3"/>
        <v>83453.92</v>
      </c>
      <c r="L9" s="39">
        <f t="shared" si="4"/>
        <v>100000</v>
      </c>
      <c r="P9" s="39">
        <f t="shared" si="5"/>
        <v>100000</v>
      </c>
      <c r="Q9" s="39">
        <f t="shared" si="6"/>
        <v>0</v>
      </c>
      <c r="S9" s="43" t="s">
        <v>618</v>
      </c>
      <c r="T9" s="43">
        <f>200+180</f>
        <v>380</v>
      </c>
      <c r="V9" s="43" t="s">
        <v>619</v>
      </c>
      <c r="W9" s="43">
        <v>394240</v>
      </c>
    </row>
    <row r="10" customHeight="1" spans="1:23">
      <c r="A10" s="48" t="s">
        <v>245</v>
      </c>
      <c r="B10" s="49">
        <f>_xlfn.XLOOKUP(A10,'1月份科目余额（2.25导出）'!D:D,'1月份科目余额（2.25导出）'!O:O,0)</f>
        <v>139395</v>
      </c>
      <c r="C10" s="49">
        <v>58223.35</v>
      </c>
      <c r="D10" s="49">
        <v>65814.77</v>
      </c>
      <c r="E10" s="49">
        <f>SUMIFS('1月份挂账'!$P:$P,'1月份挂账'!$R:$R,$A10)-SUMIFS('1月份挂账'!$O:$O,'1月份挂账'!$R:$R,$A10)</f>
        <v>71377.35</v>
      </c>
      <c r="F10" s="50">
        <f t="shared" si="0"/>
        <v>68017.65</v>
      </c>
      <c r="G10" s="50"/>
      <c r="H10" s="49">
        <f t="shared" si="1"/>
        <v>6.801765</v>
      </c>
      <c r="I10" s="56">
        <f t="shared" si="2"/>
        <v>68017.65</v>
      </c>
      <c r="J10" s="57">
        <v>68017.65</v>
      </c>
      <c r="K10" s="58">
        <f t="shared" si="3"/>
        <v>0</v>
      </c>
      <c r="L10" s="39">
        <f t="shared" si="4"/>
        <v>68017.65</v>
      </c>
      <c r="P10" s="39">
        <f t="shared" si="5"/>
        <v>68017.65</v>
      </c>
      <c r="Q10" s="39">
        <f t="shared" si="6"/>
        <v>0</v>
      </c>
      <c r="S10" s="43" t="s">
        <v>620</v>
      </c>
      <c r="T10" s="43">
        <v>440</v>
      </c>
      <c r="V10" s="60" t="s">
        <v>621</v>
      </c>
      <c r="W10" s="60">
        <v>627089.98</v>
      </c>
    </row>
    <row r="11" customHeight="1" spans="1:23">
      <c r="A11" s="48" t="s">
        <v>246</v>
      </c>
      <c r="B11" s="49">
        <f>_xlfn.XLOOKUP(A11,'1月份科目余额（2.25导出）'!D:D,'1月份科目余额（2.25导出）'!O:O,0)</f>
        <v>129030.41</v>
      </c>
      <c r="C11" s="49">
        <v>36579.57</v>
      </c>
      <c r="D11" s="49">
        <v>53202.89</v>
      </c>
      <c r="E11" s="49">
        <f>SUMIFS('1月份挂账'!$P:$P,'1月份挂账'!$R:$R,$A11)-SUMIFS('1月份挂账'!$O:$O,'1月份挂账'!$R:$R,$A11)</f>
        <v>75095.26</v>
      </c>
      <c r="F11" s="50">
        <f t="shared" si="0"/>
        <v>53935.15</v>
      </c>
      <c r="G11" s="50"/>
      <c r="H11" s="49">
        <f t="shared" si="1"/>
        <v>5.393515</v>
      </c>
      <c r="I11" s="56">
        <f t="shared" si="2"/>
        <v>53935.15</v>
      </c>
      <c r="J11" s="57">
        <v>53935.15</v>
      </c>
      <c r="K11" s="58">
        <f t="shared" si="3"/>
        <v>0</v>
      </c>
      <c r="L11" s="39">
        <f t="shared" si="4"/>
        <v>53935.15</v>
      </c>
      <c r="P11" s="39">
        <f t="shared" si="5"/>
        <v>53935.15</v>
      </c>
      <c r="Q11" s="39">
        <f t="shared" si="6"/>
        <v>0</v>
      </c>
      <c r="S11" s="43" t="s">
        <v>622</v>
      </c>
      <c r="V11" s="60" t="s">
        <v>623</v>
      </c>
      <c r="W11" s="60">
        <v>204055.98</v>
      </c>
    </row>
    <row r="12" customHeight="1" spans="1:23">
      <c r="A12" s="48" t="s">
        <v>247</v>
      </c>
      <c r="B12" s="49">
        <f>_xlfn.XLOOKUP(A12,'1月份科目余额（2.25导出）'!D:D,'1月份科目余额（2.25导出）'!O:O,0)</f>
        <v>15068.27</v>
      </c>
      <c r="C12" s="49">
        <v>24909.61</v>
      </c>
      <c r="D12" s="49">
        <v>15068.27</v>
      </c>
      <c r="E12" s="49">
        <f>SUMIFS('1月份挂账'!$P:$P,'1月份挂账'!$R:$R,$A12)-SUMIFS('1月份挂账'!$O:$O,'1月份挂账'!$R:$R,$A12)</f>
        <v>0</v>
      </c>
      <c r="F12" s="50">
        <f t="shared" si="0"/>
        <v>15068.27</v>
      </c>
      <c r="G12" s="50"/>
      <c r="H12" s="49">
        <f t="shared" si="1"/>
        <v>1.506827</v>
      </c>
      <c r="I12" s="56">
        <f t="shared" si="2"/>
        <v>15068.27</v>
      </c>
      <c r="J12" s="57">
        <v>15068.27</v>
      </c>
      <c r="K12" s="58">
        <f t="shared" si="3"/>
        <v>0</v>
      </c>
      <c r="M12" s="39">
        <f>J12</f>
        <v>15068.27</v>
      </c>
      <c r="P12" s="39">
        <f t="shared" si="5"/>
        <v>0</v>
      </c>
      <c r="Q12" s="39">
        <f t="shared" si="6"/>
        <v>15068.27</v>
      </c>
      <c r="S12" s="43" t="s">
        <v>624</v>
      </c>
      <c r="T12" s="43">
        <v>80</v>
      </c>
      <c r="V12" s="43" t="s">
        <v>625</v>
      </c>
      <c r="W12" s="43">
        <v>100000</v>
      </c>
    </row>
    <row r="13" customHeight="1" spans="1:23">
      <c r="A13" s="48" t="s">
        <v>248</v>
      </c>
      <c r="B13" s="49">
        <f>_xlfn.XLOOKUP(A13,'1月份科目余额（2.25导出）'!D:D,'1月份科目余额（2.25导出）'!O:O,0)</f>
        <v>754195</v>
      </c>
      <c r="C13" s="49">
        <v>156040.34</v>
      </c>
      <c r="D13" s="49">
        <v>234060.52</v>
      </c>
      <c r="E13" s="49">
        <f>SUMIFS('1月份挂账'!$P:$P,'1月份挂账'!$R:$R,$A13)-SUMIFS('1月份挂账'!$O:$O,'1月份挂账'!$R:$R,$A13)</f>
        <v>520134.48</v>
      </c>
      <c r="F13" s="50">
        <f t="shared" si="0"/>
        <v>234060.52</v>
      </c>
      <c r="G13" s="50"/>
      <c r="H13" s="49">
        <f t="shared" si="1"/>
        <v>23.406052</v>
      </c>
      <c r="I13" s="56">
        <f t="shared" si="2"/>
        <v>234060.52</v>
      </c>
      <c r="J13" s="57">
        <v>234060.52</v>
      </c>
      <c r="K13" s="58">
        <f t="shared" si="3"/>
        <v>0</v>
      </c>
      <c r="L13" s="39">
        <f t="shared" ref="L13:L31" si="7">J13</f>
        <v>234060.52</v>
      </c>
      <c r="P13" s="39">
        <f t="shared" si="5"/>
        <v>234060.52</v>
      </c>
      <c r="Q13" s="39">
        <f t="shared" si="6"/>
        <v>0</v>
      </c>
      <c r="S13" s="43" t="s">
        <v>626</v>
      </c>
      <c r="V13" s="60" t="s">
        <v>627</v>
      </c>
      <c r="W13" s="60">
        <v>184312.22</v>
      </c>
    </row>
    <row r="14" customHeight="1" spans="1:23">
      <c r="A14" s="48" t="s">
        <v>249</v>
      </c>
      <c r="B14" s="49">
        <f>_xlfn.XLOOKUP(A14,'1月份科目余额（2.25导出）'!D:D,'1月份科目余额（2.25导出）'!O:O,0)</f>
        <v>798845.31</v>
      </c>
      <c r="C14" s="49">
        <v>140073</v>
      </c>
      <c r="D14" s="49">
        <v>215330.24</v>
      </c>
      <c r="E14" s="49">
        <f>SUMIFS('1月份挂账'!$P:$P,'1月份挂账'!$R:$R,$A14)-SUMIFS('1月份挂账'!$O:$O,'1月份挂账'!$R:$R,$A14)</f>
        <v>442481.63</v>
      </c>
      <c r="F14" s="50">
        <f t="shared" si="0"/>
        <v>356363.68</v>
      </c>
      <c r="G14" s="50"/>
      <c r="H14" s="49">
        <f t="shared" si="1"/>
        <v>35.636368</v>
      </c>
      <c r="I14" s="56">
        <f t="shared" si="2"/>
        <v>356363.68</v>
      </c>
      <c r="J14" s="57">
        <v>200000</v>
      </c>
      <c r="K14" s="58">
        <f t="shared" si="3"/>
        <v>156363.68</v>
      </c>
      <c r="L14" s="39">
        <f t="shared" si="7"/>
        <v>200000</v>
      </c>
      <c r="P14" s="39">
        <f t="shared" si="5"/>
        <v>200000</v>
      </c>
      <c r="Q14" s="39">
        <f t="shared" si="6"/>
        <v>0</v>
      </c>
      <c r="S14" s="43" t="s">
        <v>628</v>
      </c>
      <c r="T14" s="43">
        <v>600</v>
      </c>
      <c r="V14" s="43" t="s">
        <v>629</v>
      </c>
      <c r="W14" s="43">
        <v>300000</v>
      </c>
    </row>
    <row r="15" customHeight="1" spans="1:23">
      <c r="A15" s="48" t="s">
        <v>250</v>
      </c>
      <c r="B15" s="49">
        <f>_xlfn.XLOOKUP(A15,'1月份科目余额（2.25导出）'!D:D,'1月份科目余额（2.25导出）'!O:O,0)</f>
        <v>736769.84</v>
      </c>
      <c r="C15" s="49">
        <v>214435.01</v>
      </c>
      <c r="D15" s="49">
        <v>277122.08</v>
      </c>
      <c r="E15" s="49">
        <f>SUMIFS('1月份挂账'!$P:$P,'1月份挂账'!$R:$R,$A15)-SUMIFS('1月份挂账'!$O:$O,'1月份挂账'!$R:$R,$A15)</f>
        <v>332887.93</v>
      </c>
      <c r="F15" s="50">
        <f t="shared" si="0"/>
        <v>403881.91</v>
      </c>
      <c r="G15" s="50"/>
      <c r="H15" s="49">
        <f t="shared" si="1"/>
        <v>40.388191</v>
      </c>
      <c r="I15" s="56">
        <f t="shared" si="2"/>
        <v>403881.91</v>
      </c>
      <c r="J15" s="57">
        <v>200000</v>
      </c>
      <c r="K15" s="58">
        <f t="shared" si="3"/>
        <v>203881.91</v>
      </c>
      <c r="L15" s="39">
        <f t="shared" si="7"/>
        <v>200000</v>
      </c>
      <c r="P15" s="39">
        <f t="shared" si="5"/>
        <v>200000</v>
      </c>
      <c r="Q15" s="39">
        <f t="shared" si="6"/>
        <v>0</v>
      </c>
      <c r="S15" s="43" t="s">
        <v>630</v>
      </c>
      <c r="V15" s="43" t="s">
        <v>631</v>
      </c>
      <c r="W15" s="43">
        <v>400000</v>
      </c>
    </row>
    <row r="16" customHeight="1" spans="1:23">
      <c r="A16" s="48" t="s">
        <v>298</v>
      </c>
      <c r="B16" s="49">
        <f>_xlfn.XLOOKUP(A16,'1月份科目余额（2.25导出）'!D:D,'1月份科目余额（2.25导出）'!O:O,0)</f>
        <v>266678.72</v>
      </c>
      <c r="C16" s="49">
        <v>44838.4</v>
      </c>
      <c r="D16" s="49">
        <v>76876.16</v>
      </c>
      <c r="E16" s="49">
        <f>SUMIFS('1月份挂账'!$P:$P,'1月份挂账'!$R:$R,$A16)-SUMIFS('1月份挂账'!$O:$O,'1月份挂账'!$R:$R,$A16)</f>
        <v>181993.28</v>
      </c>
      <c r="F16" s="50">
        <f t="shared" si="0"/>
        <v>84685.44</v>
      </c>
      <c r="G16" s="50"/>
      <c r="H16" s="49">
        <f t="shared" si="1"/>
        <v>8.468544</v>
      </c>
      <c r="I16" s="56">
        <f t="shared" si="2"/>
        <v>84685.44</v>
      </c>
      <c r="J16" s="57">
        <v>84685.44</v>
      </c>
      <c r="K16" s="58">
        <f t="shared" si="3"/>
        <v>0</v>
      </c>
      <c r="L16" s="39">
        <f t="shared" si="7"/>
        <v>84685.44</v>
      </c>
      <c r="P16" s="39">
        <f t="shared" si="5"/>
        <v>84685.44</v>
      </c>
      <c r="Q16" s="39">
        <f t="shared" si="6"/>
        <v>0</v>
      </c>
      <c r="S16" s="59" t="s">
        <v>632</v>
      </c>
      <c r="W16" s="43">
        <v>5726167.8</v>
      </c>
    </row>
    <row r="17" customHeight="1" spans="1:22">
      <c r="A17" s="51" t="s">
        <v>251</v>
      </c>
      <c r="B17" s="49">
        <f>_xlfn.XLOOKUP(A17,'1月份科目余额（2.25导出）'!D:D,'1月份科目余额（2.25导出）'!O:O,0)</f>
        <v>579096.13</v>
      </c>
      <c r="C17" s="49">
        <v>315864</v>
      </c>
      <c r="D17" s="49">
        <v>496390.13</v>
      </c>
      <c r="E17" s="49">
        <f>SUMIFS('1月份挂账'!$P:$P,'1月份挂账'!$R:$R,$A17)-SUMIFS('1月份挂账'!$O:$O,'1月份挂账'!$R:$R,$A17)</f>
        <v>401306</v>
      </c>
      <c r="F17" s="50">
        <f t="shared" si="0"/>
        <v>177790.13</v>
      </c>
      <c r="G17" s="50"/>
      <c r="H17" s="52"/>
      <c r="I17" s="56">
        <v>496606.13</v>
      </c>
      <c r="J17" s="57">
        <v>496606.13</v>
      </c>
      <c r="K17" s="58">
        <f t="shared" si="3"/>
        <v>0</v>
      </c>
      <c r="L17" s="39">
        <f t="shared" si="7"/>
        <v>496606.13</v>
      </c>
      <c r="P17" s="39">
        <f t="shared" si="5"/>
        <v>496606.13</v>
      </c>
      <c r="Q17" s="39">
        <f t="shared" si="6"/>
        <v>0</v>
      </c>
      <c r="S17" s="43" t="s">
        <v>633</v>
      </c>
      <c r="T17" s="43">
        <v>-150</v>
      </c>
      <c r="V17" s="43" t="s">
        <v>634</v>
      </c>
    </row>
    <row r="18" customHeight="1" spans="1:23">
      <c r="A18" s="48" t="s">
        <v>252</v>
      </c>
      <c r="B18" s="49">
        <f>_xlfn.XLOOKUP(A18,'1月份科目余额（2.25导出）'!D:D,'1月份科目余额（2.25导出）'!O:O,0)</f>
        <v>329534.44</v>
      </c>
      <c r="C18" s="49">
        <v>120535.71</v>
      </c>
      <c r="D18" s="49">
        <v>125570.84</v>
      </c>
      <c r="E18" s="49">
        <f>SUMIFS('1月份挂账'!$P:$P,'1月份挂账'!$R:$R,$A18)-SUMIFS('1月份挂账'!$O:$O,'1月份挂账'!$R:$R,$A18)</f>
        <v>82996.78</v>
      </c>
      <c r="F18" s="50">
        <f t="shared" si="0"/>
        <v>246537.66</v>
      </c>
      <c r="G18" s="50"/>
      <c r="H18" s="49">
        <f>F18/10000</f>
        <v>24.653766</v>
      </c>
      <c r="I18" s="56">
        <f>F18</f>
        <v>246537.66</v>
      </c>
      <c r="J18" s="57">
        <v>100000</v>
      </c>
      <c r="K18" s="58">
        <f t="shared" si="3"/>
        <v>146537.66</v>
      </c>
      <c r="L18" s="39">
        <f t="shared" si="7"/>
        <v>100000</v>
      </c>
      <c r="P18" s="39">
        <f t="shared" si="5"/>
        <v>100000</v>
      </c>
      <c r="Q18" s="39">
        <f t="shared" si="6"/>
        <v>0</v>
      </c>
      <c r="S18" s="43" t="s">
        <v>635</v>
      </c>
      <c r="T18" s="43">
        <v>-30</v>
      </c>
      <c r="V18" s="43" t="str">
        <f>V5</f>
        <v>湘和</v>
      </c>
      <c r="W18" s="43">
        <v>500000</v>
      </c>
    </row>
    <row r="19" customHeight="1" spans="1:23">
      <c r="A19" s="48" t="s">
        <v>253</v>
      </c>
      <c r="B19" s="49">
        <f>_xlfn.XLOOKUP(A19,'1月份科目余额（2.25导出）'!D:D,'1月份科目余额（2.25导出）'!O:O,0)</f>
        <v>244220.47</v>
      </c>
      <c r="C19" s="49">
        <v>82202.79</v>
      </c>
      <c r="D19" s="49">
        <v>103979.54</v>
      </c>
      <c r="E19" s="49">
        <f>SUMIFS('1月份挂账'!$P:$P,'1月份挂账'!$R:$R,$A19)-SUMIFS('1月份挂账'!$O:$O,'1月份挂账'!$R:$R,$A19)</f>
        <v>135456.27</v>
      </c>
      <c r="F19" s="50">
        <f t="shared" si="0"/>
        <v>108764.2</v>
      </c>
      <c r="G19" s="50"/>
      <c r="H19" s="49">
        <f>F19/10000</f>
        <v>10.87642</v>
      </c>
      <c r="I19" s="56">
        <f>F19</f>
        <v>108764.2</v>
      </c>
      <c r="J19" s="57">
        <v>108764.2</v>
      </c>
      <c r="K19" s="58">
        <f t="shared" si="3"/>
        <v>0</v>
      </c>
      <c r="L19" s="39">
        <f t="shared" si="7"/>
        <v>108764.2</v>
      </c>
      <c r="P19" s="39">
        <f t="shared" si="5"/>
        <v>108764.2</v>
      </c>
      <c r="Q19" s="39">
        <f t="shared" si="6"/>
        <v>0</v>
      </c>
      <c r="S19" s="43" t="s">
        <v>636</v>
      </c>
      <c r="T19" s="43">
        <v>-500</v>
      </c>
      <c r="V19" s="43" t="str">
        <f>V9</f>
        <v>欣辰达</v>
      </c>
      <c r="W19" s="43">
        <f>W9</f>
        <v>394240</v>
      </c>
    </row>
    <row r="20" customHeight="1" spans="1:23">
      <c r="A20" s="53" t="s">
        <v>254</v>
      </c>
      <c r="B20" s="49">
        <f>_xlfn.XLOOKUP(A20,'1月份科目余额（2.25导出）'!D:D,'1月份科目余额（2.25导出）'!O:O,0)</f>
        <v>910504.9</v>
      </c>
      <c r="C20" s="49">
        <v>387879.92</v>
      </c>
      <c r="D20" s="49">
        <v>500315.59</v>
      </c>
      <c r="E20" s="49">
        <f>SUMIFS('1月份挂账'!$P:$P,'1月份挂账'!$R:$R,$A20)-SUMIFS('1月份挂账'!$O:$O,'1月份挂账'!$R:$R,$A20)</f>
        <v>913202.96</v>
      </c>
      <c r="F20" s="50">
        <f t="shared" si="0"/>
        <v>0</v>
      </c>
      <c r="G20" s="50"/>
      <c r="H20" s="49">
        <v>30</v>
      </c>
      <c r="I20" s="56">
        <v>300000</v>
      </c>
      <c r="J20" s="57">
        <v>300000</v>
      </c>
      <c r="K20" s="58">
        <f t="shared" si="3"/>
        <v>0</v>
      </c>
      <c r="L20" s="39">
        <f t="shared" si="7"/>
        <v>300000</v>
      </c>
      <c r="N20" s="44">
        <v>300000</v>
      </c>
      <c r="P20" s="39">
        <f t="shared" si="5"/>
        <v>600000</v>
      </c>
      <c r="Q20" s="39">
        <f t="shared" si="6"/>
        <v>0</v>
      </c>
      <c r="V20" s="43" t="str">
        <f>V12</f>
        <v>诺亿</v>
      </c>
      <c r="W20" s="43">
        <f>W12</f>
        <v>100000</v>
      </c>
    </row>
    <row r="21" customHeight="1" spans="1:23">
      <c r="A21" s="48" t="s">
        <v>255</v>
      </c>
      <c r="B21" s="49">
        <f>_xlfn.XLOOKUP(A21,'1月份科目余额（2.25导出）'!D:D,'1月份科目余额（2.25导出）'!O:O,0)</f>
        <v>374826.52</v>
      </c>
      <c r="C21" s="49">
        <v>84254.16</v>
      </c>
      <c r="D21" s="49">
        <v>144813.5</v>
      </c>
      <c r="E21" s="49">
        <f>SUMIFS('1月份挂账'!$P:$P,'1月份挂账'!$R:$R,$A21)-SUMIFS('1月份挂账'!$O:$O,'1月份挂账'!$R:$R,$A21)</f>
        <v>0</v>
      </c>
      <c r="F21" s="50">
        <f t="shared" si="0"/>
        <v>374826.52</v>
      </c>
      <c r="G21" s="50"/>
      <c r="H21" s="49">
        <f t="shared" ref="H21:H27" si="8">F21/10000</f>
        <v>37.482652</v>
      </c>
      <c r="I21" s="56">
        <f>F21</f>
        <v>374826.52</v>
      </c>
      <c r="J21" s="57">
        <v>200000</v>
      </c>
      <c r="K21" s="58">
        <f t="shared" si="3"/>
        <v>174826.52</v>
      </c>
      <c r="L21" s="39">
        <f t="shared" si="7"/>
        <v>200000</v>
      </c>
      <c r="P21" s="39">
        <f t="shared" si="5"/>
        <v>200000</v>
      </c>
      <c r="Q21" s="39">
        <f t="shared" si="6"/>
        <v>0</v>
      </c>
      <c r="V21" s="43" t="str">
        <f>V14</f>
        <v>凌天</v>
      </c>
      <c r="W21" s="43">
        <f>W14</f>
        <v>300000</v>
      </c>
    </row>
    <row r="22" customHeight="1" spans="1:22">
      <c r="A22" s="48" t="s">
        <v>256</v>
      </c>
      <c r="B22" s="49">
        <f>_xlfn.XLOOKUP(A22,'1月份科目余额（2.25导出）'!D:D,'1月份科目余额（2.25导出）'!O:O,0)</f>
        <v>194633.37</v>
      </c>
      <c r="C22" s="49">
        <v>2672377.55</v>
      </c>
      <c r="D22" s="49">
        <v>1178057.46</v>
      </c>
      <c r="E22" s="49">
        <f>SUMIFS('1月份挂账'!$P:$P,'1月份挂账'!$R:$R,$A22)-SUMIFS('1月份挂账'!$O:$O,'1月份挂账'!$R:$R,$A22)</f>
        <v>0</v>
      </c>
      <c r="F22" s="50">
        <f t="shared" si="0"/>
        <v>194633.37</v>
      </c>
      <c r="G22" s="50"/>
      <c r="H22" s="49">
        <f t="shared" si="8"/>
        <v>19.463337</v>
      </c>
      <c r="I22" s="56">
        <f>F22</f>
        <v>194633.37</v>
      </c>
      <c r="J22" s="57"/>
      <c r="K22" s="58">
        <f t="shared" si="3"/>
        <v>194633.37</v>
      </c>
      <c r="L22" s="39">
        <f t="shared" si="7"/>
        <v>0</v>
      </c>
      <c r="P22" s="39">
        <f t="shared" si="5"/>
        <v>0</v>
      </c>
      <c r="Q22" s="39">
        <f t="shared" si="6"/>
        <v>0</v>
      </c>
      <c r="S22" s="43" t="s">
        <v>637</v>
      </c>
      <c r="T22" s="43">
        <f>SUM(T5:T21)</f>
        <v>1066</v>
      </c>
      <c r="V22" s="43" t="str">
        <f>V15</f>
        <v>乾立</v>
      </c>
    </row>
    <row r="23" customHeight="1" spans="1:23">
      <c r="A23" s="48" t="s">
        <v>257</v>
      </c>
      <c r="B23" s="49">
        <f>_xlfn.XLOOKUP(A23,'1月份科目余额（2.25导出）'!D:D,'1月份科目余额（2.25导出）'!O:O,0)</f>
        <v>-386888.71</v>
      </c>
      <c r="C23" s="49">
        <v>159248.64</v>
      </c>
      <c r="D23" s="49">
        <v>320815.05</v>
      </c>
      <c r="E23" s="49">
        <f>SUMIFS('1月份挂账'!$P:$P,'1月份挂账'!$R:$R,$A23)-SUMIFS('1月份挂账'!$O:$O,'1月份挂账'!$R:$R,$A23)</f>
        <v>0</v>
      </c>
      <c r="F23" s="50">
        <f t="shared" si="0"/>
        <v>0</v>
      </c>
      <c r="G23" s="50"/>
      <c r="H23" s="49">
        <f t="shared" si="8"/>
        <v>0</v>
      </c>
      <c r="I23" s="56">
        <f>F23</f>
        <v>0</v>
      </c>
      <c r="J23" s="57"/>
      <c r="K23" s="58">
        <f t="shared" si="3"/>
        <v>0</v>
      </c>
      <c r="L23" s="39">
        <f t="shared" si="7"/>
        <v>0</v>
      </c>
      <c r="P23" s="39">
        <f t="shared" si="5"/>
        <v>0</v>
      </c>
      <c r="Q23" s="39">
        <f t="shared" si="6"/>
        <v>0</v>
      </c>
      <c r="W23" s="43">
        <f>SUM(W18:W22)</f>
        <v>1294240</v>
      </c>
    </row>
    <row r="24" customHeight="1" spans="1:17">
      <c r="A24" s="48" t="s">
        <v>258</v>
      </c>
      <c r="B24" s="49">
        <f>_xlfn.XLOOKUP(A24,'1月份科目余额（2.25导出）'!D:D,'1月份科目余额（2.25导出）'!O:O,0)</f>
        <v>245714.01</v>
      </c>
      <c r="C24" s="49">
        <v>204055.98</v>
      </c>
      <c r="D24" s="49">
        <v>176582.49</v>
      </c>
      <c r="E24" s="49">
        <f>SUMIFS('1月份挂账'!$P:$P,'1月份挂账'!$R:$R,$A24)-SUMIFS('1月份挂账'!$O:$O,'1月份挂账'!$R:$R,$A24)</f>
        <v>61016.77</v>
      </c>
      <c r="F24" s="50">
        <f t="shared" si="0"/>
        <v>184697.24</v>
      </c>
      <c r="G24" s="50"/>
      <c r="H24" s="49">
        <f t="shared" si="8"/>
        <v>18.469724</v>
      </c>
      <c r="I24" s="56">
        <f>F24</f>
        <v>184697.24</v>
      </c>
      <c r="J24" s="57"/>
      <c r="K24" s="58">
        <f t="shared" si="3"/>
        <v>184697.24</v>
      </c>
      <c r="L24" s="39">
        <f t="shared" si="7"/>
        <v>0</v>
      </c>
      <c r="P24" s="39">
        <f t="shared" si="5"/>
        <v>0</v>
      </c>
      <c r="Q24" s="39">
        <f t="shared" si="6"/>
        <v>0</v>
      </c>
    </row>
    <row r="25" customHeight="1" spans="1:17">
      <c r="A25" s="48" t="s">
        <v>259</v>
      </c>
      <c r="B25" s="49">
        <f>_xlfn.XLOOKUP(A25,'1月份科目余额（2.25导出）'!D:D,'1月份科目余额（2.25导出）'!O:O,0)</f>
        <v>549356.28</v>
      </c>
      <c r="C25" s="49">
        <v>133199.88</v>
      </c>
      <c r="D25" s="49">
        <v>174513.81</v>
      </c>
      <c r="E25" s="49">
        <f>SUMIFS('1月份挂账'!$P:$P,'1月份挂账'!$R:$R,$A25)-SUMIFS('1月份挂账'!$O:$O,'1月份挂账'!$R:$R,$A25)</f>
        <v>241642.59</v>
      </c>
      <c r="F25" s="50">
        <f t="shared" si="0"/>
        <v>307713.69</v>
      </c>
      <c r="G25" s="50"/>
      <c r="H25" s="49">
        <f t="shared" si="8"/>
        <v>30.771369</v>
      </c>
      <c r="I25" s="56">
        <f>F25</f>
        <v>307713.69</v>
      </c>
      <c r="J25" s="57">
        <v>100000</v>
      </c>
      <c r="K25" s="58">
        <f t="shared" si="3"/>
        <v>207713.69</v>
      </c>
      <c r="L25" s="39">
        <f t="shared" si="7"/>
        <v>100000</v>
      </c>
      <c r="P25" s="39">
        <f t="shared" si="5"/>
        <v>100000</v>
      </c>
      <c r="Q25" s="39">
        <f t="shared" si="6"/>
        <v>0</v>
      </c>
    </row>
    <row r="26" customHeight="1" spans="1:17">
      <c r="A26" s="48" t="s">
        <v>299</v>
      </c>
      <c r="B26" s="49">
        <f>_xlfn.XLOOKUP(A26,'1月份科目余额（2.25导出）'!D:D,'1月份科目余额（2.25导出）'!O:O,0)</f>
        <v>324795.29</v>
      </c>
      <c r="C26" s="49">
        <v>287434.43</v>
      </c>
      <c r="D26" s="49">
        <v>0</v>
      </c>
      <c r="E26" s="49">
        <f>SUMIFS('1月份挂账'!$P:$P,'1月份挂账'!$R:$R,$A26)-SUMIFS('1月份挂账'!$O:$O,'1月份挂账'!$R:$R,$A26)</f>
        <v>324795.67</v>
      </c>
      <c r="F26" s="50">
        <f t="shared" si="0"/>
        <v>0</v>
      </c>
      <c r="G26" s="50"/>
      <c r="H26" s="49">
        <f t="shared" si="8"/>
        <v>0</v>
      </c>
      <c r="I26" s="56"/>
      <c r="J26" s="57"/>
      <c r="K26" s="58">
        <f t="shared" si="3"/>
        <v>0</v>
      </c>
      <c r="L26" s="39">
        <f t="shared" si="7"/>
        <v>0</v>
      </c>
      <c r="P26" s="39">
        <f t="shared" si="5"/>
        <v>0</v>
      </c>
      <c r="Q26" s="39">
        <f t="shared" si="6"/>
        <v>0</v>
      </c>
    </row>
    <row r="27" customHeight="1" spans="1:17">
      <c r="A27" s="48" t="s">
        <v>260</v>
      </c>
      <c r="B27" s="49">
        <f>_xlfn.XLOOKUP(A27,'1月份科目余额（2.25导出）'!D:D,'1月份科目余额（2.25导出）'!O:O,0)</f>
        <v>381600.18</v>
      </c>
      <c r="C27" s="49">
        <v>104392.72</v>
      </c>
      <c r="D27" s="49">
        <v>128847.2</v>
      </c>
      <c r="E27" s="49">
        <f>SUMIFS('1月份挂账'!$P:$P,'1月份挂账'!$R:$R,$A27)-SUMIFS('1月份挂账'!$O:$O,'1月份挂账'!$R:$R,$A27)</f>
        <v>148360.26</v>
      </c>
      <c r="F27" s="50">
        <f t="shared" si="0"/>
        <v>233239.92</v>
      </c>
      <c r="G27" s="50"/>
      <c r="H27" s="49">
        <f t="shared" si="8"/>
        <v>23.323992</v>
      </c>
      <c r="I27" s="56">
        <f>F27</f>
        <v>233239.92</v>
      </c>
      <c r="J27" s="57">
        <v>100000</v>
      </c>
      <c r="K27" s="58">
        <f t="shared" si="3"/>
        <v>133239.92</v>
      </c>
      <c r="L27" s="39">
        <f t="shared" si="7"/>
        <v>100000</v>
      </c>
      <c r="P27" s="39">
        <f t="shared" si="5"/>
        <v>100000</v>
      </c>
      <c r="Q27" s="39">
        <f t="shared" si="6"/>
        <v>0</v>
      </c>
    </row>
    <row r="28" customHeight="1" spans="1:17">
      <c r="A28" s="53" t="s">
        <v>261</v>
      </c>
      <c r="B28" s="49">
        <f>_xlfn.XLOOKUP(A28,'1月份科目余额（2.25导出）'!D:D,'1月份科目余额（2.25导出）'!O:O,0)</f>
        <v>803596.61</v>
      </c>
      <c r="C28" s="49">
        <v>314465</v>
      </c>
      <c r="D28" s="49">
        <v>0</v>
      </c>
      <c r="E28" s="49">
        <f>SUMIFS('1月份挂账'!$P:$P,'1月份挂账'!$R:$R,$A28)-SUMIFS('1月份挂账'!$O:$O,'1月份挂账'!$R:$R,$A28)</f>
        <v>0</v>
      </c>
      <c r="F28" s="50">
        <f t="shared" si="0"/>
        <v>803596.61</v>
      </c>
      <c r="G28" s="50"/>
      <c r="H28" s="49">
        <v>20</v>
      </c>
      <c r="I28" s="56">
        <v>200000</v>
      </c>
      <c r="J28" s="57"/>
      <c r="K28" s="58">
        <f t="shared" si="3"/>
        <v>200000</v>
      </c>
      <c r="L28" s="39">
        <f t="shared" si="7"/>
        <v>0</v>
      </c>
      <c r="P28" s="39">
        <f t="shared" si="5"/>
        <v>0</v>
      </c>
      <c r="Q28" s="39">
        <f t="shared" si="6"/>
        <v>0</v>
      </c>
    </row>
    <row r="29" customHeight="1" spans="1:17">
      <c r="A29" s="48" t="s">
        <v>262</v>
      </c>
      <c r="B29" s="49">
        <f>_xlfn.XLOOKUP(A29,'1月份科目余额（2.25导出）'!D:D,'1月份科目余额（2.25导出）'!O:O,0)</f>
        <v>360864.9</v>
      </c>
      <c r="C29" s="49">
        <v>351001.84</v>
      </c>
      <c r="D29" s="49">
        <v>0</v>
      </c>
      <c r="E29" s="49">
        <f>SUMIFS('1月份挂账'!$P:$P,'1月份挂账'!$R:$R,$A29)-SUMIFS('1月份挂账'!$O:$O,'1月份挂账'!$R:$R,$A29)</f>
        <v>0</v>
      </c>
      <c r="F29" s="50">
        <f t="shared" si="0"/>
        <v>360864.9</v>
      </c>
      <c r="G29" s="50"/>
      <c r="H29" s="49">
        <v>10</v>
      </c>
      <c r="I29" s="56">
        <v>100000</v>
      </c>
      <c r="J29" s="57"/>
      <c r="K29" s="58">
        <f t="shared" si="3"/>
        <v>100000</v>
      </c>
      <c r="L29" s="39">
        <f t="shared" si="7"/>
        <v>0</v>
      </c>
      <c r="P29" s="39">
        <f t="shared" si="5"/>
        <v>0</v>
      </c>
      <c r="Q29" s="39">
        <f t="shared" si="6"/>
        <v>0</v>
      </c>
    </row>
    <row r="30" customHeight="1" spans="1:17">
      <c r="A30" s="48" t="s">
        <v>263</v>
      </c>
      <c r="B30" s="49">
        <f>_xlfn.XLOOKUP(A30,'1月份科目余额（2.25导出）'!D:D,'1月份科目余额（2.25导出）'!O:O,0)</f>
        <v>113065.81</v>
      </c>
      <c r="C30" s="49">
        <v>56508.57</v>
      </c>
      <c r="D30" s="49">
        <v>76774.03</v>
      </c>
      <c r="E30" s="49">
        <f>SUMIFS('1月份挂账'!$P:$P,'1月份挂账'!$R:$R,$A30)-SUMIFS('1月份挂账'!$O:$O,'1月份挂账'!$R:$R,$A30)</f>
        <v>32879.45</v>
      </c>
      <c r="F30" s="50">
        <f t="shared" si="0"/>
        <v>80186.36</v>
      </c>
      <c r="G30" s="50"/>
      <c r="H30" s="49">
        <f>F30/10000</f>
        <v>8.018636</v>
      </c>
      <c r="I30" s="56">
        <f>F30</f>
        <v>80186.36</v>
      </c>
      <c r="J30" s="57">
        <v>80186.36</v>
      </c>
      <c r="K30" s="58"/>
      <c r="L30" s="39">
        <f t="shared" si="7"/>
        <v>80186.36</v>
      </c>
      <c r="P30" s="39">
        <f t="shared" si="5"/>
        <v>80186.36</v>
      </c>
      <c r="Q30" s="39">
        <f t="shared" si="6"/>
        <v>0</v>
      </c>
    </row>
    <row r="31" customHeight="1" spans="1:17">
      <c r="A31" s="53" t="s">
        <v>264</v>
      </c>
      <c r="B31" s="49">
        <f>_xlfn.XLOOKUP(A31,'1月份科目余额（2.25导出）'!D:D,'1月份科目余额（2.25导出）'!O:O,0)</f>
        <v>2881042.38</v>
      </c>
      <c r="C31" s="49">
        <v>910693.24</v>
      </c>
      <c r="D31" s="49">
        <v>879093.92</v>
      </c>
      <c r="E31" s="49">
        <f>SUMIFS('1月份挂账'!$P:$P,'1月份挂账'!$R:$R,$A31)-SUMIFS('1月份挂账'!$O:$O,'1月份挂账'!$R:$R,$A31)</f>
        <v>1066979.88</v>
      </c>
      <c r="F31" s="50">
        <f t="shared" si="0"/>
        <v>1814062.5</v>
      </c>
      <c r="G31" s="50"/>
      <c r="H31" s="49">
        <v>50</v>
      </c>
      <c r="I31" s="56">
        <v>500000</v>
      </c>
      <c r="J31" s="57"/>
      <c r="K31" s="58">
        <f t="shared" ref="K31:K82" si="9">I31-J31</f>
        <v>500000</v>
      </c>
      <c r="L31" s="39">
        <f t="shared" si="7"/>
        <v>0</v>
      </c>
      <c r="O31" s="44">
        <v>500000</v>
      </c>
      <c r="P31" s="39">
        <f t="shared" si="5"/>
        <v>0</v>
      </c>
      <c r="Q31" s="39">
        <f t="shared" si="6"/>
        <v>500000</v>
      </c>
    </row>
    <row r="32" customHeight="1" spans="1:17">
      <c r="A32" s="48" t="s">
        <v>265</v>
      </c>
      <c r="B32" s="49">
        <f>_xlfn.XLOOKUP(A32,'1月份科目余额（2.25导出）'!D:D,'1月份科目余额（2.25导出）'!O:O,0)</f>
        <v>3220208.22</v>
      </c>
      <c r="C32" s="49">
        <v>1289815.35</v>
      </c>
      <c r="D32" s="49">
        <v>1521381.72</v>
      </c>
      <c r="E32" s="49">
        <f>SUMIFS('1月份挂账'!$P:$P,'1月份挂账'!$R:$R,$A32)-SUMIFS('1月份挂账'!$O:$O,'1月份挂账'!$R:$R,$A32)</f>
        <v>1711278.93</v>
      </c>
      <c r="F32" s="50">
        <f t="shared" si="0"/>
        <v>1508929.29</v>
      </c>
      <c r="G32" s="50"/>
      <c r="H32" s="49">
        <f t="shared" ref="H32:H41" si="10">F32/10000</f>
        <v>150.892929</v>
      </c>
      <c r="I32" s="56">
        <f>F32</f>
        <v>1508929.29</v>
      </c>
      <c r="J32" s="57">
        <v>500000</v>
      </c>
      <c r="K32" s="58">
        <f t="shared" si="9"/>
        <v>1008929.29</v>
      </c>
      <c r="M32" s="39">
        <v>500000</v>
      </c>
      <c r="P32" s="39">
        <f t="shared" si="5"/>
        <v>0</v>
      </c>
      <c r="Q32" s="39">
        <f t="shared" si="6"/>
        <v>500000</v>
      </c>
    </row>
    <row r="33" customHeight="1" spans="1:17">
      <c r="A33" s="48" t="s">
        <v>267</v>
      </c>
      <c r="B33" s="49">
        <f>_xlfn.XLOOKUP(A33,'1月份科目余额（2.25导出）'!D:D,'1月份科目余额（2.25导出）'!O:O,0)</f>
        <v>25471.28</v>
      </c>
      <c r="C33" s="49">
        <v>9390.47</v>
      </c>
      <c r="D33" s="49">
        <v>12930.65</v>
      </c>
      <c r="E33" s="49">
        <f>SUMIFS('1月份挂账'!$P:$P,'1月份挂账'!$R:$R,$A33)-SUMIFS('1月份挂账'!$O:$O,'1月份挂账'!$R:$R,$A33)</f>
        <v>12540.63</v>
      </c>
      <c r="F33" s="50">
        <f t="shared" si="0"/>
        <v>12930.65</v>
      </c>
      <c r="G33" s="50"/>
      <c r="H33" s="49">
        <f t="shared" si="10"/>
        <v>1.293065</v>
      </c>
      <c r="I33" s="56">
        <f>F33</f>
        <v>12930.65</v>
      </c>
      <c r="J33" s="57">
        <v>12930.65</v>
      </c>
      <c r="K33" s="58">
        <f t="shared" si="9"/>
        <v>0</v>
      </c>
      <c r="L33" s="39">
        <f>J33</f>
        <v>12930.65</v>
      </c>
      <c r="P33" s="39">
        <f t="shared" si="5"/>
        <v>12930.65</v>
      </c>
      <c r="Q33" s="39">
        <f t="shared" si="6"/>
        <v>0</v>
      </c>
    </row>
    <row r="34" customHeight="1" spans="1:17">
      <c r="A34" s="48" t="s">
        <v>268</v>
      </c>
      <c r="B34" s="49">
        <f>_xlfn.XLOOKUP(A34,'1月份科目余额（2.25导出）'!D:D,'1月份科目余额（2.25导出）'!O:O,0)</f>
        <v>25062.5</v>
      </c>
      <c r="C34" s="49">
        <v>0</v>
      </c>
      <c r="D34" s="49">
        <v>25062.5</v>
      </c>
      <c r="E34" s="49">
        <f>SUMIFS('1月份挂账'!$P:$P,'1月份挂账'!$R:$R,$A34)-SUMIFS('1月份挂账'!$O:$O,'1月份挂账'!$R:$R,$A34)</f>
        <v>0</v>
      </c>
      <c r="F34" s="50">
        <f t="shared" si="0"/>
        <v>25062.5</v>
      </c>
      <c r="G34" s="50"/>
      <c r="H34" s="49">
        <f t="shared" si="10"/>
        <v>2.50625</v>
      </c>
      <c r="I34" s="56">
        <f>F34</f>
        <v>25062.5</v>
      </c>
      <c r="J34" s="57">
        <v>25062.5</v>
      </c>
      <c r="K34" s="58">
        <f t="shared" si="9"/>
        <v>0</v>
      </c>
      <c r="L34" s="39">
        <f>J34</f>
        <v>25062.5</v>
      </c>
      <c r="P34" s="39">
        <f t="shared" si="5"/>
        <v>25062.5</v>
      </c>
      <c r="Q34" s="39">
        <f t="shared" si="6"/>
        <v>0</v>
      </c>
    </row>
    <row r="35" customHeight="1" spans="1:17">
      <c r="A35" s="48" t="s">
        <v>406</v>
      </c>
      <c r="B35" s="49">
        <f>_xlfn.XLOOKUP(A35,'1月份科目余额（2.25导出）'!D:D,'1月份科目余额（2.25导出）'!O:O,0)</f>
        <v>2621.52</v>
      </c>
      <c r="C35" s="49">
        <v>0</v>
      </c>
      <c r="D35" s="49">
        <v>0</v>
      </c>
      <c r="E35" s="49">
        <f>SUMIFS('1月份挂账'!$P:$P,'1月份挂账'!$R:$R,$A35)-SUMIFS('1月份挂账'!$O:$O,'1月份挂账'!$R:$R,$A35)</f>
        <v>0</v>
      </c>
      <c r="F35" s="50">
        <f t="shared" si="0"/>
        <v>2621.52</v>
      </c>
      <c r="G35" s="50"/>
      <c r="H35" s="49">
        <f t="shared" si="10"/>
        <v>0.262152</v>
      </c>
      <c r="I35" s="56"/>
      <c r="J35" s="57"/>
      <c r="K35" s="58">
        <f t="shared" si="9"/>
        <v>0</v>
      </c>
      <c r="L35" s="39">
        <f>J35</f>
        <v>0</v>
      </c>
      <c r="P35" s="39">
        <f t="shared" si="5"/>
        <v>0</v>
      </c>
      <c r="Q35" s="39">
        <f t="shared" si="6"/>
        <v>0</v>
      </c>
    </row>
    <row r="36" customHeight="1" spans="1:17">
      <c r="A36" s="48" t="s">
        <v>407</v>
      </c>
      <c r="B36" s="49">
        <f>_xlfn.XLOOKUP(A36,'1月份科目余额（2.25导出）'!D:D,'1月份科目余额（2.25导出）'!O:O,0)</f>
        <v>54943.1</v>
      </c>
      <c r="C36" s="49">
        <v>0</v>
      </c>
      <c r="D36" s="49">
        <v>0</v>
      </c>
      <c r="E36" s="49">
        <f>SUMIFS('1月份挂账'!$P:$P,'1月份挂账'!$R:$R,$A36)-SUMIFS('1月份挂账'!$O:$O,'1月份挂账'!$R:$R,$A36)</f>
        <v>0</v>
      </c>
      <c r="F36" s="50">
        <f t="shared" si="0"/>
        <v>54943.1</v>
      </c>
      <c r="G36" s="50"/>
      <c r="H36" s="49">
        <f t="shared" si="10"/>
        <v>5.49431</v>
      </c>
      <c r="I36" s="56"/>
      <c r="J36" s="57"/>
      <c r="K36" s="58">
        <f t="shared" si="9"/>
        <v>0</v>
      </c>
      <c r="L36" s="39">
        <f>J36</f>
        <v>0</v>
      </c>
      <c r="P36" s="39">
        <f t="shared" si="5"/>
        <v>0</v>
      </c>
      <c r="Q36" s="39">
        <f t="shared" si="6"/>
        <v>0</v>
      </c>
    </row>
    <row r="37" customHeight="1" spans="1:17">
      <c r="A37" s="48" t="s">
        <v>300</v>
      </c>
      <c r="B37" s="49">
        <f>_xlfn.XLOOKUP(A37,'1月份科目余额（2.25导出）'!D:D,'1月份科目余额（2.25导出）'!O:O,0)</f>
        <v>149557.34</v>
      </c>
      <c r="C37" s="49">
        <v>184312.22</v>
      </c>
      <c r="D37" s="49">
        <v>149557.34</v>
      </c>
      <c r="E37" s="49">
        <f>SUMIFS('1月份挂账'!$P:$P,'1月份挂账'!$R:$R,$A37)-SUMIFS('1月份挂账'!$O:$O,'1月份挂账'!$R:$R,$A37)</f>
        <v>147549.22</v>
      </c>
      <c r="F37" s="50">
        <f t="shared" si="0"/>
        <v>2008.12</v>
      </c>
      <c r="G37" s="50"/>
      <c r="H37" s="49">
        <f t="shared" si="10"/>
        <v>0.200812</v>
      </c>
      <c r="I37" s="56">
        <f>F37</f>
        <v>2008.12</v>
      </c>
      <c r="J37" s="57">
        <v>2008.12</v>
      </c>
      <c r="K37" s="58">
        <f t="shared" si="9"/>
        <v>0</v>
      </c>
      <c r="P37" s="39">
        <f t="shared" si="5"/>
        <v>0</v>
      </c>
      <c r="Q37" s="39">
        <f t="shared" si="6"/>
        <v>0</v>
      </c>
    </row>
    <row r="38" customHeight="1" spans="1:17">
      <c r="A38" s="48" t="s">
        <v>301</v>
      </c>
      <c r="B38" s="49">
        <f>_xlfn.XLOOKUP(A38,'1月份科目余额（2.25导出）'!D:D,'1月份科目余额（2.25导出）'!O:O,0)</f>
        <v>141610.15</v>
      </c>
      <c r="C38" s="49">
        <v>86320.08</v>
      </c>
      <c r="D38" s="49">
        <v>871.64</v>
      </c>
      <c r="E38" s="49">
        <f>SUMIFS('1月份挂账'!$P:$P,'1月份挂账'!$R:$R,$A38)-SUMIFS('1月份挂账'!$O:$O,'1月份挂账'!$R:$R,$A38)</f>
        <v>49192.39</v>
      </c>
      <c r="F38" s="50">
        <f t="shared" si="0"/>
        <v>92417.76</v>
      </c>
      <c r="G38" s="50"/>
      <c r="H38" s="49">
        <f t="shared" si="10"/>
        <v>9.241776</v>
      </c>
      <c r="I38" s="56">
        <f>B38</f>
        <v>141610.15</v>
      </c>
      <c r="J38" s="57">
        <v>141610.15</v>
      </c>
      <c r="K38" s="58">
        <f t="shared" si="9"/>
        <v>0</v>
      </c>
      <c r="L38" s="39">
        <f t="shared" ref="L38:L57" si="11">J38</f>
        <v>141610.15</v>
      </c>
      <c r="P38" s="39">
        <f t="shared" si="5"/>
        <v>141610.15</v>
      </c>
      <c r="Q38" s="39">
        <f t="shared" si="6"/>
        <v>0</v>
      </c>
    </row>
    <row r="39" customHeight="1" spans="1:17">
      <c r="A39" s="48" t="s">
        <v>269</v>
      </c>
      <c r="B39" s="49">
        <f>_xlfn.XLOOKUP(A39,'1月份科目余额（2.25导出）'!D:D,'1月份科目余额（2.25导出）'!O:O,0)</f>
        <v>-10623.91</v>
      </c>
      <c r="C39" s="49">
        <v>0</v>
      </c>
      <c r="D39" s="49">
        <v>98691.84</v>
      </c>
      <c r="E39" s="49">
        <f>SUMIFS('1月份挂账'!$P:$P,'1月份挂账'!$R:$R,$A39)-SUMIFS('1月份挂账'!$O:$O,'1月份挂账'!$R:$R,$A39)</f>
        <v>95896.6</v>
      </c>
      <c r="F39" s="50">
        <f t="shared" si="0"/>
        <v>0</v>
      </c>
      <c r="G39" s="50"/>
      <c r="H39" s="49">
        <f t="shared" si="10"/>
        <v>0</v>
      </c>
      <c r="I39" s="56"/>
      <c r="J39" s="57"/>
      <c r="K39" s="58">
        <f t="shared" si="9"/>
        <v>0</v>
      </c>
      <c r="L39" s="39">
        <f t="shared" si="11"/>
        <v>0</v>
      </c>
      <c r="P39" s="39">
        <f t="shared" si="5"/>
        <v>0</v>
      </c>
      <c r="Q39" s="39">
        <f t="shared" si="6"/>
        <v>0</v>
      </c>
    </row>
    <row r="40" customHeight="1" spans="1:17">
      <c r="A40" s="48" t="s">
        <v>270</v>
      </c>
      <c r="B40" s="49">
        <f>_xlfn.XLOOKUP(A40,'1月份科目余额（2.25导出）'!D:D,'1月份科目余额（2.25导出）'!O:O,0)</f>
        <v>23501.85</v>
      </c>
      <c r="C40" s="49">
        <v>16465.23</v>
      </c>
      <c r="D40" s="49">
        <v>15941.5</v>
      </c>
      <c r="E40" s="49">
        <f>SUMIFS('1月份挂账'!$P:$P,'1月份挂账'!$R:$R,$A40)-SUMIFS('1月份挂账'!$O:$O,'1月份挂账'!$R:$R,$A40)</f>
        <v>7509.52</v>
      </c>
      <c r="F40" s="50">
        <f t="shared" si="0"/>
        <v>15992.33</v>
      </c>
      <c r="G40" s="50"/>
      <c r="H40" s="49">
        <f t="shared" si="10"/>
        <v>1.599233</v>
      </c>
      <c r="I40" s="56">
        <f>F40</f>
        <v>15992.33</v>
      </c>
      <c r="J40" s="57">
        <v>15992.33</v>
      </c>
      <c r="K40" s="58">
        <f t="shared" si="9"/>
        <v>0</v>
      </c>
      <c r="L40" s="39">
        <f t="shared" si="11"/>
        <v>15992.33</v>
      </c>
      <c r="P40" s="39">
        <f t="shared" si="5"/>
        <v>15992.33</v>
      </c>
      <c r="Q40" s="39">
        <f t="shared" si="6"/>
        <v>0</v>
      </c>
    </row>
    <row r="41" customHeight="1" spans="1:17">
      <c r="A41" s="48" t="s">
        <v>271</v>
      </c>
      <c r="B41" s="49">
        <f>_xlfn.XLOOKUP(A41,'1月份科目余额（2.25导出）'!D:D,'1月份科目余额（2.25导出）'!O:O,0)</f>
        <v>22774.59</v>
      </c>
      <c r="C41" s="49">
        <v>0</v>
      </c>
      <c r="D41" s="49">
        <v>0</v>
      </c>
      <c r="E41" s="49">
        <f>SUMIFS('1月份挂账'!$P:$P,'1月份挂账'!$R:$R,$A41)-SUMIFS('1月份挂账'!$O:$O,'1月份挂账'!$R:$R,$A41)</f>
        <v>0</v>
      </c>
      <c r="F41" s="50">
        <f t="shared" si="0"/>
        <v>22774.59</v>
      </c>
      <c r="G41" s="50"/>
      <c r="H41" s="49">
        <f t="shared" si="10"/>
        <v>2.277459</v>
      </c>
      <c r="I41" s="56"/>
      <c r="J41" s="57"/>
      <c r="K41" s="58">
        <f t="shared" si="9"/>
        <v>0</v>
      </c>
      <c r="L41" s="39">
        <f t="shared" si="11"/>
        <v>0</v>
      </c>
      <c r="P41" s="39">
        <f t="shared" si="5"/>
        <v>0</v>
      </c>
      <c r="Q41" s="39">
        <f t="shared" si="6"/>
        <v>0</v>
      </c>
    </row>
    <row r="42" customHeight="1" spans="1:17">
      <c r="A42" s="53" t="s">
        <v>272</v>
      </c>
      <c r="B42" s="49">
        <f>_xlfn.XLOOKUP(A42,'1月份科目余额（2.25导出）'!D:D,'1月份科目余额（2.25导出）'!O:O,0)</f>
        <v>328471.91</v>
      </c>
      <c r="C42" s="49">
        <v>129368.42</v>
      </c>
      <c r="D42" s="49">
        <v>145034.28</v>
      </c>
      <c r="E42" s="49">
        <f>SUMIFS('1月份挂账'!$P:$P,'1月份挂账'!$R:$R,$A42)-SUMIFS('1月份挂账'!$O:$O,'1月份挂账'!$R:$R,$A42)</f>
        <v>175708.95</v>
      </c>
      <c r="F42" s="50">
        <f t="shared" si="0"/>
        <v>152762.96</v>
      </c>
      <c r="G42" s="50"/>
      <c r="H42" s="49">
        <v>5</v>
      </c>
      <c r="I42" s="56">
        <v>50000</v>
      </c>
      <c r="J42" s="57"/>
      <c r="K42" s="58">
        <f t="shared" si="9"/>
        <v>50000</v>
      </c>
      <c r="L42" s="39">
        <f t="shared" si="11"/>
        <v>0</v>
      </c>
      <c r="N42" s="44">
        <v>100000</v>
      </c>
      <c r="P42" s="39">
        <f t="shared" si="5"/>
        <v>100000</v>
      </c>
      <c r="Q42" s="39">
        <f t="shared" si="6"/>
        <v>0</v>
      </c>
    </row>
    <row r="43" customHeight="1" spans="1:17">
      <c r="A43" s="48" t="s">
        <v>273</v>
      </c>
      <c r="B43" s="49">
        <f>_xlfn.XLOOKUP(A43,'1月份科目余额（2.25导出）'!D:D,'1月份科目余额（2.25导出）'!O:O,0)</f>
        <v>13613.57</v>
      </c>
      <c r="C43" s="49">
        <v>13613.57</v>
      </c>
      <c r="D43" s="49">
        <v>0</v>
      </c>
      <c r="E43" s="49">
        <f>SUMIFS('1月份挂账'!$P:$P,'1月份挂账'!$R:$R,$A43)-SUMIFS('1月份挂账'!$O:$O,'1月份挂账'!$R:$R,$A43)</f>
        <v>0</v>
      </c>
      <c r="F43" s="50">
        <f t="shared" si="0"/>
        <v>13613.57</v>
      </c>
      <c r="G43" s="50"/>
      <c r="H43" s="49">
        <f>F43/10000</f>
        <v>1.361357</v>
      </c>
      <c r="I43" s="56">
        <f>F43</f>
        <v>13613.57</v>
      </c>
      <c r="J43" s="57">
        <v>13613.57</v>
      </c>
      <c r="K43" s="58">
        <f t="shared" si="9"/>
        <v>0</v>
      </c>
      <c r="L43" s="39">
        <f t="shared" si="11"/>
        <v>13613.57</v>
      </c>
      <c r="P43" s="39">
        <f t="shared" si="5"/>
        <v>13613.57</v>
      </c>
      <c r="Q43" s="39">
        <f t="shared" si="6"/>
        <v>0</v>
      </c>
    </row>
    <row r="44" customHeight="1" spans="1:17">
      <c r="A44" s="48" t="s">
        <v>302</v>
      </c>
      <c r="B44" s="49">
        <f>_xlfn.XLOOKUP(A44,'1月份科目余额（2.25导出）'!D:D,'1月份科目余额（2.25导出）'!O:O,0)</f>
        <v>221893.67</v>
      </c>
      <c r="C44" s="49">
        <v>0</v>
      </c>
      <c r="D44" s="49">
        <v>21119.7</v>
      </c>
      <c r="E44" s="49">
        <f>SUMIFS('1月份挂账'!$P:$P,'1月份挂账'!$R:$R,$A44)-SUMIFS('1月份挂账'!$O:$O,'1月份挂账'!$R:$R,$A44)</f>
        <v>34215.27</v>
      </c>
      <c r="F44" s="50">
        <f t="shared" si="0"/>
        <v>187678.4</v>
      </c>
      <c r="G44" s="50"/>
      <c r="H44" s="49"/>
      <c r="I44" s="56">
        <v>100000</v>
      </c>
      <c r="J44" s="57"/>
      <c r="K44" s="58">
        <f t="shared" si="9"/>
        <v>100000</v>
      </c>
      <c r="L44" s="39">
        <f t="shared" si="11"/>
        <v>0</v>
      </c>
      <c r="P44" s="39">
        <f t="shared" si="5"/>
        <v>0</v>
      </c>
      <c r="Q44" s="39">
        <f t="shared" si="6"/>
        <v>0</v>
      </c>
    </row>
    <row r="45" customHeight="1" spans="1:17">
      <c r="A45" s="48" t="s">
        <v>274</v>
      </c>
      <c r="B45" s="49">
        <f>_xlfn.XLOOKUP(A45,'1月份科目余额（2.25导出）'!D:D,'1月份科目余额（2.25导出）'!O:O,0)</f>
        <v>232164.57</v>
      </c>
      <c r="C45" s="49">
        <v>78272.1</v>
      </c>
      <c r="D45" s="49">
        <v>80766.45</v>
      </c>
      <c r="E45" s="49">
        <f>SUMIFS('1月份挂账'!$P:$P,'1月份挂账'!$R:$R,$A45)-SUMIFS('1月份挂账'!$O:$O,'1月份挂账'!$R:$R,$A45)</f>
        <v>58259.63</v>
      </c>
      <c r="F45" s="50">
        <f t="shared" si="0"/>
        <v>173904.94</v>
      </c>
      <c r="G45" s="50"/>
      <c r="H45" s="49">
        <v>10</v>
      </c>
      <c r="I45" s="56"/>
      <c r="J45" s="57"/>
      <c r="K45" s="58">
        <f t="shared" si="9"/>
        <v>0</v>
      </c>
      <c r="L45" s="39">
        <f t="shared" si="11"/>
        <v>0</v>
      </c>
      <c r="P45" s="39">
        <f t="shared" si="5"/>
        <v>0</v>
      </c>
      <c r="Q45" s="39">
        <f t="shared" si="6"/>
        <v>0</v>
      </c>
    </row>
    <row r="46" customHeight="1" spans="1:17">
      <c r="A46" s="48" t="s">
        <v>275</v>
      </c>
      <c r="B46" s="49">
        <f>_xlfn.XLOOKUP(A46,'1月份科目余额（2.25导出）'!D:D,'1月份科目余额（2.25导出）'!O:O,0)</f>
        <v>13886.37</v>
      </c>
      <c r="C46" s="49">
        <v>0</v>
      </c>
      <c r="D46" s="49">
        <v>8179.64</v>
      </c>
      <c r="E46" s="49">
        <f>SUMIFS('1月份挂账'!$P:$P,'1月份挂账'!$R:$R,$A46)-SUMIFS('1月份挂账'!$O:$O,'1月份挂账'!$R:$R,$A46)</f>
        <v>5706.73</v>
      </c>
      <c r="F46" s="50">
        <f t="shared" si="0"/>
        <v>8179.64</v>
      </c>
      <c r="G46" s="50"/>
      <c r="H46" s="49">
        <f>F46/10000</f>
        <v>0.817964</v>
      </c>
      <c r="I46" s="56">
        <f>F46</f>
        <v>8179.64</v>
      </c>
      <c r="J46" s="57">
        <v>8179.64</v>
      </c>
      <c r="K46" s="58">
        <f t="shared" si="9"/>
        <v>0</v>
      </c>
      <c r="L46" s="39">
        <f t="shared" si="11"/>
        <v>8179.64</v>
      </c>
      <c r="P46" s="39">
        <f t="shared" si="5"/>
        <v>8179.64</v>
      </c>
      <c r="Q46" s="39">
        <f t="shared" si="6"/>
        <v>0</v>
      </c>
    </row>
    <row r="47" customHeight="1" spans="1:17">
      <c r="A47" s="48" t="s">
        <v>408</v>
      </c>
      <c r="B47" s="49">
        <f>_xlfn.XLOOKUP(A47,'1月份科目余额（2.25导出）'!D:D,'1月份科目余额（2.25导出）'!O:O,0)</f>
        <v>14278.43</v>
      </c>
      <c r="C47" s="49">
        <v>0</v>
      </c>
      <c r="D47" s="49">
        <v>0</v>
      </c>
      <c r="E47" s="49">
        <f>SUMIFS('1月份挂账'!$P:$P,'1月份挂账'!$R:$R,$A47)-SUMIFS('1月份挂账'!$O:$O,'1月份挂账'!$R:$R,$A47)</f>
        <v>0</v>
      </c>
      <c r="F47" s="50">
        <f t="shared" si="0"/>
        <v>14278.43</v>
      </c>
      <c r="G47" s="50"/>
      <c r="H47" s="49"/>
      <c r="I47" s="54">
        <f>F47</f>
        <v>14278.43</v>
      </c>
      <c r="J47" s="57">
        <v>14278.43</v>
      </c>
      <c r="K47" s="58">
        <f t="shared" si="9"/>
        <v>0</v>
      </c>
      <c r="L47" s="39">
        <f t="shared" si="11"/>
        <v>14278.43</v>
      </c>
      <c r="P47" s="39">
        <f t="shared" si="5"/>
        <v>14278.43</v>
      </c>
      <c r="Q47" s="39">
        <f t="shared" si="6"/>
        <v>0</v>
      </c>
    </row>
    <row r="48" customHeight="1" spans="1:17">
      <c r="A48" s="48" t="s">
        <v>276</v>
      </c>
      <c r="B48" s="49">
        <f>_xlfn.XLOOKUP(A48,'1月份科目余额（2.25导出）'!D:D,'1月份科目余额（2.25导出）'!O:O,0)</f>
        <v>38188.24</v>
      </c>
      <c r="C48" s="49">
        <v>0</v>
      </c>
      <c r="D48" s="49">
        <v>0</v>
      </c>
      <c r="E48" s="49">
        <f>SUMIFS('1月份挂账'!$P:$P,'1月份挂账'!$R:$R,$A48)-SUMIFS('1月份挂账'!$O:$O,'1月份挂账'!$R:$R,$A48)</f>
        <v>0</v>
      </c>
      <c r="F48" s="50">
        <f t="shared" si="0"/>
        <v>38188.24</v>
      </c>
      <c r="G48" s="50"/>
      <c r="H48" s="49"/>
      <c r="I48" s="56"/>
      <c r="J48" s="57"/>
      <c r="K48" s="58">
        <f t="shared" si="9"/>
        <v>0</v>
      </c>
      <c r="L48" s="39">
        <f t="shared" si="11"/>
        <v>0</v>
      </c>
      <c r="P48" s="39">
        <f t="shared" si="5"/>
        <v>0</v>
      </c>
      <c r="Q48" s="39">
        <f t="shared" si="6"/>
        <v>0</v>
      </c>
    </row>
    <row r="49" customHeight="1" spans="1:17">
      <c r="A49" s="53" t="s">
        <v>303</v>
      </c>
      <c r="B49" s="49">
        <f>_xlfn.XLOOKUP(A49,'1月份科目余额（2.25导出）'!D:D,'1月份科目余额（2.25导出）'!O:O,0)</f>
        <v>394240</v>
      </c>
      <c r="C49" s="49">
        <v>376656</v>
      </c>
      <c r="D49" s="49">
        <v>0</v>
      </c>
      <c r="E49" s="49">
        <f>SUMIFS('1月份挂账'!$P:$P,'1月份挂账'!$R:$R,$A49)-SUMIFS('1月份挂账'!$O:$O,'1月份挂账'!$R:$R,$A49)</f>
        <v>394240</v>
      </c>
      <c r="F49" s="50">
        <f t="shared" si="0"/>
        <v>0</v>
      </c>
      <c r="G49" s="50"/>
      <c r="H49" s="49">
        <f>F49/10000</f>
        <v>0</v>
      </c>
      <c r="I49" s="56"/>
      <c r="J49" s="57"/>
      <c r="K49" s="58">
        <f t="shared" si="9"/>
        <v>0</v>
      </c>
      <c r="L49" s="39">
        <f t="shared" si="11"/>
        <v>0</v>
      </c>
      <c r="N49" s="44">
        <f>B49</f>
        <v>394240</v>
      </c>
      <c r="P49" s="39">
        <f t="shared" si="5"/>
        <v>394240</v>
      </c>
      <c r="Q49" s="39">
        <f t="shared" si="6"/>
        <v>0</v>
      </c>
    </row>
    <row r="50" customHeight="1" spans="1:17">
      <c r="A50" s="48" t="s">
        <v>277</v>
      </c>
      <c r="B50" s="49">
        <f>_xlfn.XLOOKUP(A50,'1月份科目余额（2.25导出）'!D:D,'1月份科目余额（2.25导出）'!O:O,0)</f>
        <v>0</v>
      </c>
      <c r="C50" s="49">
        <v>483184.09</v>
      </c>
      <c r="D50" s="49">
        <v>568596.23</v>
      </c>
      <c r="E50" s="49">
        <f>SUMIFS('1月份挂账'!$P:$P,'1月份挂账'!$R:$R,$A50)-SUMIFS('1月份挂账'!$O:$O,'1月份挂账'!$R:$R,$A50)</f>
        <v>513493.75</v>
      </c>
      <c r="F50" s="50">
        <f t="shared" si="0"/>
        <v>0</v>
      </c>
      <c r="G50" s="50"/>
      <c r="H50" s="49">
        <f>F50/10000</f>
        <v>0</v>
      </c>
      <c r="I50" s="56"/>
      <c r="J50" s="57"/>
      <c r="K50" s="58">
        <f t="shared" si="9"/>
        <v>0</v>
      </c>
      <c r="L50" s="39">
        <f t="shared" si="11"/>
        <v>0</v>
      </c>
      <c r="P50" s="39">
        <f t="shared" si="5"/>
        <v>0</v>
      </c>
      <c r="Q50" s="39">
        <f t="shared" si="6"/>
        <v>0</v>
      </c>
    </row>
    <row r="51" customHeight="1" spans="1:17">
      <c r="A51" s="48" t="s">
        <v>304</v>
      </c>
      <c r="B51" s="49">
        <f>_xlfn.XLOOKUP(A51,'1月份科目余额（2.25导出）'!D:D,'1月份科目余额（2.25导出）'!O:O,0)</f>
        <v>31814.02</v>
      </c>
      <c r="C51" s="49">
        <v>0</v>
      </c>
      <c r="D51" s="49">
        <v>31814.02</v>
      </c>
      <c r="E51" s="49">
        <f>SUMIFS('1月份挂账'!$P:$P,'1月份挂账'!$R:$R,$A51)-SUMIFS('1月份挂账'!$O:$O,'1月份挂账'!$R:$R,$A51)</f>
        <v>0</v>
      </c>
      <c r="F51" s="50">
        <f t="shared" si="0"/>
        <v>31814.02</v>
      </c>
      <c r="G51" s="50"/>
      <c r="H51" s="49">
        <f>F51/10000</f>
        <v>3.181402</v>
      </c>
      <c r="I51" s="56">
        <f>F51</f>
        <v>31814.02</v>
      </c>
      <c r="J51" s="57">
        <v>31814.02</v>
      </c>
      <c r="K51" s="58">
        <f t="shared" si="9"/>
        <v>0</v>
      </c>
      <c r="L51" s="39">
        <f t="shared" si="11"/>
        <v>31814.02</v>
      </c>
      <c r="P51" s="39">
        <f t="shared" si="5"/>
        <v>31814.02</v>
      </c>
      <c r="Q51" s="39">
        <f t="shared" si="6"/>
        <v>0</v>
      </c>
    </row>
    <row r="52" customHeight="1" spans="1:17">
      <c r="A52" s="48" t="s">
        <v>305</v>
      </c>
      <c r="B52" s="49">
        <f>_xlfn.XLOOKUP(A52,'1月份科目余额（2.25导出）'!D:D,'1月份科目余额（2.25导出）'!O:O,0)</f>
        <v>0</v>
      </c>
      <c r="C52" s="49">
        <v>5796.9</v>
      </c>
      <c r="D52" s="49">
        <v>0</v>
      </c>
      <c r="E52" s="49">
        <f>SUMIFS('1月份挂账'!$P:$P,'1月份挂账'!$R:$R,$A52)-SUMIFS('1月份挂账'!$O:$O,'1月份挂账'!$R:$R,$A52)</f>
        <v>0</v>
      </c>
      <c r="F52" s="50">
        <f t="shared" si="0"/>
        <v>0</v>
      </c>
      <c r="G52" s="50"/>
      <c r="H52" s="49">
        <f>F52/10000</f>
        <v>0</v>
      </c>
      <c r="I52" s="56"/>
      <c r="J52" s="57"/>
      <c r="K52" s="58">
        <f t="shared" si="9"/>
        <v>0</v>
      </c>
      <c r="L52" s="39">
        <f t="shared" si="11"/>
        <v>0</v>
      </c>
      <c r="P52" s="39">
        <f t="shared" si="5"/>
        <v>0</v>
      </c>
      <c r="Q52" s="39">
        <f t="shared" si="6"/>
        <v>0</v>
      </c>
    </row>
    <row r="53" customHeight="1" spans="1:17">
      <c r="A53" s="48" t="s">
        <v>409</v>
      </c>
      <c r="B53" s="49">
        <f>_xlfn.XLOOKUP(A53,'1月份科目余额（2.25导出）'!D:D,'1月份科目余额（2.25导出）'!O:O,0)</f>
        <v>24590.72</v>
      </c>
      <c r="C53" s="49">
        <v>0</v>
      </c>
      <c r="D53" s="49">
        <v>0</v>
      </c>
      <c r="E53" s="49">
        <f>SUMIFS('1月份挂账'!$P:$P,'1月份挂账'!$R:$R,$A53)-SUMIFS('1月份挂账'!$O:$O,'1月份挂账'!$R:$R,$A53)</f>
        <v>0</v>
      </c>
      <c r="F53" s="50">
        <f t="shared" si="0"/>
        <v>24590.72</v>
      </c>
      <c r="G53" s="50"/>
      <c r="H53" s="49"/>
      <c r="I53" s="56">
        <f>F53</f>
        <v>24590.72</v>
      </c>
      <c r="J53" s="57">
        <v>24590.72</v>
      </c>
      <c r="K53" s="58">
        <f t="shared" si="9"/>
        <v>0</v>
      </c>
      <c r="L53" s="39">
        <f t="shared" si="11"/>
        <v>24590.72</v>
      </c>
      <c r="P53" s="39">
        <f t="shared" si="5"/>
        <v>24590.72</v>
      </c>
      <c r="Q53" s="39">
        <f t="shared" si="6"/>
        <v>0</v>
      </c>
    </row>
    <row r="54" customHeight="1" spans="1:17">
      <c r="A54" s="48" t="s">
        <v>410</v>
      </c>
      <c r="B54" s="49">
        <f>_xlfn.XLOOKUP(A54,'1月份科目余额（2.25导出）'!D:D,'1月份科目余额（2.25导出）'!O:O,0)</f>
        <v>34880</v>
      </c>
      <c r="C54" s="49">
        <v>0</v>
      </c>
      <c r="D54" s="49">
        <v>0</v>
      </c>
      <c r="E54" s="49">
        <f>SUMIFS('1月份挂账'!$P:$P,'1月份挂账'!$R:$R,$A54)-SUMIFS('1月份挂账'!$O:$O,'1月份挂账'!$R:$R,$A54)</f>
        <v>0</v>
      </c>
      <c r="F54" s="50">
        <f t="shared" si="0"/>
        <v>34880</v>
      </c>
      <c r="G54" s="50"/>
      <c r="H54" s="49"/>
      <c r="I54" s="56">
        <f>F54</f>
        <v>34880</v>
      </c>
      <c r="J54" s="57">
        <v>34880</v>
      </c>
      <c r="K54" s="58">
        <f t="shared" si="9"/>
        <v>0</v>
      </c>
      <c r="L54" s="39">
        <f t="shared" si="11"/>
        <v>34880</v>
      </c>
      <c r="P54" s="39">
        <f t="shared" si="5"/>
        <v>34880</v>
      </c>
      <c r="Q54" s="39">
        <f t="shared" si="6"/>
        <v>0</v>
      </c>
    </row>
    <row r="55" customHeight="1" spans="1:17">
      <c r="A55" s="48" t="s">
        <v>411</v>
      </c>
      <c r="B55" s="49">
        <f>_xlfn.XLOOKUP(A55,'1月份科目余额（2.25导出）'!D:D,'1月份科目余额（2.25导出）'!O:O,0)</f>
        <v>0</v>
      </c>
      <c r="C55" s="49">
        <v>0</v>
      </c>
      <c r="D55" s="49">
        <v>0</v>
      </c>
      <c r="E55" s="49">
        <f>SUMIFS('1月份挂账'!$P:$P,'1月份挂账'!$R:$R,$A55)-SUMIFS('1月份挂账'!$O:$O,'1月份挂账'!$R:$R,$A55)</f>
        <v>0</v>
      </c>
      <c r="F55" s="50">
        <f t="shared" si="0"/>
        <v>0</v>
      </c>
      <c r="G55" s="50"/>
      <c r="H55" s="49">
        <f>F55/10000</f>
        <v>0</v>
      </c>
      <c r="I55" s="56"/>
      <c r="J55" s="57"/>
      <c r="K55" s="58">
        <f t="shared" si="9"/>
        <v>0</v>
      </c>
      <c r="L55" s="39">
        <f t="shared" si="11"/>
        <v>0</v>
      </c>
      <c r="P55" s="39">
        <f t="shared" si="5"/>
        <v>0</v>
      </c>
      <c r="Q55" s="39">
        <f t="shared" si="6"/>
        <v>0</v>
      </c>
    </row>
    <row r="56" customHeight="1" spans="1:17">
      <c r="A56" s="48" t="s">
        <v>278</v>
      </c>
      <c r="B56" s="49">
        <f>_xlfn.XLOOKUP(A56,'1月份科目余额（2.25导出）'!D:D,'1月份科目余额（2.25导出）'!O:O,0)</f>
        <v>10558.72</v>
      </c>
      <c r="C56" s="49">
        <v>9898.8</v>
      </c>
      <c r="D56" s="49">
        <v>9898.8</v>
      </c>
      <c r="E56" s="49">
        <f>SUMIFS('1月份挂账'!$P:$P,'1月份挂账'!$R:$R,$A56)-SUMIFS('1月份挂账'!$O:$O,'1月份挂账'!$R:$R,$A56)</f>
        <v>10558.72</v>
      </c>
      <c r="F56" s="50">
        <f t="shared" si="0"/>
        <v>0</v>
      </c>
      <c r="G56" s="50"/>
      <c r="H56" s="49">
        <f>F56/10000</f>
        <v>0</v>
      </c>
      <c r="I56" s="56">
        <f>B56</f>
        <v>10558.72</v>
      </c>
      <c r="J56" s="57">
        <v>10558.72</v>
      </c>
      <c r="K56" s="58">
        <f t="shared" si="9"/>
        <v>0</v>
      </c>
      <c r="L56" s="39">
        <f t="shared" si="11"/>
        <v>10558.72</v>
      </c>
      <c r="P56" s="39">
        <f t="shared" si="5"/>
        <v>10558.72</v>
      </c>
      <c r="Q56" s="39">
        <f t="shared" si="6"/>
        <v>0</v>
      </c>
    </row>
    <row r="57" customHeight="1" spans="1:17">
      <c r="A57" s="48" t="s">
        <v>412</v>
      </c>
      <c r="B57" s="49">
        <f>_xlfn.XLOOKUP(A57,'1月份科目余额（2.25导出）'!D:D,'1月份科目余额（2.25导出）'!O:O,0)</f>
        <v>10750.82</v>
      </c>
      <c r="C57" s="49">
        <v>2406.9</v>
      </c>
      <c r="D57" s="49">
        <v>3209.2</v>
      </c>
      <c r="E57" s="49">
        <f>SUMIFS('1月份挂账'!$P:$P,'1月份挂账'!$R:$R,$A57)-SUMIFS('1月份挂账'!$O:$O,'1月份挂账'!$R:$R,$A57)</f>
        <v>7541.62</v>
      </c>
      <c r="F57" s="50">
        <f t="shared" si="0"/>
        <v>3209.2</v>
      </c>
      <c r="G57" s="50"/>
      <c r="H57" s="49">
        <f>F57/10000</f>
        <v>0.32092</v>
      </c>
      <c r="I57" s="56">
        <f>B57</f>
        <v>10750.82</v>
      </c>
      <c r="J57" s="57">
        <v>10750.82</v>
      </c>
      <c r="K57" s="58">
        <f t="shared" si="9"/>
        <v>0</v>
      </c>
      <c r="L57" s="39">
        <f t="shared" si="11"/>
        <v>10750.82</v>
      </c>
      <c r="P57" s="39">
        <f t="shared" si="5"/>
        <v>10750.82</v>
      </c>
      <c r="Q57" s="39">
        <f t="shared" si="6"/>
        <v>0</v>
      </c>
    </row>
    <row r="58" customHeight="1" spans="1:17">
      <c r="A58" s="48" t="s">
        <v>306</v>
      </c>
      <c r="B58" s="49">
        <f>_xlfn.XLOOKUP(A58,'1月份科目余额（2.25导出）'!D:D,'1月份科目余额（2.25导出）'!O:O,0)</f>
        <v>69770.72</v>
      </c>
      <c r="C58" s="49">
        <v>32793.73</v>
      </c>
      <c r="D58" s="49">
        <v>7299.8</v>
      </c>
      <c r="E58" s="49">
        <f>SUMIFS('1月份挂账'!$P:$P,'1月份挂账'!$R:$R,$A58)-SUMIFS('1月份挂账'!$O:$O,'1月份挂账'!$R:$R,$A58)</f>
        <v>62470.92</v>
      </c>
      <c r="F58" s="50">
        <f t="shared" si="0"/>
        <v>7299.8</v>
      </c>
      <c r="G58" s="50"/>
      <c r="H58" s="49"/>
      <c r="I58" s="56">
        <f>F58</f>
        <v>7299.8</v>
      </c>
      <c r="J58" s="57">
        <v>7299.8</v>
      </c>
      <c r="K58" s="58">
        <f t="shared" si="9"/>
        <v>0</v>
      </c>
      <c r="P58" s="39">
        <f t="shared" si="5"/>
        <v>0</v>
      </c>
      <c r="Q58" s="39">
        <f t="shared" si="6"/>
        <v>0</v>
      </c>
    </row>
    <row r="59" customHeight="1" spans="1:17">
      <c r="A59" s="48" t="s">
        <v>279</v>
      </c>
      <c r="B59" s="49">
        <f>_xlfn.XLOOKUP(A59,'1月份科目余额（2.25导出）'!D:D,'1月份科目余额（2.25导出）'!O:O,0)</f>
        <v>13932.9</v>
      </c>
      <c r="C59" s="49">
        <v>0</v>
      </c>
      <c r="D59" s="49">
        <v>0</v>
      </c>
      <c r="E59" s="49">
        <f>SUMIFS('1月份挂账'!$P:$P,'1月份挂账'!$R:$R,$A59)-SUMIFS('1月份挂账'!$O:$O,'1月份挂账'!$R:$R,$A59)</f>
        <v>0</v>
      </c>
      <c r="F59" s="50">
        <f t="shared" si="0"/>
        <v>13932.9</v>
      </c>
      <c r="G59" s="50"/>
      <c r="H59" s="49"/>
      <c r="I59" s="56"/>
      <c r="J59" s="57"/>
      <c r="K59" s="58">
        <f t="shared" si="9"/>
        <v>0</v>
      </c>
      <c r="L59" s="39">
        <f t="shared" ref="L59:L67" si="12">J59</f>
        <v>0</v>
      </c>
      <c r="P59" s="39">
        <f t="shared" si="5"/>
        <v>0</v>
      </c>
      <c r="Q59" s="39">
        <f t="shared" si="6"/>
        <v>0</v>
      </c>
    </row>
    <row r="60" customHeight="1" spans="1:17">
      <c r="A60" s="48" t="s">
        <v>280</v>
      </c>
      <c r="B60" s="49">
        <f>_xlfn.XLOOKUP(A60,'1月份科目余额（2.25导出）'!D:D,'1月份科目余额（2.25导出）'!O:O,0)</f>
        <v>168822</v>
      </c>
      <c r="C60" s="49">
        <v>76107.76</v>
      </c>
      <c r="D60" s="49">
        <v>56497.74</v>
      </c>
      <c r="E60" s="49">
        <f>SUMIFS('1月份挂账'!$P:$P,'1月份挂账'!$R:$R,$A60)-SUMIFS('1月份挂账'!$O:$O,'1月份挂账'!$R:$R,$A60)</f>
        <v>36216.5</v>
      </c>
      <c r="F60" s="50">
        <f t="shared" si="0"/>
        <v>132605.5</v>
      </c>
      <c r="G60" s="50"/>
      <c r="H60" s="49">
        <f t="shared" ref="H60:H82" si="13">F60/10000</f>
        <v>13.26055</v>
      </c>
      <c r="I60" s="56">
        <f>F60</f>
        <v>132605.5</v>
      </c>
      <c r="J60" s="57"/>
      <c r="K60" s="58">
        <f t="shared" si="9"/>
        <v>132605.5</v>
      </c>
      <c r="L60" s="39">
        <f t="shared" si="12"/>
        <v>0</v>
      </c>
      <c r="P60" s="39">
        <f t="shared" si="5"/>
        <v>0</v>
      </c>
      <c r="Q60" s="39">
        <f t="shared" si="6"/>
        <v>0</v>
      </c>
    </row>
    <row r="61" customHeight="1" spans="1:17">
      <c r="A61" s="48" t="s">
        <v>307</v>
      </c>
      <c r="B61" s="49">
        <f>_xlfn.XLOOKUP(A61,'1月份科目余额（2.25导出）'!D:D,'1月份科目余额（2.25导出）'!O:O,0)</f>
        <v>29590.85</v>
      </c>
      <c r="C61" s="49">
        <v>4920.59</v>
      </c>
      <c r="D61" s="49">
        <v>11343.67</v>
      </c>
      <c r="E61" s="49">
        <f>SUMIFS('1月份挂账'!$P:$P,'1月份挂账'!$R:$R,$A61)-SUMIFS('1月份挂账'!$O:$O,'1月份挂账'!$R:$R,$A61)</f>
        <v>13326.59</v>
      </c>
      <c r="F61" s="50">
        <f t="shared" si="0"/>
        <v>16264.26</v>
      </c>
      <c r="G61" s="50"/>
      <c r="H61" s="49">
        <f t="shared" si="13"/>
        <v>1.626426</v>
      </c>
      <c r="I61" s="56">
        <f>F61</f>
        <v>16264.26</v>
      </c>
      <c r="J61" s="57">
        <v>16264.26</v>
      </c>
      <c r="K61" s="58">
        <f t="shared" si="9"/>
        <v>0</v>
      </c>
      <c r="L61" s="39">
        <f t="shared" si="12"/>
        <v>16264.26</v>
      </c>
      <c r="P61" s="39">
        <f t="shared" si="5"/>
        <v>16264.26</v>
      </c>
      <c r="Q61" s="39">
        <f t="shared" si="6"/>
        <v>0</v>
      </c>
    </row>
    <row r="62" customHeight="1" spans="1:17">
      <c r="A62" s="48" t="s">
        <v>308</v>
      </c>
      <c r="B62" s="49">
        <f>_xlfn.XLOOKUP(A62,'1月份科目余额（2.25导出）'!D:D,'1月份科目余额（2.25导出）'!O:O,0)</f>
        <v>22943.52</v>
      </c>
      <c r="C62" s="49">
        <v>0</v>
      </c>
      <c r="D62" s="49">
        <v>22943.52</v>
      </c>
      <c r="E62" s="49">
        <f>SUMIFS('1月份挂账'!$P:$P,'1月份挂账'!$R:$R,$A62)-SUMIFS('1月份挂账'!$O:$O,'1月份挂账'!$R:$R,$A62)</f>
        <v>0</v>
      </c>
      <c r="F62" s="50">
        <f t="shared" si="0"/>
        <v>22943.52</v>
      </c>
      <c r="G62" s="50"/>
      <c r="H62" s="49">
        <f t="shared" si="13"/>
        <v>2.294352</v>
      </c>
      <c r="I62" s="56">
        <f>F62</f>
        <v>22943.52</v>
      </c>
      <c r="J62" s="57">
        <v>22943.52</v>
      </c>
      <c r="K62" s="58">
        <f t="shared" si="9"/>
        <v>0</v>
      </c>
      <c r="L62" s="39">
        <f t="shared" si="12"/>
        <v>22943.52</v>
      </c>
      <c r="P62" s="39">
        <f t="shared" si="5"/>
        <v>22943.52</v>
      </c>
      <c r="Q62" s="39">
        <f t="shared" si="6"/>
        <v>0</v>
      </c>
    </row>
    <row r="63" customHeight="1" spans="1:17">
      <c r="A63" s="48" t="s">
        <v>309</v>
      </c>
      <c r="B63" s="49">
        <f>_xlfn.XLOOKUP(A63,'1月份科目余额（2.25导出）'!D:D,'1月份科目余额（2.25导出）'!O:O,0)</f>
        <v>3245.36</v>
      </c>
      <c r="C63" s="49">
        <v>3245.36</v>
      </c>
      <c r="D63" s="49">
        <v>0</v>
      </c>
      <c r="E63" s="49">
        <f>SUMIFS('1月份挂账'!$P:$P,'1月份挂账'!$R:$R,$A63)-SUMIFS('1月份挂账'!$O:$O,'1月份挂账'!$R:$R,$A63)</f>
        <v>0</v>
      </c>
      <c r="F63" s="50">
        <f t="shared" si="0"/>
        <v>3245.36</v>
      </c>
      <c r="G63" s="50"/>
      <c r="H63" s="49">
        <f t="shared" si="13"/>
        <v>0.324536</v>
      </c>
      <c r="I63" s="56">
        <f>F63</f>
        <v>3245.36</v>
      </c>
      <c r="J63" s="57">
        <v>3245.36</v>
      </c>
      <c r="K63" s="58">
        <f t="shared" si="9"/>
        <v>0</v>
      </c>
      <c r="L63" s="39">
        <f t="shared" si="12"/>
        <v>3245.36</v>
      </c>
      <c r="P63" s="39">
        <f t="shared" si="5"/>
        <v>3245.36</v>
      </c>
      <c r="Q63" s="39">
        <f t="shared" si="6"/>
        <v>0</v>
      </c>
    </row>
    <row r="64" customHeight="1" spans="1:17">
      <c r="A64" s="48" t="s">
        <v>281</v>
      </c>
      <c r="B64" s="49">
        <f>_xlfn.XLOOKUP(A64,'1月份科目余额（2.25导出）'!D:D,'1月份科目余额（2.25导出）'!O:O,0)</f>
        <v>28728</v>
      </c>
      <c r="C64" s="49">
        <v>9576</v>
      </c>
      <c r="D64" s="49">
        <v>9576</v>
      </c>
      <c r="E64" s="49">
        <f>SUMIFS('1月份挂账'!$P:$P,'1月份挂账'!$R:$R,$A64)-SUMIFS('1月份挂账'!$O:$O,'1月份挂账'!$R:$R,$A64)</f>
        <v>9576</v>
      </c>
      <c r="F64" s="50">
        <f t="shared" si="0"/>
        <v>19152</v>
      </c>
      <c r="G64" s="50"/>
      <c r="H64" s="49">
        <f t="shared" si="13"/>
        <v>1.9152</v>
      </c>
      <c r="I64" s="56">
        <f>B64</f>
        <v>28728</v>
      </c>
      <c r="J64" s="57">
        <v>28728</v>
      </c>
      <c r="K64" s="58">
        <f t="shared" si="9"/>
        <v>0</v>
      </c>
      <c r="L64" s="39">
        <f t="shared" si="12"/>
        <v>28728</v>
      </c>
      <c r="P64" s="39">
        <f t="shared" si="5"/>
        <v>28728</v>
      </c>
      <c r="Q64" s="39">
        <f t="shared" si="6"/>
        <v>0</v>
      </c>
    </row>
    <row r="65" customHeight="1" spans="1:17">
      <c r="A65" s="48" t="s">
        <v>282</v>
      </c>
      <c r="B65" s="49">
        <f>_xlfn.XLOOKUP(A65,'1月份科目余额（2.25导出）'!D:D,'1月份科目余额（2.25导出）'!O:O,0)</f>
        <v>85600</v>
      </c>
      <c r="C65" s="49">
        <v>84750</v>
      </c>
      <c r="D65" s="49">
        <v>0</v>
      </c>
      <c r="E65" s="49">
        <f>SUMIFS('1月份挂账'!$P:$P,'1月份挂账'!$R:$R,$A65)-SUMIFS('1月份挂账'!$O:$O,'1月份挂账'!$R:$R,$A65)</f>
        <v>0</v>
      </c>
      <c r="F65" s="50">
        <f t="shared" si="0"/>
        <v>85600</v>
      </c>
      <c r="G65" s="50"/>
      <c r="H65" s="49">
        <f t="shared" si="13"/>
        <v>8.56</v>
      </c>
      <c r="I65" s="56">
        <f>F65</f>
        <v>85600</v>
      </c>
      <c r="J65" s="57">
        <v>85600</v>
      </c>
      <c r="K65" s="58">
        <f t="shared" si="9"/>
        <v>0</v>
      </c>
      <c r="L65" s="39">
        <f t="shared" si="12"/>
        <v>85600</v>
      </c>
      <c r="P65" s="39">
        <f t="shared" si="5"/>
        <v>85600</v>
      </c>
      <c r="Q65" s="39">
        <f t="shared" si="6"/>
        <v>0</v>
      </c>
    </row>
    <row r="66" customHeight="1" spans="1:17">
      <c r="A66" s="48" t="s">
        <v>310</v>
      </c>
      <c r="B66" s="49">
        <f>_xlfn.XLOOKUP(A66,'1月份科目余额（2.25导出）'!D:D,'1月份科目余额（2.25导出）'!O:O,0)</f>
        <v>0</v>
      </c>
      <c r="C66" s="49">
        <v>0</v>
      </c>
      <c r="D66" s="49">
        <v>0</v>
      </c>
      <c r="E66" s="49">
        <f>SUMIFS('1月份挂账'!$P:$P,'1月份挂账'!$R:$R,$A66)-SUMIFS('1月份挂账'!$O:$O,'1月份挂账'!$R:$R,$A66)</f>
        <v>0</v>
      </c>
      <c r="F66" s="50">
        <f t="shared" si="0"/>
        <v>0</v>
      </c>
      <c r="G66" s="50"/>
      <c r="H66" s="49">
        <f t="shared" si="13"/>
        <v>0</v>
      </c>
      <c r="I66" s="56"/>
      <c r="J66" s="57"/>
      <c r="K66" s="58">
        <f t="shared" si="9"/>
        <v>0</v>
      </c>
      <c r="L66" s="39">
        <f t="shared" si="12"/>
        <v>0</v>
      </c>
      <c r="P66" s="39">
        <f t="shared" si="5"/>
        <v>0</v>
      </c>
      <c r="Q66" s="39">
        <f t="shared" si="6"/>
        <v>0</v>
      </c>
    </row>
    <row r="67" customHeight="1" spans="1:17">
      <c r="A67" s="48" t="s">
        <v>311</v>
      </c>
      <c r="B67" s="49">
        <f>_xlfn.XLOOKUP(A67,'1月份科目余额（2.25导出）'!D:D,'1月份科目余额（2.25导出）'!O:O,0)</f>
        <v>88818.1</v>
      </c>
      <c r="C67" s="49">
        <v>0</v>
      </c>
      <c r="D67" s="49">
        <v>0</v>
      </c>
      <c r="E67" s="49">
        <f>SUMIFS('1月份挂账'!$P:$P,'1月份挂账'!$R:$R,$A67)-SUMIFS('1月份挂账'!$O:$O,'1月份挂账'!$R:$R,$A67)</f>
        <v>88818</v>
      </c>
      <c r="F67" s="50">
        <f t="shared" si="0"/>
        <v>0.100000000005821</v>
      </c>
      <c r="G67" s="50"/>
      <c r="H67" s="49">
        <f t="shared" si="13"/>
        <v>1.00000000005821e-5</v>
      </c>
      <c r="I67" s="56"/>
      <c r="J67" s="57"/>
      <c r="K67" s="58">
        <f t="shared" si="9"/>
        <v>0</v>
      </c>
      <c r="L67" s="39">
        <f t="shared" si="12"/>
        <v>0</v>
      </c>
      <c r="P67" s="39">
        <f t="shared" si="5"/>
        <v>0</v>
      </c>
      <c r="Q67" s="39">
        <f t="shared" si="6"/>
        <v>0</v>
      </c>
    </row>
    <row r="68" customHeight="1" spans="1:17">
      <c r="A68" s="48" t="s">
        <v>283</v>
      </c>
      <c r="B68" s="49">
        <f>_xlfn.XLOOKUP(A68,'1月份科目余额（2.25导出）'!D:D,'1月份科目余额（2.25导出）'!O:O,0)</f>
        <v>17289</v>
      </c>
      <c r="C68" s="49">
        <v>0</v>
      </c>
      <c r="D68" s="49">
        <v>8644.5</v>
      </c>
      <c r="E68" s="49">
        <f>SUMIFS('1月份挂账'!$P:$P,'1月份挂账'!$R:$R,$A68)-SUMIFS('1月份挂账'!$O:$O,'1月份挂账'!$R:$R,$A68)</f>
        <v>8644.5</v>
      </c>
      <c r="F68" s="50">
        <f t="shared" ref="F68:F82" si="14">IF((B68-E68)&gt;0,B68-E68,0)</f>
        <v>8644.5</v>
      </c>
      <c r="G68" s="50"/>
      <c r="H68" s="49">
        <f t="shared" si="13"/>
        <v>0.86445</v>
      </c>
      <c r="I68" s="56">
        <f>F68</f>
        <v>8644.5</v>
      </c>
      <c r="J68" s="57">
        <v>8644.5</v>
      </c>
      <c r="K68" s="58">
        <f t="shared" si="9"/>
        <v>0</v>
      </c>
      <c r="M68" s="39">
        <f>I68</f>
        <v>8644.5</v>
      </c>
      <c r="P68" s="39">
        <f t="shared" ref="P68:P82" si="15">L68+N68</f>
        <v>0</v>
      </c>
      <c r="Q68" s="39">
        <f t="shared" ref="Q68:Q82" si="16">M68+O68</f>
        <v>8644.5</v>
      </c>
    </row>
    <row r="69" customHeight="1" spans="1:17">
      <c r="A69" s="48" t="s">
        <v>413</v>
      </c>
      <c r="B69" s="49">
        <f>_xlfn.XLOOKUP(A69,'1月份科目余额（2.25导出）'!D:D,'1月份科目余额（2.25导出）'!O:O,0)</f>
        <v>0</v>
      </c>
      <c r="C69" s="49"/>
      <c r="D69" s="49">
        <v>2892.8</v>
      </c>
      <c r="E69" s="49">
        <f>SUMIFS('1月份挂账'!$P:$P,'1月份挂账'!$R:$R,$A69)-SUMIFS('1月份挂账'!$O:$O,'1月份挂账'!$R:$R,$A69)</f>
        <v>0</v>
      </c>
      <c r="F69" s="50">
        <f t="shared" si="14"/>
        <v>0</v>
      </c>
      <c r="G69" s="50"/>
      <c r="H69" s="49">
        <f t="shared" si="13"/>
        <v>0</v>
      </c>
      <c r="I69" s="56"/>
      <c r="J69" s="57"/>
      <c r="K69" s="58">
        <f t="shared" si="9"/>
        <v>0</v>
      </c>
      <c r="L69" s="39">
        <f t="shared" ref="L69:L74" si="17">J69</f>
        <v>0</v>
      </c>
      <c r="P69" s="39">
        <f t="shared" si="15"/>
        <v>0</v>
      </c>
      <c r="Q69" s="39">
        <f t="shared" si="16"/>
        <v>0</v>
      </c>
    </row>
    <row r="70" customHeight="1" spans="1:17">
      <c r="A70" s="48" t="s">
        <v>414</v>
      </c>
      <c r="B70" s="49">
        <f>_xlfn.XLOOKUP(A70,'1月份科目余额（2.25导出）'!D:D,'1月份科目余额（2.25导出）'!O:O,0)</f>
        <v>0</v>
      </c>
      <c r="C70" s="49"/>
      <c r="D70" s="49">
        <v>1762.8</v>
      </c>
      <c r="E70" s="49">
        <f>SUMIFS('1月份挂账'!$P:$P,'1月份挂账'!$R:$R,$A70)-SUMIFS('1月份挂账'!$O:$O,'1月份挂账'!$R:$R,$A70)</f>
        <v>0</v>
      </c>
      <c r="F70" s="50">
        <f t="shared" si="14"/>
        <v>0</v>
      </c>
      <c r="G70" s="50"/>
      <c r="H70" s="49">
        <f t="shared" si="13"/>
        <v>0</v>
      </c>
      <c r="I70" s="56"/>
      <c r="J70" s="57"/>
      <c r="K70" s="58">
        <f t="shared" si="9"/>
        <v>0</v>
      </c>
      <c r="L70" s="39">
        <f t="shared" si="17"/>
        <v>0</v>
      </c>
      <c r="P70" s="39">
        <f t="shared" si="15"/>
        <v>0</v>
      </c>
      <c r="Q70" s="39">
        <f t="shared" si="16"/>
        <v>0</v>
      </c>
    </row>
    <row r="71" customHeight="1" spans="1:17">
      <c r="A71" s="48" t="s">
        <v>415</v>
      </c>
      <c r="B71" s="49">
        <f>_xlfn.XLOOKUP(A71,'1月份科目余额（2.25导出）'!D:D,'1月份科目余额（2.25导出）'!O:O,0)</f>
        <v>-46646.4</v>
      </c>
      <c r="C71" s="49"/>
      <c r="D71" s="49">
        <v>29154</v>
      </c>
      <c r="E71" s="49">
        <f>SUMIFS('1月份挂账'!$P:$P,'1月份挂账'!$R:$R,$A71)-SUMIFS('1月份挂账'!$O:$O,'1月份挂账'!$R:$R,$A71)</f>
        <v>0</v>
      </c>
      <c r="F71" s="50">
        <f t="shared" si="14"/>
        <v>0</v>
      </c>
      <c r="G71" s="50"/>
      <c r="H71" s="49">
        <f t="shared" si="13"/>
        <v>0</v>
      </c>
      <c r="I71" s="56"/>
      <c r="J71" s="57"/>
      <c r="K71" s="58">
        <f t="shared" si="9"/>
        <v>0</v>
      </c>
      <c r="L71" s="39">
        <f t="shared" si="17"/>
        <v>0</v>
      </c>
      <c r="P71" s="39">
        <f t="shared" si="15"/>
        <v>0</v>
      </c>
      <c r="Q71" s="39">
        <f t="shared" si="16"/>
        <v>0</v>
      </c>
    </row>
    <row r="72" customHeight="1" spans="1:17">
      <c r="A72" s="48" t="s">
        <v>416</v>
      </c>
      <c r="B72" s="49">
        <f>_xlfn.XLOOKUP(A72,'1月份科目余额（2.25导出）'!D:D,'1月份科目余额（2.25导出）'!O:O,0)</f>
        <v>0</v>
      </c>
      <c r="C72" s="49"/>
      <c r="D72" s="49">
        <v>18532</v>
      </c>
      <c r="E72" s="49">
        <f>SUMIFS('1月份挂账'!$P:$P,'1月份挂账'!$R:$R,$A72)-SUMIFS('1月份挂账'!$O:$O,'1月份挂账'!$R:$R,$A72)</f>
        <v>18532</v>
      </c>
      <c r="F72" s="50">
        <f t="shared" si="14"/>
        <v>0</v>
      </c>
      <c r="G72" s="50"/>
      <c r="H72" s="49">
        <f t="shared" si="13"/>
        <v>0</v>
      </c>
      <c r="I72" s="56"/>
      <c r="J72" s="57"/>
      <c r="K72" s="58">
        <f t="shared" si="9"/>
        <v>0</v>
      </c>
      <c r="L72" s="39">
        <f t="shared" si="17"/>
        <v>0</v>
      </c>
      <c r="P72" s="39">
        <f t="shared" si="15"/>
        <v>0</v>
      </c>
      <c r="Q72" s="39">
        <f t="shared" si="16"/>
        <v>0</v>
      </c>
    </row>
    <row r="73" customHeight="1" spans="1:17">
      <c r="A73" s="48" t="s">
        <v>312</v>
      </c>
      <c r="B73" s="49">
        <f>_xlfn.XLOOKUP(A73,'1月份科目余额（2.25导出）'!D:D,'1月份科目余额（2.25导出）'!O:O,0)</f>
        <v>-6040.98</v>
      </c>
      <c r="C73" s="49"/>
      <c r="D73" s="49">
        <v>4010.54</v>
      </c>
      <c r="E73" s="49">
        <f>SUMIFS('1月份挂账'!$P:$P,'1月份挂账'!$R:$R,$A73)-SUMIFS('1月份挂账'!$O:$O,'1月份挂账'!$R:$R,$A73)</f>
        <v>0</v>
      </c>
      <c r="F73" s="50">
        <f t="shared" si="14"/>
        <v>0</v>
      </c>
      <c r="G73" s="50"/>
      <c r="H73" s="49">
        <f t="shared" si="13"/>
        <v>0</v>
      </c>
      <c r="I73" s="56"/>
      <c r="J73" s="57"/>
      <c r="K73" s="58">
        <f t="shared" si="9"/>
        <v>0</v>
      </c>
      <c r="L73" s="39">
        <f t="shared" si="17"/>
        <v>0</v>
      </c>
      <c r="P73" s="39">
        <f t="shared" si="15"/>
        <v>0</v>
      </c>
      <c r="Q73" s="39">
        <f t="shared" si="16"/>
        <v>0</v>
      </c>
    </row>
    <row r="74" customHeight="1" spans="1:17">
      <c r="A74" s="48" t="s">
        <v>313</v>
      </c>
      <c r="B74" s="49">
        <f>_xlfn.XLOOKUP(A74,'1月份科目余额（2.25导出）'!D:D,'1月份科目余额（2.25导出）'!O:O,0)</f>
        <v>44413.72</v>
      </c>
      <c r="C74" s="49"/>
      <c r="D74" s="49">
        <v>3986.64</v>
      </c>
      <c r="E74" s="49">
        <f>SUMIFS('1月份挂账'!$P:$P,'1月份挂账'!$R:$R,$A74)-SUMIFS('1月份挂账'!$O:$O,'1月份挂账'!$R:$R,$A74)</f>
        <v>40426.88</v>
      </c>
      <c r="F74" s="50">
        <f t="shared" si="14"/>
        <v>3986.84</v>
      </c>
      <c r="G74" s="50"/>
      <c r="H74" s="49">
        <f t="shared" si="13"/>
        <v>0.398684</v>
      </c>
      <c r="I74" s="56">
        <f>F74</f>
        <v>3986.84</v>
      </c>
      <c r="J74" s="57">
        <v>3986.84</v>
      </c>
      <c r="K74" s="58">
        <f t="shared" si="9"/>
        <v>0</v>
      </c>
      <c r="L74" s="39">
        <f t="shared" si="17"/>
        <v>3986.84</v>
      </c>
      <c r="P74" s="39">
        <f t="shared" si="15"/>
        <v>3986.84</v>
      </c>
      <c r="Q74" s="39">
        <f t="shared" si="16"/>
        <v>0</v>
      </c>
    </row>
    <row r="75" customHeight="1" spans="1:17">
      <c r="A75" s="48" t="s">
        <v>284</v>
      </c>
      <c r="B75" s="49">
        <f>_xlfn.XLOOKUP(A75,'1月份科目余额（2.25导出）'!D:D,'1月份科目余额（2.25导出）'!O:O,0)</f>
        <v>1850.69</v>
      </c>
      <c r="C75" s="49"/>
      <c r="D75" s="49">
        <v>1850.69</v>
      </c>
      <c r="E75" s="49">
        <f>SUMIFS('1月份挂账'!$P:$P,'1月份挂账'!$R:$R,$A75)-SUMIFS('1月份挂账'!$O:$O,'1月份挂账'!$R:$R,$A75)</f>
        <v>0</v>
      </c>
      <c r="F75" s="50">
        <f t="shared" si="14"/>
        <v>1850.69</v>
      </c>
      <c r="G75" s="50"/>
      <c r="H75" s="49">
        <f t="shared" si="13"/>
        <v>0.185069</v>
      </c>
      <c r="I75" s="56">
        <f>F75</f>
        <v>1850.69</v>
      </c>
      <c r="J75" s="57">
        <v>1850.69</v>
      </c>
      <c r="K75" s="58">
        <f t="shared" si="9"/>
        <v>0</v>
      </c>
      <c r="M75" s="39">
        <f>J75</f>
        <v>1850.69</v>
      </c>
      <c r="P75" s="39">
        <f t="shared" si="15"/>
        <v>0</v>
      </c>
      <c r="Q75" s="39">
        <f t="shared" si="16"/>
        <v>1850.69</v>
      </c>
    </row>
    <row r="76" customHeight="1" spans="1:17">
      <c r="A76" s="48" t="s">
        <v>285</v>
      </c>
      <c r="B76" s="49">
        <f>_xlfn.XLOOKUP(A76,'1月份科目余额（2.25导出）'!D:D,'1月份科目余额（2.25导出）'!O:O,0)</f>
        <v>55661.54</v>
      </c>
      <c r="C76" s="49"/>
      <c r="D76" s="49">
        <v>55661.54</v>
      </c>
      <c r="E76" s="49">
        <f>SUMIFS('1月份挂账'!$P:$P,'1月份挂账'!$R:$R,$A76)-SUMIFS('1月份挂账'!$O:$O,'1月份挂账'!$R:$R,$A76)</f>
        <v>0</v>
      </c>
      <c r="F76" s="50">
        <f t="shared" si="14"/>
        <v>55661.54</v>
      </c>
      <c r="G76" s="50"/>
      <c r="H76" s="49">
        <f t="shared" si="13"/>
        <v>5.566154</v>
      </c>
      <c r="I76" s="56">
        <f>F76</f>
        <v>55661.54</v>
      </c>
      <c r="J76" s="57">
        <v>55661.54</v>
      </c>
      <c r="K76" s="58">
        <f t="shared" si="9"/>
        <v>0</v>
      </c>
      <c r="L76" s="39">
        <f>J76</f>
        <v>55661.54</v>
      </c>
      <c r="P76" s="39">
        <f t="shared" si="15"/>
        <v>55661.54</v>
      </c>
      <c r="Q76" s="39">
        <f t="shared" si="16"/>
        <v>0</v>
      </c>
    </row>
    <row r="77" customHeight="1" spans="1:17">
      <c r="A77" s="48" t="s">
        <v>314</v>
      </c>
      <c r="B77" s="49">
        <f>_xlfn.XLOOKUP(A77,'1月份科目余额（2.25导出）'!D:D,'1月份科目余额（2.25导出）'!O:O,0)</f>
        <v>121021.99</v>
      </c>
      <c r="C77" s="49"/>
      <c r="D77" s="49">
        <v>67333.03</v>
      </c>
      <c r="E77" s="49">
        <f>SUMIFS('1月份挂账'!$P:$P,'1月份挂账'!$R:$R,$A77)-SUMIFS('1月份挂账'!$O:$O,'1月份挂账'!$R:$R,$A77)</f>
        <v>53688.96</v>
      </c>
      <c r="F77" s="50">
        <f t="shared" si="14"/>
        <v>67333.03</v>
      </c>
      <c r="G77" s="50"/>
      <c r="H77" s="49">
        <f t="shared" si="13"/>
        <v>6.733303</v>
      </c>
      <c r="I77" s="56">
        <f>F77</f>
        <v>67333.03</v>
      </c>
      <c r="J77" s="57">
        <v>67333.03</v>
      </c>
      <c r="K77" s="58">
        <f t="shared" si="9"/>
        <v>0</v>
      </c>
      <c r="L77" s="39">
        <f>J77</f>
        <v>67333.03</v>
      </c>
      <c r="P77" s="39">
        <f t="shared" si="15"/>
        <v>67333.03</v>
      </c>
      <c r="Q77" s="39">
        <f t="shared" si="16"/>
        <v>0</v>
      </c>
    </row>
    <row r="78" customHeight="1" spans="1:17">
      <c r="A78" s="48" t="s">
        <v>380</v>
      </c>
      <c r="B78" s="49">
        <f>_xlfn.XLOOKUP(A78,'1月份科目余额（2.25导出）'!D:D,'1月份科目余额（2.25导出）'!O:O,0)</f>
        <v>7000</v>
      </c>
      <c r="C78" s="49"/>
      <c r="D78" s="49">
        <v>82000</v>
      </c>
      <c r="E78" s="49">
        <f>SUMIFS('1月份挂账'!$P:$P,'1月份挂账'!$R:$R,$A78)-SUMIFS('1月份挂账'!$O:$O,'1月份挂账'!$R:$R,$A78)</f>
        <v>0</v>
      </c>
      <c r="F78" s="50">
        <f t="shared" si="14"/>
        <v>7000</v>
      </c>
      <c r="G78" s="50"/>
      <c r="H78" s="49">
        <f t="shared" si="13"/>
        <v>0.7</v>
      </c>
      <c r="I78" s="56"/>
      <c r="J78" s="57"/>
      <c r="K78" s="58">
        <f t="shared" si="9"/>
        <v>0</v>
      </c>
      <c r="L78" s="39">
        <f>J78</f>
        <v>0</v>
      </c>
      <c r="P78" s="39">
        <f t="shared" si="15"/>
        <v>0</v>
      </c>
      <c r="Q78" s="39">
        <f t="shared" si="16"/>
        <v>0</v>
      </c>
    </row>
    <row r="79" customHeight="1" spans="1:17">
      <c r="A79" s="48" t="s">
        <v>417</v>
      </c>
      <c r="B79" s="49">
        <f>_xlfn.XLOOKUP(A79,'1月份科目余额（2.25导出）'!D:D,'1月份科目余额（2.25导出）'!O:O,0)</f>
        <v>69562.26</v>
      </c>
      <c r="C79" s="49"/>
      <c r="D79" s="49"/>
      <c r="E79" s="49">
        <f>SUMIFS('1月份挂账'!$P:$P,'1月份挂账'!$R:$R,$A79)-SUMIFS('1月份挂账'!$O:$O,'1月份挂账'!$R:$R,$A79)</f>
        <v>68352.16</v>
      </c>
      <c r="F79" s="50">
        <f t="shared" si="14"/>
        <v>1210.09999999999</v>
      </c>
      <c r="G79" s="50"/>
      <c r="H79" s="49">
        <f t="shared" si="13"/>
        <v>0.121009999999999</v>
      </c>
      <c r="I79" s="56">
        <f>F79</f>
        <v>1210.09999999999</v>
      </c>
      <c r="J79" s="57"/>
      <c r="K79" s="58">
        <f t="shared" si="9"/>
        <v>1210.09999999999</v>
      </c>
      <c r="P79" s="39">
        <f t="shared" si="15"/>
        <v>0</v>
      </c>
      <c r="Q79" s="39">
        <f t="shared" si="16"/>
        <v>0</v>
      </c>
    </row>
    <row r="80" customHeight="1" spans="1:17">
      <c r="A80" s="48" t="s">
        <v>418</v>
      </c>
      <c r="B80" s="49">
        <f>_xlfn.XLOOKUP(A80,'1月份科目余额（2.25导出）'!D:D,'1月份科目余额（2.25导出）'!O:O,0)</f>
        <v>79817.67</v>
      </c>
      <c r="C80" s="49"/>
      <c r="D80" s="49"/>
      <c r="E80" s="49">
        <f>SUMIFS('1月份挂账'!$P:$P,'1月份挂账'!$R:$R,$A80)-SUMIFS('1月份挂账'!$O:$O,'1月份挂账'!$R:$R,$A80)</f>
        <v>79817.67</v>
      </c>
      <c r="F80" s="50">
        <f t="shared" si="14"/>
        <v>0</v>
      </c>
      <c r="G80" s="50"/>
      <c r="H80" s="49">
        <f t="shared" si="13"/>
        <v>0</v>
      </c>
      <c r="I80" s="56"/>
      <c r="J80" s="57"/>
      <c r="K80" s="58">
        <f t="shared" si="9"/>
        <v>0</v>
      </c>
      <c r="L80" s="39">
        <f>J80</f>
        <v>0</v>
      </c>
      <c r="P80" s="39">
        <f t="shared" si="15"/>
        <v>0</v>
      </c>
      <c r="Q80" s="39">
        <f t="shared" si="16"/>
        <v>0</v>
      </c>
    </row>
    <row r="81" customHeight="1" spans="1:17">
      <c r="A81" s="48" t="s">
        <v>315</v>
      </c>
      <c r="B81" s="49">
        <f>_xlfn.XLOOKUP(A81,'1月份科目余额（2.25导出）'!D:D,'1月份科目余额（2.25导出）'!O:O,0)</f>
        <v>3305.25</v>
      </c>
      <c r="C81" s="49"/>
      <c r="D81" s="49"/>
      <c r="E81" s="49">
        <f>SUMIFS('1月份挂账'!$P:$P,'1月份挂账'!$R:$R,$A81)-SUMIFS('1月份挂账'!$O:$O,'1月份挂账'!$R:$R,$A81)</f>
        <v>3305.25</v>
      </c>
      <c r="F81" s="50">
        <f t="shared" si="14"/>
        <v>0</v>
      </c>
      <c r="G81" s="50"/>
      <c r="H81" s="49">
        <f t="shared" si="13"/>
        <v>0</v>
      </c>
      <c r="I81" s="56"/>
      <c r="J81" s="57"/>
      <c r="K81" s="58">
        <f t="shared" si="9"/>
        <v>0</v>
      </c>
      <c r="L81" s="39">
        <f>J81</f>
        <v>0</v>
      </c>
      <c r="P81" s="39">
        <f t="shared" si="15"/>
        <v>0</v>
      </c>
      <c r="Q81" s="39">
        <f t="shared" si="16"/>
        <v>0</v>
      </c>
    </row>
    <row r="82" customHeight="1" spans="1:17">
      <c r="A82" s="48" t="s">
        <v>488</v>
      </c>
      <c r="B82" s="49">
        <f>_xlfn.XLOOKUP(A82,'1月份科目余额（2.25导出）'!D:D,'1月份科目余额（2.25导出）'!O:O,0)</f>
        <v>2927</v>
      </c>
      <c r="C82" s="49"/>
      <c r="D82" s="49"/>
      <c r="E82" s="49">
        <f>SUMIFS('1月份挂账'!$P:$P,'1月份挂账'!$R:$R,$A82)-SUMIFS('1月份挂账'!$O:$O,'1月份挂账'!$R:$R,$A82)</f>
        <v>0</v>
      </c>
      <c r="F82" s="50">
        <f t="shared" si="14"/>
        <v>2927</v>
      </c>
      <c r="G82" s="50"/>
      <c r="H82" s="49">
        <f t="shared" si="13"/>
        <v>0.2927</v>
      </c>
      <c r="I82" s="56"/>
      <c r="J82" s="57"/>
      <c r="K82" s="58">
        <f t="shared" si="9"/>
        <v>0</v>
      </c>
      <c r="L82" s="39">
        <f>J82</f>
        <v>0</v>
      </c>
      <c r="P82" s="39">
        <f t="shared" si="15"/>
        <v>0</v>
      </c>
      <c r="Q82" s="39">
        <f t="shared" si="16"/>
        <v>0</v>
      </c>
    </row>
    <row r="83" hidden="1" customHeight="1" spans="1:11">
      <c r="A83" s="61"/>
      <c r="B83" s="62"/>
      <c r="C83" s="63"/>
      <c r="D83" s="63"/>
      <c r="E83" s="63"/>
      <c r="F83" s="64"/>
      <c r="G83" s="64"/>
      <c r="H83" s="63"/>
      <c r="I83" s="69"/>
      <c r="J83" s="57"/>
      <c r="K83" s="58"/>
    </row>
    <row r="84" hidden="1" customHeight="1" spans="1:11">
      <c r="A84" s="61"/>
      <c r="B84" s="62"/>
      <c r="C84" s="63"/>
      <c r="D84" s="63"/>
      <c r="E84" s="63"/>
      <c r="F84" s="64"/>
      <c r="G84" s="64"/>
      <c r="H84" s="63"/>
      <c r="I84" s="69"/>
      <c r="J84" s="57"/>
      <c r="K84" s="58"/>
    </row>
    <row r="85" customHeight="1" spans="1:17">
      <c r="A85" s="48" t="s">
        <v>29</v>
      </c>
      <c r="B85" s="65">
        <f t="shared" ref="B85:Q85" si="18">SUM(B4:B84)</f>
        <v>17542557.86</v>
      </c>
      <c r="C85" s="65">
        <f t="shared" si="18"/>
        <v>10023719.74</v>
      </c>
      <c r="D85" s="65">
        <f t="shared" si="18"/>
        <v>8714003.56</v>
      </c>
      <c r="E85" s="65">
        <f t="shared" si="18"/>
        <v>9033923.95</v>
      </c>
      <c r="F85" s="65">
        <f t="shared" si="18"/>
        <v>9589454.7</v>
      </c>
      <c r="G85" s="65">
        <f t="shared" si="18"/>
        <v>0</v>
      </c>
      <c r="H85" s="65">
        <f t="shared" si="18"/>
        <v>703.562417</v>
      </c>
      <c r="I85" s="70">
        <f t="shared" si="18"/>
        <v>7599881.67</v>
      </c>
      <c r="J85" s="70">
        <f t="shared" si="18"/>
        <v>3899369.17</v>
      </c>
      <c r="K85" s="70">
        <f t="shared" si="18"/>
        <v>3700512.5</v>
      </c>
      <c r="L85" s="71">
        <f t="shared" si="18"/>
        <v>3364497.79</v>
      </c>
      <c r="M85" s="71">
        <f t="shared" si="18"/>
        <v>525563.46</v>
      </c>
      <c r="N85" s="71">
        <f t="shared" si="18"/>
        <v>794240</v>
      </c>
      <c r="O85" s="71">
        <f t="shared" si="18"/>
        <v>500000</v>
      </c>
      <c r="P85" s="71">
        <f t="shared" si="18"/>
        <v>4158737.79</v>
      </c>
      <c r="Q85" s="71">
        <f t="shared" si="18"/>
        <v>1025563.46</v>
      </c>
    </row>
    <row r="86" ht="23" customHeight="1" spans="1:10">
      <c r="A86" s="48" t="s">
        <v>293</v>
      </c>
      <c r="B86" s="65">
        <f>SUMIFS(B4:B84,B4:B84,"&gt;0")</f>
        <v>17992757.86</v>
      </c>
      <c r="C86" s="65"/>
      <c r="D86" s="66"/>
      <c r="E86" s="66"/>
      <c r="F86" s="65"/>
      <c r="G86" s="50"/>
      <c r="H86" s="49"/>
      <c r="I86" s="72"/>
      <c r="J86" s="48"/>
    </row>
    <row r="87" ht="40" customHeight="1" spans="1:10">
      <c r="A87" s="67" t="s">
        <v>638</v>
      </c>
      <c r="B87" s="68" t="s">
        <v>639</v>
      </c>
      <c r="C87" s="68"/>
      <c r="D87" s="68"/>
      <c r="E87" s="68"/>
      <c r="F87" s="68"/>
      <c r="G87" s="68"/>
      <c r="H87" s="68"/>
      <c r="I87" s="68"/>
      <c r="J87" s="73"/>
    </row>
  </sheetData>
  <autoFilter xmlns:etc="http://www.wps.cn/officeDocument/2017/etCustomData" ref="A1:H87" etc:filterBottomFollowUsedRange="0">
    <extLst/>
  </autoFilter>
  <mergeCells count="5">
    <mergeCell ref="A1:H1"/>
    <mergeCell ref="L2:M2"/>
    <mergeCell ref="N2:O2"/>
    <mergeCell ref="P2:Q2"/>
    <mergeCell ref="B87:J87"/>
  </mergeCells>
  <conditionalFormatting sqref="A$1:A$1048576">
    <cfRule type="duplicateValues" dxfId="0" priority="1"/>
  </conditionalFormatting>
  <pageMargins left="0.25" right="0.25" top="0.75" bottom="0.75" header="0.298611111111111" footer="0.298611111111111"/>
  <pageSetup paperSize="9" orientation="portrait" horizontalDpi="600"/>
  <headerFooter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415"/>
  <dimension ref="A1:P228"/>
  <sheetViews>
    <sheetView workbookViewId="0">
      <selection activeCell="O3" sqref="O3"/>
    </sheetView>
  </sheetViews>
  <sheetFormatPr defaultColWidth="8" defaultRowHeight="14.25"/>
  <cols>
    <col min="1" max="1" width="7.75" style="1" customWidth="1"/>
    <col min="2" max="2" width="15.75" style="1" customWidth="1"/>
    <col min="3" max="3" width="9.375" style="1" customWidth="1"/>
    <col min="4" max="4" width="23.125" style="1" customWidth="1"/>
    <col min="5" max="6" width="7.75" style="1" customWidth="1"/>
    <col min="7" max="7" width="8.125" style="1" customWidth="1"/>
    <col min="8" max="8" width="10.75" style="1" customWidth="1"/>
    <col min="9" max="10" width="12.375" style="1" customWidth="1"/>
    <col min="11" max="12" width="10.875" style="1" customWidth="1"/>
    <col min="13" max="13" width="8.125" style="1" customWidth="1"/>
    <col min="14" max="14" width="10.75" style="1" customWidth="1"/>
    <col min="15" max="15" width="12.125" style="1" customWidth="1"/>
    <col min="16" max="16" width="23.75" style="2" customWidth="1"/>
    <col min="17" max="16384" width="8" style="1"/>
  </cols>
  <sheetData>
    <row r="1" s="1" customFormat="1" spans="1:16">
      <c r="A1" s="4" t="s">
        <v>429</v>
      </c>
      <c r="B1" s="4" t="s">
        <v>430</v>
      </c>
      <c r="C1" s="4" t="s">
        <v>431</v>
      </c>
      <c r="D1" s="4" t="s">
        <v>432</v>
      </c>
      <c r="E1" s="4" t="s">
        <v>433</v>
      </c>
      <c r="F1" s="4" t="s">
        <v>434</v>
      </c>
      <c r="G1" s="4" t="s">
        <v>435</v>
      </c>
      <c r="H1" s="5" t="s">
        <v>436</v>
      </c>
      <c r="I1" s="5" t="s">
        <v>437</v>
      </c>
      <c r="J1" s="5" t="s">
        <v>438</v>
      </c>
      <c r="K1" s="5" t="s">
        <v>439</v>
      </c>
      <c r="L1" s="5" t="s">
        <v>440</v>
      </c>
      <c r="M1" s="4" t="s">
        <v>435</v>
      </c>
      <c r="N1" s="5" t="s">
        <v>441</v>
      </c>
      <c r="P1" s="2"/>
    </row>
    <row r="2" s="1" customFormat="1" ht="15" customHeight="1" spans="1:16">
      <c r="A2" s="8" t="s">
        <v>41</v>
      </c>
      <c r="B2" s="11" t="s">
        <v>41</v>
      </c>
      <c r="C2" s="8" t="s">
        <v>41</v>
      </c>
      <c r="D2" s="11" t="s">
        <v>41</v>
      </c>
      <c r="E2" s="8" t="s">
        <v>41</v>
      </c>
      <c r="F2" s="8" t="s">
        <v>443</v>
      </c>
      <c r="G2" s="8" t="s">
        <v>41</v>
      </c>
      <c r="H2" s="36">
        <v>-25061512.18</v>
      </c>
      <c r="I2" s="36">
        <v>3679860.6</v>
      </c>
      <c r="J2" s="36">
        <v>0</v>
      </c>
      <c r="K2" s="36">
        <v>21422109.72</v>
      </c>
      <c r="L2" s="36">
        <v>12969464.58</v>
      </c>
      <c r="M2" s="8" t="s">
        <v>41</v>
      </c>
      <c r="N2" s="36">
        <v>-21381651.58</v>
      </c>
      <c r="P2" s="2"/>
    </row>
    <row r="3" s="1" customFormat="1" ht="15" customHeight="1" spans="1:16">
      <c r="A3" s="12" t="s">
        <v>444</v>
      </c>
      <c r="B3" s="15" t="s">
        <v>445</v>
      </c>
      <c r="C3" s="12" t="s">
        <v>41</v>
      </c>
      <c r="D3" s="15" t="s">
        <v>41</v>
      </c>
      <c r="E3" s="12" t="s">
        <v>492</v>
      </c>
      <c r="F3" s="12" t="s">
        <v>443</v>
      </c>
      <c r="G3" s="12" t="s">
        <v>447</v>
      </c>
      <c r="H3" s="37">
        <v>0</v>
      </c>
      <c r="I3" s="37">
        <v>46646.4</v>
      </c>
      <c r="J3" s="37">
        <v>46646.4</v>
      </c>
      <c r="K3" s="37">
        <v>2499383.63</v>
      </c>
      <c r="L3" s="37">
        <v>2499383.63</v>
      </c>
      <c r="M3" s="12" t="s">
        <v>447</v>
      </c>
      <c r="N3" s="37">
        <v>0</v>
      </c>
      <c r="O3" s="1">
        <f t="shared" ref="O3:O66" si="0">IF(M3="贷",N3,-N3)</f>
        <v>0</v>
      </c>
      <c r="P3" s="2" t="str">
        <f>IF(O3=0,"",_xlfn.XLOOKUP(D4,'1月份计划'!A:A,'1月份计划'!A:A,"计划表需添加"))</f>
        <v/>
      </c>
    </row>
    <row r="4" s="1" customFormat="1" ht="15" customHeight="1" spans="1:16">
      <c r="A4" s="12" t="s">
        <v>444</v>
      </c>
      <c r="B4" s="15" t="s">
        <v>445</v>
      </c>
      <c r="C4" s="12" t="s">
        <v>41</v>
      </c>
      <c r="D4" s="15" t="s">
        <v>493</v>
      </c>
      <c r="E4" s="12" t="s">
        <v>41</v>
      </c>
      <c r="F4" s="12" t="s">
        <v>443</v>
      </c>
      <c r="G4" s="12" t="s">
        <v>489</v>
      </c>
      <c r="H4" s="37">
        <v>0</v>
      </c>
      <c r="I4" s="37">
        <v>0</v>
      </c>
      <c r="J4" s="37">
        <v>0</v>
      </c>
      <c r="K4" s="37">
        <v>0</v>
      </c>
      <c r="L4" s="37">
        <v>0</v>
      </c>
      <c r="M4" s="12" t="s">
        <v>489</v>
      </c>
      <c r="N4" s="37">
        <v>0</v>
      </c>
      <c r="O4" s="1">
        <f t="shared" si="0"/>
        <v>0</v>
      </c>
      <c r="P4" s="2" t="str">
        <f>IF(O4=0,"",_xlfn.XLOOKUP(D4,'1月份计划'!A:A,'1月份计划'!A:A,"计划表需添加"))</f>
        <v/>
      </c>
    </row>
    <row r="5" s="1" customFormat="1" ht="15" hidden="1" customHeight="1" spans="1:16">
      <c r="A5" s="8" t="s">
        <v>444</v>
      </c>
      <c r="B5" s="11" t="s">
        <v>445</v>
      </c>
      <c r="C5" s="8" t="s">
        <v>41</v>
      </c>
      <c r="D5" s="11" t="s">
        <v>446</v>
      </c>
      <c r="E5" s="8" t="s">
        <v>41</v>
      </c>
      <c r="F5" s="8" t="s">
        <v>443</v>
      </c>
      <c r="G5" s="8" t="s">
        <v>447</v>
      </c>
      <c r="H5" s="36">
        <v>10007223.51</v>
      </c>
      <c r="I5" s="36">
        <v>0</v>
      </c>
      <c r="J5" s="36">
        <v>0</v>
      </c>
      <c r="K5" s="36">
        <v>0</v>
      </c>
      <c r="L5" s="36">
        <v>1602286.94</v>
      </c>
      <c r="M5" s="8" t="s">
        <v>447</v>
      </c>
      <c r="N5" s="36">
        <v>10007223.51</v>
      </c>
      <c r="O5" s="1">
        <f t="shared" si="0"/>
        <v>10007223.51</v>
      </c>
      <c r="P5" s="2" t="str">
        <f>IF(O5=0,"",_xlfn.XLOOKUP(D5,'1月份计划'!A:A,'1月份计划'!A:A,"计划表需添加"))</f>
        <v>计划表需添加</v>
      </c>
    </row>
    <row r="6" s="1" customFormat="1" ht="15" customHeight="1" spans="1:16">
      <c r="A6" s="12" t="s">
        <v>444</v>
      </c>
      <c r="B6" s="15" t="s">
        <v>445</v>
      </c>
      <c r="C6" s="12" t="s">
        <v>41</v>
      </c>
      <c r="D6" s="15" t="s">
        <v>414</v>
      </c>
      <c r="E6" s="12" t="s">
        <v>41</v>
      </c>
      <c r="F6" s="12" t="s">
        <v>443</v>
      </c>
      <c r="G6" s="12" t="s">
        <v>489</v>
      </c>
      <c r="H6" s="37">
        <v>0</v>
      </c>
      <c r="I6" s="37">
        <v>0</v>
      </c>
      <c r="J6" s="37">
        <v>0</v>
      </c>
      <c r="K6" s="37">
        <v>0</v>
      </c>
      <c r="L6" s="37">
        <v>0</v>
      </c>
      <c r="M6" s="12" t="s">
        <v>489</v>
      </c>
      <c r="N6" s="37">
        <v>0</v>
      </c>
      <c r="O6" s="1">
        <f t="shared" si="0"/>
        <v>0</v>
      </c>
      <c r="P6" s="2" t="str">
        <f>IF(O6=0,"",_xlfn.XLOOKUP(D6,'1月份计划'!A:A,'1月份计划'!A:A,"计划表需添加"))</f>
        <v/>
      </c>
    </row>
    <row r="7" s="1" customFormat="1" ht="15" hidden="1" customHeight="1" spans="1:16">
      <c r="A7" s="8" t="s">
        <v>444</v>
      </c>
      <c r="B7" s="11" t="s">
        <v>445</v>
      </c>
      <c r="C7" s="8" t="s">
        <v>41</v>
      </c>
      <c r="D7" s="11" t="s">
        <v>448</v>
      </c>
      <c r="E7" s="8" t="s">
        <v>41</v>
      </c>
      <c r="F7" s="8" t="s">
        <v>443</v>
      </c>
      <c r="G7" s="8" t="s">
        <v>447</v>
      </c>
      <c r="H7" s="36">
        <v>80.3</v>
      </c>
      <c r="I7" s="36">
        <v>0</v>
      </c>
      <c r="J7" s="36">
        <v>0</v>
      </c>
      <c r="K7" s="36">
        <v>0</v>
      </c>
      <c r="L7" s="36">
        <v>0</v>
      </c>
      <c r="M7" s="8" t="s">
        <v>447</v>
      </c>
      <c r="N7" s="36">
        <v>80.3</v>
      </c>
      <c r="O7" s="1">
        <f t="shared" si="0"/>
        <v>80.3</v>
      </c>
      <c r="P7" s="2" t="str">
        <f>IF(O7=0,"",_xlfn.XLOOKUP(D7,'1月份计划'!A:A,'1月份计划'!A:A,"计划表需添加"))</f>
        <v>计划表需添加</v>
      </c>
    </row>
    <row r="8" s="1" customFormat="1" ht="15" customHeight="1" spans="1:16">
      <c r="A8" s="12" t="s">
        <v>444</v>
      </c>
      <c r="B8" s="15" t="s">
        <v>445</v>
      </c>
      <c r="C8" s="12" t="s">
        <v>41</v>
      </c>
      <c r="D8" s="15" t="s">
        <v>494</v>
      </c>
      <c r="E8" s="12" t="s">
        <v>41</v>
      </c>
      <c r="F8" s="12" t="s">
        <v>443</v>
      </c>
      <c r="G8" s="12" t="s">
        <v>489</v>
      </c>
      <c r="H8" s="37">
        <v>0</v>
      </c>
      <c r="I8" s="37">
        <v>0</v>
      </c>
      <c r="J8" s="37">
        <v>0</v>
      </c>
      <c r="K8" s="37">
        <v>0</v>
      </c>
      <c r="L8" s="37">
        <v>0</v>
      </c>
      <c r="M8" s="12" t="s">
        <v>489</v>
      </c>
      <c r="N8" s="37">
        <v>0</v>
      </c>
      <c r="O8" s="1">
        <f t="shared" si="0"/>
        <v>0</v>
      </c>
      <c r="P8" s="2" t="str">
        <f>IF(O8=0,"",_xlfn.XLOOKUP(D8,'1月份计划'!A:A,'1月份计划'!A:A,"计划表需添加"))</f>
        <v/>
      </c>
    </row>
    <row r="9" s="1" customFormat="1" ht="15" customHeight="1" spans="1:16">
      <c r="A9" s="12" t="s">
        <v>444</v>
      </c>
      <c r="B9" s="15" t="s">
        <v>445</v>
      </c>
      <c r="C9" s="12" t="s">
        <v>41</v>
      </c>
      <c r="D9" s="15" t="s">
        <v>495</v>
      </c>
      <c r="E9" s="12" t="s">
        <v>41</v>
      </c>
      <c r="F9" s="12" t="s">
        <v>443</v>
      </c>
      <c r="G9" s="12" t="s">
        <v>489</v>
      </c>
      <c r="H9" s="37">
        <v>0</v>
      </c>
      <c r="I9" s="37">
        <v>0</v>
      </c>
      <c r="J9" s="37">
        <v>0</v>
      </c>
      <c r="K9" s="37">
        <v>0</v>
      </c>
      <c r="L9" s="37">
        <v>0</v>
      </c>
      <c r="M9" s="12" t="s">
        <v>489</v>
      </c>
      <c r="N9" s="37">
        <v>0</v>
      </c>
      <c r="O9" s="1">
        <f t="shared" si="0"/>
        <v>0</v>
      </c>
      <c r="P9" s="2" t="str">
        <f>IF(O9=0,"",_xlfn.XLOOKUP(D9,'1月份计划'!A:A,'1月份计划'!A:A,"计划表需添加"))</f>
        <v/>
      </c>
    </row>
    <row r="10" s="1" customFormat="1" ht="15" hidden="1" customHeight="1" spans="1:16">
      <c r="A10" s="8" t="s">
        <v>444</v>
      </c>
      <c r="B10" s="11" t="s">
        <v>445</v>
      </c>
      <c r="C10" s="8" t="s">
        <v>41</v>
      </c>
      <c r="D10" s="11" t="s">
        <v>449</v>
      </c>
      <c r="E10" s="8" t="s">
        <v>41</v>
      </c>
      <c r="F10" s="8" t="s">
        <v>443</v>
      </c>
      <c r="G10" s="8" t="s">
        <v>447</v>
      </c>
      <c r="H10" s="36">
        <v>23367.17</v>
      </c>
      <c r="I10" s="36">
        <v>0</v>
      </c>
      <c r="J10" s="36">
        <v>0</v>
      </c>
      <c r="K10" s="36">
        <v>0</v>
      </c>
      <c r="L10" s="36">
        <v>0</v>
      </c>
      <c r="M10" s="8" t="s">
        <v>447</v>
      </c>
      <c r="N10" s="36">
        <v>23367.17</v>
      </c>
      <c r="O10" s="1">
        <f t="shared" si="0"/>
        <v>23367.17</v>
      </c>
      <c r="P10" s="2" t="str">
        <f>IF(O10=0,"",_xlfn.XLOOKUP(D10,'1月份计划'!A:A,'1月份计划'!A:A,"计划表需添加"))</f>
        <v>计划表需添加</v>
      </c>
    </row>
    <row r="11" s="1" customFormat="1" ht="15" hidden="1" customHeight="1" spans="1:16">
      <c r="A11" s="12" t="s">
        <v>444</v>
      </c>
      <c r="B11" s="15" t="s">
        <v>445</v>
      </c>
      <c r="C11" s="12" t="s">
        <v>41</v>
      </c>
      <c r="D11" s="15" t="s">
        <v>450</v>
      </c>
      <c r="E11" s="12" t="s">
        <v>41</v>
      </c>
      <c r="F11" s="12" t="s">
        <v>443</v>
      </c>
      <c r="G11" s="12" t="s">
        <v>447</v>
      </c>
      <c r="H11" s="37">
        <v>9685.4</v>
      </c>
      <c r="I11" s="37">
        <v>0</v>
      </c>
      <c r="J11" s="37">
        <v>0</v>
      </c>
      <c r="K11" s="37">
        <v>0</v>
      </c>
      <c r="L11" s="37">
        <v>0</v>
      </c>
      <c r="M11" s="12" t="s">
        <v>447</v>
      </c>
      <c r="N11" s="37">
        <v>9685.4</v>
      </c>
      <c r="O11" s="1">
        <f t="shared" si="0"/>
        <v>9685.4</v>
      </c>
      <c r="P11" s="2" t="str">
        <f>IF(O11=0,"",_xlfn.XLOOKUP(D11,'1月份计划'!A:A,'1月份计划'!A:A,"计划表需添加"))</f>
        <v>计划表需添加</v>
      </c>
    </row>
    <row r="12" s="1" customFormat="1" ht="15" customHeight="1" spans="1:16">
      <c r="A12" s="8" t="s">
        <v>444</v>
      </c>
      <c r="B12" s="11" t="s">
        <v>445</v>
      </c>
      <c r="C12" s="8" t="s">
        <v>41</v>
      </c>
      <c r="D12" s="11" t="s">
        <v>241</v>
      </c>
      <c r="E12" s="8" t="s">
        <v>41</v>
      </c>
      <c r="F12" s="8" t="s">
        <v>443</v>
      </c>
      <c r="G12" s="8" t="s">
        <v>447</v>
      </c>
      <c r="H12" s="36">
        <v>391511.54</v>
      </c>
      <c r="I12" s="36">
        <v>0</v>
      </c>
      <c r="J12" s="36">
        <v>0</v>
      </c>
      <c r="K12" s="36">
        <v>150000</v>
      </c>
      <c r="L12" s="36">
        <v>119091.84</v>
      </c>
      <c r="M12" s="8" t="s">
        <v>447</v>
      </c>
      <c r="N12" s="36">
        <v>391511.54</v>
      </c>
      <c r="O12" s="1">
        <f t="shared" si="0"/>
        <v>391511.54</v>
      </c>
      <c r="P12" s="2" t="str">
        <f>IF(O12=0,"",_xlfn.XLOOKUP(D12,'1月份计划'!A:A,'1月份计划'!A:A,"计划表需添加"))</f>
        <v>天津琪安科技有限公司</v>
      </c>
    </row>
    <row r="13" s="1" customFormat="1" ht="15" customHeight="1" spans="1:16">
      <c r="A13" s="12" t="s">
        <v>444</v>
      </c>
      <c r="B13" s="15" t="s">
        <v>445</v>
      </c>
      <c r="C13" s="12" t="s">
        <v>41</v>
      </c>
      <c r="D13" s="15" t="s">
        <v>242</v>
      </c>
      <c r="E13" s="12" t="s">
        <v>41</v>
      </c>
      <c r="F13" s="12" t="s">
        <v>443</v>
      </c>
      <c r="G13" s="12" t="s">
        <v>447</v>
      </c>
      <c r="H13" s="37">
        <v>147583.76</v>
      </c>
      <c r="I13" s="37">
        <v>0</v>
      </c>
      <c r="J13" s="37">
        <v>0</v>
      </c>
      <c r="K13" s="37">
        <v>120000</v>
      </c>
      <c r="L13" s="37">
        <v>77995.01</v>
      </c>
      <c r="M13" s="12" t="s">
        <v>447</v>
      </c>
      <c r="N13" s="37">
        <v>147583.76</v>
      </c>
      <c r="O13" s="1">
        <f t="shared" si="0"/>
        <v>147583.76</v>
      </c>
      <c r="P13" s="2" t="str">
        <f>IF(O13=0,"",_xlfn.XLOOKUP(D13,'1月份计划'!A:A,'1月份计划'!A:A,"计划表需添加"))</f>
        <v>黄骅市广亿汽车部件有限公司</v>
      </c>
    </row>
    <row r="14" s="1" customFormat="1" ht="15" customHeight="1" spans="1:16">
      <c r="A14" s="8" t="s">
        <v>444</v>
      </c>
      <c r="B14" s="11" t="s">
        <v>445</v>
      </c>
      <c r="C14" s="8" t="s">
        <v>41</v>
      </c>
      <c r="D14" s="11" t="s">
        <v>496</v>
      </c>
      <c r="E14" s="8" t="s">
        <v>41</v>
      </c>
      <c r="F14" s="8" t="s">
        <v>443</v>
      </c>
      <c r="G14" s="8" t="s">
        <v>489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8" t="s">
        <v>489</v>
      </c>
      <c r="N14" s="36">
        <v>0</v>
      </c>
      <c r="O14" s="1">
        <f t="shared" si="0"/>
        <v>0</v>
      </c>
      <c r="P14" s="2" t="str">
        <f>IF(O14=0,"",_xlfn.XLOOKUP(D14,'1月份计划'!A:A,'1月份计划'!A:A,"计划表需添加"))</f>
        <v/>
      </c>
    </row>
    <row r="15" s="1" customFormat="1" ht="15" customHeight="1" spans="1:16">
      <c r="A15" s="12" t="s">
        <v>444</v>
      </c>
      <c r="B15" s="15" t="s">
        <v>445</v>
      </c>
      <c r="C15" s="12" t="s">
        <v>41</v>
      </c>
      <c r="D15" s="15" t="s">
        <v>243</v>
      </c>
      <c r="E15" s="12" t="s">
        <v>41</v>
      </c>
      <c r="F15" s="12" t="s">
        <v>443</v>
      </c>
      <c r="G15" s="12" t="s">
        <v>447</v>
      </c>
      <c r="H15" s="37">
        <v>57350.41</v>
      </c>
      <c r="I15" s="37">
        <v>0</v>
      </c>
      <c r="J15" s="37">
        <v>0</v>
      </c>
      <c r="K15" s="37">
        <v>70000</v>
      </c>
      <c r="L15" s="37">
        <v>16908.28</v>
      </c>
      <c r="M15" s="12" t="s">
        <v>447</v>
      </c>
      <c r="N15" s="37">
        <v>57350.41</v>
      </c>
      <c r="O15" s="1">
        <f t="shared" si="0"/>
        <v>57350.41</v>
      </c>
      <c r="P15" s="2" t="str">
        <f>IF(O15=0,"",_xlfn.XLOOKUP(D15,'1月份计划'!A:A,'1月份计划'!A:A,"计划表需添加"))</f>
        <v>霸州市自强汽车零部件厂</v>
      </c>
    </row>
    <row r="16" s="1" customFormat="1" ht="15" customHeight="1" spans="1:16">
      <c r="A16" s="8" t="s">
        <v>444</v>
      </c>
      <c r="B16" s="11" t="s">
        <v>445</v>
      </c>
      <c r="C16" s="8" t="s">
        <v>41</v>
      </c>
      <c r="D16" s="11" t="s">
        <v>297</v>
      </c>
      <c r="E16" s="8" t="s">
        <v>41</v>
      </c>
      <c r="F16" s="8" t="s">
        <v>443</v>
      </c>
      <c r="G16" s="8" t="s">
        <v>447</v>
      </c>
      <c r="H16" s="36">
        <v>16490.64</v>
      </c>
      <c r="I16" s="36">
        <v>0</v>
      </c>
      <c r="J16" s="36">
        <v>0</v>
      </c>
      <c r="K16" s="36">
        <v>30000</v>
      </c>
      <c r="L16" s="36">
        <v>0</v>
      </c>
      <c r="M16" s="8" t="s">
        <v>447</v>
      </c>
      <c r="N16" s="36">
        <v>16490.64</v>
      </c>
      <c r="O16" s="1">
        <f t="shared" si="0"/>
        <v>16490.64</v>
      </c>
      <c r="P16" s="2" t="str">
        <f>IF(O16=0,"",_xlfn.XLOOKUP(D16,'1月份计划'!A:A,'1月份计划'!A:A,"计划表需添加"))</f>
        <v>海兴中盛弹簧有限公司</v>
      </c>
    </row>
    <row r="17" s="1" customFormat="1" ht="15" customHeight="1" spans="1:16">
      <c r="A17" s="8" t="s">
        <v>444</v>
      </c>
      <c r="B17" s="11" t="s">
        <v>445</v>
      </c>
      <c r="C17" s="8" t="s">
        <v>41</v>
      </c>
      <c r="D17" s="11" t="s">
        <v>497</v>
      </c>
      <c r="E17" s="8" t="s">
        <v>41</v>
      </c>
      <c r="F17" s="8" t="s">
        <v>443</v>
      </c>
      <c r="G17" s="8" t="s">
        <v>489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8" t="s">
        <v>489</v>
      </c>
      <c r="N17" s="36">
        <v>0</v>
      </c>
      <c r="O17" s="1">
        <f t="shared" si="0"/>
        <v>0</v>
      </c>
      <c r="P17" s="2" t="str">
        <f>IF(O17=0,"",_xlfn.XLOOKUP(D17,'1月份计划'!A:A,'1月份计划'!A:A,"计划表需添加"))</f>
        <v/>
      </c>
    </row>
    <row r="18" s="1" customFormat="1" ht="15" customHeight="1" spans="1:16">
      <c r="A18" s="8" t="s">
        <v>444</v>
      </c>
      <c r="B18" s="11" t="s">
        <v>445</v>
      </c>
      <c r="C18" s="8" t="s">
        <v>41</v>
      </c>
      <c r="D18" s="11" t="s">
        <v>498</v>
      </c>
      <c r="E18" s="8" t="s">
        <v>41</v>
      </c>
      <c r="F18" s="8" t="s">
        <v>443</v>
      </c>
      <c r="G18" s="8" t="s">
        <v>489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8" t="s">
        <v>489</v>
      </c>
      <c r="N18" s="36">
        <v>0</v>
      </c>
      <c r="O18" s="1">
        <f t="shared" si="0"/>
        <v>0</v>
      </c>
      <c r="P18" s="2" t="str">
        <f>IF(O18=0,"",_xlfn.XLOOKUP(D18,'1月份计划'!A:A,'1月份计划'!A:A,"计划表需添加"))</f>
        <v/>
      </c>
    </row>
    <row r="19" s="1" customFormat="1" ht="15" hidden="1" customHeight="1" spans="1:16">
      <c r="A19" s="12" t="s">
        <v>444</v>
      </c>
      <c r="B19" s="15" t="s">
        <v>445</v>
      </c>
      <c r="C19" s="12" t="s">
        <v>41</v>
      </c>
      <c r="D19" s="15" t="s">
        <v>451</v>
      </c>
      <c r="E19" s="12" t="s">
        <v>41</v>
      </c>
      <c r="F19" s="12" t="s">
        <v>443</v>
      </c>
      <c r="G19" s="12" t="s">
        <v>447</v>
      </c>
      <c r="H19" s="37">
        <v>29161319.46</v>
      </c>
      <c r="I19" s="37">
        <v>100000</v>
      </c>
      <c r="J19" s="37">
        <v>0</v>
      </c>
      <c r="K19" s="37">
        <v>100000</v>
      </c>
      <c r="L19" s="37">
        <v>-134494</v>
      </c>
      <c r="M19" s="12" t="s">
        <v>447</v>
      </c>
      <c r="N19" s="37">
        <v>29061319.46</v>
      </c>
      <c r="O19" s="1">
        <f t="shared" si="0"/>
        <v>29061319.46</v>
      </c>
      <c r="P19" s="2" t="str">
        <f>IF(O19=0,"",_xlfn.XLOOKUP(D19,'1月份计划'!A:A,'1月份计划'!A:A,"计划表需添加"))</f>
        <v>计划表需添加</v>
      </c>
    </row>
    <row r="20" s="1" customFormat="1" ht="15" customHeight="1" spans="1:16">
      <c r="A20" s="8" t="s">
        <v>444</v>
      </c>
      <c r="B20" s="11" t="s">
        <v>445</v>
      </c>
      <c r="C20" s="8" t="s">
        <v>41</v>
      </c>
      <c r="D20" s="11" t="s">
        <v>499</v>
      </c>
      <c r="E20" s="8" t="s">
        <v>41</v>
      </c>
      <c r="F20" s="8" t="s">
        <v>443</v>
      </c>
      <c r="G20" s="8" t="s">
        <v>489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8" t="s">
        <v>489</v>
      </c>
      <c r="N20" s="36">
        <v>0</v>
      </c>
      <c r="O20" s="1">
        <f t="shared" si="0"/>
        <v>0</v>
      </c>
      <c r="P20" s="2" t="str">
        <f>IF(O20=0,"",_xlfn.XLOOKUP(D20,'1月份计划'!A:A,'1月份计划'!A:A,"计划表需添加"))</f>
        <v/>
      </c>
    </row>
    <row r="21" s="1" customFormat="1" ht="15" customHeight="1" spans="1:16">
      <c r="A21" s="8" t="s">
        <v>444</v>
      </c>
      <c r="B21" s="11" t="s">
        <v>445</v>
      </c>
      <c r="C21" s="8" t="s">
        <v>41</v>
      </c>
      <c r="D21" s="11" t="s">
        <v>500</v>
      </c>
      <c r="E21" s="8" t="s">
        <v>41</v>
      </c>
      <c r="F21" s="8" t="s">
        <v>443</v>
      </c>
      <c r="G21" s="8" t="s">
        <v>489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8" t="s">
        <v>489</v>
      </c>
      <c r="N21" s="36">
        <v>0</v>
      </c>
      <c r="O21" s="1">
        <f t="shared" si="0"/>
        <v>0</v>
      </c>
      <c r="P21" s="2" t="str">
        <f>IF(O21=0,"",_xlfn.XLOOKUP(D21,'1月份计划'!A:A,'1月份计划'!A:A,"计划表需添加"))</f>
        <v/>
      </c>
    </row>
    <row r="22" s="1" customFormat="1" ht="15" customHeight="1" spans="1:16">
      <c r="A22" s="8" t="s">
        <v>444</v>
      </c>
      <c r="B22" s="11" t="s">
        <v>445</v>
      </c>
      <c r="C22" s="8" t="s">
        <v>41</v>
      </c>
      <c r="D22" s="11" t="s">
        <v>244</v>
      </c>
      <c r="E22" s="8" t="s">
        <v>41</v>
      </c>
      <c r="F22" s="8" t="s">
        <v>443</v>
      </c>
      <c r="G22" s="8" t="s">
        <v>447</v>
      </c>
      <c r="H22" s="36">
        <v>262055.59</v>
      </c>
      <c r="I22" s="36">
        <v>0</v>
      </c>
      <c r="J22" s="36">
        <v>0</v>
      </c>
      <c r="K22" s="36">
        <v>110000</v>
      </c>
      <c r="L22" s="36">
        <v>78601.67</v>
      </c>
      <c r="M22" s="8" t="s">
        <v>447</v>
      </c>
      <c r="N22" s="36">
        <v>262055.59</v>
      </c>
      <c r="O22" s="1">
        <f t="shared" si="0"/>
        <v>262055.59</v>
      </c>
      <c r="P22" s="2" t="str">
        <f>IF(O22=0,"",_xlfn.XLOOKUP(D22,'1月份计划'!A:A,'1月份计划'!A:A,"计划表需添加"))</f>
        <v>沧州临港明康汽车配件有限公司</v>
      </c>
    </row>
    <row r="23" s="1" customFormat="1" ht="15" customHeight="1" spans="1:16">
      <c r="A23" s="12" t="s">
        <v>444</v>
      </c>
      <c r="B23" s="15" t="s">
        <v>445</v>
      </c>
      <c r="C23" s="12" t="s">
        <v>41</v>
      </c>
      <c r="D23" s="15" t="s">
        <v>245</v>
      </c>
      <c r="E23" s="12" t="s">
        <v>41</v>
      </c>
      <c r="F23" s="12" t="s">
        <v>443</v>
      </c>
      <c r="G23" s="12" t="s">
        <v>447</v>
      </c>
      <c r="H23" s="37">
        <v>139395</v>
      </c>
      <c r="I23" s="37">
        <v>0</v>
      </c>
      <c r="J23" s="37">
        <v>0</v>
      </c>
      <c r="K23" s="37">
        <v>160000</v>
      </c>
      <c r="L23" s="37">
        <v>71377.35</v>
      </c>
      <c r="M23" s="12" t="s">
        <v>447</v>
      </c>
      <c r="N23" s="37">
        <v>139395</v>
      </c>
      <c r="O23" s="1">
        <f t="shared" si="0"/>
        <v>139395</v>
      </c>
      <c r="P23" s="2" t="str">
        <f>IF(O23=0,"",_xlfn.XLOOKUP(D23,'1月份计划'!A:A,'1月份计划'!A:A,"计划表需添加"))</f>
        <v>黄骅市建昌塑料制品有限公司</v>
      </c>
    </row>
    <row r="24" s="1" customFormat="1" ht="15" customHeight="1" spans="1:16">
      <c r="A24" s="8" t="s">
        <v>444</v>
      </c>
      <c r="B24" s="11" t="s">
        <v>445</v>
      </c>
      <c r="C24" s="8" t="s">
        <v>41</v>
      </c>
      <c r="D24" s="11" t="s">
        <v>283</v>
      </c>
      <c r="E24" s="8" t="s">
        <v>41</v>
      </c>
      <c r="F24" s="8" t="s">
        <v>443</v>
      </c>
      <c r="G24" s="8" t="s">
        <v>447</v>
      </c>
      <c r="H24" s="36">
        <v>17289</v>
      </c>
      <c r="I24" s="36">
        <v>0</v>
      </c>
      <c r="J24" s="36">
        <v>0</v>
      </c>
      <c r="K24" s="36">
        <v>14407.26</v>
      </c>
      <c r="L24" s="36">
        <v>8644.5</v>
      </c>
      <c r="M24" s="8" t="s">
        <v>447</v>
      </c>
      <c r="N24" s="36">
        <v>17289</v>
      </c>
      <c r="O24" s="1">
        <f t="shared" si="0"/>
        <v>17289</v>
      </c>
      <c r="P24" s="2" t="str">
        <f>IF(O24=0,"",_xlfn.XLOOKUP(D24,'1月份计划'!A:A,'1月份计划'!A:A,"计划表需添加"))</f>
        <v>黄骅市成卓汽车部件厂</v>
      </c>
    </row>
    <row r="25" s="1" customFormat="1" ht="15" customHeight="1" spans="1:16">
      <c r="A25" s="12" t="s">
        <v>444</v>
      </c>
      <c r="B25" s="15" t="s">
        <v>445</v>
      </c>
      <c r="C25" s="12" t="s">
        <v>41</v>
      </c>
      <c r="D25" s="15" t="s">
        <v>501</v>
      </c>
      <c r="E25" s="12" t="s">
        <v>41</v>
      </c>
      <c r="F25" s="12" t="s">
        <v>443</v>
      </c>
      <c r="G25" s="12" t="s">
        <v>489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12" t="s">
        <v>489</v>
      </c>
      <c r="N25" s="37">
        <v>0</v>
      </c>
      <c r="O25" s="1">
        <f t="shared" si="0"/>
        <v>0</v>
      </c>
      <c r="P25" s="2" t="str">
        <f>IF(O25=0,"",_xlfn.XLOOKUP(D25,'1月份计划'!A:A,'1月份计划'!A:A,"计划表需添加"))</f>
        <v/>
      </c>
    </row>
    <row r="26" s="1" customFormat="1" ht="15" customHeight="1" spans="1:16">
      <c r="A26" s="12" t="s">
        <v>444</v>
      </c>
      <c r="B26" s="15" t="s">
        <v>445</v>
      </c>
      <c r="C26" s="12" t="s">
        <v>41</v>
      </c>
      <c r="D26" s="15" t="s">
        <v>502</v>
      </c>
      <c r="E26" s="12" t="s">
        <v>41</v>
      </c>
      <c r="F26" s="12" t="s">
        <v>443</v>
      </c>
      <c r="G26" s="12" t="s">
        <v>489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12" t="s">
        <v>489</v>
      </c>
      <c r="N26" s="37">
        <v>0</v>
      </c>
      <c r="O26" s="1">
        <f t="shared" si="0"/>
        <v>0</v>
      </c>
      <c r="P26" s="2" t="str">
        <f>IF(O26=0,"",_xlfn.XLOOKUP(D26,'1月份计划'!A:A,'1月份计划'!A:A,"计划表需添加"))</f>
        <v/>
      </c>
    </row>
    <row r="27" s="1" customFormat="1" ht="15" hidden="1" customHeight="1" spans="1:16">
      <c r="A27" s="8" t="s">
        <v>444</v>
      </c>
      <c r="B27" s="11" t="s">
        <v>445</v>
      </c>
      <c r="C27" s="8" t="s">
        <v>41</v>
      </c>
      <c r="D27" s="11" t="s">
        <v>452</v>
      </c>
      <c r="E27" s="8" t="s">
        <v>41</v>
      </c>
      <c r="F27" s="8" t="s">
        <v>443</v>
      </c>
      <c r="G27" s="8" t="s">
        <v>447</v>
      </c>
      <c r="H27" s="36">
        <v>5200.09</v>
      </c>
      <c r="I27" s="36">
        <v>0</v>
      </c>
      <c r="J27" s="36">
        <v>0</v>
      </c>
      <c r="K27" s="36">
        <v>0</v>
      </c>
      <c r="L27" s="36">
        <v>0</v>
      </c>
      <c r="M27" s="8" t="s">
        <v>447</v>
      </c>
      <c r="N27" s="36">
        <v>5200.09</v>
      </c>
      <c r="O27" s="1">
        <f t="shared" si="0"/>
        <v>5200.09</v>
      </c>
      <c r="P27" s="2" t="str">
        <f>IF(O27=0,"",_xlfn.XLOOKUP(D27,'1月份计划'!A:A,'1月份计划'!A:A,"计划表需添加"))</f>
        <v>计划表需添加</v>
      </c>
    </row>
    <row r="28" s="1" customFormat="1" ht="15" customHeight="1" spans="1:16">
      <c r="A28" s="8" t="s">
        <v>444</v>
      </c>
      <c r="B28" s="11" t="s">
        <v>445</v>
      </c>
      <c r="C28" s="8" t="s">
        <v>41</v>
      </c>
      <c r="D28" s="11" t="s">
        <v>312</v>
      </c>
      <c r="E28" s="8" t="s">
        <v>41</v>
      </c>
      <c r="F28" s="8" t="s">
        <v>443</v>
      </c>
      <c r="G28" s="8" t="s">
        <v>453</v>
      </c>
      <c r="H28" s="36">
        <v>6040.98</v>
      </c>
      <c r="I28" s="36">
        <v>0</v>
      </c>
      <c r="J28" s="36">
        <v>0</v>
      </c>
      <c r="K28" s="36">
        <v>4010.54</v>
      </c>
      <c r="L28" s="36">
        <v>-6040.98</v>
      </c>
      <c r="M28" s="8" t="s">
        <v>453</v>
      </c>
      <c r="N28" s="36">
        <v>6040.98</v>
      </c>
      <c r="O28" s="1">
        <f t="shared" si="0"/>
        <v>-6040.98</v>
      </c>
      <c r="P28" s="2" t="str">
        <f>IF(O28=0,"",_xlfn.XLOOKUP(D28,'1月份计划'!A:A,'1月份计划'!A:A,"计划表需添加"))</f>
        <v>沧州旭兴五金制品有限公司</v>
      </c>
    </row>
    <row r="29" s="1" customFormat="1" ht="15" customHeight="1" spans="1:16">
      <c r="A29" s="12" t="s">
        <v>444</v>
      </c>
      <c r="B29" s="15" t="s">
        <v>445</v>
      </c>
      <c r="C29" s="12" t="s">
        <v>41</v>
      </c>
      <c r="D29" s="15" t="s">
        <v>503</v>
      </c>
      <c r="E29" s="12" t="s">
        <v>41</v>
      </c>
      <c r="F29" s="12" t="s">
        <v>443</v>
      </c>
      <c r="G29" s="12" t="s">
        <v>489</v>
      </c>
      <c r="H29" s="37">
        <v>0</v>
      </c>
      <c r="I29" s="37">
        <v>0</v>
      </c>
      <c r="J29" s="37">
        <v>0</v>
      </c>
      <c r="K29" s="37">
        <v>0</v>
      </c>
      <c r="L29" s="37">
        <v>0</v>
      </c>
      <c r="M29" s="12" t="s">
        <v>489</v>
      </c>
      <c r="N29" s="37">
        <v>0</v>
      </c>
      <c r="O29" s="1">
        <f t="shared" si="0"/>
        <v>0</v>
      </c>
      <c r="P29" s="2" t="str">
        <f>IF(O29=0,"",_xlfn.XLOOKUP(D29,'1月份计划'!A:A,'1月份计划'!A:A,"计划表需添加"))</f>
        <v/>
      </c>
    </row>
    <row r="30" s="1" customFormat="1" ht="15" customHeight="1" spans="1:16">
      <c r="A30" s="8" t="s">
        <v>444</v>
      </c>
      <c r="B30" s="11" t="s">
        <v>445</v>
      </c>
      <c r="C30" s="8" t="s">
        <v>41</v>
      </c>
      <c r="D30" s="11" t="s">
        <v>280</v>
      </c>
      <c r="E30" s="8" t="s">
        <v>41</v>
      </c>
      <c r="F30" s="8" t="s">
        <v>443</v>
      </c>
      <c r="G30" s="8" t="s">
        <v>447</v>
      </c>
      <c r="H30" s="36">
        <v>168822</v>
      </c>
      <c r="I30" s="36">
        <v>0</v>
      </c>
      <c r="J30" s="36">
        <v>0</v>
      </c>
      <c r="K30" s="36">
        <v>0</v>
      </c>
      <c r="L30" s="36">
        <v>36216.5</v>
      </c>
      <c r="M30" s="8" t="s">
        <v>447</v>
      </c>
      <c r="N30" s="36">
        <v>168822</v>
      </c>
      <c r="O30" s="1">
        <f t="shared" si="0"/>
        <v>168822</v>
      </c>
      <c r="P30" s="2" t="str">
        <f>IF(O30=0,"",_xlfn.XLOOKUP(D30,'1月份计划'!A:A,'1月份计划'!A:A,"计划表需添加"))</f>
        <v>文安县德实汽车配件有限公司</v>
      </c>
    </row>
    <row r="31" s="1" customFormat="1" ht="15" customHeight="1" spans="1:16">
      <c r="A31" s="12" t="s">
        <v>444</v>
      </c>
      <c r="B31" s="15" t="s">
        <v>445</v>
      </c>
      <c r="C31" s="12" t="s">
        <v>41</v>
      </c>
      <c r="D31" s="15" t="s">
        <v>504</v>
      </c>
      <c r="E31" s="12" t="s">
        <v>41</v>
      </c>
      <c r="F31" s="12" t="s">
        <v>443</v>
      </c>
      <c r="G31" s="12" t="s">
        <v>489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12" t="s">
        <v>489</v>
      </c>
      <c r="N31" s="37">
        <v>0</v>
      </c>
      <c r="O31" s="1">
        <f t="shared" si="0"/>
        <v>0</v>
      </c>
      <c r="P31" s="2" t="str">
        <f>IF(O31=0,"",_xlfn.XLOOKUP(D31,'1月份计划'!A:A,'1月份计划'!A:A,"计划表需添加"))</f>
        <v/>
      </c>
    </row>
    <row r="32" s="1" customFormat="1" ht="15" customHeight="1" spans="1:16">
      <c r="A32" s="8" t="s">
        <v>444</v>
      </c>
      <c r="B32" s="11" t="s">
        <v>445</v>
      </c>
      <c r="C32" s="8" t="s">
        <v>41</v>
      </c>
      <c r="D32" s="11" t="s">
        <v>246</v>
      </c>
      <c r="E32" s="8" t="s">
        <v>41</v>
      </c>
      <c r="F32" s="8" t="s">
        <v>443</v>
      </c>
      <c r="G32" s="8" t="s">
        <v>447</v>
      </c>
      <c r="H32" s="36">
        <v>129030.41</v>
      </c>
      <c r="I32" s="36">
        <v>0</v>
      </c>
      <c r="J32" s="36">
        <v>0</v>
      </c>
      <c r="K32" s="36">
        <v>150000</v>
      </c>
      <c r="L32" s="36">
        <v>75095.26</v>
      </c>
      <c r="M32" s="8" t="s">
        <v>447</v>
      </c>
      <c r="N32" s="36">
        <v>129030.41</v>
      </c>
      <c r="O32" s="1">
        <f t="shared" si="0"/>
        <v>129030.41</v>
      </c>
      <c r="P32" s="2" t="str">
        <f>IF(O32=0,"",_xlfn.XLOOKUP(D32,'1月份计划'!A:A,'1月份计划'!A:A,"计划表需添加"))</f>
        <v>廊坊市烁鑫汽车配件有限公司</v>
      </c>
    </row>
    <row r="33" s="1" customFormat="1" ht="15" customHeight="1" spans="1:16">
      <c r="A33" s="12" t="s">
        <v>444</v>
      </c>
      <c r="B33" s="15" t="s">
        <v>445</v>
      </c>
      <c r="C33" s="12" t="s">
        <v>41</v>
      </c>
      <c r="D33" s="15" t="s">
        <v>505</v>
      </c>
      <c r="E33" s="12" t="s">
        <v>41</v>
      </c>
      <c r="F33" s="12" t="s">
        <v>443</v>
      </c>
      <c r="G33" s="12" t="s">
        <v>489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12" t="s">
        <v>489</v>
      </c>
      <c r="N33" s="37">
        <v>0</v>
      </c>
      <c r="O33" s="1">
        <f t="shared" si="0"/>
        <v>0</v>
      </c>
      <c r="P33" s="2" t="str">
        <f>IF(O33=0,"",_xlfn.XLOOKUP(D33,'1月份计划'!A:A,'1月份计划'!A:A,"计划表需添加"))</f>
        <v/>
      </c>
    </row>
    <row r="34" s="1" customFormat="1" ht="15" customHeight="1" spans="1:16">
      <c r="A34" s="12" t="s">
        <v>444</v>
      </c>
      <c r="B34" s="15" t="s">
        <v>445</v>
      </c>
      <c r="C34" s="12" t="s">
        <v>41</v>
      </c>
      <c r="D34" s="15" t="s">
        <v>506</v>
      </c>
      <c r="E34" s="12" t="s">
        <v>41</v>
      </c>
      <c r="F34" s="12" t="s">
        <v>443</v>
      </c>
      <c r="G34" s="12" t="s">
        <v>489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12" t="s">
        <v>489</v>
      </c>
      <c r="N34" s="37">
        <v>0</v>
      </c>
      <c r="O34" s="1">
        <f t="shared" si="0"/>
        <v>0</v>
      </c>
      <c r="P34" s="2" t="str">
        <f>IF(O34=0,"",_xlfn.XLOOKUP(D34,'1月份计划'!A:A,'1月份计划'!A:A,"计划表需添加"))</f>
        <v/>
      </c>
    </row>
    <row r="35" s="1" customFormat="1" ht="15" customHeight="1" spans="1:16">
      <c r="A35" s="8" t="s">
        <v>444</v>
      </c>
      <c r="B35" s="11" t="s">
        <v>445</v>
      </c>
      <c r="C35" s="8" t="s">
        <v>41</v>
      </c>
      <c r="D35" s="11" t="s">
        <v>507</v>
      </c>
      <c r="E35" s="8" t="s">
        <v>41</v>
      </c>
      <c r="F35" s="8" t="s">
        <v>443</v>
      </c>
      <c r="G35" s="8" t="s">
        <v>489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8" t="s">
        <v>489</v>
      </c>
      <c r="N35" s="36">
        <v>0</v>
      </c>
      <c r="O35" s="1">
        <f t="shared" si="0"/>
        <v>0</v>
      </c>
      <c r="P35" s="2" t="str">
        <f>IF(O35=0,"",_xlfn.XLOOKUP(D35,'1月份计划'!A:A,'1月份计划'!A:A,"计划表需添加"))</f>
        <v/>
      </c>
    </row>
    <row r="36" s="1" customFormat="1" ht="15" customHeight="1" spans="1:16">
      <c r="A36" s="12" t="s">
        <v>444</v>
      </c>
      <c r="B36" s="15" t="s">
        <v>445</v>
      </c>
      <c r="C36" s="12" t="s">
        <v>41</v>
      </c>
      <c r="D36" s="15" t="s">
        <v>508</v>
      </c>
      <c r="E36" s="12" t="s">
        <v>41</v>
      </c>
      <c r="F36" s="12" t="s">
        <v>443</v>
      </c>
      <c r="G36" s="12" t="s">
        <v>489</v>
      </c>
      <c r="H36" s="37">
        <v>0</v>
      </c>
      <c r="I36" s="37">
        <v>0</v>
      </c>
      <c r="J36" s="37">
        <v>0</v>
      </c>
      <c r="K36" s="37">
        <v>0</v>
      </c>
      <c r="L36" s="37">
        <v>0</v>
      </c>
      <c r="M36" s="12" t="s">
        <v>489</v>
      </c>
      <c r="N36" s="37">
        <v>0</v>
      </c>
      <c r="O36" s="1">
        <f t="shared" si="0"/>
        <v>0</v>
      </c>
      <c r="P36" s="2" t="str">
        <f>IF(O36=0,"",_xlfn.XLOOKUP(D36,'1月份计划'!A:A,'1月份计划'!A:A,"计划表需添加"))</f>
        <v/>
      </c>
    </row>
    <row r="37" s="1" customFormat="1" ht="15" customHeight="1" spans="1:16">
      <c r="A37" s="8" t="s">
        <v>444</v>
      </c>
      <c r="B37" s="11" t="s">
        <v>445</v>
      </c>
      <c r="C37" s="8" t="s">
        <v>41</v>
      </c>
      <c r="D37" s="11" t="s">
        <v>247</v>
      </c>
      <c r="E37" s="8" t="s">
        <v>41</v>
      </c>
      <c r="F37" s="8" t="s">
        <v>443</v>
      </c>
      <c r="G37" s="8" t="s">
        <v>447</v>
      </c>
      <c r="H37" s="36">
        <v>15068.27</v>
      </c>
      <c r="I37" s="36">
        <v>0</v>
      </c>
      <c r="J37" s="36">
        <v>0</v>
      </c>
      <c r="K37" s="36">
        <v>24909.61</v>
      </c>
      <c r="L37" s="36">
        <v>0</v>
      </c>
      <c r="M37" s="8" t="s">
        <v>447</v>
      </c>
      <c r="N37" s="36">
        <v>15068.27</v>
      </c>
      <c r="O37" s="1">
        <f t="shared" si="0"/>
        <v>15068.27</v>
      </c>
      <c r="P37" s="2" t="str">
        <f>IF(O37=0,"",_xlfn.XLOOKUP(D37,'1月份计划'!A:A,'1月份计划'!A:A,"计划表需添加"))</f>
        <v>黄骅市汇铭汽车部件有限公司</v>
      </c>
    </row>
    <row r="38" s="1" customFormat="1" ht="15" customHeight="1" spans="1:16">
      <c r="A38" s="12" t="s">
        <v>444</v>
      </c>
      <c r="B38" s="15" t="s">
        <v>445</v>
      </c>
      <c r="C38" s="12" t="s">
        <v>41</v>
      </c>
      <c r="D38" s="15" t="s">
        <v>509</v>
      </c>
      <c r="E38" s="12" t="s">
        <v>41</v>
      </c>
      <c r="F38" s="12" t="s">
        <v>443</v>
      </c>
      <c r="G38" s="12" t="s">
        <v>489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12" t="s">
        <v>489</v>
      </c>
      <c r="N38" s="37">
        <v>0</v>
      </c>
      <c r="O38" s="1">
        <f t="shared" si="0"/>
        <v>0</v>
      </c>
      <c r="P38" s="2" t="str">
        <f>IF(O38=0,"",_xlfn.XLOOKUP(D38,'1月份计划'!A:A,'1月份计划'!A:A,"计划表需添加"))</f>
        <v/>
      </c>
    </row>
    <row r="39" s="1" customFormat="1" ht="15" customHeight="1" spans="1:16">
      <c r="A39" s="12" t="s">
        <v>444</v>
      </c>
      <c r="B39" s="15" t="s">
        <v>445</v>
      </c>
      <c r="C39" s="12" t="s">
        <v>41</v>
      </c>
      <c r="D39" s="15" t="s">
        <v>510</v>
      </c>
      <c r="E39" s="12" t="s">
        <v>41</v>
      </c>
      <c r="F39" s="12" t="s">
        <v>443</v>
      </c>
      <c r="G39" s="12" t="s">
        <v>489</v>
      </c>
      <c r="H39" s="37">
        <v>0</v>
      </c>
      <c r="I39" s="37">
        <v>0</v>
      </c>
      <c r="J39" s="37">
        <v>0</v>
      </c>
      <c r="K39" s="37">
        <v>0</v>
      </c>
      <c r="L39" s="37">
        <v>0</v>
      </c>
      <c r="M39" s="12" t="s">
        <v>489</v>
      </c>
      <c r="N39" s="37">
        <v>0</v>
      </c>
      <c r="O39" s="1">
        <f t="shared" si="0"/>
        <v>0</v>
      </c>
      <c r="P39" s="2" t="str">
        <f>IF(O39=0,"",_xlfn.XLOOKUP(D39,'1月份计划'!A:A,'1月份计划'!A:A,"计划表需添加"))</f>
        <v/>
      </c>
    </row>
    <row r="40" s="1" customFormat="1" ht="15" customHeight="1" spans="1:16">
      <c r="A40" s="12" t="s">
        <v>444</v>
      </c>
      <c r="B40" s="15" t="s">
        <v>445</v>
      </c>
      <c r="C40" s="12" t="s">
        <v>41</v>
      </c>
      <c r="D40" s="15" t="s">
        <v>248</v>
      </c>
      <c r="E40" s="12" t="s">
        <v>41</v>
      </c>
      <c r="F40" s="12" t="s">
        <v>443</v>
      </c>
      <c r="G40" s="12" t="s">
        <v>447</v>
      </c>
      <c r="H40" s="37">
        <v>754195</v>
      </c>
      <c r="I40" s="37">
        <v>0</v>
      </c>
      <c r="J40" s="37">
        <v>0</v>
      </c>
      <c r="K40" s="37">
        <v>624161.36</v>
      </c>
      <c r="L40" s="37">
        <v>520134.48</v>
      </c>
      <c r="M40" s="12" t="s">
        <v>447</v>
      </c>
      <c r="N40" s="37">
        <v>754195</v>
      </c>
      <c r="O40" s="1">
        <f t="shared" si="0"/>
        <v>754195</v>
      </c>
      <c r="P40" s="2" t="str">
        <f>IF(O40=0,"",_xlfn.XLOOKUP(D40,'1月份计划'!A:A,'1月份计划'!A:A,"计划表需添加"))</f>
        <v>上海明芳汽车零件有限公司</v>
      </c>
    </row>
    <row r="41" s="1" customFormat="1" ht="15" customHeight="1" spans="1:16">
      <c r="A41" s="12" t="s">
        <v>444</v>
      </c>
      <c r="B41" s="15" t="s">
        <v>445</v>
      </c>
      <c r="C41" s="12" t="s">
        <v>41</v>
      </c>
      <c r="D41" s="15" t="s">
        <v>511</v>
      </c>
      <c r="E41" s="12" t="s">
        <v>41</v>
      </c>
      <c r="F41" s="12" t="s">
        <v>443</v>
      </c>
      <c r="G41" s="12" t="s">
        <v>489</v>
      </c>
      <c r="H41" s="37">
        <v>0</v>
      </c>
      <c r="I41" s="37">
        <v>0</v>
      </c>
      <c r="J41" s="37">
        <v>0</v>
      </c>
      <c r="K41" s="37">
        <v>0</v>
      </c>
      <c r="L41" s="37">
        <v>0</v>
      </c>
      <c r="M41" s="12" t="s">
        <v>489</v>
      </c>
      <c r="N41" s="37">
        <v>0</v>
      </c>
      <c r="O41" s="1">
        <f t="shared" si="0"/>
        <v>0</v>
      </c>
      <c r="P41" s="2" t="str">
        <f>IF(O41=0,"",_xlfn.XLOOKUP(D41,'1月份计划'!A:A,'1月份计划'!A:A,"计划表需添加"))</f>
        <v/>
      </c>
    </row>
    <row r="42" s="1" customFormat="1" ht="15" customHeight="1" spans="1:16">
      <c r="A42" s="8" t="s">
        <v>444</v>
      </c>
      <c r="B42" s="11" t="s">
        <v>445</v>
      </c>
      <c r="C42" s="8" t="s">
        <v>41</v>
      </c>
      <c r="D42" s="11" t="s">
        <v>279</v>
      </c>
      <c r="E42" s="8" t="s">
        <v>41</v>
      </c>
      <c r="F42" s="8" t="s">
        <v>443</v>
      </c>
      <c r="G42" s="8" t="s">
        <v>447</v>
      </c>
      <c r="H42" s="36">
        <v>13932.9</v>
      </c>
      <c r="I42" s="36">
        <v>0</v>
      </c>
      <c r="J42" s="36">
        <v>0</v>
      </c>
      <c r="K42" s="36">
        <v>0</v>
      </c>
      <c r="L42" s="36">
        <v>0</v>
      </c>
      <c r="M42" s="8" t="s">
        <v>447</v>
      </c>
      <c r="N42" s="36">
        <v>13932.9</v>
      </c>
      <c r="O42" s="1">
        <f t="shared" si="0"/>
        <v>13932.9</v>
      </c>
      <c r="P42" s="2" t="str">
        <f>IF(O42=0,"",_xlfn.XLOOKUP(D42,'1月份计划'!A:A,'1月份计划'!A:A,"计划表需添加"))</f>
        <v>上海秉直精密机械有限公司</v>
      </c>
    </row>
    <row r="43" s="1" customFormat="1" ht="15" customHeight="1" spans="1:16">
      <c r="A43" s="12" t="s">
        <v>444</v>
      </c>
      <c r="B43" s="15" t="s">
        <v>445</v>
      </c>
      <c r="C43" s="12" t="s">
        <v>41</v>
      </c>
      <c r="D43" s="15" t="s">
        <v>512</v>
      </c>
      <c r="E43" s="12" t="s">
        <v>41</v>
      </c>
      <c r="F43" s="12" t="s">
        <v>443</v>
      </c>
      <c r="G43" s="12" t="s">
        <v>489</v>
      </c>
      <c r="H43" s="37">
        <v>0</v>
      </c>
      <c r="I43" s="37">
        <v>0</v>
      </c>
      <c r="J43" s="37">
        <v>0</v>
      </c>
      <c r="K43" s="37">
        <v>0</v>
      </c>
      <c r="L43" s="37">
        <v>0</v>
      </c>
      <c r="M43" s="12" t="s">
        <v>489</v>
      </c>
      <c r="N43" s="37">
        <v>0</v>
      </c>
      <c r="O43" s="1">
        <f t="shared" si="0"/>
        <v>0</v>
      </c>
      <c r="P43" s="2" t="str">
        <f>IF(O43=0,"",_xlfn.XLOOKUP(D43,'1月份计划'!A:A,'1月份计划'!A:A,"计划表需添加"))</f>
        <v/>
      </c>
    </row>
    <row r="44" s="1" customFormat="1" ht="15" customHeight="1" spans="1:16">
      <c r="A44" s="8" t="s">
        <v>444</v>
      </c>
      <c r="B44" s="11" t="s">
        <v>445</v>
      </c>
      <c r="C44" s="8" t="s">
        <v>41</v>
      </c>
      <c r="D44" s="11" t="s">
        <v>249</v>
      </c>
      <c r="E44" s="8" t="s">
        <v>41</v>
      </c>
      <c r="F44" s="8" t="s">
        <v>443</v>
      </c>
      <c r="G44" s="8" t="s">
        <v>447</v>
      </c>
      <c r="H44" s="36">
        <v>798845.31</v>
      </c>
      <c r="I44" s="36">
        <v>0</v>
      </c>
      <c r="J44" s="36">
        <v>0</v>
      </c>
      <c r="K44" s="36">
        <v>500000</v>
      </c>
      <c r="L44" s="36">
        <v>442481.63</v>
      </c>
      <c r="M44" s="8" t="s">
        <v>447</v>
      </c>
      <c r="N44" s="36">
        <v>798845.31</v>
      </c>
      <c r="O44" s="1">
        <f t="shared" si="0"/>
        <v>798845.31</v>
      </c>
      <c r="P44" s="2" t="str">
        <f>IF(O44=0,"",_xlfn.XLOOKUP(D44,'1月份计划'!A:A,'1月份计划'!A:A,"计划表需添加"))</f>
        <v>江苏力乐汽车部件股份有限公司</v>
      </c>
    </row>
    <row r="45" s="1" customFormat="1" ht="15" customHeight="1" spans="1:16">
      <c r="A45" s="12" t="s">
        <v>444</v>
      </c>
      <c r="B45" s="15" t="s">
        <v>445</v>
      </c>
      <c r="C45" s="12" t="s">
        <v>41</v>
      </c>
      <c r="D45" s="15" t="s">
        <v>417</v>
      </c>
      <c r="E45" s="12" t="s">
        <v>41</v>
      </c>
      <c r="F45" s="12" t="s">
        <v>443</v>
      </c>
      <c r="G45" s="12" t="s">
        <v>447</v>
      </c>
      <c r="H45" s="37">
        <v>69562.26</v>
      </c>
      <c r="I45" s="37">
        <v>0</v>
      </c>
      <c r="J45" s="37">
        <v>0</v>
      </c>
      <c r="K45" s="37">
        <v>0</v>
      </c>
      <c r="L45" s="37">
        <v>68352.16</v>
      </c>
      <c r="M45" s="12" t="s">
        <v>447</v>
      </c>
      <c r="N45" s="37">
        <v>69562.26</v>
      </c>
      <c r="O45" s="1">
        <f t="shared" si="0"/>
        <v>69562.26</v>
      </c>
      <c r="P45" s="2" t="str">
        <f>IF(O45=0,"",_xlfn.XLOOKUP(D45,'1月份计划'!A:A,'1月份计划'!A:A,"计划表需添加"))</f>
        <v>太航常青汽车安全系统(苏州)股</v>
      </c>
    </row>
    <row r="46" s="1" customFormat="1" ht="15" customHeight="1" spans="1:16">
      <c r="A46" s="8" t="s">
        <v>444</v>
      </c>
      <c r="B46" s="11" t="s">
        <v>445</v>
      </c>
      <c r="C46" s="8" t="s">
        <v>41</v>
      </c>
      <c r="D46" s="11" t="s">
        <v>250</v>
      </c>
      <c r="E46" s="8" t="s">
        <v>41</v>
      </c>
      <c r="F46" s="8" t="s">
        <v>443</v>
      </c>
      <c r="G46" s="8" t="s">
        <v>447</v>
      </c>
      <c r="H46" s="36">
        <v>736769.84</v>
      </c>
      <c r="I46" s="36">
        <v>0</v>
      </c>
      <c r="J46" s="36">
        <v>0</v>
      </c>
      <c r="K46" s="36">
        <v>500000</v>
      </c>
      <c r="L46" s="36">
        <v>332887.93</v>
      </c>
      <c r="M46" s="8" t="s">
        <v>447</v>
      </c>
      <c r="N46" s="36">
        <v>736769.84</v>
      </c>
      <c r="O46" s="1">
        <f t="shared" si="0"/>
        <v>736769.84</v>
      </c>
      <c r="P46" s="2" t="str">
        <f>IF(O46=0,"",_xlfn.XLOOKUP(D46,'1月份计划'!A:A,'1月份计划'!A:A,"计划表需添加"))</f>
        <v>溧阳鑫岩汽车零部件有限公司</v>
      </c>
    </row>
    <row r="47" s="1" customFormat="1" ht="15" customHeight="1" spans="1:16">
      <c r="A47" s="12" t="s">
        <v>444</v>
      </c>
      <c r="B47" s="15" t="s">
        <v>445</v>
      </c>
      <c r="C47" s="12" t="s">
        <v>41</v>
      </c>
      <c r="D47" s="15" t="s">
        <v>311</v>
      </c>
      <c r="E47" s="12" t="s">
        <v>41</v>
      </c>
      <c r="F47" s="12" t="s">
        <v>443</v>
      </c>
      <c r="G47" s="12" t="s">
        <v>447</v>
      </c>
      <c r="H47" s="37">
        <v>88818.1</v>
      </c>
      <c r="I47" s="37">
        <v>0</v>
      </c>
      <c r="J47" s="37">
        <v>0</v>
      </c>
      <c r="K47" s="37">
        <v>0</v>
      </c>
      <c r="L47" s="37">
        <v>88818</v>
      </c>
      <c r="M47" s="12" t="s">
        <v>447</v>
      </c>
      <c r="N47" s="37">
        <v>88818.1</v>
      </c>
      <c r="O47" s="1">
        <f t="shared" si="0"/>
        <v>88818.1</v>
      </c>
      <c r="P47" s="2" t="str">
        <f>IF(O47=0,"",_xlfn.XLOOKUP(D47,'1月份计划'!A:A,'1月份计划'!A:A,"计划表需添加"))</f>
        <v>江苏全盛座舱技术股份有限公司</v>
      </c>
    </row>
    <row r="48" s="1" customFormat="1" ht="15" customHeight="1" spans="1:16">
      <c r="A48" s="8" t="s">
        <v>444</v>
      </c>
      <c r="B48" s="11" t="s">
        <v>445</v>
      </c>
      <c r="C48" s="8" t="s">
        <v>41</v>
      </c>
      <c r="D48" s="11" t="s">
        <v>513</v>
      </c>
      <c r="E48" s="8" t="s">
        <v>41</v>
      </c>
      <c r="F48" s="8" t="s">
        <v>443</v>
      </c>
      <c r="G48" s="8" t="s">
        <v>489</v>
      </c>
      <c r="H48" s="36">
        <v>0</v>
      </c>
      <c r="I48" s="36">
        <v>0</v>
      </c>
      <c r="J48" s="36">
        <v>0</v>
      </c>
      <c r="K48" s="36">
        <v>0</v>
      </c>
      <c r="L48" s="36">
        <v>0</v>
      </c>
      <c r="M48" s="8" t="s">
        <v>489</v>
      </c>
      <c r="N48" s="36">
        <v>0</v>
      </c>
      <c r="O48" s="1">
        <f t="shared" si="0"/>
        <v>0</v>
      </c>
      <c r="P48" s="2" t="str">
        <f>IF(O48=0,"",_xlfn.XLOOKUP(D48,'1月份计划'!A:A,'1月份计划'!A:A,"计划表需添加"))</f>
        <v/>
      </c>
    </row>
    <row r="49" s="1" customFormat="1" ht="15" customHeight="1" spans="1:16">
      <c r="A49" s="12" t="s">
        <v>444</v>
      </c>
      <c r="B49" s="15" t="s">
        <v>445</v>
      </c>
      <c r="C49" s="12" t="s">
        <v>41</v>
      </c>
      <c r="D49" s="15" t="s">
        <v>514</v>
      </c>
      <c r="E49" s="12" t="s">
        <v>41</v>
      </c>
      <c r="F49" s="12" t="s">
        <v>443</v>
      </c>
      <c r="G49" s="12" t="s">
        <v>489</v>
      </c>
      <c r="H49" s="37">
        <v>0</v>
      </c>
      <c r="I49" s="37">
        <v>0</v>
      </c>
      <c r="J49" s="37">
        <v>0</v>
      </c>
      <c r="K49" s="37">
        <v>0</v>
      </c>
      <c r="L49" s="37">
        <v>0</v>
      </c>
      <c r="M49" s="12" t="s">
        <v>489</v>
      </c>
      <c r="N49" s="37">
        <v>0</v>
      </c>
      <c r="O49" s="1">
        <f t="shared" si="0"/>
        <v>0</v>
      </c>
      <c r="P49" s="2" t="str">
        <f>IF(O49=0,"",_xlfn.XLOOKUP(D49,'1月份计划'!A:A,'1月份计划'!A:A,"计划表需添加"))</f>
        <v/>
      </c>
    </row>
    <row r="50" s="1" customFormat="1" ht="15" customHeight="1" spans="1:16">
      <c r="A50" s="8" t="s">
        <v>444</v>
      </c>
      <c r="B50" s="11" t="s">
        <v>445</v>
      </c>
      <c r="C50" s="8" t="s">
        <v>41</v>
      </c>
      <c r="D50" s="11" t="s">
        <v>310</v>
      </c>
      <c r="E50" s="8" t="s">
        <v>41</v>
      </c>
      <c r="F50" s="8" t="s">
        <v>443</v>
      </c>
      <c r="G50" s="8" t="s">
        <v>489</v>
      </c>
      <c r="H50" s="36">
        <v>0</v>
      </c>
      <c r="I50" s="36">
        <v>0</v>
      </c>
      <c r="J50" s="36">
        <v>0</v>
      </c>
      <c r="K50" s="36">
        <v>18956.52</v>
      </c>
      <c r="L50" s="36">
        <v>0</v>
      </c>
      <c r="M50" s="8" t="s">
        <v>489</v>
      </c>
      <c r="N50" s="36">
        <v>0</v>
      </c>
      <c r="O50" s="1">
        <f t="shared" si="0"/>
        <v>0</v>
      </c>
      <c r="P50" s="2" t="str">
        <f>IF(O50=0,"",_xlfn.XLOOKUP(D50,'1月份计划'!A:A,'1月份计划'!A:A,"计划表需添加"))</f>
        <v/>
      </c>
    </row>
    <row r="51" s="1" customFormat="1" ht="15" customHeight="1" spans="1:16">
      <c r="A51" s="12" t="s">
        <v>444</v>
      </c>
      <c r="B51" s="15" t="s">
        <v>445</v>
      </c>
      <c r="C51" s="12" t="s">
        <v>41</v>
      </c>
      <c r="D51" s="15" t="s">
        <v>298</v>
      </c>
      <c r="E51" s="12" t="s">
        <v>41</v>
      </c>
      <c r="F51" s="12" t="s">
        <v>443</v>
      </c>
      <c r="G51" s="12" t="s">
        <v>447</v>
      </c>
      <c r="H51" s="37">
        <v>266678.72</v>
      </c>
      <c r="I51" s="37">
        <v>0</v>
      </c>
      <c r="J51" s="37">
        <v>0</v>
      </c>
      <c r="K51" s="37">
        <v>110000</v>
      </c>
      <c r="L51" s="37">
        <v>181993.28</v>
      </c>
      <c r="M51" s="12" t="s">
        <v>447</v>
      </c>
      <c r="N51" s="37">
        <v>266678.72</v>
      </c>
      <c r="O51" s="1">
        <f t="shared" si="0"/>
        <v>266678.72</v>
      </c>
      <c r="P51" s="2" t="str">
        <f>IF(O51=0,"",_xlfn.XLOOKUP(D51,'1月份计划'!A:A,'1月份计划'!A:A,"计划表需添加"))</f>
        <v>浙江华悦汽车零部件股份有限公</v>
      </c>
    </row>
    <row r="52" s="1" customFormat="1" ht="15" customHeight="1" spans="1:16">
      <c r="A52" s="12" t="s">
        <v>444</v>
      </c>
      <c r="B52" s="15" t="s">
        <v>445</v>
      </c>
      <c r="C52" s="12" t="s">
        <v>41</v>
      </c>
      <c r="D52" s="15" t="s">
        <v>515</v>
      </c>
      <c r="E52" s="12" t="s">
        <v>41</v>
      </c>
      <c r="F52" s="12" t="s">
        <v>443</v>
      </c>
      <c r="G52" s="12" t="s">
        <v>489</v>
      </c>
      <c r="H52" s="37">
        <v>0</v>
      </c>
      <c r="I52" s="37">
        <v>0</v>
      </c>
      <c r="J52" s="37">
        <v>0</v>
      </c>
      <c r="K52" s="37">
        <v>0</v>
      </c>
      <c r="L52" s="37">
        <v>0</v>
      </c>
      <c r="M52" s="12" t="s">
        <v>489</v>
      </c>
      <c r="N52" s="37">
        <v>0</v>
      </c>
      <c r="O52" s="1">
        <f t="shared" si="0"/>
        <v>0</v>
      </c>
      <c r="P52" s="2" t="str">
        <f>IF(O52=0,"",_xlfn.XLOOKUP(D52,'1月份计划'!A:A,'1月份计划'!A:A,"计划表需添加"))</f>
        <v/>
      </c>
    </row>
    <row r="53" s="1" customFormat="1" ht="15" customHeight="1" spans="1:16">
      <c r="A53" s="8" t="s">
        <v>444</v>
      </c>
      <c r="B53" s="11" t="s">
        <v>445</v>
      </c>
      <c r="C53" s="8" t="s">
        <v>41</v>
      </c>
      <c r="D53" s="11" t="s">
        <v>516</v>
      </c>
      <c r="E53" s="8" t="s">
        <v>41</v>
      </c>
      <c r="F53" s="8" t="s">
        <v>443</v>
      </c>
      <c r="G53" s="8" t="s">
        <v>489</v>
      </c>
      <c r="H53" s="36">
        <v>0</v>
      </c>
      <c r="I53" s="36">
        <v>0</v>
      </c>
      <c r="J53" s="36">
        <v>0</v>
      </c>
      <c r="K53" s="36">
        <v>0</v>
      </c>
      <c r="L53" s="36">
        <v>0</v>
      </c>
      <c r="M53" s="8" t="s">
        <v>489</v>
      </c>
      <c r="N53" s="36">
        <v>0</v>
      </c>
      <c r="O53" s="1">
        <f t="shared" si="0"/>
        <v>0</v>
      </c>
      <c r="P53" s="2" t="str">
        <f>IF(O53=0,"",_xlfn.XLOOKUP(D53,'1月份计划'!A:A,'1月份计划'!A:A,"计划表需添加"))</f>
        <v/>
      </c>
    </row>
    <row r="54" s="1" customFormat="1" ht="15" customHeight="1" spans="1:16">
      <c r="A54" s="12" t="s">
        <v>444</v>
      </c>
      <c r="B54" s="15" t="s">
        <v>445</v>
      </c>
      <c r="C54" s="12" t="s">
        <v>41</v>
      </c>
      <c r="D54" s="15" t="s">
        <v>517</v>
      </c>
      <c r="E54" s="12" t="s">
        <v>41</v>
      </c>
      <c r="F54" s="12" t="s">
        <v>443</v>
      </c>
      <c r="G54" s="12" t="s">
        <v>489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12" t="s">
        <v>489</v>
      </c>
      <c r="N54" s="37">
        <v>0</v>
      </c>
      <c r="O54" s="1">
        <f t="shared" si="0"/>
        <v>0</v>
      </c>
      <c r="P54" s="2" t="str">
        <f>IF(O54=0,"",_xlfn.XLOOKUP(D54,'1月份计划'!A:A,'1月份计划'!A:A,"计划表需添加"))</f>
        <v/>
      </c>
    </row>
    <row r="55" s="1" customFormat="1" ht="15" customHeight="1" spans="1:16">
      <c r="A55" s="8" t="s">
        <v>444</v>
      </c>
      <c r="B55" s="11" t="s">
        <v>445</v>
      </c>
      <c r="C55" s="8" t="s">
        <v>41</v>
      </c>
      <c r="D55" s="11" t="s">
        <v>518</v>
      </c>
      <c r="E55" s="8" t="s">
        <v>41</v>
      </c>
      <c r="F55" s="8" t="s">
        <v>443</v>
      </c>
      <c r="G55" s="8" t="s">
        <v>489</v>
      </c>
      <c r="H55" s="36">
        <v>0</v>
      </c>
      <c r="I55" s="36">
        <v>0</v>
      </c>
      <c r="J55" s="36">
        <v>0</v>
      </c>
      <c r="K55" s="36">
        <v>0</v>
      </c>
      <c r="L55" s="36">
        <v>0</v>
      </c>
      <c r="M55" s="8" t="s">
        <v>489</v>
      </c>
      <c r="N55" s="36">
        <v>0</v>
      </c>
      <c r="O55" s="1">
        <f t="shared" si="0"/>
        <v>0</v>
      </c>
      <c r="P55" s="2" t="str">
        <f>IF(O55=0,"",_xlfn.XLOOKUP(D55,'1月份计划'!A:A,'1月份计划'!A:A,"计划表需添加"))</f>
        <v/>
      </c>
    </row>
    <row r="56" s="1" customFormat="1" ht="15" customHeight="1" spans="1:16">
      <c r="A56" s="12" t="s">
        <v>444</v>
      </c>
      <c r="B56" s="15" t="s">
        <v>445</v>
      </c>
      <c r="C56" s="12" t="s">
        <v>41</v>
      </c>
      <c r="D56" s="15" t="s">
        <v>251</v>
      </c>
      <c r="E56" s="12" t="s">
        <v>41</v>
      </c>
      <c r="F56" s="12" t="s">
        <v>443</v>
      </c>
      <c r="G56" s="12" t="s">
        <v>447</v>
      </c>
      <c r="H56" s="37">
        <v>579096.13</v>
      </c>
      <c r="I56" s="37">
        <v>0</v>
      </c>
      <c r="J56" s="37">
        <v>0</v>
      </c>
      <c r="K56" s="37">
        <v>0</v>
      </c>
      <c r="L56" s="37">
        <v>401306</v>
      </c>
      <c r="M56" s="12" t="s">
        <v>447</v>
      </c>
      <c r="N56" s="37">
        <v>579096.13</v>
      </c>
      <c r="O56" s="1">
        <f t="shared" si="0"/>
        <v>579096.13</v>
      </c>
      <c r="P56" s="2" t="str">
        <f>IF(O56=0,"",_xlfn.XLOOKUP(D56,'1月份计划'!A:A,'1月份计划'!A:A,"计划表需添加"))</f>
        <v>厦门凯平化工有限公司</v>
      </c>
    </row>
    <row r="57" s="1" customFormat="1" ht="15" customHeight="1" spans="1:16">
      <c r="A57" s="8" t="s">
        <v>444</v>
      </c>
      <c r="B57" s="11" t="s">
        <v>445</v>
      </c>
      <c r="C57" s="8" t="s">
        <v>41</v>
      </c>
      <c r="D57" s="11" t="s">
        <v>519</v>
      </c>
      <c r="E57" s="8" t="s">
        <v>41</v>
      </c>
      <c r="F57" s="8" t="s">
        <v>443</v>
      </c>
      <c r="G57" s="8" t="s">
        <v>489</v>
      </c>
      <c r="H57" s="36">
        <v>0</v>
      </c>
      <c r="I57" s="36">
        <v>0</v>
      </c>
      <c r="J57" s="36">
        <v>0</v>
      </c>
      <c r="K57" s="36">
        <v>0</v>
      </c>
      <c r="L57" s="36">
        <v>0</v>
      </c>
      <c r="M57" s="8" t="s">
        <v>489</v>
      </c>
      <c r="N57" s="36">
        <v>0</v>
      </c>
      <c r="O57" s="1">
        <f t="shared" si="0"/>
        <v>0</v>
      </c>
      <c r="P57" s="2" t="str">
        <f>IF(O57=0,"",_xlfn.XLOOKUP(D57,'1月份计划'!A:A,'1月份计划'!A:A,"计划表需添加"))</f>
        <v/>
      </c>
    </row>
    <row r="58" s="1" customFormat="1" ht="15" customHeight="1" spans="1:16">
      <c r="A58" s="8" t="s">
        <v>444</v>
      </c>
      <c r="B58" s="11" t="s">
        <v>445</v>
      </c>
      <c r="C58" s="8" t="s">
        <v>41</v>
      </c>
      <c r="D58" s="11" t="s">
        <v>520</v>
      </c>
      <c r="E58" s="8" t="s">
        <v>41</v>
      </c>
      <c r="F58" s="8" t="s">
        <v>443</v>
      </c>
      <c r="G58" s="8" t="s">
        <v>489</v>
      </c>
      <c r="H58" s="36">
        <v>0</v>
      </c>
      <c r="I58" s="36">
        <v>0</v>
      </c>
      <c r="J58" s="36">
        <v>0</v>
      </c>
      <c r="K58" s="36">
        <v>0</v>
      </c>
      <c r="L58" s="36">
        <v>0</v>
      </c>
      <c r="M58" s="8" t="s">
        <v>489</v>
      </c>
      <c r="N58" s="36">
        <v>0</v>
      </c>
      <c r="O58" s="1">
        <f t="shared" si="0"/>
        <v>0</v>
      </c>
      <c r="P58" s="2" t="str">
        <f>IF(O58=0,"",_xlfn.XLOOKUP(D58,'1月份计划'!A:A,'1月份计划'!A:A,"计划表需添加"))</f>
        <v/>
      </c>
    </row>
    <row r="59" s="1" customFormat="1" ht="15" customHeight="1" spans="1:16">
      <c r="A59" s="8" t="s">
        <v>444</v>
      </c>
      <c r="B59" s="11" t="s">
        <v>445</v>
      </c>
      <c r="C59" s="8" t="s">
        <v>41</v>
      </c>
      <c r="D59" s="11" t="s">
        <v>521</v>
      </c>
      <c r="E59" s="8" t="s">
        <v>41</v>
      </c>
      <c r="F59" s="8" t="s">
        <v>443</v>
      </c>
      <c r="G59" s="8" t="s">
        <v>489</v>
      </c>
      <c r="H59" s="36">
        <v>0</v>
      </c>
      <c r="I59" s="36">
        <v>0</v>
      </c>
      <c r="J59" s="36">
        <v>0</v>
      </c>
      <c r="K59" s="36">
        <v>0</v>
      </c>
      <c r="L59" s="36">
        <v>0</v>
      </c>
      <c r="M59" s="8" t="s">
        <v>489</v>
      </c>
      <c r="N59" s="36">
        <v>0</v>
      </c>
      <c r="O59" s="1">
        <f t="shared" si="0"/>
        <v>0</v>
      </c>
      <c r="P59" s="2" t="str">
        <f>IF(O59=0,"",_xlfn.XLOOKUP(D59,'1月份计划'!A:A,'1月份计划'!A:A,"计划表需添加"))</f>
        <v/>
      </c>
    </row>
    <row r="60" s="1" customFormat="1" ht="15" customHeight="1" spans="1:16">
      <c r="A60" s="8" t="s">
        <v>444</v>
      </c>
      <c r="B60" s="11" t="s">
        <v>445</v>
      </c>
      <c r="C60" s="8" t="s">
        <v>41</v>
      </c>
      <c r="D60" s="11" t="s">
        <v>252</v>
      </c>
      <c r="E60" s="8" t="s">
        <v>41</v>
      </c>
      <c r="F60" s="8" t="s">
        <v>443</v>
      </c>
      <c r="G60" s="8" t="s">
        <v>447</v>
      </c>
      <c r="H60" s="36">
        <v>329534.44</v>
      </c>
      <c r="I60" s="36">
        <v>0</v>
      </c>
      <c r="J60" s="36">
        <v>0</v>
      </c>
      <c r="K60" s="36">
        <v>160000</v>
      </c>
      <c r="L60" s="36">
        <v>82996.78</v>
      </c>
      <c r="M60" s="8" t="s">
        <v>447</v>
      </c>
      <c r="N60" s="36">
        <v>329534.44</v>
      </c>
      <c r="O60" s="1">
        <f t="shared" si="0"/>
        <v>329534.44</v>
      </c>
      <c r="P60" s="2" t="str">
        <f>IF(O60=0,"",_xlfn.XLOOKUP(D60,'1月份计划'!A:A,'1月份计划'!A:A,"计划表需添加"))</f>
        <v>湖北伟士通汽车零件有限公司</v>
      </c>
    </row>
    <row r="61" s="1" customFormat="1" ht="15" customHeight="1" spans="1:16">
      <c r="A61" s="12" t="s">
        <v>444</v>
      </c>
      <c r="B61" s="15" t="s">
        <v>445</v>
      </c>
      <c r="C61" s="12" t="s">
        <v>41</v>
      </c>
      <c r="D61" s="15" t="s">
        <v>253</v>
      </c>
      <c r="E61" s="12" t="s">
        <v>41</v>
      </c>
      <c r="F61" s="12" t="s">
        <v>443</v>
      </c>
      <c r="G61" s="12" t="s">
        <v>447</v>
      </c>
      <c r="H61" s="37">
        <v>244220.47</v>
      </c>
      <c r="I61" s="37">
        <v>0</v>
      </c>
      <c r="J61" s="37">
        <v>0</v>
      </c>
      <c r="K61" s="37">
        <v>230000</v>
      </c>
      <c r="L61" s="37">
        <v>135456.27</v>
      </c>
      <c r="M61" s="12" t="s">
        <v>447</v>
      </c>
      <c r="N61" s="37">
        <v>244220.47</v>
      </c>
      <c r="O61" s="1">
        <f t="shared" si="0"/>
        <v>244220.47</v>
      </c>
      <c r="P61" s="2" t="str">
        <f>IF(O61=0,"",_xlfn.XLOOKUP(D61,'1月份计划'!A:A,'1月份计划'!A:A,"计划表需添加"))</f>
        <v>衡阳县标准件厂株洲销售处</v>
      </c>
    </row>
    <row r="62" s="1" customFormat="1" ht="15" customHeight="1" spans="1:16">
      <c r="A62" s="12" t="s">
        <v>444</v>
      </c>
      <c r="B62" s="15" t="s">
        <v>445</v>
      </c>
      <c r="C62" s="12" t="s">
        <v>41</v>
      </c>
      <c r="D62" s="15" t="s">
        <v>254</v>
      </c>
      <c r="E62" s="12" t="s">
        <v>41</v>
      </c>
      <c r="F62" s="12" t="s">
        <v>443</v>
      </c>
      <c r="G62" s="12" t="s">
        <v>447</v>
      </c>
      <c r="H62" s="37">
        <v>910504.9</v>
      </c>
      <c r="I62" s="37">
        <v>0</v>
      </c>
      <c r="J62" s="37">
        <v>0</v>
      </c>
      <c r="K62" s="37">
        <v>600000</v>
      </c>
      <c r="L62" s="37">
        <v>913202.96</v>
      </c>
      <c r="M62" s="12" t="s">
        <v>447</v>
      </c>
      <c r="N62" s="37">
        <v>910504.9</v>
      </c>
      <c r="O62" s="1">
        <f t="shared" si="0"/>
        <v>910504.9</v>
      </c>
      <c r="P62" s="2" t="str">
        <f>IF(O62=0,"",_xlfn.XLOOKUP(D62,'1月份计划'!A:A,'1月份计划'!A:A,"计划表需添加"))</f>
        <v>湖南凌天汽车零部件有限公司</v>
      </c>
    </row>
    <row r="63" s="1" customFormat="1" ht="15" customHeight="1" spans="1:16">
      <c r="A63" s="8" t="s">
        <v>444</v>
      </c>
      <c r="B63" s="11" t="s">
        <v>445</v>
      </c>
      <c r="C63" s="8" t="s">
        <v>41</v>
      </c>
      <c r="D63" s="11" t="s">
        <v>522</v>
      </c>
      <c r="E63" s="8" t="s">
        <v>41</v>
      </c>
      <c r="F63" s="8" t="s">
        <v>443</v>
      </c>
      <c r="G63" s="8" t="s">
        <v>489</v>
      </c>
      <c r="H63" s="36">
        <v>0</v>
      </c>
      <c r="I63" s="36">
        <v>0</v>
      </c>
      <c r="J63" s="36">
        <v>0</v>
      </c>
      <c r="K63" s="36">
        <v>0</v>
      </c>
      <c r="L63" s="36">
        <v>0</v>
      </c>
      <c r="M63" s="8" t="s">
        <v>489</v>
      </c>
      <c r="N63" s="36">
        <v>0</v>
      </c>
      <c r="O63" s="1">
        <f t="shared" si="0"/>
        <v>0</v>
      </c>
      <c r="P63" s="2" t="str">
        <f>IF(O63=0,"",_xlfn.XLOOKUP(D63,'1月份计划'!A:A,'1月份计划'!A:A,"计划表需添加"))</f>
        <v/>
      </c>
    </row>
    <row r="64" s="1" customFormat="1" ht="15" customHeight="1" spans="1:16">
      <c r="A64" s="12" t="s">
        <v>444</v>
      </c>
      <c r="B64" s="15" t="s">
        <v>445</v>
      </c>
      <c r="C64" s="12" t="s">
        <v>41</v>
      </c>
      <c r="D64" s="15" t="s">
        <v>523</v>
      </c>
      <c r="E64" s="12" t="s">
        <v>41</v>
      </c>
      <c r="F64" s="12" t="s">
        <v>443</v>
      </c>
      <c r="G64" s="12" t="s">
        <v>489</v>
      </c>
      <c r="H64" s="37">
        <v>0</v>
      </c>
      <c r="I64" s="37">
        <v>0</v>
      </c>
      <c r="J64" s="37">
        <v>0</v>
      </c>
      <c r="K64" s="37">
        <v>0</v>
      </c>
      <c r="L64" s="37">
        <v>0</v>
      </c>
      <c r="M64" s="12" t="s">
        <v>489</v>
      </c>
      <c r="N64" s="37">
        <v>0</v>
      </c>
      <c r="O64" s="1">
        <f t="shared" si="0"/>
        <v>0</v>
      </c>
      <c r="P64" s="2" t="str">
        <f>IF(O64=0,"",_xlfn.XLOOKUP(D64,'1月份计划'!A:A,'1月份计划'!A:A,"计划表需添加"))</f>
        <v/>
      </c>
    </row>
    <row r="65" s="1" customFormat="1" ht="15" hidden="1" customHeight="1" spans="1:16">
      <c r="A65" s="12" t="s">
        <v>444</v>
      </c>
      <c r="B65" s="15" t="s">
        <v>445</v>
      </c>
      <c r="C65" s="12" t="s">
        <v>41</v>
      </c>
      <c r="D65" s="15" t="s">
        <v>454</v>
      </c>
      <c r="E65" s="12" t="s">
        <v>41</v>
      </c>
      <c r="F65" s="12" t="s">
        <v>443</v>
      </c>
      <c r="G65" s="12" t="s">
        <v>447</v>
      </c>
      <c r="H65" s="37">
        <v>28910.42</v>
      </c>
      <c r="I65" s="37">
        <v>28909.92</v>
      </c>
      <c r="J65" s="37">
        <v>0</v>
      </c>
      <c r="K65" s="37">
        <v>101763.51</v>
      </c>
      <c r="L65" s="37">
        <v>0</v>
      </c>
      <c r="M65" s="12" t="s">
        <v>447</v>
      </c>
      <c r="N65" s="37">
        <v>0.5</v>
      </c>
      <c r="O65" s="1">
        <f t="shared" si="0"/>
        <v>0.5</v>
      </c>
      <c r="P65" s="2" t="str">
        <f>IF(O65=0,"",_xlfn.XLOOKUP(D65,'1月份计划'!A:A,'1月份计划'!A:A,"计划表需添加"))</f>
        <v>计划表需添加</v>
      </c>
    </row>
    <row r="66" s="1" customFormat="1" ht="15" customHeight="1" spans="1:16">
      <c r="A66" s="12" t="s">
        <v>444</v>
      </c>
      <c r="B66" s="15" t="s">
        <v>445</v>
      </c>
      <c r="C66" s="12" t="s">
        <v>41</v>
      </c>
      <c r="D66" s="15" t="s">
        <v>524</v>
      </c>
      <c r="E66" s="12" t="s">
        <v>41</v>
      </c>
      <c r="F66" s="12" t="s">
        <v>443</v>
      </c>
      <c r="G66" s="12" t="s">
        <v>489</v>
      </c>
      <c r="H66" s="37">
        <v>0</v>
      </c>
      <c r="I66" s="37">
        <v>0</v>
      </c>
      <c r="J66" s="37">
        <v>0</v>
      </c>
      <c r="K66" s="37">
        <v>0</v>
      </c>
      <c r="L66" s="37">
        <v>0</v>
      </c>
      <c r="M66" s="12" t="s">
        <v>489</v>
      </c>
      <c r="N66" s="37">
        <v>0</v>
      </c>
      <c r="O66" s="1">
        <f t="shared" si="0"/>
        <v>0</v>
      </c>
      <c r="P66" s="2" t="str">
        <f>IF(O66=0,"",_xlfn.XLOOKUP(D66,'1月份计划'!A:A,'1月份计划'!A:A,"计划表需添加"))</f>
        <v/>
      </c>
    </row>
    <row r="67" s="1" customFormat="1" ht="15" customHeight="1" spans="1:16">
      <c r="A67" s="8" t="s">
        <v>444</v>
      </c>
      <c r="B67" s="11" t="s">
        <v>445</v>
      </c>
      <c r="C67" s="8" t="s">
        <v>41</v>
      </c>
      <c r="D67" s="11" t="s">
        <v>525</v>
      </c>
      <c r="E67" s="8" t="s">
        <v>41</v>
      </c>
      <c r="F67" s="8" t="s">
        <v>443</v>
      </c>
      <c r="G67" s="8" t="s">
        <v>489</v>
      </c>
      <c r="H67" s="36">
        <v>0</v>
      </c>
      <c r="I67" s="36">
        <v>0</v>
      </c>
      <c r="J67" s="36">
        <v>0</v>
      </c>
      <c r="K67" s="36">
        <v>0</v>
      </c>
      <c r="L67" s="36">
        <v>0</v>
      </c>
      <c r="M67" s="8" t="s">
        <v>489</v>
      </c>
      <c r="N67" s="36">
        <v>0</v>
      </c>
      <c r="O67" s="1">
        <f t="shared" ref="O67:O130" si="1">IF(M67="贷",N67,-N67)</f>
        <v>0</v>
      </c>
      <c r="P67" s="2" t="str">
        <f>IF(O67=0,"",_xlfn.XLOOKUP(D67,'1月份计划'!A:A,'1月份计划'!A:A,"计划表需添加"))</f>
        <v/>
      </c>
    </row>
    <row r="68" s="1" customFormat="1" ht="15" customHeight="1" spans="1:16">
      <c r="A68" s="8" t="s">
        <v>444</v>
      </c>
      <c r="B68" s="11" t="s">
        <v>445</v>
      </c>
      <c r="C68" s="8" t="s">
        <v>41</v>
      </c>
      <c r="D68" s="11" t="s">
        <v>526</v>
      </c>
      <c r="E68" s="8" t="s">
        <v>41</v>
      </c>
      <c r="F68" s="8" t="s">
        <v>443</v>
      </c>
      <c r="G68" s="8" t="s">
        <v>489</v>
      </c>
      <c r="H68" s="36">
        <v>0</v>
      </c>
      <c r="I68" s="36">
        <v>0</v>
      </c>
      <c r="J68" s="36">
        <v>0</v>
      </c>
      <c r="K68" s="36">
        <v>0</v>
      </c>
      <c r="L68" s="36">
        <v>0</v>
      </c>
      <c r="M68" s="8" t="s">
        <v>489</v>
      </c>
      <c r="N68" s="36">
        <v>0</v>
      </c>
      <c r="O68" s="1">
        <f t="shared" si="1"/>
        <v>0</v>
      </c>
      <c r="P68" s="2" t="str">
        <f>IF(O68=0,"",_xlfn.XLOOKUP(D68,'1月份计划'!A:A,'1月份计划'!A:A,"计划表需添加"))</f>
        <v/>
      </c>
    </row>
    <row r="69" s="1" customFormat="1" ht="15" customHeight="1" spans="1:16">
      <c r="A69" s="12" t="s">
        <v>444</v>
      </c>
      <c r="B69" s="15" t="s">
        <v>445</v>
      </c>
      <c r="C69" s="12" t="s">
        <v>41</v>
      </c>
      <c r="D69" s="15" t="s">
        <v>527</v>
      </c>
      <c r="E69" s="12" t="s">
        <v>41</v>
      </c>
      <c r="F69" s="12" t="s">
        <v>443</v>
      </c>
      <c r="G69" s="12" t="s">
        <v>489</v>
      </c>
      <c r="H69" s="37">
        <v>0</v>
      </c>
      <c r="I69" s="37">
        <v>0</v>
      </c>
      <c r="J69" s="37">
        <v>0</v>
      </c>
      <c r="K69" s="37">
        <v>0</v>
      </c>
      <c r="L69" s="37">
        <v>0</v>
      </c>
      <c r="M69" s="12" t="s">
        <v>489</v>
      </c>
      <c r="N69" s="37">
        <v>0</v>
      </c>
      <c r="O69" s="1">
        <f t="shared" si="1"/>
        <v>0</v>
      </c>
      <c r="P69" s="2" t="str">
        <f>IF(O69=0,"",_xlfn.XLOOKUP(D69,'1月份计划'!A:A,'1月份计划'!A:A,"计划表需添加"))</f>
        <v/>
      </c>
    </row>
    <row r="70" s="1" customFormat="1" ht="15" customHeight="1" spans="1:16">
      <c r="A70" s="8" t="s">
        <v>444</v>
      </c>
      <c r="B70" s="11" t="s">
        <v>445</v>
      </c>
      <c r="C70" s="8" t="s">
        <v>41</v>
      </c>
      <c r="D70" s="11" t="s">
        <v>528</v>
      </c>
      <c r="E70" s="8" t="s">
        <v>41</v>
      </c>
      <c r="F70" s="8" t="s">
        <v>443</v>
      </c>
      <c r="G70" s="8" t="s">
        <v>489</v>
      </c>
      <c r="H70" s="36">
        <v>0</v>
      </c>
      <c r="I70" s="36">
        <v>0</v>
      </c>
      <c r="J70" s="36">
        <v>0</v>
      </c>
      <c r="K70" s="36">
        <v>0</v>
      </c>
      <c r="L70" s="36">
        <v>0</v>
      </c>
      <c r="M70" s="8" t="s">
        <v>489</v>
      </c>
      <c r="N70" s="36">
        <v>0</v>
      </c>
      <c r="O70" s="1">
        <f t="shared" si="1"/>
        <v>0</v>
      </c>
      <c r="P70" s="2" t="str">
        <f>IF(O70=0,"",_xlfn.XLOOKUP(D70,'1月份计划'!A:A,'1月份计划'!A:A,"计划表需添加"))</f>
        <v/>
      </c>
    </row>
    <row r="71" s="1" customFormat="1" ht="15" customHeight="1" spans="1:16">
      <c r="A71" s="12" t="s">
        <v>444</v>
      </c>
      <c r="B71" s="15" t="s">
        <v>445</v>
      </c>
      <c r="C71" s="12" t="s">
        <v>41</v>
      </c>
      <c r="D71" s="15" t="s">
        <v>529</v>
      </c>
      <c r="E71" s="12" t="s">
        <v>41</v>
      </c>
      <c r="F71" s="12" t="s">
        <v>443</v>
      </c>
      <c r="G71" s="12" t="s">
        <v>489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12" t="s">
        <v>489</v>
      </c>
      <c r="N71" s="37">
        <v>0</v>
      </c>
      <c r="O71" s="1">
        <f t="shared" si="1"/>
        <v>0</v>
      </c>
      <c r="P71" s="2" t="str">
        <f>IF(O71=0,"",_xlfn.XLOOKUP(D71,'1月份计划'!A:A,'1月份计划'!A:A,"计划表需添加"))</f>
        <v/>
      </c>
    </row>
    <row r="72" s="1" customFormat="1" ht="15" customHeight="1" spans="1:16">
      <c r="A72" s="8" t="s">
        <v>444</v>
      </c>
      <c r="B72" s="11" t="s">
        <v>445</v>
      </c>
      <c r="C72" s="8" t="s">
        <v>41</v>
      </c>
      <c r="D72" s="11" t="s">
        <v>530</v>
      </c>
      <c r="E72" s="8" t="s">
        <v>41</v>
      </c>
      <c r="F72" s="8" t="s">
        <v>443</v>
      </c>
      <c r="G72" s="8" t="s">
        <v>489</v>
      </c>
      <c r="H72" s="36">
        <v>0</v>
      </c>
      <c r="I72" s="36">
        <v>0</v>
      </c>
      <c r="J72" s="36">
        <v>0</v>
      </c>
      <c r="K72" s="36">
        <v>0</v>
      </c>
      <c r="L72" s="36">
        <v>0</v>
      </c>
      <c r="M72" s="8" t="s">
        <v>489</v>
      </c>
      <c r="N72" s="36">
        <v>0</v>
      </c>
      <c r="O72" s="1">
        <f t="shared" si="1"/>
        <v>0</v>
      </c>
      <c r="P72" s="2" t="str">
        <f>IF(O72=0,"",_xlfn.XLOOKUP(D72,'1月份计划'!A:A,'1月份计划'!A:A,"计划表需添加"))</f>
        <v/>
      </c>
    </row>
    <row r="73" s="1" customFormat="1" ht="15" customHeight="1" spans="1:16">
      <c r="A73" s="8" t="s">
        <v>444</v>
      </c>
      <c r="B73" s="11" t="s">
        <v>445</v>
      </c>
      <c r="C73" s="8" t="s">
        <v>41</v>
      </c>
      <c r="D73" s="11" t="s">
        <v>531</v>
      </c>
      <c r="E73" s="8" t="s">
        <v>41</v>
      </c>
      <c r="F73" s="8" t="s">
        <v>443</v>
      </c>
      <c r="G73" s="8" t="s">
        <v>489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8" t="s">
        <v>489</v>
      </c>
      <c r="N73" s="36">
        <v>0</v>
      </c>
      <c r="O73" s="1">
        <f t="shared" si="1"/>
        <v>0</v>
      </c>
      <c r="P73" s="2" t="str">
        <f>IF(O73=0,"",_xlfn.XLOOKUP(D73,'1月份计划'!A:A,'1月份计划'!A:A,"计划表需添加"))</f>
        <v/>
      </c>
    </row>
    <row r="74" s="1" customFormat="1" ht="15" customHeight="1" spans="1:16">
      <c r="A74" s="12" t="s">
        <v>444</v>
      </c>
      <c r="B74" s="15" t="s">
        <v>445</v>
      </c>
      <c r="C74" s="12" t="s">
        <v>41</v>
      </c>
      <c r="D74" s="15" t="s">
        <v>532</v>
      </c>
      <c r="E74" s="12" t="s">
        <v>41</v>
      </c>
      <c r="F74" s="12" t="s">
        <v>443</v>
      </c>
      <c r="G74" s="12" t="s">
        <v>489</v>
      </c>
      <c r="H74" s="37">
        <v>0</v>
      </c>
      <c r="I74" s="37">
        <v>0</v>
      </c>
      <c r="J74" s="37">
        <v>0</v>
      </c>
      <c r="K74" s="37">
        <v>0</v>
      </c>
      <c r="L74" s="37">
        <v>0</v>
      </c>
      <c r="M74" s="12" t="s">
        <v>489</v>
      </c>
      <c r="N74" s="37">
        <v>0</v>
      </c>
      <c r="O74" s="1">
        <f t="shared" si="1"/>
        <v>0</v>
      </c>
      <c r="P74" s="2" t="str">
        <f>IF(O74=0,"",_xlfn.XLOOKUP(D74,'1月份计划'!A:A,'1月份计划'!A:A,"计划表需添加"))</f>
        <v/>
      </c>
    </row>
    <row r="75" s="1" customFormat="1" ht="15" customHeight="1" spans="1:16">
      <c r="A75" s="8" t="s">
        <v>444</v>
      </c>
      <c r="B75" s="11" t="s">
        <v>445</v>
      </c>
      <c r="C75" s="8" t="s">
        <v>41</v>
      </c>
      <c r="D75" s="11" t="s">
        <v>533</v>
      </c>
      <c r="E75" s="8" t="s">
        <v>41</v>
      </c>
      <c r="F75" s="8" t="s">
        <v>443</v>
      </c>
      <c r="G75" s="8" t="s">
        <v>489</v>
      </c>
      <c r="H75" s="36">
        <v>0</v>
      </c>
      <c r="I75" s="36">
        <v>0</v>
      </c>
      <c r="J75" s="36">
        <v>0</v>
      </c>
      <c r="K75" s="36">
        <v>0</v>
      </c>
      <c r="L75" s="36">
        <v>0</v>
      </c>
      <c r="M75" s="8" t="s">
        <v>489</v>
      </c>
      <c r="N75" s="36">
        <v>0</v>
      </c>
      <c r="O75" s="1">
        <f t="shared" si="1"/>
        <v>0</v>
      </c>
      <c r="P75" s="2" t="str">
        <f>IF(O75=0,"",_xlfn.XLOOKUP(D75,'1月份计划'!A:A,'1月份计划'!A:A,"计划表需添加"))</f>
        <v/>
      </c>
    </row>
    <row r="76" s="1" customFormat="1" ht="15" customHeight="1" spans="1:16">
      <c r="A76" s="12" t="s">
        <v>444</v>
      </c>
      <c r="B76" s="15" t="s">
        <v>445</v>
      </c>
      <c r="C76" s="12" t="s">
        <v>41</v>
      </c>
      <c r="D76" s="15" t="s">
        <v>255</v>
      </c>
      <c r="E76" s="12" t="s">
        <v>41</v>
      </c>
      <c r="F76" s="12" t="s">
        <v>443</v>
      </c>
      <c r="G76" s="12" t="s">
        <v>447</v>
      </c>
      <c r="H76" s="37">
        <v>374826.52</v>
      </c>
      <c r="I76" s="37">
        <v>0</v>
      </c>
      <c r="J76" s="37">
        <v>0</v>
      </c>
      <c r="K76" s="37">
        <v>220000</v>
      </c>
      <c r="L76" s="37">
        <v>228481.26</v>
      </c>
      <c r="M76" s="12" t="s">
        <v>447</v>
      </c>
      <c r="N76" s="37">
        <v>374826.52</v>
      </c>
      <c r="O76" s="1">
        <f t="shared" si="1"/>
        <v>374826.52</v>
      </c>
      <c r="P76" s="2" t="str">
        <f>IF(O76=0,"",_xlfn.XLOOKUP(D76,'1月份计划'!A:A,'1月份计划'!A:A,"计划表需添加"))</f>
        <v>重庆光大产业有限公司</v>
      </c>
    </row>
    <row r="77" s="1" customFormat="1" ht="15" customHeight="1" spans="1:16">
      <c r="A77" s="8" t="s">
        <v>444</v>
      </c>
      <c r="B77" s="11" t="s">
        <v>445</v>
      </c>
      <c r="C77" s="8" t="s">
        <v>41</v>
      </c>
      <c r="D77" s="11" t="s">
        <v>256</v>
      </c>
      <c r="E77" s="8" t="s">
        <v>41</v>
      </c>
      <c r="F77" s="8" t="s">
        <v>443</v>
      </c>
      <c r="G77" s="8" t="s">
        <v>447</v>
      </c>
      <c r="H77" s="36">
        <v>2194633.37</v>
      </c>
      <c r="I77" s="36">
        <v>2000000</v>
      </c>
      <c r="J77" s="36">
        <v>0</v>
      </c>
      <c r="K77" s="36">
        <v>4700000</v>
      </c>
      <c r="L77" s="36">
        <v>0</v>
      </c>
      <c r="M77" s="8" t="s">
        <v>447</v>
      </c>
      <c r="N77" s="36">
        <v>194633.37</v>
      </c>
      <c r="O77" s="1">
        <f t="shared" si="1"/>
        <v>194633.37</v>
      </c>
      <c r="P77" s="2" t="str">
        <f>IF(O77=0,"",_xlfn.XLOOKUP(D77,'1月份计划'!A:A,'1月份计划'!A:A,"计划表需添加"))</f>
        <v>湘乡简美工贸有限公司</v>
      </c>
    </row>
    <row r="78" s="1" customFormat="1" ht="15" customHeight="1" spans="1:16">
      <c r="A78" s="8" t="s">
        <v>444</v>
      </c>
      <c r="B78" s="11" t="s">
        <v>445</v>
      </c>
      <c r="C78" s="8" t="s">
        <v>41</v>
      </c>
      <c r="D78" s="11" t="s">
        <v>534</v>
      </c>
      <c r="E78" s="8" t="s">
        <v>41</v>
      </c>
      <c r="F78" s="8" t="s">
        <v>443</v>
      </c>
      <c r="G78" s="8" t="s">
        <v>489</v>
      </c>
      <c r="H78" s="36">
        <v>0</v>
      </c>
      <c r="I78" s="36">
        <v>0</v>
      </c>
      <c r="J78" s="36">
        <v>0</v>
      </c>
      <c r="K78" s="36">
        <v>82524</v>
      </c>
      <c r="L78" s="36">
        <v>0</v>
      </c>
      <c r="M78" s="8" t="s">
        <v>489</v>
      </c>
      <c r="N78" s="36">
        <v>0</v>
      </c>
      <c r="O78" s="1">
        <f t="shared" si="1"/>
        <v>0</v>
      </c>
      <c r="P78" s="2" t="str">
        <f>IF(O78=0,"",_xlfn.XLOOKUP(D78,'1月份计划'!A:A,'1月份计划'!A:A,"计划表需添加"))</f>
        <v/>
      </c>
    </row>
    <row r="79" s="1" customFormat="1" ht="15" hidden="1" customHeight="1" spans="1:16">
      <c r="A79" s="12" t="s">
        <v>444</v>
      </c>
      <c r="B79" s="15" t="s">
        <v>445</v>
      </c>
      <c r="C79" s="12" t="s">
        <v>41</v>
      </c>
      <c r="D79" s="15" t="s">
        <v>455</v>
      </c>
      <c r="E79" s="12" t="s">
        <v>41</v>
      </c>
      <c r="F79" s="12" t="s">
        <v>443</v>
      </c>
      <c r="G79" s="12" t="s">
        <v>447</v>
      </c>
      <c r="H79" s="37">
        <v>241042</v>
      </c>
      <c r="I79" s="37">
        <v>0</v>
      </c>
      <c r="J79" s="37">
        <v>0</v>
      </c>
      <c r="K79" s="37">
        <v>0</v>
      </c>
      <c r="L79" s="37">
        <v>0</v>
      </c>
      <c r="M79" s="12" t="s">
        <v>447</v>
      </c>
      <c r="N79" s="37">
        <v>241042</v>
      </c>
      <c r="O79" s="1">
        <f t="shared" si="1"/>
        <v>241042</v>
      </c>
      <c r="P79" s="2" t="str">
        <f>IF(O79=0,"",_xlfn.XLOOKUP(D79,'1月份计划'!A:A,'1月份计划'!A:A,"计划表需添加"))</f>
        <v>计划表需添加</v>
      </c>
    </row>
    <row r="80" s="1" customFormat="1" ht="15" hidden="1" customHeight="1" spans="1:16">
      <c r="A80" s="8" t="s">
        <v>444</v>
      </c>
      <c r="B80" s="11" t="s">
        <v>445</v>
      </c>
      <c r="C80" s="8" t="s">
        <v>41</v>
      </c>
      <c r="D80" s="11" t="s">
        <v>456</v>
      </c>
      <c r="E80" s="8" t="s">
        <v>41</v>
      </c>
      <c r="F80" s="8" t="s">
        <v>443</v>
      </c>
      <c r="G80" s="8" t="s">
        <v>447</v>
      </c>
      <c r="H80" s="36">
        <v>115723.23</v>
      </c>
      <c r="I80" s="36">
        <v>0</v>
      </c>
      <c r="J80" s="36">
        <v>0</v>
      </c>
      <c r="K80" s="36">
        <v>200000</v>
      </c>
      <c r="L80" s="36">
        <v>0</v>
      </c>
      <c r="M80" s="8" t="s">
        <v>447</v>
      </c>
      <c r="N80" s="36">
        <v>115723.23</v>
      </c>
      <c r="O80" s="1">
        <f t="shared" si="1"/>
        <v>115723.23</v>
      </c>
      <c r="P80" s="2" t="str">
        <f>IF(O80=0,"",_xlfn.XLOOKUP(D80,'1月份计划'!A:A,'1月份计划'!A:A,"计划表需添加"))</f>
        <v>计划表需添加</v>
      </c>
    </row>
    <row r="81" s="1" customFormat="1" ht="15" hidden="1" customHeight="1" spans="1:16">
      <c r="A81" s="8" t="s">
        <v>444</v>
      </c>
      <c r="B81" s="11" t="s">
        <v>445</v>
      </c>
      <c r="C81" s="8" t="s">
        <v>41</v>
      </c>
      <c r="D81" s="11" t="s">
        <v>457</v>
      </c>
      <c r="E81" s="8" t="s">
        <v>41</v>
      </c>
      <c r="F81" s="8" t="s">
        <v>443</v>
      </c>
      <c r="G81" s="8" t="s">
        <v>447</v>
      </c>
      <c r="H81" s="36">
        <v>1400</v>
      </c>
      <c r="I81" s="36">
        <v>0</v>
      </c>
      <c r="J81" s="36">
        <v>0</v>
      </c>
      <c r="K81" s="36">
        <v>0</v>
      </c>
      <c r="L81" s="36">
        <v>0</v>
      </c>
      <c r="M81" s="8" t="s">
        <v>447</v>
      </c>
      <c r="N81" s="36">
        <v>1400</v>
      </c>
      <c r="O81" s="1">
        <f t="shared" si="1"/>
        <v>1400</v>
      </c>
      <c r="P81" s="2" t="str">
        <f>IF(O81=0,"",_xlfn.XLOOKUP(D81,'1月份计划'!A:A,'1月份计划'!A:A,"计划表需添加"))</f>
        <v>计划表需添加</v>
      </c>
    </row>
    <row r="82" s="1" customFormat="1" ht="15" hidden="1" customHeight="1" spans="1:16">
      <c r="A82" s="12" t="s">
        <v>444</v>
      </c>
      <c r="B82" s="15" t="s">
        <v>445</v>
      </c>
      <c r="C82" s="12" t="s">
        <v>41</v>
      </c>
      <c r="D82" s="15" t="s">
        <v>458</v>
      </c>
      <c r="E82" s="12" t="s">
        <v>41</v>
      </c>
      <c r="F82" s="12" t="s">
        <v>443</v>
      </c>
      <c r="G82" s="12" t="s">
        <v>447</v>
      </c>
      <c r="H82" s="37">
        <v>5600</v>
      </c>
      <c r="I82" s="37">
        <v>0</v>
      </c>
      <c r="J82" s="37">
        <v>0</v>
      </c>
      <c r="K82" s="37">
        <v>0</v>
      </c>
      <c r="L82" s="37">
        <v>0</v>
      </c>
      <c r="M82" s="12" t="s">
        <v>447</v>
      </c>
      <c r="N82" s="37">
        <v>5600</v>
      </c>
      <c r="O82" s="1">
        <f t="shared" si="1"/>
        <v>5600</v>
      </c>
      <c r="P82" s="2" t="str">
        <f>IF(O82=0,"",_xlfn.XLOOKUP(D82,'1月份计划'!A:A,'1月份计划'!A:A,"计划表需添加"))</f>
        <v>计划表需添加</v>
      </c>
    </row>
    <row r="83" s="1" customFormat="1" ht="15" hidden="1" customHeight="1" spans="1:16">
      <c r="A83" s="12" t="s">
        <v>444</v>
      </c>
      <c r="B83" s="15" t="s">
        <v>445</v>
      </c>
      <c r="C83" s="12" t="s">
        <v>41</v>
      </c>
      <c r="D83" s="15" t="s">
        <v>459</v>
      </c>
      <c r="E83" s="12" t="s">
        <v>41</v>
      </c>
      <c r="F83" s="12" t="s">
        <v>443</v>
      </c>
      <c r="G83" s="12" t="s">
        <v>447</v>
      </c>
      <c r="H83" s="37">
        <v>6250</v>
      </c>
      <c r="I83" s="37">
        <v>0</v>
      </c>
      <c r="J83" s="37">
        <v>0</v>
      </c>
      <c r="K83" s="37">
        <v>0</v>
      </c>
      <c r="L83" s="37">
        <v>0</v>
      </c>
      <c r="M83" s="12" t="s">
        <v>447</v>
      </c>
      <c r="N83" s="37">
        <v>6250</v>
      </c>
      <c r="O83" s="1">
        <f t="shared" si="1"/>
        <v>6250</v>
      </c>
      <c r="P83" s="2" t="str">
        <f>IF(O83=0,"",_xlfn.XLOOKUP(D83,'1月份计划'!A:A,'1月份计划'!A:A,"计划表需添加"))</f>
        <v>计划表需添加</v>
      </c>
    </row>
    <row r="84" s="1" customFormat="1" ht="15" customHeight="1" spans="1:16">
      <c r="A84" s="8" t="s">
        <v>444</v>
      </c>
      <c r="B84" s="11" t="s">
        <v>445</v>
      </c>
      <c r="C84" s="8" t="s">
        <v>41</v>
      </c>
      <c r="D84" s="11" t="s">
        <v>535</v>
      </c>
      <c r="E84" s="8" t="s">
        <v>41</v>
      </c>
      <c r="F84" s="8" t="s">
        <v>443</v>
      </c>
      <c r="G84" s="8" t="s">
        <v>489</v>
      </c>
      <c r="H84" s="36">
        <v>0</v>
      </c>
      <c r="I84" s="36">
        <v>0</v>
      </c>
      <c r="J84" s="36">
        <v>0</v>
      </c>
      <c r="K84" s="36">
        <v>0</v>
      </c>
      <c r="L84" s="36">
        <v>0</v>
      </c>
      <c r="M84" s="8" t="s">
        <v>489</v>
      </c>
      <c r="N84" s="36">
        <v>0</v>
      </c>
      <c r="O84" s="1">
        <f t="shared" si="1"/>
        <v>0</v>
      </c>
      <c r="P84" s="2" t="str">
        <f>IF(O84=0,"",_xlfn.XLOOKUP(D84,'1月份计划'!A:A,'1月份计划'!A:A,"计划表需添加"))</f>
        <v/>
      </c>
    </row>
    <row r="85" s="1" customFormat="1" ht="15" hidden="1" customHeight="1" spans="1:16">
      <c r="A85" s="8" t="s">
        <v>444</v>
      </c>
      <c r="B85" s="11" t="s">
        <v>445</v>
      </c>
      <c r="C85" s="8" t="s">
        <v>41</v>
      </c>
      <c r="D85" s="11" t="s">
        <v>460</v>
      </c>
      <c r="E85" s="8" t="s">
        <v>41</v>
      </c>
      <c r="F85" s="8" t="s">
        <v>443</v>
      </c>
      <c r="G85" s="8" t="s">
        <v>447</v>
      </c>
      <c r="H85" s="36">
        <v>12000</v>
      </c>
      <c r="I85" s="36">
        <v>0</v>
      </c>
      <c r="J85" s="36">
        <v>0</v>
      </c>
      <c r="K85" s="36">
        <v>0</v>
      </c>
      <c r="L85" s="36">
        <v>0</v>
      </c>
      <c r="M85" s="8" t="s">
        <v>447</v>
      </c>
      <c r="N85" s="36">
        <v>12000</v>
      </c>
      <c r="O85" s="1">
        <f t="shared" si="1"/>
        <v>12000</v>
      </c>
      <c r="P85" s="2" t="str">
        <f>IF(O85=0,"",_xlfn.XLOOKUP(D85,'1月份计划'!A:A,'1月份计划'!A:A,"计划表需添加"))</f>
        <v>计划表需添加</v>
      </c>
    </row>
    <row r="86" s="1" customFormat="1" ht="15" customHeight="1" spans="1:16">
      <c r="A86" s="12" t="s">
        <v>444</v>
      </c>
      <c r="B86" s="15" t="s">
        <v>445</v>
      </c>
      <c r="C86" s="12" t="s">
        <v>41</v>
      </c>
      <c r="D86" s="15" t="s">
        <v>536</v>
      </c>
      <c r="E86" s="12" t="s">
        <v>41</v>
      </c>
      <c r="F86" s="12" t="s">
        <v>443</v>
      </c>
      <c r="G86" s="12" t="s">
        <v>489</v>
      </c>
      <c r="H86" s="37">
        <v>0</v>
      </c>
      <c r="I86" s="37">
        <v>0</v>
      </c>
      <c r="J86" s="37">
        <v>0</v>
      </c>
      <c r="K86" s="37">
        <v>0</v>
      </c>
      <c r="L86" s="37">
        <v>0</v>
      </c>
      <c r="M86" s="12" t="s">
        <v>489</v>
      </c>
      <c r="N86" s="37">
        <v>0</v>
      </c>
      <c r="O86" s="1">
        <f t="shared" si="1"/>
        <v>0</v>
      </c>
      <c r="P86" s="2" t="str">
        <f>IF(O86=0,"",_xlfn.XLOOKUP(D86,'1月份计划'!A:A,'1月份计划'!A:A,"计划表需添加"))</f>
        <v/>
      </c>
    </row>
    <row r="87" s="1" customFormat="1" ht="15" customHeight="1" spans="1:16">
      <c r="A87" s="8" t="s">
        <v>444</v>
      </c>
      <c r="B87" s="11" t="s">
        <v>445</v>
      </c>
      <c r="C87" s="8" t="s">
        <v>41</v>
      </c>
      <c r="D87" s="11" t="s">
        <v>413</v>
      </c>
      <c r="E87" s="8" t="s">
        <v>41</v>
      </c>
      <c r="F87" s="8" t="s">
        <v>443</v>
      </c>
      <c r="G87" s="8" t="s">
        <v>489</v>
      </c>
      <c r="H87" s="36">
        <v>0</v>
      </c>
      <c r="I87" s="36">
        <v>0</v>
      </c>
      <c r="J87" s="36">
        <v>0</v>
      </c>
      <c r="K87" s="36">
        <v>0</v>
      </c>
      <c r="L87" s="36">
        <v>0</v>
      </c>
      <c r="M87" s="8" t="s">
        <v>489</v>
      </c>
      <c r="N87" s="36">
        <v>0</v>
      </c>
      <c r="O87" s="1">
        <f t="shared" si="1"/>
        <v>0</v>
      </c>
      <c r="P87" s="2" t="str">
        <f>IF(O87=0,"",_xlfn.XLOOKUP(D87,'1月份计划'!A:A,'1月份计划'!A:A,"计划表需添加"))</f>
        <v/>
      </c>
    </row>
    <row r="88" s="1" customFormat="1" ht="15" customHeight="1" spans="1:16">
      <c r="A88" s="12" t="s">
        <v>444</v>
      </c>
      <c r="B88" s="15" t="s">
        <v>445</v>
      </c>
      <c r="C88" s="12" t="s">
        <v>41</v>
      </c>
      <c r="D88" s="15" t="s">
        <v>537</v>
      </c>
      <c r="E88" s="12" t="s">
        <v>41</v>
      </c>
      <c r="F88" s="12" t="s">
        <v>443</v>
      </c>
      <c r="G88" s="12" t="s">
        <v>489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12" t="s">
        <v>489</v>
      </c>
      <c r="N88" s="37">
        <v>0</v>
      </c>
      <c r="O88" s="1">
        <f t="shared" si="1"/>
        <v>0</v>
      </c>
      <c r="P88" s="2" t="str">
        <f>IF(O88=0,"",_xlfn.XLOOKUP(D88,'1月份计划'!A:A,'1月份计划'!A:A,"计划表需添加"))</f>
        <v/>
      </c>
    </row>
    <row r="89" s="1" customFormat="1" ht="15" customHeight="1" spans="1:16">
      <c r="A89" s="12" t="s">
        <v>444</v>
      </c>
      <c r="B89" s="15" t="s">
        <v>445</v>
      </c>
      <c r="C89" s="12" t="s">
        <v>41</v>
      </c>
      <c r="D89" s="15" t="s">
        <v>538</v>
      </c>
      <c r="E89" s="12" t="s">
        <v>41</v>
      </c>
      <c r="F89" s="12" t="s">
        <v>443</v>
      </c>
      <c r="G89" s="12" t="s">
        <v>489</v>
      </c>
      <c r="H89" s="37">
        <v>0</v>
      </c>
      <c r="I89" s="37">
        <v>0</v>
      </c>
      <c r="J89" s="37">
        <v>0</v>
      </c>
      <c r="K89" s="37">
        <v>0</v>
      </c>
      <c r="L89" s="37">
        <v>0</v>
      </c>
      <c r="M89" s="12" t="s">
        <v>489</v>
      </c>
      <c r="N89" s="37">
        <v>0</v>
      </c>
      <c r="O89" s="1">
        <f t="shared" si="1"/>
        <v>0</v>
      </c>
      <c r="P89" s="2" t="str">
        <f>IF(O89=0,"",_xlfn.XLOOKUP(D89,'1月份计划'!A:A,'1月份计划'!A:A,"计划表需添加"))</f>
        <v/>
      </c>
    </row>
    <row r="90" s="1" customFormat="1" ht="15" customHeight="1" spans="1:16">
      <c r="A90" s="12" t="s">
        <v>444</v>
      </c>
      <c r="B90" s="15" t="s">
        <v>445</v>
      </c>
      <c r="C90" s="12" t="s">
        <v>41</v>
      </c>
      <c r="D90" s="15" t="s">
        <v>416</v>
      </c>
      <c r="E90" s="12" t="s">
        <v>41</v>
      </c>
      <c r="F90" s="12" t="s">
        <v>443</v>
      </c>
      <c r="G90" s="12" t="s">
        <v>489</v>
      </c>
      <c r="H90" s="37">
        <v>0</v>
      </c>
      <c r="I90" s="37">
        <v>0</v>
      </c>
      <c r="J90" s="37">
        <v>0</v>
      </c>
      <c r="K90" s="37">
        <v>0</v>
      </c>
      <c r="L90" s="37">
        <v>18532</v>
      </c>
      <c r="M90" s="12" t="s">
        <v>489</v>
      </c>
      <c r="N90" s="37">
        <v>0</v>
      </c>
      <c r="O90" s="1">
        <f t="shared" si="1"/>
        <v>0</v>
      </c>
      <c r="P90" s="2" t="str">
        <f>IF(O90=0,"",_xlfn.XLOOKUP(D90,'1月份计划'!A:A,'1月份计划'!A:A,"计划表需添加"))</f>
        <v/>
      </c>
    </row>
    <row r="91" s="1" customFormat="1" ht="15" hidden="1" customHeight="1" spans="1:16">
      <c r="A91" s="8" t="s">
        <v>444</v>
      </c>
      <c r="B91" s="11" t="s">
        <v>445</v>
      </c>
      <c r="C91" s="8" t="s">
        <v>41</v>
      </c>
      <c r="D91" s="11" t="s">
        <v>461</v>
      </c>
      <c r="E91" s="8" t="s">
        <v>41</v>
      </c>
      <c r="F91" s="8" t="s">
        <v>443</v>
      </c>
      <c r="G91" s="8" t="s">
        <v>447</v>
      </c>
      <c r="H91" s="36">
        <v>9600</v>
      </c>
      <c r="I91" s="36">
        <v>0</v>
      </c>
      <c r="J91" s="36">
        <v>0</v>
      </c>
      <c r="K91" s="36">
        <v>0</v>
      </c>
      <c r="L91" s="36">
        <v>0</v>
      </c>
      <c r="M91" s="8" t="s">
        <v>447</v>
      </c>
      <c r="N91" s="36">
        <v>9600</v>
      </c>
      <c r="O91" s="1">
        <f t="shared" si="1"/>
        <v>9600</v>
      </c>
      <c r="P91" s="2" t="str">
        <f>IF(O91=0,"",_xlfn.XLOOKUP(D91,'1月份计划'!A:A,'1月份计划'!A:A,"计划表需添加"))</f>
        <v>计划表需添加</v>
      </c>
    </row>
    <row r="92" s="1" customFormat="1" ht="15" customHeight="1" spans="1:16">
      <c r="A92" s="12" t="s">
        <v>444</v>
      </c>
      <c r="B92" s="15" t="s">
        <v>445</v>
      </c>
      <c r="C92" s="12" t="s">
        <v>41</v>
      </c>
      <c r="D92" s="15" t="s">
        <v>539</v>
      </c>
      <c r="E92" s="12" t="s">
        <v>41</v>
      </c>
      <c r="F92" s="12" t="s">
        <v>443</v>
      </c>
      <c r="G92" s="12" t="s">
        <v>489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12" t="s">
        <v>489</v>
      </c>
      <c r="N92" s="37">
        <v>0</v>
      </c>
      <c r="O92" s="1">
        <f t="shared" si="1"/>
        <v>0</v>
      </c>
      <c r="P92" s="2" t="str">
        <f>IF(O92=0,"",_xlfn.XLOOKUP(D92,'1月份计划'!A:A,'1月份计划'!A:A,"计划表需添加"))</f>
        <v/>
      </c>
    </row>
    <row r="93" s="1" customFormat="1" ht="15" hidden="1" customHeight="1" spans="1:16">
      <c r="A93" s="8" t="s">
        <v>444</v>
      </c>
      <c r="B93" s="11" t="s">
        <v>445</v>
      </c>
      <c r="C93" s="8" t="s">
        <v>41</v>
      </c>
      <c r="D93" s="11" t="s">
        <v>462</v>
      </c>
      <c r="E93" s="8" t="s">
        <v>41</v>
      </c>
      <c r="F93" s="8" t="s">
        <v>443</v>
      </c>
      <c r="G93" s="8" t="s">
        <v>453</v>
      </c>
      <c r="H93" s="36">
        <v>15365.76</v>
      </c>
      <c r="I93" s="36">
        <v>0</v>
      </c>
      <c r="J93" s="36">
        <v>0</v>
      </c>
      <c r="K93" s="36">
        <v>0</v>
      </c>
      <c r="L93" s="36">
        <v>0</v>
      </c>
      <c r="M93" s="8" t="s">
        <v>453</v>
      </c>
      <c r="N93" s="36">
        <v>15365.76</v>
      </c>
      <c r="O93" s="1">
        <f t="shared" si="1"/>
        <v>-15365.76</v>
      </c>
      <c r="P93" s="2" t="str">
        <f>IF(O93=0,"",_xlfn.XLOOKUP(D93,'1月份计划'!A:A,'1月份计划'!A:A,"计划表需添加"))</f>
        <v>计划表需添加</v>
      </c>
    </row>
    <row r="94" s="1" customFormat="1" ht="15" hidden="1" customHeight="1" spans="1:16">
      <c r="A94" s="12" t="s">
        <v>444</v>
      </c>
      <c r="B94" s="15" t="s">
        <v>445</v>
      </c>
      <c r="C94" s="12" t="s">
        <v>41</v>
      </c>
      <c r="D94" s="15" t="s">
        <v>463</v>
      </c>
      <c r="E94" s="12" t="s">
        <v>41</v>
      </c>
      <c r="F94" s="12" t="s">
        <v>443</v>
      </c>
      <c r="G94" s="12" t="s">
        <v>447</v>
      </c>
      <c r="H94" s="37">
        <v>2200</v>
      </c>
      <c r="I94" s="37">
        <v>0</v>
      </c>
      <c r="J94" s="37">
        <v>0</v>
      </c>
      <c r="K94" s="37">
        <v>0</v>
      </c>
      <c r="L94" s="37">
        <v>0</v>
      </c>
      <c r="M94" s="12" t="s">
        <v>447</v>
      </c>
      <c r="N94" s="37">
        <v>2200</v>
      </c>
      <c r="O94" s="1">
        <f t="shared" si="1"/>
        <v>2200</v>
      </c>
      <c r="P94" s="2" t="str">
        <f>IF(O94=0,"",_xlfn.XLOOKUP(D94,'1月份计划'!A:A,'1月份计划'!A:A,"计划表需添加"))</f>
        <v>计划表需添加</v>
      </c>
    </row>
    <row r="95" s="1" customFormat="1" ht="15" hidden="1" customHeight="1" spans="1:16">
      <c r="A95" s="8" t="s">
        <v>444</v>
      </c>
      <c r="B95" s="11" t="s">
        <v>445</v>
      </c>
      <c r="C95" s="8" t="s">
        <v>41</v>
      </c>
      <c r="D95" s="11" t="s">
        <v>464</v>
      </c>
      <c r="E95" s="8" t="s">
        <v>41</v>
      </c>
      <c r="F95" s="8" t="s">
        <v>443</v>
      </c>
      <c r="G95" s="8" t="s">
        <v>447</v>
      </c>
      <c r="H95" s="36">
        <v>6340</v>
      </c>
      <c r="I95" s="36">
        <v>0</v>
      </c>
      <c r="J95" s="36">
        <v>0</v>
      </c>
      <c r="K95" s="36">
        <v>0</v>
      </c>
      <c r="L95" s="36">
        <v>0</v>
      </c>
      <c r="M95" s="8" t="s">
        <v>447</v>
      </c>
      <c r="N95" s="36">
        <v>6340</v>
      </c>
      <c r="O95" s="1">
        <f t="shared" si="1"/>
        <v>6340</v>
      </c>
      <c r="P95" s="2" t="str">
        <f>IF(O95=0,"",_xlfn.XLOOKUP(D95,'1月份计划'!A:A,'1月份计划'!A:A,"计划表需添加"))</f>
        <v>计划表需添加</v>
      </c>
    </row>
    <row r="96" s="1" customFormat="1" ht="15" hidden="1" customHeight="1" spans="1:16">
      <c r="A96" s="12" t="s">
        <v>444</v>
      </c>
      <c r="B96" s="15" t="s">
        <v>445</v>
      </c>
      <c r="C96" s="12" t="s">
        <v>41</v>
      </c>
      <c r="D96" s="15" t="s">
        <v>465</v>
      </c>
      <c r="E96" s="12" t="s">
        <v>41</v>
      </c>
      <c r="F96" s="12" t="s">
        <v>443</v>
      </c>
      <c r="G96" s="12" t="s">
        <v>447</v>
      </c>
      <c r="H96" s="37">
        <v>30585</v>
      </c>
      <c r="I96" s="37">
        <v>0</v>
      </c>
      <c r="J96" s="37">
        <v>0</v>
      </c>
      <c r="K96" s="37">
        <v>0</v>
      </c>
      <c r="L96" s="37">
        <v>0</v>
      </c>
      <c r="M96" s="12" t="s">
        <v>447</v>
      </c>
      <c r="N96" s="37">
        <v>30585</v>
      </c>
      <c r="O96" s="1">
        <f t="shared" si="1"/>
        <v>30585</v>
      </c>
      <c r="P96" s="2" t="str">
        <f>IF(O96=0,"",_xlfn.XLOOKUP(D96,'1月份计划'!A:A,'1月份计划'!A:A,"计划表需添加"))</f>
        <v>计划表需添加</v>
      </c>
    </row>
    <row r="97" s="1" customFormat="1" ht="15" customHeight="1" spans="1:16">
      <c r="A97" s="12" t="s">
        <v>444</v>
      </c>
      <c r="B97" s="15" t="s">
        <v>445</v>
      </c>
      <c r="C97" s="12" t="s">
        <v>41</v>
      </c>
      <c r="D97" s="15" t="s">
        <v>257</v>
      </c>
      <c r="E97" s="12" t="s">
        <v>41</v>
      </c>
      <c r="F97" s="12" t="s">
        <v>443</v>
      </c>
      <c r="G97" s="12" t="s">
        <v>453</v>
      </c>
      <c r="H97" s="37">
        <v>224512.23</v>
      </c>
      <c r="I97" s="37">
        <v>162376.48</v>
      </c>
      <c r="J97" s="37">
        <v>0</v>
      </c>
      <c r="K97" s="37">
        <v>162376.48</v>
      </c>
      <c r="L97" s="37">
        <v>0</v>
      </c>
      <c r="M97" s="12" t="s">
        <v>453</v>
      </c>
      <c r="N97" s="37">
        <v>386888.71</v>
      </c>
      <c r="O97" s="1">
        <f t="shared" si="1"/>
        <v>-386888.71</v>
      </c>
      <c r="P97" s="2" t="str">
        <f>IF(O97=0,"",_xlfn.XLOOKUP(D97,'1月份计划'!A:A,'1月份计划'!A:A,"计划表需添加"))</f>
        <v>佛吉亚（无锡）座椅部件有限公</v>
      </c>
    </row>
    <row r="98" s="1" customFormat="1" ht="15" customHeight="1" spans="1:16">
      <c r="A98" s="8" t="s">
        <v>444</v>
      </c>
      <c r="B98" s="11" t="s">
        <v>445</v>
      </c>
      <c r="C98" s="8" t="s">
        <v>41</v>
      </c>
      <c r="D98" s="11" t="s">
        <v>540</v>
      </c>
      <c r="E98" s="8" t="s">
        <v>41</v>
      </c>
      <c r="F98" s="8" t="s">
        <v>443</v>
      </c>
      <c r="G98" s="8" t="s">
        <v>489</v>
      </c>
      <c r="H98" s="36">
        <v>0</v>
      </c>
      <c r="I98" s="36">
        <v>0</v>
      </c>
      <c r="J98" s="36">
        <v>0</v>
      </c>
      <c r="K98" s="36">
        <v>0</v>
      </c>
      <c r="L98" s="36">
        <v>0</v>
      </c>
      <c r="M98" s="8" t="s">
        <v>489</v>
      </c>
      <c r="N98" s="36">
        <v>0</v>
      </c>
      <c r="O98" s="1">
        <f t="shared" si="1"/>
        <v>0</v>
      </c>
      <c r="P98" s="2" t="str">
        <f>IF(O98=0,"",_xlfn.XLOOKUP(D98,'1月份计划'!A:A,'1月份计划'!A:A,"计划表需添加"))</f>
        <v/>
      </c>
    </row>
    <row r="99" s="1" customFormat="1" ht="15" customHeight="1" spans="1:16">
      <c r="A99" s="12" t="s">
        <v>444</v>
      </c>
      <c r="B99" s="15" t="s">
        <v>445</v>
      </c>
      <c r="C99" s="12" t="s">
        <v>41</v>
      </c>
      <c r="D99" s="15" t="s">
        <v>541</v>
      </c>
      <c r="E99" s="12" t="s">
        <v>41</v>
      </c>
      <c r="F99" s="12" t="s">
        <v>443</v>
      </c>
      <c r="G99" s="12" t="s">
        <v>489</v>
      </c>
      <c r="H99" s="37">
        <v>0</v>
      </c>
      <c r="I99" s="37">
        <v>0</v>
      </c>
      <c r="J99" s="37">
        <v>0</v>
      </c>
      <c r="K99" s="37">
        <v>0</v>
      </c>
      <c r="L99" s="37">
        <v>0</v>
      </c>
      <c r="M99" s="12" t="s">
        <v>489</v>
      </c>
      <c r="N99" s="37">
        <v>0</v>
      </c>
      <c r="O99" s="1">
        <f t="shared" si="1"/>
        <v>0</v>
      </c>
      <c r="P99" s="2" t="str">
        <f>IF(O99=0,"",_xlfn.XLOOKUP(D99,'1月份计划'!A:A,'1月份计划'!A:A,"计划表需添加"))</f>
        <v/>
      </c>
    </row>
    <row r="100" s="1" customFormat="1" ht="15" customHeight="1" spans="1:16">
      <c r="A100" s="8" t="s">
        <v>444</v>
      </c>
      <c r="B100" s="11" t="s">
        <v>445</v>
      </c>
      <c r="C100" s="8" t="s">
        <v>41</v>
      </c>
      <c r="D100" s="11" t="s">
        <v>542</v>
      </c>
      <c r="E100" s="8" t="s">
        <v>41</v>
      </c>
      <c r="F100" s="8" t="s">
        <v>443</v>
      </c>
      <c r="G100" s="8" t="s">
        <v>489</v>
      </c>
      <c r="H100" s="36">
        <v>0</v>
      </c>
      <c r="I100" s="36">
        <v>0</v>
      </c>
      <c r="J100" s="36">
        <v>0</v>
      </c>
      <c r="K100" s="36">
        <v>0</v>
      </c>
      <c r="L100" s="36">
        <v>0</v>
      </c>
      <c r="M100" s="8" t="s">
        <v>489</v>
      </c>
      <c r="N100" s="36">
        <v>0</v>
      </c>
      <c r="O100" s="1">
        <f t="shared" si="1"/>
        <v>0</v>
      </c>
      <c r="P100" s="2" t="str">
        <f>IF(O100=0,"",_xlfn.XLOOKUP(D100,'1月份计划'!A:A,'1月份计划'!A:A,"计划表需添加"))</f>
        <v/>
      </c>
    </row>
    <row r="101" s="1" customFormat="1" ht="15" customHeight="1" spans="1:16">
      <c r="A101" s="12" t="s">
        <v>444</v>
      </c>
      <c r="B101" s="15" t="s">
        <v>445</v>
      </c>
      <c r="C101" s="12" t="s">
        <v>41</v>
      </c>
      <c r="D101" s="15" t="s">
        <v>543</v>
      </c>
      <c r="E101" s="12" t="s">
        <v>41</v>
      </c>
      <c r="F101" s="12" t="s">
        <v>443</v>
      </c>
      <c r="G101" s="12" t="s">
        <v>489</v>
      </c>
      <c r="H101" s="37">
        <v>0</v>
      </c>
      <c r="I101" s="37">
        <v>0</v>
      </c>
      <c r="J101" s="37">
        <v>0</v>
      </c>
      <c r="K101" s="37">
        <v>0</v>
      </c>
      <c r="L101" s="37">
        <v>0</v>
      </c>
      <c r="M101" s="12" t="s">
        <v>489</v>
      </c>
      <c r="N101" s="37">
        <v>0</v>
      </c>
      <c r="O101" s="1">
        <f t="shared" si="1"/>
        <v>0</v>
      </c>
      <c r="P101" s="2" t="str">
        <f>IF(O101=0,"",_xlfn.XLOOKUP(D101,'1月份计划'!A:A,'1月份计划'!A:A,"计划表需添加"))</f>
        <v/>
      </c>
    </row>
    <row r="102" s="1" customFormat="1" ht="15" customHeight="1" spans="1:16">
      <c r="A102" s="8" t="s">
        <v>444</v>
      </c>
      <c r="B102" s="11" t="s">
        <v>445</v>
      </c>
      <c r="C102" s="8" t="s">
        <v>41</v>
      </c>
      <c r="D102" s="11" t="s">
        <v>278</v>
      </c>
      <c r="E102" s="8" t="s">
        <v>41</v>
      </c>
      <c r="F102" s="8" t="s">
        <v>443</v>
      </c>
      <c r="G102" s="8" t="s">
        <v>447</v>
      </c>
      <c r="H102" s="36">
        <v>10558.72</v>
      </c>
      <c r="I102" s="36">
        <v>0</v>
      </c>
      <c r="J102" s="36">
        <v>0</v>
      </c>
      <c r="K102" s="36">
        <v>25076.96</v>
      </c>
      <c r="L102" s="36">
        <v>10558.72</v>
      </c>
      <c r="M102" s="8" t="s">
        <v>447</v>
      </c>
      <c r="N102" s="36">
        <v>10558.72</v>
      </c>
      <c r="O102" s="1">
        <f t="shared" si="1"/>
        <v>10558.72</v>
      </c>
      <c r="P102" s="2" t="str">
        <f>IF(O102=0,"",_xlfn.XLOOKUP(D102,'1月份计划'!A:A,'1月份计划'!A:A,"计划表需添加"))</f>
        <v>重庆渝融兴汽车配件有限公司</v>
      </c>
    </row>
    <row r="103" s="1" customFormat="1" ht="15" customHeight="1" spans="1:16">
      <c r="A103" s="8" t="s">
        <v>444</v>
      </c>
      <c r="B103" s="11" t="s">
        <v>445</v>
      </c>
      <c r="C103" s="8" t="s">
        <v>41</v>
      </c>
      <c r="D103" s="11" t="s">
        <v>412</v>
      </c>
      <c r="E103" s="8" t="s">
        <v>41</v>
      </c>
      <c r="F103" s="8" t="s">
        <v>443</v>
      </c>
      <c r="G103" s="8" t="s">
        <v>447</v>
      </c>
      <c r="H103" s="36">
        <v>10750.82</v>
      </c>
      <c r="I103" s="36">
        <v>0</v>
      </c>
      <c r="J103" s="36">
        <v>0</v>
      </c>
      <c r="K103" s="36">
        <v>4332.42</v>
      </c>
      <c r="L103" s="36">
        <v>7541.62</v>
      </c>
      <c r="M103" s="8" t="s">
        <v>447</v>
      </c>
      <c r="N103" s="36">
        <v>10750.82</v>
      </c>
      <c r="O103" s="1">
        <f t="shared" si="1"/>
        <v>10750.82</v>
      </c>
      <c r="P103" s="2" t="str">
        <f>IF(O103=0,"",_xlfn.XLOOKUP(D103,'1月份计划'!A:A,'1月份计划'!A:A,"计划表需添加"))</f>
        <v>安徽汉升工业部件股份有限公司</v>
      </c>
    </row>
    <row r="104" s="1" customFormat="1" ht="15" customHeight="1" spans="1:16">
      <c r="A104" s="12" t="s">
        <v>444</v>
      </c>
      <c r="B104" s="15" t="s">
        <v>445</v>
      </c>
      <c r="C104" s="12" t="s">
        <v>41</v>
      </c>
      <c r="D104" s="15" t="s">
        <v>258</v>
      </c>
      <c r="E104" s="12" t="s">
        <v>41</v>
      </c>
      <c r="F104" s="12" t="s">
        <v>443</v>
      </c>
      <c r="G104" s="12" t="s">
        <v>447</v>
      </c>
      <c r="H104" s="37">
        <v>449769.99</v>
      </c>
      <c r="I104" s="37">
        <v>204055.98</v>
      </c>
      <c r="J104" s="37">
        <v>0</v>
      </c>
      <c r="K104" s="37">
        <v>554055.98</v>
      </c>
      <c r="L104" s="37">
        <v>61016.77</v>
      </c>
      <c r="M104" s="12" t="s">
        <v>447</v>
      </c>
      <c r="N104" s="37">
        <v>245714.01</v>
      </c>
      <c r="O104" s="1">
        <f t="shared" si="1"/>
        <v>245714.01</v>
      </c>
      <c r="P104" s="2" t="str">
        <f>IF(O104=0,"",_xlfn.XLOOKUP(D104,'1月份计划'!A:A,'1月份计划'!A:A,"计划表需添加"))</f>
        <v>吉林省德邦汽车电子有限公司</v>
      </c>
    </row>
    <row r="105" s="1" customFormat="1" ht="15" customHeight="1" spans="1:16">
      <c r="A105" s="8" t="s">
        <v>444</v>
      </c>
      <c r="B105" s="11" t="s">
        <v>445</v>
      </c>
      <c r="C105" s="8" t="s">
        <v>41</v>
      </c>
      <c r="D105" s="11" t="s">
        <v>259</v>
      </c>
      <c r="E105" s="8" t="s">
        <v>41</v>
      </c>
      <c r="F105" s="8" t="s">
        <v>443</v>
      </c>
      <c r="G105" s="8" t="s">
        <v>447</v>
      </c>
      <c r="H105" s="36">
        <v>549356.28</v>
      </c>
      <c r="I105" s="36">
        <v>0</v>
      </c>
      <c r="J105" s="36">
        <v>0</v>
      </c>
      <c r="K105" s="36">
        <v>478035.9</v>
      </c>
      <c r="L105" s="36">
        <v>241642.59</v>
      </c>
      <c r="M105" s="8" t="s">
        <v>447</v>
      </c>
      <c r="N105" s="36">
        <v>549356.28</v>
      </c>
      <c r="O105" s="1">
        <f t="shared" si="1"/>
        <v>549356.28</v>
      </c>
      <c r="P105" s="2" t="str">
        <f>IF(O105=0,"",_xlfn.XLOOKUP(D105,'1月份计划'!A:A,'1月份计划'!A:A,"计划表需添加"))</f>
        <v>吉林省方舟电子科技有限公司</v>
      </c>
    </row>
    <row r="106" s="1" customFormat="1" ht="15" customHeight="1" spans="1:16">
      <c r="A106" s="12" t="s">
        <v>444</v>
      </c>
      <c r="B106" s="15" t="s">
        <v>445</v>
      </c>
      <c r="C106" s="12" t="s">
        <v>41</v>
      </c>
      <c r="D106" s="15" t="s">
        <v>299</v>
      </c>
      <c r="E106" s="12" t="s">
        <v>41</v>
      </c>
      <c r="F106" s="12" t="s">
        <v>443</v>
      </c>
      <c r="G106" s="12" t="s">
        <v>447</v>
      </c>
      <c r="H106" s="37">
        <v>612230.1</v>
      </c>
      <c r="I106" s="37">
        <v>287434.81</v>
      </c>
      <c r="J106" s="37">
        <v>0</v>
      </c>
      <c r="K106" s="37">
        <v>287434.81</v>
      </c>
      <c r="L106" s="37">
        <v>324795.67</v>
      </c>
      <c r="M106" s="12" t="s">
        <v>447</v>
      </c>
      <c r="N106" s="37">
        <v>324795.29</v>
      </c>
      <c r="O106" s="1">
        <f t="shared" si="1"/>
        <v>324795.29</v>
      </c>
      <c r="P106" s="2" t="str">
        <f>IF(O106=0,"",_xlfn.XLOOKUP(D106,'1月份计划'!A:A,'1月份计划'!A:A,"计划表需添加"))</f>
        <v>长春富维安道拓汽车金属零部件</v>
      </c>
    </row>
    <row r="107" s="1" customFormat="1" ht="15" customHeight="1" spans="1:16">
      <c r="A107" s="8" t="s">
        <v>444</v>
      </c>
      <c r="B107" s="11" t="s">
        <v>445</v>
      </c>
      <c r="C107" s="8" t="s">
        <v>41</v>
      </c>
      <c r="D107" s="11" t="s">
        <v>544</v>
      </c>
      <c r="E107" s="8" t="s">
        <v>41</v>
      </c>
      <c r="F107" s="8" t="s">
        <v>443</v>
      </c>
      <c r="G107" s="8" t="s">
        <v>489</v>
      </c>
      <c r="H107" s="36">
        <v>0</v>
      </c>
      <c r="I107" s="36">
        <v>0</v>
      </c>
      <c r="J107" s="36">
        <v>0</v>
      </c>
      <c r="K107" s="36">
        <v>0</v>
      </c>
      <c r="L107" s="36">
        <v>0</v>
      </c>
      <c r="M107" s="8" t="s">
        <v>489</v>
      </c>
      <c r="N107" s="36">
        <v>0</v>
      </c>
      <c r="O107" s="1">
        <f t="shared" si="1"/>
        <v>0</v>
      </c>
      <c r="P107" s="2" t="str">
        <f>IF(O107=0,"",_xlfn.XLOOKUP(D107,'1月份计划'!A:A,'1月份计划'!A:A,"计划表需添加"))</f>
        <v/>
      </c>
    </row>
    <row r="108" s="1" customFormat="1" ht="15" customHeight="1" spans="1:16">
      <c r="A108" s="8" t="s">
        <v>444</v>
      </c>
      <c r="B108" s="11" t="s">
        <v>445</v>
      </c>
      <c r="C108" s="8" t="s">
        <v>41</v>
      </c>
      <c r="D108" s="11" t="s">
        <v>415</v>
      </c>
      <c r="E108" s="8" t="s">
        <v>41</v>
      </c>
      <c r="F108" s="8" t="s">
        <v>443</v>
      </c>
      <c r="G108" s="8" t="s">
        <v>489</v>
      </c>
      <c r="H108" s="36">
        <v>0</v>
      </c>
      <c r="I108" s="36">
        <v>0</v>
      </c>
      <c r="J108" s="36">
        <v>-46646.4</v>
      </c>
      <c r="K108" s="36">
        <v>0</v>
      </c>
      <c r="L108" s="36">
        <v>-46646.4</v>
      </c>
      <c r="M108" s="8" t="s">
        <v>453</v>
      </c>
      <c r="N108" s="36">
        <v>46646.4</v>
      </c>
      <c r="O108" s="1">
        <f t="shared" si="1"/>
        <v>-46646.4</v>
      </c>
      <c r="P108" s="2" t="str">
        <f>IF(O108=0,"",_xlfn.XLOOKUP(D108,'1月份计划'!A:A,'1月份计划'!A:A,"计划表需添加"))</f>
        <v>惠州市唐群座椅科技股份有限公</v>
      </c>
    </row>
    <row r="109" s="1" customFormat="1" ht="15" customHeight="1" spans="1:16">
      <c r="A109" s="8" t="s">
        <v>444</v>
      </c>
      <c r="B109" s="11" t="s">
        <v>445</v>
      </c>
      <c r="C109" s="8" t="s">
        <v>41</v>
      </c>
      <c r="D109" s="11" t="s">
        <v>260</v>
      </c>
      <c r="E109" s="8" t="s">
        <v>41</v>
      </c>
      <c r="F109" s="8" t="s">
        <v>443</v>
      </c>
      <c r="G109" s="8" t="s">
        <v>447</v>
      </c>
      <c r="H109" s="36">
        <v>381600.18</v>
      </c>
      <c r="I109" s="36">
        <v>0</v>
      </c>
      <c r="J109" s="36">
        <v>0</v>
      </c>
      <c r="K109" s="36">
        <v>290466.83</v>
      </c>
      <c r="L109" s="36">
        <v>148360.26</v>
      </c>
      <c r="M109" s="8" t="s">
        <v>447</v>
      </c>
      <c r="N109" s="36">
        <v>381600.18</v>
      </c>
      <c r="O109" s="1">
        <f t="shared" si="1"/>
        <v>381600.18</v>
      </c>
      <c r="P109" s="2" t="str">
        <f>IF(O109=0,"",_xlfn.XLOOKUP(D109,'1月份计划'!A:A,'1月份计划'!A:A,"计划表需添加"))</f>
        <v>黄骅市雍丰塑料制品有限公司</v>
      </c>
    </row>
    <row r="110" s="1" customFormat="1" ht="15" customHeight="1" spans="1:16">
      <c r="A110" s="12" t="s">
        <v>444</v>
      </c>
      <c r="B110" s="15" t="s">
        <v>445</v>
      </c>
      <c r="C110" s="12" t="s">
        <v>41</v>
      </c>
      <c r="D110" s="15" t="s">
        <v>545</v>
      </c>
      <c r="E110" s="12" t="s">
        <v>41</v>
      </c>
      <c r="F110" s="12" t="s">
        <v>443</v>
      </c>
      <c r="G110" s="12" t="s">
        <v>489</v>
      </c>
      <c r="H110" s="37">
        <v>0</v>
      </c>
      <c r="I110" s="37">
        <v>0</v>
      </c>
      <c r="J110" s="37">
        <v>0</v>
      </c>
      <c r="K110" s="37">
        <v>0</v>
      </c>
      <c r="L110" s="37">
        <v>0</v>
      </c>
      <c r="M110" s="12" t="s">
        <v>489</v>
      </c>
      <c r="N110" s="37">
        <v>0</v>
      </c>
      <c r="O110" s="1">
        <f t="shared" si="1"/>
        <v>0</v>
      </c>
      <c r="P110" s="2" t="str">
        <f>IF(O110=0,"",_xlfn.XLOOKUP(D110,'1月份计划'!A:A,'1月份计划'!A:A,"计划表需添加"))</f>
        <v/>
      </c>
    </row>
    <row r="111" s="1" customFormat="1" ht="15" hidden="1" customHeight="1" spans="1:16">
      <c r="A111" s="12" t="s">
        <v>444</v>
      </c>
      <c r="B111" s="15" t="s">
        <v>445</v>
      </c>
      <c r="C111" s="12" t="s">
        <v>41</v>
      </c>
      <c r="D111" s="15" t="s">
        <v>466</v>
      </c>
      <c r="E111" s="12" t="s">
        <v>41</v>
      </c>
      <c r="F111" s="12" t="s">
        <v>443</v>
      </c>
      <c r="G111" s="12" t="s">
        <v>447</v>
      </c>
      <c r="H111" s="37">
        <v>1508.81</v>
      </c>
      <c r="I111" s="37">
        <v>0</v>
      </c>
      <c r="J111" s="37">
        <v>0</v>
      </c>
      <c r="K111" s="37">
        <v>0</v>
      </c>
      <c r="L111" s="37">
        <v>0</v>
      </c>
      <c r="M111" s="12" t="s">
        <v>447</v>
      </c>
      <c r="N111" s="37">
        <v>1508.81</v>
      </c>
      <c r="O111" s="1">
        <f t="shared" si="1"/>
        <v>1508.81</v>
      </c>
      <c r="P111" s="2" t="str">
        <f>IF(O111=0,"",_xlfn.XLOOKUP(D111,'1月份计划'!A:A,'1月份计划'!A:A,"计划表需添加"))</f>
        <v>计划表需添加</v>
      </c>
    </row>
    <row r="112" s="1" customFormat="1" ht="15" hidden="1" customHeight="1" spans="1:16">
      <c r="A112" s="8" t="s">
        <v>444</v>
      </c>
      <c r="B112" s="11" t="s">
        <v>445</v>
      </c>
      <c r="C112" s="8" t="s">
        <v>41</v>
      </c>
      <c r="D112" s="11" t="s">
        <v>467</v>
      </c>
      <c r="E112" s="8" t="s">
        <v>41</v>
      </c>
      <c r="F112" s="8" t="s">
        <v>443</v>
      </c>
      <c r="G112" s="8" t="s">
        <v>447</v>
      </c>
      <c r="H112" s="36">
        <v>19684</v>
      </c>
      <c r="I112" s="36">
        <v>0</v>
      </c>
      <c r="J112" s="36">
        <v>0</v>
      </c>
      <c r="K112" s="36">
        <v>0</v>
      </c>
      <c r="L112" s="36">
        <v>0</v>
      </c>
      <c r="M112" s="8" t="s">
        <v>447</v>
      </c>
      <c r="N112" s="36">
        <v>19684</v>
      </c>
      <c r="O112" s="1">
        <f t="shared" si="1"/>
        <v>19684</v>
      </c>
      <c r="P112" s="2" t="str">
        <f>IF(O112=0,"",_xlfn.XLOOKUP(D112,'1月份计划'!A:A,'1月份计划'!A:A,"计划表需添加"))</f>
        <v>计划表需添加</v>
      </c>
    </row>
    <row r="113" s="1" customFormat="1" ht="15" customHeight="1" spans="1:16">
      <c r="A113" s="12" t="s">
        <v>444</v>
      </c>
      <c r="B113" s="15" t="s">
        <v>445</v>
      </c>
      <c r="C113" s="12" t="s">
        <v>41</v>
      </c>
      <c r="D113" s="15" t="s">
        <v>306</v>
      </c>
      <c r="E113" s="12" t="s">
        <v>41</v>
      </c>
      <c r="F113" s="12" t="s">
        <v>443</v>
      </c>
      <c r="G113" s="12" t="s">
        <v>447</v>
      </c>
      <c r="H113" s="37">
        <v>69770.72</v>
      </c>
      <c r="I113" s="37">
        <v>0</v>
      </c>
      <c r="J113" s="37">
        <v>0</v>
      </c>
      <c r="K113" s="37">
        <v>32793.73</v>
      </c>
      <c r="L113" s="37">
        <v>62470.92</v>
      </c>
      <c r="M113" s="12" t="s">
        <v>447</v>
      </c>
      <c r="N113" s="37">
        <v>69770.72</v>
      </c>
      <c r="O113" s="1">
        <f t="shared" si="1"/>
        <v>69770.72</v>
      </c>
      <c r="P113" s="2" t="str">
        <f>IF(O113=0,"",_xlfn.XLOOKUP(D113,'1月份计划'!A:A,'1月份计划'!A:A,"计划表需添加"))</f>
        <v>江苏忠明祥和精工股份有限公司</v>
      </c>
    </row>
    <row r="114" s="1" customFormat="1" ht="15" hidden="1" customHeight="1" spans="1:16">
      <c r="A114" s="8" t="s">
        <v>444</v>
      </c>
      <c r="B114" s="11" t="s">
        <v>445</v>
      </c>
      <c r="C114" s="8" t="s">
        <v>41</v>
      </c>
      <c r="D114" s="11" t="s">
        <v>468</v>
      </c>
      <c r="E114" s="8" t="s">
        <v>41</v>
      </c>
      <c r="F114" s="8" t="s">
        <v>443</v>
      </c>
      <c r="G114" s="8" t="s">
        <v>447</v>
      </c>
      <c r="H114" s="36">
        <v>23.19</v>
      </c>
      <c r="I114" s="36">
        <v>0</v>
      </c>
      <c r="J114" s="36">
        <v>0</v>
      </c>
      <c r="K114" s="36">
        <v>0</v>
      </c>
      <c r="L114" s="36">
        <v>0</v>
      </c>
      <c r="M114" s="8" t="s">
        <v>447</v>
      </c>
      <c r="N114" s="36">
        <v>23.19</v>
      </c>
      <c r="O114" s="1">
        <f t="shared" si="1"/>
        <v>23.19</v>
      </c>
      <c r="P114" s="2" t="str">
        <f>IF(O114=0,"",_xlfn.XLOOKUP(D114,'1月份计划'!A:A,'1月份计划'!A:A,"计划表需添加"))</f>
        <v>计划表需添加</v>
      </c>
    </row>
    <row r="115" s="1" customFormat="1" ht="15" hidden="1" customHeight="1" spans="1:16">
      <c r="A115" s="12" t="s">
        <v>444</v>
      </c>
      <c r="B115" s="15" t="s">
        <v>445</v>
      </c>
      <c r="C115" s="12" t="s">
        <v>41</v>
      </c>
      <c r="D115" s="15" t="s">
        <v>469</v>
      </c>
      <c r="E115" s="12" t="s">
        <v>41</v>
      </c>
      <c r="F115" s="12" t="s">
        <v>443</v>
      </c>
      <c r="G115" s="12" t="s">
        <v>447</v>
      </c>
      <c r="H115" s="37">
        <v>5878.26</v>
      </c>
      <c r="I115" s="37">
        <v>0</v>
      </c>
      <c r="J115" s="37">
        <v>0</v>
      </c>
      <c r="K115" s="37">
        <v>0</v>
      </c>
      <c r="L115" s="37">
        <v>0</v>
      </c>
      <c r="M115" s="12" t="s">
        <v>447</v>
      </c>
      <c r="N115" s="37">
        <v>5878.26</v>
      </c>
      <c r="O115" s="1">
        <f t="shared" si="1"/>
        <v>5878.26</v>
      </c>
      <c r="P115" s="2" t="str">
        <f>IF(O115=0,"",_xlfn.XLOOKUP(D115,'1月份计划'!A:A,'1月份计划'!A:A,"计划表需添加"))</f>
        <v>计划表需添加</v>
      </c>
    </row>
    <row r="116" spans="1:16">
      <c r="A116" s="1" t="s">
        <v>444</v>
      </c>
      <c r="B116" s="1" t="s">
        <v>445</v>
      </c>
      <c r="C116" s="1" t="s">
        <v>41</v>
      </c>
      <c r="D116" s="1" t="s">
        <v>546</v>
      </c>
      <c r="E116" s="1" t="s">
        <v>41</v>
      </c>
      <c r="F116" s="1" t="s">
        <v>443</v>
      </c>
      <c r="G116" s="1" t="s">
        <v>489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 t="s">
        <v>489</v>
      </c>
      <c r="N116" s="1">
        <v>0</v>
      </c>
      <c r="O116" s="1">
        <f t="shared" si="1"/>
        <v>0</v>
      </c>
      <c r="P116" s="2" t="str">
        <f>IF(O116=0,"",_xlfn.XLOOKUP(D116,'1月份计划'!A:A,'1月份计划'!A:A,"计划表需添加"))</f>
        <v/>
      </c>
    </row>
    <row r="117" spans="1:16">
      <c r="A117" s="1" t="s">
        <v>444</v>
      </c>
      <c r="B117" s="1" t="s">
        <v>445</v>
      </c>
      <c r="C117" s="1" t="s">
        <v>41</v>
      </c>
      <c r="D117" s="1" t="s">
        <v>547</v>
      </c>
      <c r="E117" s="1" t="s">
        <v>41</v>
      </c>
      <c r="F117" s="1" t="s">
        <v>443</v>
      </c>
      <c r="G117" s="1" t="s">
        <v>489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 t="s">
        <v>489</v>
      </c>
      <c r="N117" s="1">
        <v>0</v>
      </c>
      <c r="O117" s="1">
        <f t="shared" si="1"/>
        <v>0</v>
      </c>
      <c r="P117" s="2" t="str">
        <f>IF(O117=0,"",_xlfn.XLOOKUP(D117,'1月份计划'!A:A,'1月份计划'!A:A,"计划表需添加"))</f>
        <v/>
      </c>
    </row>
    <row r="118" hidden="1" spans="1:16">
      <c r="A118" s="1" t="s">
        <v>444</v>
      </c>
      <c r="B118" s="1" t="s">
        <v>445</v>
      </c>
      <c r="C118" s="1" t="s">
        <v>41</v>
      </c>
      <c r="D118" s="1" t="s">
        <v>470</v>
      </c>
      <c r="E118" s="1" t="s">
        <v>41</v>
      </c>
      <c r="F118" s="1" t="s">
        <v>443</v>
      </c>
      <c r="G118" s="1" t="s">
        <v>447</v>
      </c>
      <c r="H118" s="1">
        <v>65450</v>
      </c>
      <c r="I118" s="1">
        <v>0</v>
      </c>
      <c r="J118" s="1">
        <v>0</v>
      </c>
      <c r="K118" s="1">
        <v>0</v>
      </c>
      <c r="L118" s="1">
        <v>0</v>
      </c>
      <c r="M118" s="1" t="s">
        <v>447</v>
      </c>
      <c r="N118" s="1">
        <v>65450</v>
      </c>
      <c r="O118" s="1">
        <f t="shared" si="1"/>
        <v>65450</v>
      </c>
      <c r="P118" s="2" t="str">
        <f>IF(O118=0,"",_xlfn.XLOOKUP(D118,'1月份计划'!A:A,'1月份计划'!A:A,"计划表需添加"))</f>
        <v>计划表需添加</v>
      </c>
    </row>
    <row r="119" spans="1:16">
      <c r="A119" s="1" t="s">
        <v>444</v>
      </c>
      <c r="B119" s="1" t="s">
        <v>445</v>
      </c>
      <c r="C119" s="1" t="s">
        <v>41</v>
      </c>
      <c r="D119" s="1" t="s">
        <v>548</v>
      </c>
      <c r="E119" s="1" t="s">
        <v>41</v>
      </c>
      <c r="F119" s="1" t="s">
        <v>443</v>
      </c>
      <c r="G119" s="1" t="s">
        <v>489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 t="s">
        <v>489</v>
      </c>
      <c r="N119" s="1">
        <v>0</v>
      </c>
      <c r="O119" s="1">
        <f t="shared" si="1"/>
        <v>0</v>
      </c>
      <c r="P119" s="2" t="str">
        <f>IF(O119=0,"",_xlfn.XLOOKUP(D119,'1月份计划'!A:A,'1月份计划'!A:A,"计划表需添加"))</f>
        <v/>
      </c>
    </row>
    <row r="120" hidden="1" spans="1:16">
      <c r="A120" s="1" t="s">
        <v>444</v>
      </c>
      <c r="B120" s="1" t="s">
        <v>445</v>
      </c>
      <c r="C120" s="1" t="s">
        <v>41</v>
      </c>
      <c r="D120" s="1" t="s">
        <v>471</v>
      </c>
      <c r="E120" s="1" t="s">
        <v>41</v>
      </c>
      <c r="F120" s="1" t="s">
        <v>443</v>
      </c>
      <c r="G120" s="1" t="s">
        <v>447</v>
      </c>
      <c r="H120" s="1">
        <v>61614.37</v>
      </c>
      <c r="I120" s="1">
        <v>0</v>
      </c>
      <c r="J120" s="1">
        <v>0</v>
      </c>
      <c r="K120" s="1">
        <v>0</v>
      </c>
      <c r="L120" s="1">
        <v>0</v>
      </c>
      <c r="M120" s="1" t="s">
        <v>447</v>
      </c>
      <c r="N120" s="1">
        <v>61614.37</v>
      </c>
      <c r="O120" s="1">
        <f t="shared" si="1"/>
        <v>61614.37</v>
      </c>
      <c r="P120" s="2" t="str">
        <f>IF(O120=0,"",_xlfn.XLOOKUP(D120,'1月份计划'!A:A,'1月份计划'!A:A,"计划表需添加"))</f>
        <v>计划表需添加</v>
      </c>
    </row>
    <row r="121" spans="1:16">
      <c r="A121" s="1" t="s">
        <v>444</v>
      </c>
      <c r="B121" s="1" t="s">
        <v>445</v>
      </c>
      <c r="C121" s="1" t="s">
        <v>41</v>
      </c>
      <c r="D121" s="1" t="s">
        <v>549</v>
      </c>
      <c r="E121" s="1" t="s">
        <v>41</v>
      </c>
      <c r="F121" s="1" t="s">
        <v>443</v>
      </c>
      <c r="G121" s="1" t="s">
        <v>489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 t="s">
        <v>489</v>
      </c>
      <c r="N121" s="1">
        <v>0</v>
      </c>
      <c r="O121" s="1">
        <f t="shared" si="1"/>
        <v>0</v>
      </c>
      <c r="P121" s="2" t="str">
        <f>IF(O121=0,"",_xlfn.XLOOKUP(D121,'1月份计划'!A:A,'1月份计划'!A:A,"计划表需添加"))</f>
        <v/>
      </c>
    </row>
    <row r="122" spans="1:16">
      <c r="A122" s="1" t="s">
        <v>444</v>
      </c>
      <c r="B122" s="1" t="s">
        <v>445</v>
      </c>
      <c r="C122" s="1" t="s">
        <v>41</v>
      </c>
      <c r="D122" s="1" t="s">
        <v>261</v>
      </c>
      <c r="E122" s="1" t="s">
        <v>41</v>
      </c>
      <c r="F122" s="1" t="s">
        <v>443</v>
      </c>
      <c r="G122" s="1" t="s">
        <v>447</v>
      </c>
      <c r="H122" s="1">
        <v>803596.61</v>
      </c>
      <c r="I122" s="1">
        <v>0</v>
      </c>
      <c r="J122" s="1">
        <v>0</v>
      </c>
      <c r="K122" s="1">
        <v>300000</v>
      </c>
      <c r="L122" s="1">
        <v>0</v>
      </c>
      <c r="M122" s="1" t="s">
        <v>447</v>
      </c>
      <c r="N122" s="1">
        <v>803596.61</v>
      </c>
      <c r="O122" s="1">
        <f t="shared" si="1"/>
        <v>803596.61</v>
      </c>
      <c r="P122" s="2" t="str">
        <f>IF(O122=0,"",_xlfn.XLOOKUP(D122,'1月份计划'!A:A,'1月份计划'!A:A,"计划表需添加"))</f>
        <v>景德镇市乾立运输有限公司</v>
      </c>
    </row>
    <row r="123" spans="1:16">
      <c r="A123" s="1" t="s">
        <v>444</v>
      </c>
      <c r="B123" s="1" t="s">
        <v>445</v>
      </c>
      <c r="C123" s="1" t="s">
        <v>41</v>
      </c>
      <c r="D123" s="1" t="s">
        <v>550</v>
      </c>
      <c r="E123" s="1" t="s">
        <v>41</v>
      </c>
      <c r="F123" s="1" t="s">
        <v>443</v>
      </c>
      <c r="G123" s="1" t="s">
        <v>489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 t="s">
        <v>489</v>
      </c>
      <c r="N123" s="1">
        <v>0</v>
      </c>
      <c r="O123" s="1">
        <f t="shared" si="1"/>
        <v>0</v>
      </c>
      <c r="P123" s="2" t="str">
        <f>IF(O123=0,"",_xlfn.XLOOKUP(D123,'1月份计划'!A:A,'1月份计划'!A:A,"计划表需添加"))</f>
        <v/>
      </c>
    </row>
    <row r="124" hidden="1" spans="1:16">
      <c r="A124" s="1" t="s">
        <v>444</v>
      </c>
      <c r="B124" s="1" t="s">
        <v>445</v>
      </c>
      <c r="C124" s="1" t="s">
        <v>41</v>
      </c>
      <c r="D124" s="1" t="s">
        <v>472</v>
      </c>
      <c r="E124" s="1" t="s">
        <v>41</v>
      </c>
      <c r="F124" s="1" t="s">
        <v>443</v>
      </c>
      <c r="G124" s="1" t="s">
        <v>447</v>
      </c>
      <c r="H124" s="1">
        <v>474</v>
      </c>
      <c r="I124" s="1">
        <v>0</v>
      </c>
      <c r="J124" s="1">
        <v>0</v>
      </c>
      <c r="K124" s="1">
        <v>0</v>
      </c>
      <c r="L124" s="1">
        <v>0</v>
      </c>
      <c r="M124" s="1" t="s">
        <v>447</v>
      </c>
      <c r="N124" s="1">
        <v>474</v>
      </c>
      <c r="O124" s="1">
        <f t="shared" si="1"/>
        <v>474</v>
      </c>
      <c r="P124" s="2" t="str">
        <f>IF(O124=0,"",_xlfn.XLOOKUP(D124,'1月份计划'!A:A,'1月份计划'!A:A,"计划表需添加"))</f>
        <v>计划表需添加</v>
      </c>
    </row>
    <row r="125" spans="1:16">
      <c r="A125" s="1" t="s">
        <v>444</v>
      </c>
      <c r="B125" s="1" t="s">
        <v>445</v>
      </c>
      <c r="C125" s="1" t="s">
        <v>41</v>
      </c>
      <c r="D125" s="1" t="s">
        <v>262</v>
      </c>
      <c r="E125" s="1" t="s">
        <v>41</v>
      </c>
      <c r="F125" s="1" t="s">
        <v>443</v>
      </c>
      <c r="G125" s="1" t="s">
        <v>447</v>
      </c>
      <c r="H125" s="1">
        <v>360864.9</v>
      </c>
      <c r="I125" s="1">
        <v>0</v>
      </c>
      <c r="J125" s="1">
        <v>0</v>
      </c>
      <c r="K125" s="1">
        <v>800000</v>
      </c>
      <c r="L125" s="1">
        <v>0</v>
      </c>
      <c r="M125" s="1" t="s">
        <v>447</v>
      </c>
      <c r="N125" s="1">
        <v>360864.9</v>
      </c>
      <c r="O125" s="1">
        <f t="shared" si="1"/>
        <v>360864.9</v>
      </c>
      <c r="P125" s="2" t="str">
        <f>IF(O125=0,"",_xlfn.XLOOKUP(D125,'1月份计划'!A:A,'1月份计划'!A:A,"计划表需添加"))</f>
        <v>景德镇市凯达汽车配件有限公司</v>
      </c>
    </row>
    <row r="126" spans="1:16">
      <c r="A126" s="1" t="s">
        <v>444</v>
      </c>
      <c r="B126" s="1" t="s">
        <v>445</v>
      </c>
      <c r="C126" s="1" t="s">
        <v>41</v>
      </c>
      <c r="D126" s="1" t="s">
        <v>551</v>
      </c>
      <c r="E126" s="1" t="s">
        <v>41</v>
      </c>
      <c r="F126" s="1" t="s">
        <v>443</v>
      </c>
      <c r="G126" s="1" t="s">
        <v>489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 t="s">
        <v>489</v>
      </c>
      <c r="N126" s="1">
        <v>0</v>
      </c>
      <c r="O126" s="1">
        <f t="shared" si="1"/>
        <v>0</v>
      </c>
      <c r="P126" s="2" t="str">
        <f>IF(O126=0,"",_xlfn.XLOOKUP(D126,'1月份计划'!A:A,'1月份计划'!A:A,"计划表需添加"))</f>
        <v/>
      </c>
    </row>
    <row r="127" spans="1:16">
      <c r="A127" s="1" t="s">
        <v>444</v>
      </c>
      <c r="B127" s="1" t="s">
        <v>445</v>
      </c>
      <c r="C127" s="1" t="s">
        <v>41</v>
      </c>
      <c r="D127" s="1" t="s">
        <v>263</v>
      </c>
      <c r="E127" s="1" t="s">
        <v>41</v>
      </c>
      <c r="F127" s="1" t="s">
        <v>443</v>
      </c>
      <c r="G127" s="1" t="s">
        <v>447</v>
      </c>
      <c r="H127" s="1">
        <v>113065.81</v>
      </c>
      <c r="I127" s="1">
        <v>0</v>
      </c>
      <c r="J127" s="1">
        <v>0</v>
      </c>
      <c r="K127" s="1">
        <v>190000</v>
      </c>
      <c r="L127" s="1">
        <v>32879.45</v>
      </c>
      <c r="M127" s="1" t="s">
        <v>447</v>
      </c>
      <c r="N127" s="1">
        <v>113065.81</v>
      </c>
      <c r="O127" s="1">
        <f t="shared" si="1"/>
        <v>113065.81</v>
      </c>
      <c r="P127" s="2" t="str">
        <f>IF(O127=0,"",_xlfn.XLOOKUP(D127,'1月份计划'!A:A,'1月份计划'!A:A,"计划表需添加"))</f>
        <v>武汉德锐隆科技有限公司</v>
      </c>
    </row>
    <row r="128" hidden="1" spans="1:16">
      <c r="A128" s="1" t="s">
        <v>444</v>
      </c>
      <c r="B128" s="1" t="s">
        <v>445</v>
      </c>
      <c r="C128" s="1" t="s">
        <v>41</v>
      </c>
      <c r="D128" s="1" t="s">
        <v>473</v>
      </c>
      <c r="E128" s="1" t="s">
        <v>41</v>
      </c>
      <c r="F128" s="1" t="s">
        <v>443</v>
      </c>
      <c r="G128" s="1" t="s">
        <v>447</v>
      </c>
      <c r="H128" s="1">
        <v>13000</v>
      </c>
      <c r="I128" s="1">
        <v>0</v>
      </c>
      <c r="J128" s="1">
        <v>0</v>
      </c>
      <c r="K128" s="1">
        <v>0</v>
      </c>
      <c r="L128" s="1">
        <v>0</v>
      </c>
      <c r="M128" s="1" t="s">
        <v>447</v>
      </c>
      <c r="N128" s="1">
        <v>13000</v>
      </c>
      <c r="O128" s="1">
        <f t="shared" si="1"/>
        <v>13000</v>
      </c>
      <c r="P128" s="2" t="str">
        <f>IF(O128=0,"",_xlfn.XLOOKUP(D128,'1月份计划'!A:A,'1月份计划'!A:A,"计划表需添加"))</f>
        <v>计划表需添加</v>
      </c>
    </row>
    <row r="129" spans="1:16">
      <c r="A129" s="1" t="s">
        <v>444</v>
      </c>
      <c r="B129" s="1" t="s">
        <v>445</v>
      </c>
      <c r="C129" s="1" t="s">
        <v>41</v>
      </c>
      <c r="D129" s="1" t="s">
        <v>552</v>
      </c>
      <c r="E129" s="1" t="s">
        <v>41</v>
      </c>
      <c r="F129" s="1" t="s">
        <v>443</v>
      </c>
      <c r="G129" s="1" t="s">
        <v>489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 t="s">
        <v>489</v>
      </c>
      <c r="N129" s="1">
        <v>0</v>
      </c>
      <c r="O129" s="1">
        <f t="shared" si="1"/>
        <v>0</v>
      </c>
      <c r="P129" s="2" t="str">
        <f>IF(O129=0,"",_xlfn.XLOOKUP(D129,'1月份计划'!A:A,'1月份计划'!A:A,"计划表需添加"))</f>
        <v/>
      </c>
    </row>
    <row r="130" spans="1:16">
      <c r="A130" s="1" t="s">
        <v>444</v>
      </c>
      <c r="B130" s="1" t="s">
        <v>445</v>
      </c>
      <c r="C130" s="1" t="s">
        <v>41</v>
      </c>
      <c r="D130" s="1" t="s">
        <v>553</v>
      </c>
      <c r="E130" s="1" t="s">
        <v>41</v>
      </c>
      <c r="F130" s="1" t="s">
        <v>443</v>
      </c>
      <c r="G130" s="1" t="s">
        <v>489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 t="s">
        <v>489</v>
      </c>
      <c r="N130" s="1">
        <v>0</v>
      </c>
      <c r="O130" s="1">
        <f t="shared" si="1"/>
        <v>0</v>
      </c>
      <c r="P130" s="2" t="str">
        <f>IF(O130=0,"",_xlfn.XLOOKUP(D130,'1月份计划'!A:A,'1月份计划'!A:A,"计划表需添加"))</f>
        <v/>
      </c>
    </row>
    <row r="131" hidden="1" spans="1:16">
      <c r="A131" s="1" t="s">
        <v>444</v>
      </c>
      <c r="B131" s="1" t="s">
        <v>445</v>
      </c>
      <c r="C131" s="1" t="s">
        <v>41</v>
      </c>
      <c r="D131" s="1" t="s">
        <v>474</v>
      </c>
      <c r="E131" s="1" t="s">
        <v>41</v>
      </c>
      <c r="F131" s="1" t="s">
        <v>443</v>
      </c>
      <c r="G131" s="1" t="s">
        <v>447</v>
      </c>
      <c r="H131" s="1">
        <v>117.55</v>
      </c>
      <c r="I131" s="1">
        <v>0</v>
      </c>
      <c r="J131" s="1">
        <v>0</v>
      </c>
      <c r="K131" s="1">
        <v>0</v>
      </c>
      <c r="L131" s="1">
        <v>0</v>
      </c>
      <c r="M131" s="1" t="s">
        <v>447</v>
      </c>
      <c r="N131" s="1">
        <v>117.55</v>
      </c>
      <c r="O131" s="1">
        <f t="shared" ref="O131:O194" si="2">IF(M131="贷",N131,-N131)</f>
        <v>117.55</v>
      </c>
      <c r="P131" s="2" t="str">
        <f>IF(O131=0,"",_xlfn.XLOOKUP(D131,'1月份计划'!A:A,'1月份计划'!A:A,"计划表需添加"))</f>
        <v>计划表需添加</v>
      </c>
    </row>
    <row r="132" spans="1:16">
      <c r="A132" s="1" t="s">
        <v>444</v>
      </c>
      <c r="B132" s="1" t="s">
        <v>445</v>
      </c>
      <c r="C132" s="1" t="s">
        <v>41</v>
      </c>
      <c r="D132" s="1" t="s">
        <v>554</v>
      </c>
      <c r="E132" s="1" t="s">
        <v>41</v>
      </c>
      <c r="F132" s="1" t="s">
        <v>443</v>
      </c>
      <c r="G132" s="1" t="s">
        <v>489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 t="s">
        <v>489</v>
      </c>
      <c r="N132" s="1">
        <v>0</v>
      </c>
      <c r="O132" s="1">
        <f t="shared" si="2"/>
        <v>0</v>
      </c>
      <c r="P132" s="2" t="str">
        <f>IF(O132=0,"",_xlfn.XLOOKUP(D132,'1月份计划'!A:A,'1月份计划'!A:A,"计划表需添加"))</f>
        <v/>
      </c>
    </row>
    <row r="133" hidden="1" spans="1:16">
      <c r="A133" s="1" t="s">
        <v>444</v>
      </c>
      <c r="B133" s="1" t="s">
        <v>445</v>
      </c>
      <c r="C133" s="1" t="s">
        <v>41</v>
      </c>
      <c r="D133" s="1" t="s">
        <v>475</v>
      </c>
      <c r="E133" s="1" t="s">
        <v>41</v>
      </c>
      <c r="F133" s="1" t="s">
        <v>443</v>
      </c>
      <c r="G133" s="1" t="s">
        <v>447</v>
      </c>
      <c r="H133" s="1">
        <v>32648.8</v>
      </c>
      <c r="I133" s="1">
        <v>0</v>
      </c>
      <c r="J133" s="1">
        <v>0</v>
      </c>
      <c r="K133" s="1">
        <v>0</v>
      </c>
      <c r="L133" s="1">
        <v>0</v>
      </c>
      <c r="M133" s="1" t="s">
        <v>447</v>
      </c>
      <c r="N133" s="1">
        <v>32648.8</v>
      </c>
      <c r="O133" s="1">
        <f t="shared" si="2"/>
        <v>32648.8</v>
      </c>
      <c r="P133" s="2" t="str">
        <f>IF(O133=0,"",_xlfn.XLOOKUP(D133,'1月份计划'!A:A,'1月份计划'!A:A,"计划表需添加"))</f>
        <v>计划表需添加</v>
      </c>
    </row>
    <row r="134" spans="1:16">
      <c r="A134" s="1" t="s">
        <v>444</v>
      </c>
      <c r="B134" s="1" t="s">
        <v>445</v>
      </c>
      <c r="C134" s="1" t="s">
        <v>41</v>
      </c>
      <c r="D134" s="1" t="s">
        <v>555</v>
      </c>
      <c r="E134" s="1" t="s">
        <v>41</v>
      </c>
      <c r="F134" s="1" t="s">
        <v>443</v>
      </c>
      <c r="G134" s="1" t="s">
        <v>489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 t="s">
        <v>489</v>
      </c>
      <c r="N134" s="1">
        <v>0</v>
      </c>
      <c r="O134" s="1">
        <f t="shared" si="2"/>
        <v>0</v>
      </c>
      <c r="P134" s="2" t="str">
        <f>IF(O134=0,"",_xlfn.XLOOKUP(D134,'1月份计划'!A:A,'1月份计划'!A:A,"计划表需添加"))</f>
        <v/>
      </c>
    </row>
    <row r="135" hidden="1" spans="1:16">
      <c r="A135" s="1" t="s">
        <v>444</v>
      </c>
      <c r="B135" s="1" t="s">
        <v>445</v>
      </c>
      <c r="C135" s="1" t="s">
        <v>41</v>
      </c>
      <c r="D135" s="1" t="s">
        <v>476</v>
      </c>
      <c r="E135" s="1" t="s">
        <v>41</v>
      </c>
      <c r="F135" s="1" t="s">
        <v>443</v>
      </c>
      <c r="G135" s="1" t="s">
        <v>447</v>
      </c>
      <c r="H135" s="1">
        <v>10486.2</v>
      </c>
      <c r="I135" s="1">
        <v>0</v>
      </c>
      <c r="J135" s="1">
        <v>0</v>
      </c>
      <c r="K135" s="1">
        <v>0</v>
      </c>
      <c r="L135" s="1">
        <v>0</v>
      </c>
      <c r="M135" s="1" t="s">
        <v>447</v>
      </c>
      <c r="N135" s="1">
        <v>10486.2</v>
      </c>
      <c r="O135" s="1">
        <f t="shared" si="2"/>
        <v>10486.2</v>
      </c>
      <c r="P135" s="2" t="str">
        <f>IF(O135=0,"",_xlfn.XLOOKUP(D135,'1月份计划'!A:A,'1月份计划'!A:A,"计划表需添加"))</f>
        <v>计划表需添加</v>
      </c>
    </row>
    <row r="136" hidden="1" spans="1:16">
      <c r="A136" s="1" t="s">
        <v>444</v>
      </c>
      <c r="B136" s="1" t="s">
        <v>445</v>
      </c>
      <c r="C136" s="1" t="s">
        <v>41</v>
      </c>
      <c r="D136" s="1" t="s">
        <v>477</v>
      </c>
      <c r="E136" s="1" t="s">
        <v>41</v>
      </c>
      <c r="F136" s="1" t="s">
        <v>443</v>
      </c>
      <c r="G136" s="1" t="s">
        <v>447</v>
      </c>
      <c r="H136" s="1">
        <v>3730</v>
      </c>
      <c r="I136" s="1">
        <v>0</v>
      </c>
      <c r="J136" s="1">
        <v>0</v>
      </c>
      <c r="K136" s="1">
        <v>0</v>
      </c>
      <c r="L136" s="1">
        <v>0</v>
      </c>
      <c r="M136" s="1" t="s">
        <v>447</v>
      </c>
      <c r="N136" s="1">
        <v>3730</v>
      </c>
      <c r="O136" s="1">
        <f t="shared" si="2"/>
        <v>3730</v>
      </c>
      <c r="P136" s="2" t="str">
        <f>IF(O136=0,"",_xlfn.XLOOKUP(D136,'1月份计划'!A:A,'1月份计划'!A:A,"计划表需添加"))</f>
        <v>计划表需添加</v>
      </c>
    </row>
    <row r="137" spans="1:16">
      <c r="A137" s="1" t="s">
        <v>444</v>
      </c>
      <c r="B137" s="1" t="s">
        <v>445</v>
      </c>
      <c r="C137" s="1" t="s">
        <v>41</v>
      </c>
      <c r="D137" s="1" t="s">
        <v>556</v>
      </c>
      <c r="E137" s="1" t="s">
        <v>41</v>
      </c>
      <c r="F137" s="1" t="s">
        <v>443</v>
      </c>
      <c r="G137" s="1" t="s">
        <v>489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 t="s">
        <v>489</v>
      </c>
      <c r="N137" s="1">
        <v>0</v>
      </c>
      <c r="O137" s="1">
        <f t="shared" si="2"/>
        <v>0</v>
      </c>
      <c r="P137" s="2" t="str">
        <f>IF(O137=0,"",_xlfn.XLOOKUP(D137,'1月份计划'!A:A,'1月份计划'!A:A,"计划表需添加"))</f>
        <v/>
      </c>
    </row>
    <row r="138" spans="1:16">
      <c r="A138" s="1" t="s">
        <v>444</v>
      </c>
      <c r="B138" s="1" t="s">
        <v>445</v>
      </c>
      <c r="C138" s="1" t="s">
        <v>41</v>
      </c>
      <c r="D138" s="1" t="s">
        <v>264</v>
      </c>
      <c r="E138" s="1" t="s">
        <v>41</v>
      </c>
      <c r="F138" s="1" t="s">
        <v>443</v>
      </c>
      <c r="G138" s="1" t="s">
        <v>447</v>
      </c>
      <c r="H138" s="1">
        <v>2881042.38</v>
      </c>
      <c r="I138" s="1">
        <v>0</v>
      </c>
      <c r="J138" s="1">
        <v>0</v>
      </c>
      <c r="K138" s="1">
        <v>1200000</v>
      </c>
      <c r="L138" s="1">
        <v>1066979.88</v>
      </c>
      <c r="M138" s="1" t="s">
        <v>447</v>
      </c>
      <c r="N138" s="1">
        <v>2881042.38</v>
      </c>
      <c r="O138" s="1">
        <f t="shared" si="2"/>
        <v>2881042.38</v>
      </c>
      <c r="P138" s="2" t="str">
        <f>IF(O138=0,"",_xlfn.XLOOKUP(D138,'1月份计划'!A:A,'1月份计划'!A:A,"计划表需添加"))</f>
        <v>湘潭湘和汽车零部件制造有限公</v>
      </c>
    </row>
    <row r="139" spans="1:16">
      <c r="A139" s="1" t="s">
        <v>444</v>
      </c>
      <c r="B139" s="1" t="s">
        <v>445</v>
      </c>
      <c r="C139" s="1" t="s">
        <v>41</v>
      </c>
      <c r="D139" s="1" t="s">
        <v>265</v>
      </c>
      <c r="E139" s="1" t="s">
        <v>41</v>
      </c>
      <c r="F139" s="1" t="s">
        <v>443</v>
      </c>
      <c r="G139" s="1" t="s">
        <v>447</v>
      </c>
      <c r="H139" s="1">
        <v>3220208.22</v>
      </c>
      <c r="I139" s="1">
        <v>0</v>
      </c>
      <c r="J139" s="1">
        <v>0</v>
      </c>
      <c r="K139" s="1">
        <v>2080000</v>
      </c>
      <c r="L139" s="1">
        <v>1711278.93</v>
      </c>
      <c r="M139" s="1" t="s">
        <v>447</v>
      </c>
      <c r="N139" s="1">
        <v>3220208.22</v>
      </c>
      <c r="O139" s="1">
        <f t="shared" si="2"/>
        <v>3220208.22</v>
      </c>
      <c r="P139" s="2" t="str">
        <f>IF(O139=0,"",_xlfn.XLOOKUP(D139,'1月份计划'!A:A,'1月份计划'!A:A,"计划表需添加"))</f>
        <v>湖南中道机械设备有限公司</v>
      </c>
    </row>
    <row r="140" spans="1:16">
      <c r="A140" s="1" t="s">
        <v>444</v>
      </c>
      <c r="B140" s="1" t="s">
        <v>445</v>
      </c>
      <c r="C140" s="1" t="s">
        <v>41</v>
      </c>
      <c r="D140" s="1" t="s">
        <v>557</v>
      </c>
      <c r="E140" s="1" t="s">
        <v>41</v>
      </c>
      <c r="F140" s="1" t="s">
        <v>443</v>
      </c>
      <c r="G140" s="1" t="s">
        <v>489</v>
      </c>
      <c r="H140" s="1">
        <v>0</v>
      </c>
      <c r="I140" s="1">
        <v>0</v>
      </c>
      <c r="J140" s="1">
        <v>0</v>
      </c>
      <c r="K140" s="1">
        <v>0</v>
      </c>
      <c r="L140" s="1">
        <v>0</v>
      </c>
      <c r="M140" s="1" t="s">
        <v>489</v>
      </c>
      <c r="N140" s="1">
        <v>0</v>
      </c>
      <c r="O140" s="1">
        <f t="shared" si="2"/>
        <v>0</v>
      </c>
      <c r="P140" s="2" t="str">
        <f>IF(O140=0,"",_xlfn.XLOOKUP(D140,'1月份计划'!A:A,'1月份计划'!A:A,"计划表需添加"))</f>
        <v/>
      </c>
    </row>
    <row r="141" spans="1:16">
      <c r="A141" s="1" t="s">
        <v>444</v>
      </c>
      <c r="B141" s="1" t="s">
        <v>445</v>
      </c>
      <c r="C141" s="1" t="s">
        <v>41</v>
      </c>
      <c r="D141" s="1" t="s">
        <v>558</v>
      </c>
      <c r="E141" s="1" t="s">
        <v>41</v>
      </c>
      <c r="F141" s="1" t="s">
        <v>443</v>
      </c>
      <c r="G141" s="1" t="s">
        <v>489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 t="s">
        <v>489</v>
      </c>
      <c r="N141" s="1">
        <v>0</v>
      </c>
      <c r="O141" s="1">
        <f t="shared" si="2"/>
        <v>0</v>
      </c>
      <c r="P141" s="2" t="str">
        <f>IF(O141=0,"",_xlfn.XLOOKUP(D141,'1月份计划'!A:A,'1月份计划'!A:A,"计划表需添加"))</f>
        <v/>
      </c>
    </row>
    <row r="142" spans="1:16">
      <c r="A142" s="1" t="s">
        <v>444</v>
      </c>
      <c r="B142" s="1" t="s">
        <v>445</v>
      </c>
      <c r="C142" s="1" t="s">
        <v>41</v>
      </c>
      <c r="D142" s="1" t="s">
        <v>267</v>
      </c>
      <c r="E142" s="1" t="s">
        <v>41</v>
      </c>
      <c r="F142" s="1" t="s">
        <v>443</v>
      </c>
      <c r="G142" s="1" t="s">
        <v>447</v>
      </c>
      <c r="H142" s="1">
        <v>25471.28</v>
      </c>
      <c r="I142" s="1">
        <v>0</v>
      </c>
      <c r="J142" s="1">
        <v>0</v>
      </c>
      <c r="K142" s="1">
        <v>28692.45</v>
      </c>
      <c r="L142" s="1">
        <v>12540.63</v>
      </c>
      <c r="M142" s="1" t="s">
        <v>447</v>
      </c>
      <c r="N142" s="1">
        <v>25471.28</v>
      </c>
      <c r="O142" s="1">
        <f t="shared" si="2"/>
        <v>25471.28</v>
      </c>
      <c r="P142" s="2" t="str">
        <f>IF(O142=0,"",_xlfn.XLOOKUP(D142,'1月份计划'!A:A,'1月份计划'!A:A,"计划表需添加"))</f>
        <v>湘潭市忠强气体有限公司</v>
      </c>
    </row>
    <row r="143" spans="1:16">
      <c r="A143" s="1" t="s">
        <v>444</v>
      </c>
      <c r="B143" s="1" t="s">
        <v>445</v>
      </c>
      <c r="C143" s="1" t="s">
        <v>41</v>
      </c>
      <c r="D143" s="1" t="s">
        <v>268</v>
      </c>
      <c r="E143" s="1" t="s">
        <v>41</v>
      </c>
      <c r="F143" s="1" t="s">
        <v>443</v>
      </c>
      <c r="G143" s="1" t="s">
        <v>447</v>
      </c>
      <c r="H143" s="1">
        <v>25062.5</v>
      </c>
      <c r="I143" s="1">
        <v>0</v>
      </c>
      <c r="J143" s="1">
        <v>0</v>
      </c>
      <c r="K143" s="1">
        <v>7925.31</v>
      </c>
      <c r="L143" s="1">
        <v>0</v>
      </c>
      <c r="M143" s="1" t="s">
        <v>447</v>
      </c>
      <c r="N143" s="1">
        <v>25062.5</v>
      </c>
      <c r="O143" s="1">
        <f t="shared" si="2"/>
        <v>25062.5</v>
      </c>
      <c r="P143" s="2" t="str">
        <f>IF(O143=0,"",_xlfn.XLOOKUP(D143,'1月份计划'!A:A,'1月份计划'!A:A,"计划表需添加"))</f>
        <v>湖南驷马机械有限公司</v>
      </c>
    </row>
    <row r="144" hidden="1" spans="1:16">
      <c r="A144" s="1" t="s">
        <v>444</v>
      </c>
      <c r="B144" s="1" t="s">
        <v>445</v>
      </c>
      <c r="C144" s="1" t="s">
        <v>41</v>
      </c>
      <c r="D144" s="1" t="s">
        <v>478</v>
      </c>
      <c r="E144" s="1" t="s">
        <v>41</v>
      </c>
      <c r="F144" s="1" t="s">
        <v>443</v>
      </c>
      <c r="G144" s="1" t="s">
        <v>447</v>
      </c>
      <c r="H144" s="1">
        <v>3629.95</v>
      </c>
      <c r="I144" s="1">
        <v>0</v>
      </c>
      <c r="J144" s="1">
        <v>0</v>
      </c>
      <c r="K144" s="1">
        <v>0</v>
      </c>
      <c r="L144" s="1">
        <v>0</v>
      </c>
      <c r="M144" s="1" t="s">
        <v>447</v>
      </c>
      <c r="N144" s="1">
        <v>3629.95</v>
      </c>
      <c r="O144" s="1">
        <f t="shared" si="2"/>
        <v>3629.95</v>
      </c>
      <c r="P144" s="2" t="str">
        <f>IF(O144=0,"",_xlfn.XLOOKUP(D144,'1月份计划'!A:A,'1月份计划'!A:A,"计划表需添加"))</f>
        <v>计划表需添加</v>
      </c>
    </row>
    <row r="145" spans="1:16">
      <c r="A145" s="1" t="s">
        <v>444</v>
      </c>
      <c r="B145" s="1" t="s">
        <v>445</v>
      </c>
      <c r="C145" s="1" t="s">
        <v>41</v>
      </c>
      <c r="D145" s="1" t="s">
        <v>559</v>
      </c>
      <c r="E145" s="1" t="s">
        <v>41</v>
      </c>
      <c r="F145" s="1" t="s">
        <v>443</v>
      </c>
      <c r="G145" s="1" t="s">
        <v>489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 t="s">
        <v>489</v>
      </c>
      <c r="N145" s="1">
        <v>0</v>
      </c>
      <c r="O145" s="1">
        <f t="shared" si="2"/>
        <v>0</v>
      </c>
      <c r="P145" s="2" t="str">
        <f>IF(O145=0,"",_xlfn.XLOOKUP(D145,'1月份计划'!A:A,'1月份计划'!A:A,"计划表需添加"))</f>
        <v/>
      </c>
    </row>
    <row r="146" hidden="1" spans="1:16">
      <c r="A146" s="1" t="s">
        <v>444</v>
      </c>
      <c r="B146" s="1" t="s">
        <v>445</v>
      </c>
      <c r="C146" s="1" t="s">
        <v>41</v>
      </c>
      <c r="D146" s="1" t="s">
        <v>479</v>
      </c>
      <c r="E146" s="1" t="s">
        <v>41</v>
      </c>
      <c r="F146" s="1" t="s">
        <v>443</v>
      </c>
      <c r="G146" s="1" t="s">
        <v>447</v>
      </c>
      <c r="H146" s="1">
        <v>949</v>
      </c>
      <c r="I146" s="1">
        <v>0</v>
      </c>
      <c r="J146" s="1">
        <v>0</v>
      </c>
      <c r="K146" s="1">
        <v>0</v>
      </c>
      <c r="L146" s="1">
        <v>0</v>
      </c>
      <c r="M146" s="1" t="s">
        <v>447</v>
      </c>
      <c r="N146" s="1">
        <v>949</v>
      </c>
      <c r="O146" s="1">
        <f t="shared" si="2"/>
        <v>949</v>
      </c>
      <c r="P146" s="2" t="str">
        <f>IF(O146=0,"",_xlfn.XLOOKUP(D146,'1月份计划'!A:A,'1月份计划'!A:A,"计划表需添加"))</f>
        <v>计划表需添加</v>
      </c>
    </row>
    <row r="147" spans="1:16">
      <c r="A147" s="1" t="s">
        <v>444</v>
      </c>
      <c r="B147" s="1" t="s">
        <v>445</v>
      </c>
      <c r="C147" s="1" t="s">
        <v>41</v>
      </c>
      <c r="D147" s="1" t="s">
        <v>560</v>
      </c>
      <c r="E147" s="1" t="s">
        <v>41</v>
      </c>
      <c r="F147" s="1" t="s">
        <v>443</v>
      </c>
      <c r="G147" s="1" t="s">
        <v>489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 t="s">
        <v>489</v>
      </c>
      <c r="N147" s="1">
        <v>0</v>
      </c>
      <c r="O147" s="1">
        <f t="shared" si="2"/>
        <v>0</v>
      </c>
      <c r="P147" s="2" t="str">
        <f>IF(O147=0,"",_xlfn.XLOOKUP(D147,'1月份计划'!A:A,'1月份计划'!A:A,"计划表需添加"))</f>
        <v/>
      </c>
    </row>
    <row r="148" spans="1:16">
      <c r="A148" s="1" t="s">
        <v>444</v>
      </c>
      <c r="B148" s="1" t="s">
        <v>445</v>
      </c>
      <c r="C148" s="1" t="s">
        <v>41</v>
      </c>
      <c r="D148" s="1" t="s">
        <v>561</v>
      </c>
      <c r="E148" s="1" t="s">
        <v>41</v>
      </c>
      <c r="F148" s="1" t="s">
        <v>443</v>
      </c>
      <c r="G148" s="1" t="s">
        <v>489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 t="s">
        <v>489</v>
      </c>
      <c r="N148" s="1">
        <v>0</v>
      </c>
      <c r="O148" s="1">
        <f t="shared" si="2"/>
        <v>0</v>
      </c>
      <c r="P148" s="2" t="str">
        <f>IF(O148=0,"",_xlfn.XLOOKUP(D148,'1月份计划'!A:A,'1月份计划'!A:A,"计划表需添加"))</f>
        <v/>
      </c>
    </row>
    <row r="149" hidden="1" spans="1:16">
      <c r="A149" s="1" t="s">
        <v>444</v>
      </c>
      <c r="B149" s="1" t="s">
        <v>445</v>
      </c>
      <c r="C149" s="1" t="s">
        <v>41</v>
      </c>
      <c r="D149" s="1" t="s">
        <v>480</v>
      </c>
      <c r="E149" s="1" t="s">
        <v>41</v>
      </c>
      <c r="F149" s="1" t="s">
        <v>443</v>
      </c>
      <c r="G149" s="1" t="s">
        <v>447</v>
      </c>
      <c r="H149" s="1">
        <v>497.5</v>
      </c>
      <c r="I149" s="1">
        <v>0</v>
      </c>
      <c r="J149" s="1">
        <v>0</v>
      </c>
      <c r="K149" s="1">
        <v>0</v>
      </c>
      <c r="L149" s="1">
        <v>0</v>
      </c>
      <c r="M149" s="1" t="s">
        <v>447</v>
      </c>
      <c r="N149" s="1">
        <v>497.5</v>
      </c>
      <c r="O149" s="1">
        <f t="shared" si="2"/>
        <v>497.5</v>
      </c>
      <c r="P149" s="2" t="str">
        <f>IF(O149=0,"",_xlfn.XLOOKUP(D149,'1月份计划'!A:A,'1月份计划'!A:A,"计划表需添加"))</f>
        <v>计划表需添加</v>
      </c>
    </row>
    <row r="150" spans="1:16">
      <c r="A150" s="1" t="s">
        <v>444</v>
      </c>
      <c r="B150" s="1" t="s">
        <v>445</v>
      </c>
      <c r="C150" s="1" t="s">
        <v>41</v>
      </c>
      <c r="D150" s="1" t="s">
        <v>406</v>
      </c>
      <c r="E150" s="1" t="s">
        <v>41</v>
      </c>
      <c r="F150" s="1" t="s">
        <v>443</v>
      </c>
      <c r="G150" s="1" t="s">
        <v>447</v>
      </c>
      <c r="H150" s="1">
        <v>2621.52</v>
      </c>
      <c r="I150" s="1">
        <v>0</v>
      </c>
      <c r="J150" s="1">
        <v>0</v>
      </c>
      <c r="K150" s="1">
        <v>0</v>
      </c>
      <c r="L150" s="1">
        <v>0</v>
      </c>
      <c r="M150" s="1" t="s">
        <v>447</v>
      </c>
      <c r="N150" s="1">
        <v>2621.52</v>
      </c>
      <c r="O150" s="1">
        <f t="shared" si="2"/>
        <v>2621.52</v>
      </c>
      <c r="P150" s="2" t="str">
        <f>IF(O150=0,"",_xlfn.XLOOKUP(D150,'1月份计划'!A:A,'1月份计划'!A:A,"计划表需添加"))</f>
        <v>广州吉中汽车内饰系统有限公司</v>
      </c>
    </row>
    <row r="151" spans="1:16">
      <c r="A151" s="1" t="s">
        <v>444</v>
      </c>
      <c r="B151" s="1" t="s">
        <v>445</v>
      </c>
      <c r="C151" s="1" t="s">
        <v>41</v>
      </c>
      <c r="D151" s="1" t="s">
        <v>407</v>
      </c>
      <c r="E151" s="1" t="s">
        <v>41</v>
      </c>
      <c r="F151" s="1" t="s">
        <v>443</v>
      </c>
      <c r="G151" s="1" t="s">
        <v>447</v>
      </c>
      <c r="H151" s="1">
        <v>54943.1</v>
      </c>
      <c r="I151" s="1">
        <v>0</v>
      </c>
      <c r="J151" s="1">
        <v>0</v>
      </c>
      <c r="K151" s="1">
        <v>0</v>
      </c>
      <c r="L151" s="1">
        <v>0</v>
      </c>
      <c r="M151" s="1" t="s">
        <v>447</v>
      </c>
      <c r="N151" s="1">
        <v>54943.1</v>
      </c>
      <c r="O151" s="1">
        <f t="shared" si="2"/>
        <v>54943.1</v>
      </c>
      <c r="P151" s="2" t="str">
        <f>IF(O151=0,"",_xlfn.XLOOKUP(D151,'1月份计划'!A:A,'1月份计划'!A:A,"计划表需添加"))</f>
        <v>广州松兴电气股份有限公司</v>
      </c>
    </row>
    <row r="152" spans="1:16">
      <c r="A152" s="1" t="s">
        <v>444</v>
      </c>
      <c r="B152" s="1" t="s">
        <v>445</v>
      </c>
      <c r="C152" s="1" t="s">
        <v>41</v>
      </c>
      <c r="D152" s="1" t="s">
        <v>562</v>
      </c>
      <c r="E152" s="1" t="s">
        <v>41</v>
      </c>
      <c r="F152" s="1" t="s">
        <v>443</v>
      </c>
      <c r="G152" s="1" t="s">
        <v>489</v>
      </c>
      <c r="H152" s="1">
        <v>0</v>
      </c>
      <c r="I152" s="1">
        <v>0</v>
      </c>
      <c r="J152" s="1">
        <v>0</v>
      </c>
      <c r="K152" s="1">
        <v>0</v>
      </c>
      <c r="L152" s="1">
        <v>0</v>
      </c>
      <c r="M152" s="1" t="s">
        <v>489</v>
      </c>
      <c r="N152" s="1">
        <v>0</v>
      </c>
      <c r="O152" s="1">
        <f t="shared" si="2"/>
        <v>0</v>
      </c>
      <c r="P152" s="2" t="str">
        <f>IF(O152=0,"",_xlfn.XLOOKUP(D152,'1月份计划'!A:A,'1月份计划'!A:A,"计划表需添加"))</f>
        <v/>
      </c>
    </row>
    <row r="153" spans="1:16">
      <c r="A153" s="1" t="s">
        <v>444</v>
      </c>
      <c r="B153" s="1" t="s">
        <v>445</v>
      </c>
      <c r="C153" s="1" t="s">
        <v>41</v>
      </c>
      <c r="D153" s="1" t="s">
        <v>563</v>
      </c>
      <c r="E153" s="1" t="s">
        <v>41</v>
      </c>
      <c r="F153" s="1" t="s">
        <v>443</v>
      </c>
      <c r="G153" s="1" t="s">
        <v>489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 t="s">
        <v>489</v>
      </c>
      <c r="N153" s="1">
        <v>0</v>
      </c>
      <c r="O153" s="1">
        <f t="shared" si="2"/>
        <v>0</v>
      </c>
      <c r="P153" s="2" t="str">
        <f>IF(O153=0,"",_xlfn.XLOOKUP(D153,'1月份计划'!A:A,'1月份计划'!A:A,"计划表需添加"))</f>
        <v/>
      </c>
    </row>
    <row r="154" hidden="1" spans="1:16">
      <c r="A154" s="1" t="s">
        <v>444</v>
      </c>
      <c r="B154" s="1" t="s">
        <v>445</v>
      </c>
      <c r="C154" s="1" t="s">
        <v>41</v>
      </c>
      <c r="D154" s="1" t="s">
        <v>481</v>
      </c>
      <c r="E154" s="1" t="s">
        <v>41</v>
      </c>
      <c r="F154" s="1" t="s">
        <v>443</v>
      </c>
      <c r="G154" s="1" t="s">
        <v>447</v>
      </c>
      <c r="H154" s="1">
        <v>760</v>
      </c>
      <c r="I154" s="1">
        <v>0</v>
      </c>
      <c r="J154" s="1">
        <v>0</v>
      </c>
      <c r="K154" s="1">
        <v>0</v>
      </c>
      <c r="L154" s="1">
        <v>0</v>
      </c>
      <c r="M154" s="1" t="s">
        <v>447</v>
      </c>
      <c r="N154" s="1">
        <v>760</v>
      </c>
      <c r="O154" s="1">
        <f t="shared" si="2"/>
        <v>760</v>
      </c>
      <c r="P154" s="2" t="str">
        <f>IF(O154=0,"",_xlfn.XLOOKUP(D154,'1月份计划'!A:A,'1月份计划'!A:A,"计划表需添加"))</f>
        <v>计划表需添加</v>
      </c>
    </row>
    <row r="155" spans="1:16">
      <c r="A155" s="1" t="s">
        <v>444</v>
      </c>
      <c r="B155" s="1" t="s">
        <v>445</v>
      </c>
      <c r="C155" s="1" t="s">
        <v>41</v>
      </c>
      <c r="D155" s="1" t="s">
        <v>564</v>
      </c>
      <c r="E155" s="1" t="s">
        <v>41</v>
      </c>
      <c r="F155" s="1" t="s">
        <v>443</v>
      </c>
      <c r="G155" s="1" t="s">
        <v>489</v>
      </c>
      <c r="H155" s="1">
        <v>0</v>
      </c>
      <c r="I155" s="1">
        <v>0</v>
      </c>
      <c r="J155" s="1">
        <v>0</v>
      </c>
      <c r="K155" s="1">
        <v>0</v>
      </c>
      <c r="L155" s="1">
        <v>0</v>
      </c>
      <c r="M155" s="1" t="s">
        <v>489</v>
      </c>
      <c r="N155" s="1">
        <v>0</v>
      </c>
      <c r="O155" s="1">
        <f t="shared" si="2"/>
        <v>0</v>
      </c>
      <c r="P155" s="2" t="str">
        <f>IF(O155=0,"",_xlfn.XLOOKUP(D155,'1月份计划'!A:A,'1月份计划'!A:A,"计划表需添加"))</f>
        <v/>
      </c>
    </row>
    <row r="156" spans="1:16">
      <c r="A156" s="1" t="s">
        <v>444</v>
      </c>
      <c r="B156" s="1" t="s">
        <v>445</v>
      </c>
      <c r="C156" s="1" t="s">
        <v>41</v>
      </c>
      <c r="D156" s="1" t="s">
        <v>300</v>
      </c>
      <c r="E156" s="1" t="s">
        <v>41</v>
      </c>
      <c r="F156" s="1" t="s">
        <v>443</v>
      </c>
      <c r="G156" s="1" t="s">
        <v>447</v>
      </c>
      <c r="H156" s="1">
        <v>333869.56</v>
      </c>
      <c r="I156" s="1">
        <v>184312.22</v>
      </c>
      <c r="J156" s="1">
        <v>0</v>
      </c>
      <c r="K156" s="1">
        <v>378370.87</v>
      </c>
      <c r="L156" s="1">
        <v>0</v>
      </c>
      <c r="M156" s="1" t="s">
        <v>447</v>
      </c>
      <c r="N156" s="1">
        <v>149557.34</v>
      </c>
      <c r="O156" s="1">
        <f t="shared" si="2"/>
        <v>149557.34</v>
      </c>
      <c r="P156" s="2" t="str">
        <f>IF(O156=0,"",_xlfn.XLOOKUP(D156,'1月份计划'!A:A,'1月份计划'!A:A,"计划表需添加"))</f>
        <v>广州市信征汽车零件有限公司</v>
      </c>
    </row>
    <row r="157" hidden="1" spans="1:16">
      <c r="A157" s="1" t="s">
        <v>444</v>
      </c>
      <c r="B157" s="1" t="s">
        <v>445</v>
      </c>
      <c r="C157" s="1" t="s">
        <v>41</v>
      </c>
      <c r="D157" s="1" t="s">
        <v>482</v>
      </c>
      <c r="E157" s="1" t="s">
        <v>41</v>
      </c>
      <c r="F157" s="1" t="s">
        <v>443</v>
      </c>
      <c r="G157" s="1" t="s">
        <v>447</v>
      </c>
      <c r="H157" s="1">
        <v>15050.16</v>
      </c>
      <c r="I157" s="1">
        <v>0</v>
      </c>
      <c r="J157" s="1">
        <v>0</v>
      </c>
      <c r="K157" s="1">
        <v>0</v>
      </c>
      <c r="L157" s="1">
        <v>0</v>
      </c>
      <c r="M157" s="1" t="s">
        <v>447</v>
      </c>
      <c r="N157" s="1">
        <v>15050.16</v>
      </c>
      <c r="O157" s="1">
        <f t="shared" si="2"/>
        <v>15050.16</v>
      </c>
      <c r="P157" s="2" t="str">
        <f>IF(O157=0,"",_xlfn.XLOOKUP(D157,'1月份计划'!A:A,'1月份计划'!A:A,"计划表需添加"))</f>
        <v>计划表需添加</v>
      </c>
    </row>
    <row r="158" spans="1:16">
      <c r="A158" s="1" t="s">
        <v>444</v>
      </c>
      <c r="B158" s="1" t="s">
        <v>445</v>
      </c>
      <c r="C158" s="1" t="s">
        <v>41</v>
      </c>
      <c r="D158" s="1" t="s">
        <v>565</v>
      </c>
      <c r="E158" s="1" t="s">
        <v>41</v>
      </c>
      <c r="F158" s="1" t="s">
        <v>443</v>
      </c>
      <c r="G158" s="1" t="s">
        <v>489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 t="s">
        <v>489</v>
      </c>
      <c r="N158" s="1">
        <v>0</v>
      </c>
      <c r="O158" s="1">
        <f t="shared" si="2"/>
        <v>0</v>
      </c>
      <c r="P158" s="2" t="str">
        <f>IF(O158=0,"",_xlfn.XLOOKUP(D158,'1月份计划'!A:A,'1月份计划'!A:A,"计划表需添加"))</f>
        <v/>
      </c>
    </row>
    <row r="159" spans="1:16">
      <c r="A159" s="1" t="s">
        <v>444</v>
      </c>
      <c r="B159" s="1" t="s">
        <v>445</v>
      </c>
      <c r="C159" s="1" t="s">
        <v>41</v>
      </c>
      <c r="D159" s="1" t="s">
        <v>566</v>
      </c>
      <c r="E159" s="1" t="s">
        <v>41</v>
      </c>
      <c r="F159" s="1" t="s">
        <v>443</v>
      </c>
      <c r="G159" s="1" t="s">
        <v>489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 t="s">
        <v>489</v>
      </c>
      <c r="N159" s="1">
        <v>0</v>
      </c>
      <c r="O159" s="1">
        <f t="shared" si="2"/>
        <v>0</v>
      </c>
      <c r="P159" s="2" t="str">
        <f>IF(O159=0,"",_xlfn.XLOOKUP(D159,'1月份计划'!A:A,'1月份计划'!A:A,"计划表需添加"))</f>
        <v/>
      </c>
    </row>
    <row r="160" spans="1:16">
      <c r="A160" s="1" t="s">
        <v>444</v>
      </c>
      <c r="B160" s="1" t="s">
        <v>445</v>
      </c>
      <c r="C160" s="1" t="s">
        <v>41</v>
      </c>
      <c r="D160" s="1" t="s">
        <v>567</v>
      </c>
      <c r="E160" s="1" t="s">
        <v>41</v>
      </c>
      <c r="F160" s="1" t="s">
        <v>443</v>
      </c>
      <c r="G160" s="1" t="s">
        <v>489</v>
      </c>
      <c r="H160" s="1">
        <v>0</v>
      </c>
      <c r="I160" s="1">
        <v>0</v>
      </c>
      <c r="J160" s="1">
        <v>0</v>
      </c>
      <c r="K160" s="1">
        <v>0</v>
      </c>
      <c r="L160" s="1">
        <v>0</v>
      </c>
      <c r="M160" s="1" t="s">
        <v>489</v>
      </c>
      <c r="N160" s="1">
        <v>0</v>
      </c>
      <c r="O160" s="1">
        <f t="shared" si="2"/>
        <v>0</v>
      </c>
      <c r="P160" s="2" t="str">
        <f>IF(O160=0,"",_xlfn.XLOOKUP(D160,'1月份计划'!A:A,'1月份计划'!A:A,"计划表需添加"))</f>
        <v/>
      </c>
    </row>
    <row r="161" spans="1:16">
      <c r="A161" s="1" t="s">
        <v>444</v>
      </c>
      <c r="B161" s="1" t="s">
        <v>445</v>
      </c>
      <c r="C161" s="1" t="s">
        <v>41</v>
      </c>
      <c r="D161" s="1" t="s">
        <v>568</v>
      </c>
      <c r="E161" s="1" t="s">
        <v>41</v>
      </c>
      <c r="F161" s="1" t="s">
        <v>484</v>
      </c>
      <c r="G161" s="1" t="s">
        <v>489</v>
      </c>
      <c r="H161" s="1">
        <v>0</v>
      </c>
      <c r="I161" s="1">
        <v>0</v>
      </c>
      <c r="J161" s="1">
        <v>0</v>
      </c>
      <c r="K161" s="1">
        <v>0</v>
      </c>
      <c r="L161" s="1">
        <v>0</v>
      </c>
      <c r="M161" s="1" t="s">
        <v>489</v>
      </c>
      <c r="N161" s="1">
        <v>0</v>
      </c>
      <c r="O161" s="1">
        <f t="shared" si="2"/>
        <v>0</v>
      </c>
      <c r="P161" s="2" t="str">
        <f>IF(O161=0,"",_xlfn.XLOOKUP(D161,'1月份计划'!A:A,'1月份计划'!A:A,"计划表需添加"))</f>
        <v/>
      </c>
    </row>
    <row r="162" hidden="1" spans="1:16">
      <c r="A162" s="1" t="s">
        <v>444</v>
      </c>
      <c r="B162" s="1" t="s">
        <v>445</v>
      </c>
      <c r="C162" s="1" t="s">
        <v>41</v>
      </c>
      <c r="D162" s="1" t="s">
        <v>483</v>
      </c>
      <c r="E162" s="1" t="s">
        <v>41</v>
      </c>
      <c r="F162" s="1" t="s">
        <v>484</v>
      </c>
      <c r="G162" s="1" t="s">
        <v>453</v>
      </c>
      <c r="H162" s="1">
        <v>566</v>
      </c>
      <c r="I162" s="1">
        <v>0</v>
      </c>
      <c r="J162" s="1">
        <v>0</v>
      </c>
      <c r="K162" s="1">
        <v>0</v>
      </c>
      <c r="L162" s="1">
        <v>0</v>
      </c>
      <c r="M162" s="1" t="s">
        <v>453</v>
      </c>
      <c r="N162" s="1">
        <v>566</v>
      </c>
      <c r="O162" s="1">
        <f t="shared" si="2"/>
        <v>-566</v>
      </c>
      <c r="P162" s="2" t="str">
        <f>IF(O162=0,"",_xlfn.XLOOKUP(D162,'1月份计划'!A:A,'1月份计划'!A:A,"计划表需添加"))</f>
        <v>计划表需添加</v>
      </c>
    </row>
    <row r="163" spans="1:16">
      <c r="A163" s="1" t="s">
        <v>444</v>
      </c>
      <c r="B163" s="1" t="s">
        <v>445</v>
      </c>
      <c r="C163" s="1" t="s">
        <v>41</v>
      </c>
      <c r="D163" s="1" t="s">
        <v>569</v>
      </c>
      <c r="E163" s="1" t="s">
        <v>41</v>
      </c>
      <c r="F163" s="1" t="s">
        <v>443</v>
      </c>
      <c r="G163" s="1" t="s">
        <v>489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 t="s">
        <v>489</v>
      </c>
      <c r="N163" s="1">
        <v>0</v>
      </c>
      <c r="O163" s="1">
        <f t="shared" si="2"/>
        <v>0</v>
      </c>
      <c r="P163" s="2" t="str">
        <f>IF(O163=0,"",_xlfn.XLOOKUP(D163,'1月份计划'!A:A,'1月份计划'!A:A,"计划表需添加"))</f>
        <v/>
      </c>
    </row>
    <row r="164" spans="1:16">
      <c r="A164" s="1" t="s">
        <v>444</v>
      </c>
      <c r="B164" s="1" t="s">
        <v>445</v>
      </c>
      <c r="C164" s="1" t="s">
        <v>41</v>
      </c>
      <c r="D164" s="1" t="s">
        <v>285</v>
      </c>
      <c r="E164" s="1" t="s">
        <v>41</v>
      </c>
      <c r="F164" s="1" t="s">
        <v>484</v>
      </c>
      <c r="G164" s="1" t="s">
        <v>447</v>
      </c>
      <c r="H164" s="1">
        <v>55661.54</v>
      </c>
      <c r="I164" s="1">
        <v>0</v>
      </c>
      <c r="J164" s="1">
        <v>0</v>
      </c>
      <c r="K164" s="1">
        <v>0</v>
      </c>
      <c r="L164" s="1">
        <v>0</v>
      </c>
      <c r="M164" s="1" t="s">
        <v>447</v>
      </c>
      <c r="N164" s="1">
        <v>55661.54</v>
      </c>
      <c r="O164" s="1">
        <f t="shared" si="2"/>
        <v>55661.54</v>
      </c>
      <c r="P164" s="2" t="str">
        <f>IF(O164=0,"",_xlfn.XLOOKUP(D164,'1月份计划'!A:A,'1月份计划'!A:A,"计划表需添加"))</f>
        <v>株洲铖亿轨道交通技术有限</v>
      </c>
    </row>
    <row r="165" hidden="1" spans="1:16">
      <c r="A165" s="1" t="s">
        <v>444</v>
      </c>
      <c r="B165" s="1" t="s">
        <v>445</v>
      </c>
      <c r="C165" s="1" t="s">
        <v>41</v>
      </c>
      <c r="D165" s="1" t="s">
        <v>485</v>
      </c>
      <c r="E165" s="1" t="s">
        <v>41</v>
      </c>
      <c r="F165" s="1" t="s">
        <v>443</v>
      </c>
      <c r="G165" s="1" t="s">
        <v>447</v>
      </c>
      <c r="H165" s="1">
        <v>7961.51</v>
      </c>
      <c r="I165" s="1">
        <v>0</v>
      </c>
      <c r="J165" s="1">
        <v>0</v>
      </c>
      <c r="K165" s="1">
        <v>0</v>
      </c>
      <c r="L165" s="1">
        <v>0</v>
      </c>
      <c r="M165" s="1" t="s">
        <v>447</v>
      </c>
      <c r="N165" s="1">
        <v>7961.51</v>
      </c>
      <c r="O165" s="1">
        <f t="shared" si="2"/>
        <v>7961.51</v>
      </c>
      <c r="P165" s="2" t="str">
        <f>IF(O165=0,"",_xlfn.XLOOKUP(D165,'1月份计划'!A:A,'1月份计划'!A:A,"计划表需添加"))</f>
        <v>计划表需添加</v>
      </c>
    </row>
    <row r="166" spans="1:16">
      <c r="A166" s="1" t="s">
        <v>444</v>
      </c>
      <c r="B166" s="1" t="s">
        <v>445</v>
      </c>
      <c r="C166" s="1" t="s">
        <v>41</v>
      </c>
      <c r="D166" s="1" t="s">
        <v>570</v>
      </c>
      <c r="E166" s="1" t="s">
        <v>41</v>
      </c>
      <c r="F166" s="1" t="s">
        <v>443</v>
      </c>
      <c r="G166" s="1" t="s">
        <v>489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 t="s">
        <v>489</v>
      </c>
      <c r="N166" s="1">
        <v>0</v>
      </c>
      <c r="O166" s="1">
        <f t="shared" si="2"/>
        <v>0</v>
      </c>
      <c r="P166" s="2" t="str">
        <f>IF(O166=0,"",_xlfn.XLOOKUP(D166,'1月份计划'!A:A,'1月份计划'!A:A,"计划表需添加"))</f>
        <v/>
      </c>
    </row>
    <row r="167" spans="1:16">
      <c r="A167" s="1" t="s">
        <v>444</v>
      </c>
      <c r="B167" s="1" t="s">
        <v>445</v>
      </c>
      <c r="C167" s="1" t="s">
        <v>41</v>
      </c>
      <c r="D167" s="1" t="s">
        <v>301</v>
      </c>
      <c r="E167" s="1" t="s">
        <v>41</v>
      </c>
      <c r="F167" s="1" t="s">
        <v>443</v>
      </c>
      <c r="G167" s="1" t="s">
        <v>447</v>
      </c>
      <c r="H167" s="1">
        <v>141610.15</v>
      </c>
      <c r="I167" s="1">
        <v>0</v>
      </c>
      <c r="J167" s="1">
        <v>0</v>
      </c>
      <c r="K167" s="1">
        <v>0</v>
      </c>
      <c r="L167" s="1">
        <v>49192.39</v>
      </c>
      <c r="M167" s="1" t="s">
        <v>447</v>
      </c>
      <c r="N167" s="1">
        <v>141610.15</v>
      </c>
      <c r="O167" s="1">
        <f t="shared" si="2"/>
        <v>141610.15</v>
      </c>
      <c r="P167" s="2" t="str">
        <f>IF(O167=0,"",_xlfn.XLOOKUP(D167,'1月份计划'!A:A,'1月份计划'!A:A,"计划表需添加"))</f>
        <v>醴陵广仁环保科技有限公司</v>
      </c>
    </row>
    <row r="168" spans="1:16">
      <c r="A168" s="1" t="s">
        <v>444</v>
      </c>
      <c r="B168" s="1" t="s">
        <v>445</v>
      </c>
      <c r="C168" s="1" t="s">
        <v>41</v>
      </c>
      <c r="D168" s="1" t="s">
        <v>269</v>
      </c>
      <c r="E168" s="1" t="s">
        <v>41</v>
      </c>
      <c r="F168" s="1" t="s">
        <v>443</v>
      </c>
      <c r="G168" s="1" t="s">
        <v>453</v>
      </c>
      <c r="H168" s="1">
        <v>10623.91</v>
      </c>
      <c r="I168" s="1">
        <v>0</v>
      </c>
      <c r="J168" s="1">
        <v>0</v>
      </c>
      <c r="K168" s="1">
        <v>0</v>
      </c>
      <c r="L168" s="1">
        <v>47235.2</v>
      </c>
      <c r="M168" s="1" t="s">
        <v>453</v>
      </c>
      <c r="N168" s="1">
        <v>10623.91</v>
      </c>
      <c r="O168" s="1">
        <f t="shared" si="2"/>
        <v>-10623.91</v>
      </c>
      <c r="P168" s="2" t="str">
        <f>IF(O168=0,"",_xlfn.XLOOKUP(D168,'1月份计划'!A:A,'1月份计划'!A:A,"计划表需添加"))</f>
        <v>长沙真旺钢铁贸易有限公司</v>
      </c>
    </row>
    <row r="169" spans="1:16">
      <c r="A169" s="1" t="s">
        <v>444</v>
      </c>
      <c r="B169" s="1" t="s">
        <v>445</v>
      </c>
      <c r="C169" s="1" t="s">
        <v>41</v>
      </c>
      <c r="D169" s="1" t="s">
        <v>571</v>
      </c>
      <c r="E169" s="1" t="s">
        <v>41</v>
      </c>
      <c r="F169" s="1" t="s">
        <v>443</v>
      </c>
      <c r="G169" s="1" t="s">
        <v>489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 t="s">
        <v>489</v>
      </c>
      <c r="N169" s="1">
        <v>0</v>
      </c>
      <c r="O169" s="1">
        <f t="shared" si="2"/>
        <v>0</v>
      </c>
      <c r="P169" s="2" t="str">
        <f>IF(O169=0,"",_xlfn.XLOOKUP(D169,'1月份计划'!A:A,'1月份计划'!A:A,"计划表需添加"))</f>
        <v/>
      </c>
    </row>
    <row r="170" spans="1:16">
      <c r="A170" s="1" t="s">
        <v>444</v>
      </c>
      <c r="B170" s="1" t="s">
        <v>445</v>
      </c>
      <c r="C170" s="1" t="s">
        <v>41</v>
      </c>
      <c r="D170" s="1" t="s">
        <v>270</v>
      </c>
      <c r="E170" s="1" t="s">
        <v>41</v>
      </c>
      <c r="F170" s="1" t="s">
        <v>443</v>
      </c>
      <c r="G170" s="1" t="s">
        <v>447</v>
      </c>
      <c r="H170" s="1">
        <v>23501.85</v>
      </c>
      <c r="I170" s="1">
        <v>0</v>
      </c>
      <c r="J170" s="1">
        <v>0</v>
      </c>
      <c r="K170" s="1">
        <v>26000</v>
      </c>
      <c r="L170" s="1">
        <v>7509.52</v>
      </c>
      <c r="M170" s="1" t="s">
        <v>447</v>
      </c>
      <c r="N170" s="1">
        <v>23501.85</v>
      </c>
      <c r="O170" s="1">
        <f t="shared" si="2"/>
        <v>23501.85</v>
      </c>
      <c r="P170" s="2" t="str">
        <f>IF(O170=0,"",_xlfn.XLOOKUP(D170,'1月份计划'!A:A,'1月份计划'!A:A,"计划表需添加"))</f>
        <v>深州市晶立泰机械配件有限公司</v>
      </c>
    </row>
    <row r="171" spans="1:16">
      <c r="A171" s="1" t="s">
        <v>444</v>
      </c>
      <c r="B171" s="1" t="s">
        <v>445</v>
      </c>
      <c r="C171" s="1" t="s">
        <v>41</v>
      </c>
      <c r="D171" s="1" t="s">
        <v>271</v>
      </c>
      <c r="E171" s="1" t="s">
        <v>41</v>
      </c>
      <c r="F171" s="1" t="s">
        <v>443</v>
      </c>
      <c r="G171" s="1" t="s">
        <v>447</v>
      </c>
      <c r="H171" s="1">
        <v>22774.59</v>
      </c>
      <c r="I171" s="1">
        <v>0</v>
      </c>
      <c r="J171" s="1">
        <v>0</v>
      </c>
      <c r="K171" s="1">
        <v>0</v>
      </c>
      <c r="L171" s="1">
        <v>0</v>
      </c>
      <c r="M171" s="1" t="s">
        <v>447</v>
      </c>
      <c r="N171" s="1">
        <v>22774.59</v>
      </c>
      <c r="O171" s="1">
        <f t="shared" si="2"/>
        <v>22774.59</v>
      </c>
      <c r="P171" s="2" t="str">
        <f>IF(O171=0,"",_xlfn.XLOOKUP(D171,'1月份计划'!A:A,'1月份计划'!A:A,"计划表需添加"))</f>
        <v>山东鼎信新材料科技有限公司</v>
      </c>
    </row>
    <row r="172" spans="1:16">
      <c r="A172" s="1" t="s">
        <v>444</v>
      </c>
      <c r="B172" s="1" t="s">
        <v>445</v>
      </c>
      <c r="C172" s="1" t="s">
        <v>41</v>
      </c>
      <c r="D172" s="1" t="s">
        <v>272</v>
      </c>
      <c r="E172" s="1" t="s">
        <v>41</v>
      </c>
      <c r="F172" s="1" t="s">
        <v>443</v>
      </c>
      <c r="G172" s="1" t="s">
        <v>447</v>
      </c>
      <c r="H172" s="1">
        <v>328471.91</v>
      </c>
      <c r="I172" s="1">
        <v>0</v>
      </c>
      <c r="J172" s="1">
        <v>0</v>
      </c>
      <c r="K172" s="1">
        <v>400000</v>
      </c>
      <c r="L172" s="1">
        <v>175708.95</v>
      </c>
      <c r="M172" s="1" t="s">
        <v>447</v>
      </c>
      <c r="N172" s="1">
        <v>328471.91</v>
      </c>
      <c r="O172" s="1">
        <f t="shared" si="2"/>
        <v>328471.91</v>
      </c>
      <c r="P172" s="2" t="str">
        <f>IF(O172=0,"",_xlfn.XLOOKUP(D172,'1月份计划'!A:A,'1月份计划'!A:A,"计划表需添加"))</f>
        <v>湖南诺亿科技有限公司</v>
      </c>
    </row>
    <row r="173" spans="1:16">
      <c r="A173" s="1" t="s">
        <v>444</v>
      </c>
      <c r="B173" s="1" t="s">
        <v>445</v>
      </c>
      <c r="C173" s="1" t="s">
        <v>41</v>
      </c>
      <c r="D173" s="1" t="s">
        <v>572</v>
      </c>
      <c r="E173" s="1" t="s">
        <v>41</v>
      </c>
      <c r="F173" s="1" t="s">
        <v>443</v>
      </c>
      <c r="G173" s="1" t="s">
        <v>489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 t="s">
        <v>489</v>
      </c>
      <c r="N173" s="1">
        <v>0</v>
      </c>
      <c r="O173" s="1">
        <f t="shared" si="2"/>
        <v>0</v>
      </c>
      <c r="P173" s="2" t="str">
        <f>IF(O173=0,"",_xlfn.XLOOKUP(D173,'1月份计划'!A:A,'1月份计划'!A:A,"计划表需添加"))</f>
        <v/>
      </c>
    </row>
    <row r="174" spans="1:16">
      <c r="A174" s="1" t="s">
        <v>444</v>
      </c>
      <c r="B174" s="1" t="s">
        <v>445</v>
      </c>
      <c r="C174" s="1" t="s">
        <v>41</v>
      </c>
      <c r="D174" s="1" t="s">
        <v>573</v>
      </c>
      <c r="E174" s="1" t="s">
        <v>41</v>
      </c>
      <c r="F174" s="1" t="s">
        <v>443</v>
      </c>
      <c r="G174" s="1" t="s">
        <v>489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 t="s">
        <v>489</v>
      </c>
      <c r="N174" s="1">
        <v>0</v>
      </c>
      <c r="O174" s="1">
        <f t="shared" si="2"/>
        <v>0</v>
      </c>
      <c r="P174" s="2" t="str">
        <f>IF(O174=0,"",_xlfn.XLOOKUP(D174,'1月份计划'!A:A,'1月份计划'!A:A,"计划表需添加"))</f>
        <v/>
      </c>
    </row>
    <row r="175" spans="1:16">
      <c r="A175" s="1" t="s">
        <v>444</v>
      </c>
      <c r="B175" s="1" t="s">
        <v>445</v>
      </c>
      <c r="C175" s="1" t="s">
        <v>41</v>
      </c>
      <c r="D175" s="1" t="s">
        <v>273</v>
      </c>
      <c r="E175" s="1" t="s">
        <v>41</v>
      </c>
      <c r="F175" s="1" t="s">
        <v>443</v>
      </c>
      <c r="G175" s="1" t="s">
        <v>447</v>
      </c>
      <c r="H175" s="1">
        <v>13613.57</v>
      </c>
      <c r="I175" s="1">
        <v>0</v>
      </c>
      <c r="J175" s="1">
        <v>0</v>
      </c>
      <c r="K175" s="1">
        <v>18151.41</v>
      </c>
      <c r="L175" s="1">
        <v>0</v>
      </c>
      <c r="M175" s="1" t="s">
        <v>447</v>
      </c>
      <c r="N175" s="1">
        <v>13613.57</v>
      </c>
      <c r="O175" s="1">
        <f t="shared" si="2"/>
        <v>13613.57</v>
      </c>
      <c r="P175" s="2" t="str">
        <f>IF(O175=0,"",_xlfn.XLOOKUP(D175,'1月份计划'!A:A,'1月份计划'!A:A,"计划表需添加"))</f>
        <v>长春超力内饰件有限公司</v>
      </c>
    </row>
    <row r="176" spans="1:16">
      <c r="A176" s="1" t="s">
        <v>444</v>
      </c>
      <c r="B176" s="1" t="s">
        <v>445</v>
      </c>
      <c r="C176" s="1" t="s">
        <v>41</v>
      </c>
      <c r="D176" s="1" t="s">
        <v>574</v>
      </c>
      <c r="E176" s="1" t="s">
        <v>41</v>
      </c>
      <c r="F176" s="1" t="s">
        <v>443</v>
      </c>
      <c r="G176" s="1" t="s">
        <v>489</v>
      </c>
      <c r="H176" s="1">
        <v>0</v>
      </c>
      <c r="I176" s="1">
        <v>0</v>
      </c>
      <c r="J176" s="1">
        <v>0</v>
      </c>
      <c r="K176" s="1">
        <v>0</v>
      </c>
      <c r="L176" s="1">
        <v>0</v>
      </c>
      <c r="M176" s="1" t="s">
        <v>489</v>
      </c>
      <c r="N176" s="1">
        <v>0</v>
      </c>
      <c r="O176" s="1">
        <f t="shared" si="2"/>
        <v>0</v>
      </c>
      <c r="P176" s="2" t="str">
        <f>IF(O176=0,"",_xlfn.XLOOKUP(D176,'1月份计划'!A:A,'1月份计划'!A:A,"计划表需添加"))</f>
        <v/>
      </c>
    </row>
    <row r="177" spans="1:16">
      <c r="A177" s="1" t="s">
        <v>444</v>
      </c>
      <c r="B177" s="1" t="s">
        <v>445</v>
      </c>
      <c r="C177" s="1" t="s">
        <v>41</v>
      </c>
      <c r="D177" s="1" t="s">
        <v>302</v>
      </c>
      <c r="E177" s="1" t="s">
        <v>41</v>
      </c>
      <c r="F177" s="1" t="s">
        <v>443</v>
      </c>
      <c r="G177" s="1" t="s">
        <v>447</v>
      </c>
      <c r="H177" s="1">
        <v>221893.67</v>
      </c>
      <c r="I177" s="1">
        <v>0</v>
      </c>
      <c r="J177" s="1">
        <v>0</v>
      </c>
      <c r="K177" s="1">
        <v>100000</v>
      </c>
      <c r="L177" s="1">
        <v>34215.27</v>
      </c>
      <c r="M177" s="1" t="s">
        <v>447</v>
      </c>
      <c r="N177" s="1">
        <v>221893.67</v>
      </c>
      <c r="O177" s="1">
        <f t="shared" si="2"/>
        <v>221893.67</v>
      </c>
      <c r="P177" s="2" t="str">
        <f>IF(O177=0,"",_xlfn.XLOOKUP(D177,'1月份计划'!A:A,'1月份计划'!A:A,"计划表需添加"))</f>
        <v>重庆市宏立摩托车制造有限公司</v>
      </c>
    </row>
    <row r="178" spans="1:16">
      <c r="A178" s="1" t="s">
        <v>444</v>
      </c>
      <c r="B178" s="1" t="s">
        <v>445</v>
      </c>
      <c r="C178" s="1" t="s">
        <v>41</v>
      </c>
      <c r="D178" s="1" t="s">
        <v>575</v>
      </c>
      <c r="E178" s="1" t="s">
        <v>41</v>
      </c>
      <c r="F178" s="1" t="s">
        <v>443</v>
      </c>
      <c r="G178" s="1" t="s">
        <v>489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 t="s">
        <v>489</v>
      </c>
      <c r="N178" s="1">
        <v>0</v>
      </c>
      <c r="O178" s="1">
        <f t="shared" si="2"/>
        <v>0</v>
      </c>
      <c r="P178" s="2" t="str">
        <f>IF(O178=0,"",_xlfn.XLOOKUP(D178,'1月份计划'!A:A,'1月份计划'!A:A,"计划表需添加"))</f>
        <v/>
      </c>
    </row>
    <row r="179" spans="1:16">
      <c r="A179" s="1" t="s">
        <v>444</v>
      </c>
      <c r="B179" s="1" t="s">
        <v>445</v>
      </c>
      <c r="C179" s="1" t="s">
        <v>41</v>
      </c>
      <c r="D179" s="1" t="s">
        <v>576</v>
      </c>
      <c r="E179" s="1" t="s">
        <v>41</v>
      </c>
      <c r="F179" s="1" t="s">
        <v>443</v>
      </c>
      <c r="G179" s="1" t="s">
        <v>489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 t="s">
        <v>489</v>
      </c>
      <c r="N179" s="1">
        <v>0</v>
      </c>
      <c r="O179" s="1">
        <f t="shared" si="2"/>
        <v>0</v>
      </c>
      <c r="P179" s="2" t="str">
        <f>IF(O179=0,"",_xlfn.XLOOKUP(D179,'1月份计划'!A:A,'1月份计划'!A:A,"计划表需添加"))</f>
        <v/>
      </c>
    </row>
    <row r="180" spans="1:16">
      <c r="A180" s="1" t="s">
        <v>444</v>
      </c>
      <c r="B180" s="1" t="s">
        <v>445</v>
      </c>
      <c r="C180" s="1" t="s">
        <v>41</v>
      </c>
      <c r="D180" s="1" t="s">
        <v>577</v>
      </c>
      <c r="E180" s="1" t="s">
        <v>41</v>
      </c>
      <c r="F180" s="1" t="s">
        <v>443</v>
      </c>
      <c r="G180" s="1" t="s">
        <v>489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 t="s">
        <v>489</v>
      </c>
      <c r="N180" s="1">
        <v>0</v>
      </c>
      <c r="O180" s="1">
        <f t="shared" si="2"/>
        <v>0</v>
      </c>
      <c r="P180" s="2" t="str">
        <f>IF(O180=0,"",_xlfn.XLOOKUP(D180,'1月份计划'!A:A,'1月份计划'!A:A,"计划表需添加"))</f>
        <v/>
      </c>
    </row>
    <row r="181" spans="1:16">
      <c r="A181" s="1" t="s">
        <v>444</v>
      </c>
      <c r="B181" s="1" t="s">
        <v>445</v>
      </c>
      <c r="C181" s="1" t="s">
        <v>41</v>
      </c>
      <c r="D181" s="1" t="s">
        <v>303</v>
      </c>
      <c r="E181" s="1" t="s">
        <v>41</v>
      </c>
      <c r="F181" s="1" t="s">
        <v>443</v>
      </c>
      <c r="G181" s="1" t="s">
        <v>447</v>
      </c>
      <c r="H181" s="1">
        <v>394240</v>
      </c>
      <c r="I181" s="1">
        <v>0</v>
      </c>
      <c r="J181" s="1">
        <v>0</v>
      </c>
      <c r="K181" s="1">
        <v>266624.5</v>
      </c>
      <c r="L181" s="1">
        <v>394240</v>
      </c>
      <c r="M181" s="1" t="s">
        <v>447</v>
      </c>
      <c r="N181" s="1">
        <v>394240</v>
      </c>
      <c r="O181" s="1">
        <f t="shared" si="2"/>
        <v>394240</v>
      </c>
      <c r="P181" s="2" t="str">
        <f>IF(O181=0,"",_xlfn.XLOOKUP(D181,'1月份计划'!A:A,'1月份计划'!A:A,"计划表需添加"))</f>
        <v>湖北欣辰达商贸有限公司</v>
      </c>
    </row>
    <row r="182" spans="1:16">
      <c r="A182" s="1" t="s">
        <v>444</v>
      </c>
      <c r="B182" s="1" t="s">
        <v>445</v>
      </c>
      <c r="C182" s="1" t="s">
        <v>41</v>
      </c>
      <c r="D182" s="1" t="s">
        <v>274</v>
      </c>
      <c r="E182" s="1" t="s">
        <v>41</v>
      </c>
      <c r="F182" s="1" t="s">
        <v>443</v>
      </c>
      <c r="G182" s="1" t="s">
        <v>447</v>
      </c>
      <c r="H182" s="1">
        <v>232164.57</v>
      </c>
      <c r="I182" s="1">
        <v>0</v>
      </c>
      <c r="J182" s="1">
        <v>0</v>
      </c>
      <c r="K182" s="1">
        <v>150000</v>
      </c>
      <c r="L182" s="1">
        <v>58259.63</v>
      </c>
      <c r="M182" s="1" t="s">
        <v>447</v>
      </c>
      <c r="N182" s="1">
        <v>232164.57</v>
      </c>
      <c r="O182" s="1">
        <f t="shared" si="2"/>
        <v>232164.57</v>
      </c>
      <c r="P182" s="2" t="str">
        <f>IF(O182=0,"",_xlfn.XLOOKUP(D182,'1月份计划'!A:A,'1月份计划'!A:A,"计划表需添加"))</f>
        <v>湖南裕腾兴汽车配件有限公司</v>
      </c>
    </row>
    <row r="183" hidden="1" spans="1:16">
      <c r="A183" s="1" t="s">
        <v>444</v>
      </c>
      <c r="B183" s="1" t="s">
        <v>445</v>
      </c>
      <c r="C183" s="1" t="s">
        <v>41</v>
      </c>
      <c r="D183" s="1" t="s">
        <v>486</v>
      </c>
      <c r="E183" s="1" t="s">
        <v>41</v>
      </c>
      <c r="F183" s="1" t="s">
        <v>443</v>
      </c>
      <c r="G183" s="1" t="s">
        <v>453</v>
      </c>
      <c r="H183" s="1">
        <v>27216</v>
      </c>
      <c r="I183" s="1">
        <v>0</v>
      </c>
      <c r="J183" s="1">
        <v>0</v>
      </c>
      <c r="K183" s="1">
        <v>0</v>
      </c>
      <c r="L183" s="1">
        <v>0</v>
      </c>
      <c r="M183" s="1" t="s">
        <v>453</v>
      </c>
      <c r="N183" s="1">
        <v>27216</v>
      </c>
      <c r="O183" s="1">
        <f t="shared" si="2"/>
        <v>-27216</v>
      </c>
      <c r="P183" s="2" t="str">
        <f>IF(O183=0,"",_xlfn.XLOOKUP(D183,'1月份计划'!A:A,'1月份计划'!A:A,"计划表需添加"))</f>
        <v>计划表需添加</v>
      </c>
    </row>
    <row r="184" spans="1:16">
      <c r="A184" s="1" t="s">
        <v>444</v>
      </c>
      <c r="B184" s="1" t="s">
        <v>445</v>
      </c>
      <c r="C184" s="1" t="s">
        <v>41</v>
      </c>
      <c r="D184" s="1" t="s">
        <v>578</v>
      </c>
      <c r="E184" s="1" t="s">
        <v>41</v>
      </c>
      <c r="F184" s="1" t="s">
        <v>443</v>
      </c>
      <c r="G184" s="1" t="s">
        <v>489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  <c r="M184" s="1" t="s">
        <v>489</v>
      </c>
      <c r="N184" s="1">
        <v>0</v>
      </c>
      <c r="O184" s="1">
        <f t="shared" si="2"/>
        <v>0</v>
      </c>
      <c r="P184" s="2" t="str">
        <f>IF(O184=0,"",_xlfn.XLOOKUP(D184,'1月份计划'!A:A,'1月份计划'!A:A,"计划表需添加"))</f>
        <v/>
      </c>
    </row>
    <row r="185" spans="1:16">
      <c r="A185" s="1" t="s">
        <v>444</v>
      </c>
      <c r="B185" s="1" t="s">
        <v>445</v>
      </c>
      <c r="C185" s="1" t="s">
        <v>41</v>
      </c>
      <c r="D185" s="1" t="s">
        <v>579</v>
      </c>
      <c r="E185" s="1" t="s">
        <v>41</v>
      </c>
      <c r="F185" s="1" t="s">
        <v>443</v>
      </c>
      <c r="G185" s="1" t="s">
        <v>489</v>
      </c>
      <c r="H185" s="1">
        <v>0</v>
      </c>
      <c r="I185" s="1">
        <v>0</v>
      </c>
      <c r="J185" s="1">
        <v>0</v>
      </c>
      <c r="K185" s="1">
        <v>0</v>
      </c>
      <c r="L185" s="1">
        <v>22780.8</v>
      </c>
      <c r="M185" s="1" t="s">
        <v>489</v>
      </c>
      <c r="N185" s="1">
        <v>0</v>
      </c>
      <c r="O185" s="1">
        <f t="shared" si="2"/>
        <v>0</v>
      </c>
      <c r="P185" s="2" t="str">
        <f>IF(O185=0,"",_xlfn.XLOOKUP(D185,'1月份计划'!A:A,'1月份计划'!A:A,"计划表需添加"))</f>
        <v/>
      </c>
    </row>
    <row r="186" spans="1:16">
      <c r="A186" s="1" t="s">
        <v>444</v>
      </c>
      <c r="B186" s="1" t="s">
        <v>445</v>
      </c>
      <c r="C186" s="1" t="s">
        <v>41</v>
      </c>
      <c r="D186" s="1" t="s">
        <v>275</v>
      </c>
      <c r="E186" s="1" t="s">
        <v>41</v>
      </c>
      <c r="F186" s="1" t="s">
        <v>443</v>
      </c>
      <c r="G186" s="1" t="s">
        <v>447</v>
      </c>
      <c r="H186" s="1">
        <v>13886.37</v>
      </c>
      <c r="I186" s="1">
        <v>0</v>
      </c>
      <c r="J186" s="1">
        <v>0</v>
      </c>
      <c r="K186" s="1">
        <v>34205.48</v>
      </c>
      <c r="L186" s="1">
        <v>5706.73</v>
      </c>
      <c r="M186" s="1" t="s">
        <v>447</v>
      </c>
      <c r="N186" s="1">
        <v>13886.37</v>
      </c>
      <c r="O186" s="1">
        <f t="shared" si="2"/>
        <v>13886.37</v>
      </c>
      <c r="P186" s="2" t="str">
        <f>IF(O186=0,"",_xlfn.XLOOKUP(D186,'1月份计划'!A:A,'1月份计划'!A:A,"计划表需添加"))</f>
        <v>株洲诚康实业有限责任公司</v>
      </c>
    </row>
    <row r="187" spans="1:16">
      <c r="A187" s="1" t="s">
        <v>444</v>
      </c>
      <c r="B187" s="1" t="s">
        <v>445</v>
      </c>
      <c r="C187" s="1" t="s">
        <v>41</v>
      </c>
      <c r="D187" s="1" t="s">
        <v>281</v>
      </c>
      <c r="E187" s="1" t="s">
        <v>41</v>
      </c>
      <c r="F187" s="1" t="s">
        <v>443</v>
      </c>
      <c r="G187" s="1" t="s">
        <v>447</v>
      </c>
      <c r="H187" s="1">
        <v>28728</v>
      </c>
      <c r="I187" s="1">
        <v>0</v>
      </c>
      <c r="J187" s="1">
        <v>0</v>
      </c>
      <c r="K187" s="1">
        <v>16416</v>
      </c>
      <c r="L187" s="1">
        <v>9576</v>
      </c>
      <c r="M187" s="1" t="s">
        <v>447</v>
      </c>
      <c r="N187" s="1">
        <v>28728</v>
      </c>
      <c r="O187" s="1">
        <f t="shared" si="2"/>
        <v>28728</v>
      </c>
      <c r="P187" s="2" t="str">
        <f>IF(O187=0,"",_xlfn.XLOOKUP(D187,'1月份计划'!A:A,'1月份计划'!A:A,"计划表需添加"))</f>
        <v>湖南奥瑞格工贸有限公司</v>
      </c>
    </row>
    <row r="188" spans="1:16">
      <c r="A188" s="1" t="s">
        <v>444</v>
      </c>
      <c r="B188" s="1" t="s">
        <v>445</v>
      </c>
      <c r="C188" s="1" t="s">
        <v>41</v>
      </c>
      <c r="D188" s="1" t="s">
        <v>580</v>
      </c>
      <c r="E188" s="1" t="s">
        <v>41</v>
      </c>
      <c r="F188" s="1" t="s">
        <v>443</v>
      </c>
      <c r="G188" s="1" t="s">
        <v>489</v>
      </c>
      <c r="H188" s="1">
        <v>0</v>
      </c>
      <c r="I188" s="1">
        <v>0</v>
      </c>
      <c r="J188" s="1">
        <v>0</v>
      </c>
      <c r="K188" s="1">
        <v>0</v>
      </c>
      <c r="L188" s="1">
        <v>0</v>
      </c>
      <c r="M188" s="1" t="s">
        <v>489</v>
      </c>
      <c r="N188" s="1">
        <v>0</v>
      </c>
      <c r="O188" s="1">
        <f t="shared" si="2"/>
        <v>0</v>
      </c>
      <c r="P188" s="2" t="str">
        <f>IF(O188=0,"",_xlfn.XLOOKUP(D188,'1月份计划'!A:A,'1月份计划'!A:A,"计划表需添加"))</f>
        <v/>
      </c>
    </row>
    <row r="189" spans="1:16">
      <c r="A189" s="1" t="s">
        <v>444</v>
      </c>
      <c r="B189" s="1" t="s">
        <v>445</v>
      </c>
      <c r="C189" s="1" t="s">
        <v>41</v>
      </c>
      <c r="D189" s="1" t="s">
        <v>581</v>
      </c>
      <c r="E189" s="1" t="s">
        <v>41</v>
      </c>
      <c r="F189" s="1" t="s">
        <v>443</v>
      </c>
      <c r="G189" s="1" t="s">
        <v>489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 t="s">
        <v>489</v>
      </c>
      <c r="N189" s="1">
        <v>0</v>
      </c>
      <c r="O189" s="1">
        <f t="shared" si="2"/>
        <v>0</v>
      </c>
      <c r="P189" s="2" t="str">
        <f>IF(O189=0,"",_xlfn.XLOOKUP(D189,'1月份计划'!A:A,'1月份计划'!A:A,"计划表需添加"))</f>
        <v/>
      </c>
    </row>
    <row r="190" spans="1:16">
      <c r="A190" s="1" t="s">
        <v>444</v>
      </c>
      <c r="B190" s="1" t="s">
        <v>445</v>
      </c>
      <c r="C190" s="1" t="s">
        <v>41</v>
      </c>
      <c r="D190" s="1" t="s">
        <v>408</v>
      </c>
      <c r="E190" s="1" t="s">
        <v>41</v>
      </c>
      <c r="F190" s="1" t="s">
        <v>443</v>
      </c>
      <c r="G190" s="1" t="s">
        <v>447</v>
      </c>
      <c r="H190" s="1">
        <v>14278.43</v>
      </c>
      <c r="I190" s="1">
        <v>0</v>
      </c>
      <c r="J190" s="1">
        <v>0</v>
      </c>
      <c r="K190" s="1">
        <v>0</v>
      </c>
      <c r="L190" s="1">
        <v>0</v>
      </c>
      <c r="M190" s="1" t="s">
        <v>447</v>
      </c>
      <c r="N190" s="1">
        <v>14278.43</v>
      </c>
      <c r="O190" s="1">
        <f t="shared" si="2"/>
        <v>14278.43</v>
      </c>
      <c r="P190" s="2" t="str">
        <f>IF(O190=0,"",_xlfn.XLOOKUP(D190,'1月份计划'!A:A,'1月份计划'!A:A,"计划表需添加"))</f>
        <v>十堰市盈旭工贸有限公司</v>
      </c>
    </row>
    <row r="191" spans="1:16">
      <c r="A191" s="1" t="s">
        <v>444</v>
      </c>
      <c r="B191" s="1" t="s">
        <v>445</v>
      </c>
      <c r="C191" s="1" t="s">
        <v>41</v>
      </c>
      <c r="D191" s="1" t="s">
        <v>284</v>
      </c>
      <c r="E191" s="1" t="s">
        <v>41</v>
      </c>
      <c r="F191" s="1" t="s">
        <v>443</v>
      </c>
      <c r="G191" s="1" t="s">
        <v>447</v>
      </c>
      <c r="H191" s="1">
        <v>1850.69</v>
      </c>
      <c r="I191" s="1">
        <v>0</v>
      </c>
      <c r="J191" s="1">
        <v>0</v>
      </c>
      <c r="K191" s="1">
        <v>0</v>
      </c>
      <c r="L191" s="1">
        <v>0</v>
      </c>
      <c r="M191" s="1" t="s">
        <v>447</v>
      </c>
      <c r="N191" s="1">
        <v>1850.69</v>
      </c>
      <c r="O191" s="1">
        <f t="shared" si="2"/>
        <v>1850.69</v>
      </c>
      <c r="P191" s="2" t="str">
        <f>IF(O191=0,"",_xlfn.XLOOKUP(D191,'1月份计划'!A:A,'1月份计划'!A:A,"计划表需添加"))</f>
        <v>湖南兴天宏实业有限公司</v>
      </c>
    </row>
    <row r="192" spans="1:16">
      <c r="A192" s="1" t="s">
        <v>444</v>
      </c>
      <c r="B192" s="1" t="s">
        <v>445</v>
      </c>
      <c r="C192" s="1" t="s">
        <v>41</v>
      </c>
      <c r="D192" s="1" t="s">
        <v>582</v>
      </c>
      <c r="E192" s="1" t="s">
        <v>41</v>
      </c>
      <c r="F192" s="1" t="s">
        <v>443</v>
      </c>
      <c r="G192" s="1" t="s">
        <v>489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 t="s">
        <v>489</v>
      </c>
      <c r="N192" s="1">
        <v>0</v>
      </c>
      <c r="O192" s="1">
        <f t="shared" si="2"/>
        <v>0</v>
      </c>
      <c r="P192" s="2" t="str">
        <f>IF(O192=0,"",_xlfn.XLOOKUP(D192,'1月份计划'!A:A,'1月份计划'!A:A,"计划表需添加"))</f>
        <v/>
      </c>
    </row>
    <row r="193" hidden="1" spans="1:16">
      <c r="A193" s="1" t="s">
        <v>444</v>
      </c>
      <c r="B193" s="1" t="s">
        <v>445</v>
      </c>
      <c r="C193" s="1" t="s">
        <v>41</v>
      </c>
      <c r="D193" s="1" t="s">
        <v>487</v>
      </c>
      <c r="E193" s="1" t="s">
        <v>41</v>
      </c>
      <c r="F193" s="1" t="s">
        <v>443</v>
      </c>
      <c r="G193" s="1" t="s">
        <v>447</v>
      </c>
      <c r="H193" s="1">
        <v>20</v>
      </c>
      <c r="I193" s="1">
        <v>0</v>
      </c>
      <c r="J193" s="1">
        <v>0</v>
      </c>
      <c r="K193" s="1">
        <v>0</v>
      </c>
      <c r="L193" s="1">
        <v>0</v>
      </c>
      <c r="M193" s="1" t="s">
        <v>447</v>
      </c>
      <c r="N193" s="1">
        <v>20</v>
      </c>
      <c r="O193" s="1">
        <f t="shared" si="2"/>
        <v>20</v>
      </c>
      <c r="P193" s="2" t="str">
        <f>IF(O193=0,"",_xlfn.XLOOKUP(D193,'1月份计划'!A:A,'1月份计划'!A:A,"计划表需添加"))</f>
        <v>计划表需添加</v>
      </c>
    </row>
    <row r="194" spans="1:16">
      <c r="A194" s="1" t="s">
        <v>444</v>
      </c>
      <c r="B194" s="1" t="s">
        <v>445</v>
      </c>
      <c r="C194" s="1" t="s">
        <v>41</v>
      </c>
      <c r="D194" s="1" t="s">
        <v>276</v>
      </c>
      <c r="E194" s="1" t="s">
        <v>41</v>
      </c>
      <c r="F194" s="1" t="s">
        <v>443</v>
      </c>
      <c r="G194" s="1" t="s">
        <v>447</v>
      </c>
      <c r="H194" s="1">
        <v>38188.24</v>
      </c>
      <c r="I194" s="1">
        <v>0</v>
      </c>
      <c r="J194" s="1">
        <v>0</v>
      </c>
      <c r="K194" s="1">
        <v>0</v>
      </c>
      <c r="L194" s="1">
        <v>0</v>
      </c>
      <c r="M194" s="1" t="s">
        <v>447</v>
      </c>
      <c r="N194" s="1">
        <v>38188.24</v>
      </c>
      <c r="O194" s="1">
        <f t="shared" si="2"/>
        <v>38188.24</v>
      </c>
      <c r="P194" s="2" t="str">
        <f>IF(O194=0,"",_xlfn.XLOOKUP(D194,'1月份计划'!A:A,'1月份计划'!A:A,"计划表需添加"))</f>
        <v>山东鼎昌智能科技有限公司</v>
      </c>
    </row>
    <row r="195" spans="1:16">
      <c r="A195" s="1" t="s">
        <v>444</v>
      </c>
      <c r="B195" s="1" t="s">
        <v>445</v>
      </c>
      <c r="C195" s="1" t="s">
        <v>41</v>
      </c>
      <c r="D195" s="1" t="s">
        <v>583</v>
      </c>
      <c r="E195" s="1" t="s">
        <v>41</v>
      </c>
      <c r="F195" s="1" t="s">
        <v>443</v>
      </c>
      <c r="G195" s="1" t="s">
        <v>489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 t="s">
        <v>489</v>
      </c>
      <c r="N195" s="1">
        <v>0</v>
      </c>
      <c r="O195" s="1">
        <f t="shared" ref="O195:O228" si="3">IF(M195="贷",N195,-N195)</f>
        <v>0</v>
      </c>
      <c r="P195" s="2" t="str">
        <f>IF(O195=0,"",_xlfn.XLOOKUP(D195,'1月份计划'!A:A,'1月份计划'!A:A,"计划表需添加"))</f>
        <v/>
      </c>
    </row>
    <row r="196" spans="1:16">
      <c r="A196" s="1" t="s">
        <v>444</v>
      </c>
      <c r="B196" s="1" t="s">
        <v>445</v>
      </c>
      <c r="C196" s="1" t="s">
        <v>41</v>
      </c>
      <c r="D196" s="1" t="s">
        <v>584</v>
      </c>
      <c r="E196" s="1" t="s">
        <v>41</v>
      </c>
      <c r="F196" s="1" t="s">
        <v>443</v>
      </c>
      <c r="G196" s="1" t="s">
        <v>489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 t="s">
        <v>489</v>
      </c>
      <c r="N196" s="1">
        <v>0</v>
      </c>
      <c r="O196" s="1">
        <f t="shared" si="3"/>
        <v>0</v>
      </c>
      <c r="P196" s="2" t="str">
        <f>IF(O196=0,"",_xlfn.XLOOKUP(D196,'1月份计划'!A:A,'1月份计划'!A:A,"计划表需添加"))</f>
        <v/>
      </c>
    </row>
    <row r="197" spans="1:16">
      <c r="A197" s="1" t="s">
        <v>444</v>
      </c>
      <c r="B197" s="1" t="s">
        <v>445</v>
      </c>
      <c r="C197" s="1" t="s">
        <v>41</v>
      </c>
      <c r="D197" s="1" t="s">
        <v>585</v>
      </c>
      <c r="E197" s="1" t="s">
        <v>41</v>
      </c>
      <c r="F197" s="1" t="s">
        <v>443</v>
      </c>
      <c r="G197" s="1" t="s">
        <v>489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 t="s">
        <v>489</v>
      </c>
      <c r="N197" s="1">
        <v>0</v>
      </c>
      <c r="O197" s="1">
        <f t="shared" si="3"/>
        <v>0</v>
      </c>
      <c r="P197" s="2" t="str">
        <f>IF(O197=0,"",_xlfn.XLOOKUP(D197,'1月份计划'!A:A,'1月份计划'!A:A,"计划表需添加"))</f>
        <v/>
      </c>
    </row>
    <row r="198" spans="1:16">
      <c r="A198" s="1" t="s">
        <v>444</v>
      </c>
      <c r="B198" s="1" t="s">
        <v>445</v>
      </c>
      <c r="C198" s="1" t="s">
        <v>41</v>
      </c>
      <c r="D198" s="1" t="s">
        <v>586</v>
      </c>
      <c r="E198" s="1" t="s">
        <v>41</v>
      </c>
      <c r="F198" s="1" t="s">
        <v>443</v>
      </c>
      <c r="G198" s="1" t="s">
        <v>489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 t="s">
        <v>489</v>
      </c>
      <c r="N198" s="1">
        <v>0</v>
      </c>
      <c r="O198" s="1">
        <f t="shared" si="3"/>
        <v>0</v>
      </c>
      <c r="P198" s="2" t="str">
        <f>IF(O198=0,"",_xlfn.XLOOKUP(D198,'1月份计划'!A:A,'1月份计划'!A:A,"计划表需添加"))</f>
        <v/>
      </c>
    </row>
    <row r="199" spans="1:16">
      <c r="A199" s="1" t="s">
        <v>444</v>
      </c>
      <c r="B199" s="1" t="s">
        <v>445</v>
      </c>
      <c r="C199" s="1" t="s">
        <v>41</v>
      </c>
      <c r="D199" s="1" t="s">
        <v>587</v>
      </c>
      <c r="E199" s="1" t="s">
        <v>41</v>
      </c>
      <c r="F199" s="1" t="s">
        <v>443</v>
      </c>
      <c r="G199" s="1" t="s">
        <v>489</v>
      </c>
      <c r="H199" s="1">
        <v>0</v>
      </c>
      <c r="I199" s="1">
        <v>0</v>
      </c>
      <c r="J199" s="1">
        <v>0</v>
      </c>
      <c r="K199" s="1">
        <v>0</v>
      </c>
      <c r="L199" s="1">
        <v>0</v>
      </c>
      <c r="M199" s="1" t="s">
        <v>489</v>
      </c>
      <c r="N199" s="1">
        <v>0</v>
      </c>
      <c r="O199" s="1">
        <f t="shared" si="3"/>
        <v>0</v>
      </c>
      <c r="P199" s="2" t="str">
        <f>IF(O199=0,"",_xlfn.XLOOKUP(D199,'1月份计划'!A:A,'1月份计划'!A:A,"计划表需添加"))</f>
        <v/>
      </c>
    </row>
    <row r="200" spans="1:16">
      <c r="A200" s="1" t="s">
        <v>444</v>
      </c>
      <c r="B200" s="1" t="s">
        <v>445</v>
      </c>
      <c r="C200" s="1" t="s">
        <v>41</v>
      </c>
      <c r="D200" s="1" t="s">
        <v>588</v>
      </c>
      <c r="E200" s="1" t="s">
        <v>41</v>
      </c>
      <c r="F200" s="1" t="s">
        <v>443</v>
      </c>
      <c r="G200" s="1" t="s">
        <v>489</v>
      </c>
      <c r="H200" s="1">
        <v>0</v>
      </c>
      <c r="I200" s="1">
        <v>0</v>
      </c>
      <c r="J200" s="1">
        <v>0</v>
      </c>
      <c r="K200" s="1">
        <v>0</v>
      </c>
      <c r="L200" s="1">
        <v>0</v>
      </c>
      <c r="M200" s="1" t="s">
        <v>489</v>
      </c>
      <c r="N200" s="1">
        <v>0</v>
      </c>
      <c r="O200" s="1">
        <f t="shared" si="3"/>
        <v>0</v>
      </c>
      <c r="P200" s="2" t="str">
        <f>IF(O200=0,"",_xlfn.XLOOKUP(D200,'1月份计划'!A:A,'1月份计划'!A:A,"计划表需添加"))</f>
        <v/>
      </c>
    </row>
    <row r="201" spans="1:16">
      <c r="A201" s="1" t="s">
        <v>444</v>
      </c>
      <c r="B201" s="1" t="s">
        <v>445</v>
      </c>
      <c r="C201" s="1" t="s">
        <v>41</v>
      </c>
      <c r="D201" s="1" t="s">
        <v>277</v>
      </c>
      <c r="E201" s="1" t="s">
        <v>41</v>
      </c>
      <c r="F201" s="1" t="s">
        <v>443</v>
      </c>
      <c r="G201" s="1" t="s">
        <v>447</v>
      </c>
      <c r="H201" s="1">
        <v>627089.98</v>
      </c>
      <c r="I201" s="1">
        <v>627089.98</v>
      </c>
      <c r="J201" s="1">
        <v>0</v>
      </c>
      <c r="K201" s="1">
        <v>1893728.26</v>
      </c>
      <c r="L201" s="1">
        <v>513493.75</v>
      </c>
      <c r="M201" s="1" t="s">
        <v>489</v>
      </c>
      <c r="N201" s="1">
        <v>0</v>
      </c>
      <c r="O201" s="1">
        <f t="shared" si="3"/>
        <v>0</v>
      </c>
      <c r="P201" s="2" t="str">
        <f>IF(O201=0,"",_xlfn.XLOOKUP(D201,'1月份计划'!A:A,'1月份计划'!A:A,"计划表需添加"))</f>
        <v/>
      </c>
    </row>
    <row r="202" spans="1:16">
      <c r="A202" s="1" t="s">
        <v>444</v>
      </c>
      <c r="B202" s="1" t="s">
        <v>445</v>
      </c>
      <c r="C202" s="1" t="s">
        <v>41</v>
      </c>
      <c r="D202" s="1" t="s">
        <v>589</v>
      </c>
      <c r="E202" s="1" t="s">
        <v>41</v>
      </c>
      <c r="F202" s="1" t="s">
        <v>443</v>
      </c>
      <c r="G202" s="1" t="s">
        <v>489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 t="s">
        <v>489</v>
      </c>
      <c r="N202" s="1">
        <v>0</v>
      </c>
      <c r="O202" s="1">
        <f t="shared" si="3"/>
        <v>0</v>
      </c>
      <c r="P202" s="2" t="str">
        <f>IF(O202=0,"",_xlfn.XLOOKUP(D202,'1月份计划'!A:A,'1月份计划'!A:A,"计划表需添加"))</f>
        <v/>
      </c>
    </row>
    <row r="203" spans="1:16">
      <c r="A203" s="1" t="s">
        <v>444</v>
      </c>
      <c r="B203" s="1" t="s">
        <v>445</v>
      </c>
      <c r="C203" s="1" t="s">
        <v>41</v>
      </c>
      <c r="D203" s="1" t="s">
        <v>590</v>
      </c>
      <c r="E203" s="1" t="s">
        <v>41</v>
      </c>
      <c r="F203" s="1" t="s">
        <v>443</v>
      </c>
      <c r="G203" s="1" t="s">
        <v>489</v>
      </c>
      <c r="H203" s="1">
        <v>0</v>
      </c>
      <c r="I203" s="1">
        <v>0</v>
      </c>
      <c r="J203" s="1">
        <v>0</v>
      </c>
      <c r="K203" s="1">
        <v>0</v>
      </c>
      <c r="L203" s="1">
        <v>0</v>
      </c>
      <c r="M203" s="1" t="s">
        <v>489</v>
      </c>
      <c r="N203" s="1">
        <v>0</v>
      </c>
      <c r="O203" s="1">
        <f t="shared" si="3"/>
        <v>0</v>
      </c>
      <c r="P203" s="2" t="str">
        <f>IF(O203=0,"",_xlfn.XLOOKUP(D203,'1月份计划'!A:A,'1月份计划'!A:A,"计划表需添加"))</f>
        <v/>
      </c>
    </row>
    <row r="204" spans="1:16">
      <c r="A204" s="1" t="s">
        <v>444</v>
      </c>
      <c r="B204" s="1" t="s">
        <v>445</v>
      </c>
      <c r="C204" s="1" t="s">
        <v>41</v>
      </c>
      <c r="D204" s="1" t="s">
        <v>591</v>
      </c>
      <c r="E204" s="1" t="s">
        <v>41</v>
      </c>
      <c r="F204" s="1" t="s">
        <v>443</v>
      </c>
      <c r="G204" s="1" t="s">
        <v>489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 t="s">
        <v>489</v>
      </c>
      <c r="N204" s="1">
        <v>0</v>
      </c>
      <c r="O204" s="1">
        <f t="shared" si="3"/>
        <v>0</v>
      </c>
      <c r="P204" s="2" t="str">
        <f>IF(O204=0,"",_xlfn.XLOOKUP(D204,'1月份计划'!A:A,'1月份计划'!A:A,"计划表需添加"))</f>
        <v/>
      </c>
    </row>
    <row r="205" spans="1:16">
      <c r="A205" s="1" t="s">
        <v>444</v>
      </c>
      <c r="B205" s="1" t="s">
        <v>445</v>
      </c>
      <c r="C205" s="1" t="s">
        <v>41</v>
      </c>
      <c r="D205" s="1" t="s">
        <v>592</v>
      </c>
      <c r="E205" s="1" t="s">
        <v>41</v>
      </c>
      <c r="F205" s="1" t="s">
        <v>443</v>
      </c>
      <c r="G205" s="1" t="s">
        <v>489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 t="s">
        <v>489</v>
      </c>
      <c r="N205" s="1">
        <v>0</v>
      </c>
      <c r="O205" s="1">
        <f t="shared" si="3"/>
        <v>0</v>
      </c>
      <c r="P205" s="2" t="str">
        <f>IF(O205=0,"",_xlfn.XLOOKUP(D205,'1月份计划'!A:A,'1月份计划'!A:A,"计划表需添加"))</f>
        <v/>
      </c>
    </row>
    <row r="206" spans="1:16">
      <c r="A206" s="1" t="s">
        <v>444</v>
      </c>
      <c r="B206" s="1" t="s">
        <v>445</v>
      </c>
      <c r="C206" s="1" t="s">
        <v>41</v>
      </c>
      <c r="D206" s="1" t="s">
        <v>304</v>
      </c>
      <c r="E206" s="1" t="s">
        <v>41</v>
      </c>
      <c r="F206" s="1" t="s">
        <v>443</v>
      </c>
      <c r="G206" s="1" t="s">
        <v>447</v>
      </c>
      <c r="H206" s="1">
        <v>31814.02</v>
      </c>
      <c r="I206" s="1">
        <v>0</v>
      </c>
      <c r="J206" s="1">
        <v>0</v>
      </c>
      <c r="K206" s="1">
        <v>0</v>
      </c>
      <c r="L206" s="1">
        <v>0</v>
      </c>
      <c r="M206" s="1" t="s">
        <v>447</v>
      </c>
      <c r="N206" s="1">
        <v>31814.02</v>
      </c>
      <c r="O206" s="1">
        <f t="shared" si="3"/>
        <v>31814.02</v>
      </c>
      <c r="P206" s="2" t="str">
        <f>IF(O206=0,"",_xlfn.XLOOKUP(D206,'1月份计划'!A:A,'1月份计划'!A:A,"计划表需添加"))</f>
        <v>常州立天汽车零部件有限公司</v>
      </c>
    </row>
    <row r="207" spans="1:16">
      <c r="A207" s="1" t="s">
        <v>444</v>
      </c>
      <c r="B207" s="1" t="s">
        <v>445</v>
      </c>
      <c r="C207" s="1" t="s">
        <v>41</v>
      </c>
      <c r="D207" s="1" t="s">
        <v>488</v>
      </c>
      <c r="E207" s="1" t="s">
        <v>41</v>
      </c>
      <c r="F207" s="1" t="s">
        <v>443</v>
      </c>
      <c r="G207" s="1" t="s">
        <v>447</v>
      </c>
      <c r="H207" s="1">
        <v>2927</v>
      </c>
      <c r="I207" s="1">
        <v>0</v>
      </c>
      <c r="J207" s="1">
        <v>0</v>
      </c>
      <c r="K207" s="1">
        <v>0</v>
      </c>
      <c r="L207" s="1">
        <v>0</v>
      </c>
      <c r="M207" s="1" t="s">
        <v>447</v>
      </c>
      <c r="N207" s="1">
        <v>2927</v>
      </c>
      <c r="O207" s="1">
        <f t="shared" si="3"/>
        <v>2927</v>
      </c>
      <c r="P207" s="2" t="str">
        <f>IF(O207=0,"",_xlfn.XLOOKUP(D207,'1月份计划'!A:A,'1月份计划'!A:A,"计划表需添加"))</f>
        <v>台州市黄岩增益模塑有限公司</v>
      </c>
    </row>
    <row r="208" spans="1:16">
      <c r="A208" s="1" t="s">
        <v>444</v>
      </c>
      <c r="B208" s="1" t="s">
        <v>445</v>
      </c>
      <c r="C208" s="1" t="s">
        <v>41</v>
      </c>
      <c r="D208" s="1" t="s">
        <v>418</v>
      </c>
      <c r="E208" s="1" t="s">
        <v>41</v>
      </c>
      <c r="F208" s="1" t="s">
        <v>443</v>
      </c>
      <c r="G208" s="1" t="s">
        <v>447</v>
      </c>
      <c r="H208" s="1">
        <v>79817.67</v>
      </c>
      <c r="I208" s="1">
        <v>0</v>
      </c>
      <c r="J208" s="1">
        <v>0</v>
      </c>
      <c r="K208" s="1">
        <v>0</v>
      </c>
      <c r="L208" s="1">
        <v>79817.67</v>
      </c>
      <c r="M208" s="1" t="s">
        <v>447</v>
      </c>
      <c r="N208" s="1">
        <v>79817.67</v>
      </c>
      <c r="O208" s="1">
        <f t="shared" si="3"/>
        <v>79817.67</v>
      </c>
      <c r="P208" s="2" t="str">
        <f>IF(O208=0,"",_xlfn.XLOOKUP(D208,'1月份计划'!A:A,'1月份计划'!A:A,"计划表需添加"))</f>
        <v>河北莫特美橡塑科技有限公司</v>
      </c>
    </row>
    <row r="209" spans="1:16">
      <c r="A209" s="1" t="s">
        <v>444</v>
      </c>
      <c r="B209" s="1" t="s">
        <v>445</v>
      </c>
      <c r="C209" s="1" t="s">
        <v>41</v>
      </c>
      <c r="D209" s="1" t="s">
        <v>593</v>
      </c>
      <c r="E209" s="1" t="s">
        <v>41</v>
      </c>
      <c r="F209" s="1" t="s">
        <v>443</v>
      </c>
      <c r="G209" s="1" t="s">
        <v>489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 t="s">
        <v>489</v>
      </c>
      <c r="N209" s="1">
        <v>0</v>
      </c>
      <c r="O209" s="1">
        <f t="shared" si="3"/>
        <v>0</v>
      </c>
      <c r="P209" s="2" t="str">
        <f>IF(O209=0,"",_xlfn.XLOOKUP(D209,'1月份计划'!A:A,'1月份计划'!A:A,"计划表需添加"))</f>
        <v/>
      </c>
    </row>
    <row r="210" spans="1:16">
      <c r="A210" s="1" t="s">
        <v>444</v>
      </c>
      <c r="B210" s="1" t="s">
        <v>445</v>
      </c>
      <c r="C210" s="1" t="s">
        <v>41</v>
      </c>
      <c r="D210" s="1" t="s">
        <v>314</v>
      </c>
      <c r="E210" s="1" t="s">
        <v>41</v>
      </c>
      <c r="F210" s="1" t="s">
        <v>443</v>
      </c>
      <c r="G210" s="1" t="s">
        <v>447</v>
      </c>
      <c r="H210" s="1">
        <v>121021.99</v>
      </c>
      <c r="I210" s="1">
        <v>0</v>
      </c>
      <c r="J210" s="1">
        <v>0</v>
      </c>
      <c r="K210" s="1">
        <v>0</v>
      </c>
      <c r="L210" s="1">
        <v>53688.96</v>
      </c>
      <c r="M210" s="1" t="s">
        <v>447</v>
      </c>
      <c r="N210" s="1">
        <v>121021.99</v>
      </c>
      <c r="O210" s="1">
        <f t="shared" si="3"/>
        <v>121021.99</v>
      </c>
      <c r="P210" s="2" t="str">
        <f>IF(O210=0,"",_xlfn.XLOOKUP(D210,'1月份计划'!A:A,'1月份计划'!A:A,"计划表需添加"))</f>
        <v>北京美好生活家居用品有限公司</v>
      </c>
    </row>
    <row r="211" spans="1:16">
      <c r="A211" s="1" t="s">
        <v>444</v>
      </c>
      <c r="B211" s="1" t="s">
        <v>445</v>
      </c>
      <c r="C211" s="1" t="s">
        <v>41</v>
      </c>
      <c r="D211" s="1" t="s">
        <v>282</v>
      </c>
      <c r="E211" s="1" t="s">
        <v>41</v>
      </c>
      <c r="F211" s="1" t="s">
        <v>443</v>
      </c>
      <c r="G211" s="1" t="s">
        <v>447</v>
      </c>
      <c r="H211" s="1">
        <v>85600</v>
      </c>
      <c r="I211" s="1">
        <v>0</v>
      </c>
      <c r="J211" s="1">
        <v>0</v>
      </c>
      <c r="K211" s="1">
        <v>0</v>
      </c>
      <c r="L211" s="1">
        <v>0</v>
      </c>
      <c r="M211" s="1" t="s">
        <v>447</v>
      </c>
      <c r="N211" s="1">
        <v>85600</v>
      </c>
      <c r="O211" s="1">
        <f t="shared" si="3"/>
        <v>85600</v>
      </c>
      <c r="P211" s="2" t="str">
        <f>IF(O211=0,"",_xlfn.XLOOKUP(D211,'1月份计划'!A:A,'1月份计划'!A:A,"计划表需添加"))</f>
        <v>天津鑫淼塑料制品有限公司</v>
      </c>
    </row>
    <row r="212" spans="1:16">
      <c r="A212" s="1" t="s">
        <v>444</v>
      </c>
      <c r="B212" s="1" t="s">
        <v>445</v>
      </c>
      <c r="C212" s="1" t="s">
        <v>41</v>
      </c>
      <c r="D212" s="1" t="s">
        <v>307</v>
      </c>
      <c r="E212" s="1" t="s">
        <v>41</v>
      </c>
      <c r="F212" s="1" t="s">
        <v>443</v>
      </c>
      <c r="G212" s="1" t="s">
        <v>447</v>
      </c>
      <c r="H212" s="1">
        <v>29590.85</v>
      </c>
      <c r="I212" s="1">
        <v>0</v>
      </c>
      <c r="J212" s="1">
        <v>0</v>
      </c>
      <c r="K212" s="1">
        <v>12372.37</v>
      </c>
      <c r="L212" s="1">
        <v>13326.59</v>
      </c>
      <c r="M212" s="1" t="s">
        <v>447</v>
      </c>
      <c r="N212" s="1">
        <v>29590.85</v>
      </c>
      <c r="O212" s="1">
        <f t="shared" si="3"/>
        <v>29590.85</v>
      </c>
      <c r="P212" s="2" t="str">
        <f>IF(O212=0,"",_xlfn.XLOOKUP(D212,'1月份计划'!A:A,'1月份计划'!A:A,"计划表需添加"))</f>
        <v>沧州宇诺五金制造有限公司</v>
      </c>
    </row>
    <row r="213" spans="1:16">
      <c r="A213" s="1" t="s">
        <v>444</v>
      </c>
      <c r="B213" s="1" t="s">
        <v>445</v>
      </c>
      <c r="C213" s="1" t="s">
        <v>41</v>
      </c>
      <c r="D213" s="1" t="s">
        <v>594</v>
      </c>
      <c r="E213" s="1" t="s">
        <v>41</v>
      </c>
      <c r="F213" s="1" t="s">
        <v>443</v>
      </c>
      <c r="G213" s="1" t="s">
        <v>489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 t="s">
        <v>489</v>
      </c>
      <c r="N213" s="1">
        <v>0</v>
      </c>
      <c r="O213" s="1">
        <f t="shared" si="3"/>
        <v>0</v>
      </c>
      <c r="P213" s="2" t="str">
        <f>IF(O213=0,"",_xlfn.XLOOKUP(D213,'1月份计划'!A:A,'1月份计划'!A:A,"计划表需添加"))</f>
        <v/>
      </c>
    </row>
    <row r="214" spans="1:16">
      <c r="A214" s="1" t="s">
        <v>444</v>
      </c>
      <c r="B214" s="1" t="s">
        <v>445</v>
      </c>
      <c r="C214" s="1" t="s">
        <v>41</v>
      </c>
      <c r="D214" s="1" t="s">
        <v>305</v>
      </c>
      <c r="E214" s="1" t="s">
        <v>41</v>
      </c>
      <c r="F214" s="1" t="s">
        <v>443</v>
      </c>
      <c r="G214" s="1" t="s">
        <v>489</v>
      </c>
      <c r="H214" s="1">
        <v>0</v>
      </c>
      <c r="I214" s="1">
        <v>0</v>
      </c>
      <c r="J214" s="1">
        <v>0</v>
      </c>
      <c r="K214" s="1">
        <v>7491.9</v>
      </c>
      <c r="L214" s="1">
        <v>0</v>
      </c>
      <c r="M214" s="1" t="s">
        <v>489</v>
      </c>
      <c r="N214" s="1">
        <v>0</v>
      </c>
      <c r="O214" s="1">
        <f t="shared" si="3"/>
        <v>0</v>
      </c>
      <c r="P214" s="2" t="str">
        <f>IF(O214=0,"",_xlfn.XLOOKUP(D214,'1月份计划'!A:A,'1月份计划'!A:A,"计划表需添加"))</f>
        <v/>
      </c>
    </row>
    <row r="215" spans="1:16">
      <c r="A215" s="1" t="s">
        <v>444</v>
      </c>
      <c r="B215" s="1" t="s">
        <v>445</v>
      </c>
      <c r="C215" s="1" t="s">
        <v>41</v>
      </c>
      <c r="D215" s="1" t="s">
        <v>409</v>
      </c>
      <c r="E215" s="1" t="s">
        <v>41</v>
      </c>
      <c r="F215" s="1" t="s">
        <v>443</v>
      </c>
      <c r="G215" s="1" t="s">
        <v>447</v>
      </c>
      <c r="H215" s="1">
        <v>24590.72</v>
      </c>
      <c r="I215" s="1">
        <v>0</v>
      </c>
      <c r="J215" s="1">
        <v>0</v>
      </c>
      <c r="K215" s="1">
        <v>50000</v>
      </c>
      <c r="L215" s="1">
        <v>0</v>
      </c>
      <c r="M215" s="1" t="s">
        <v>447</v>
      </c>
      <c r="N215" s="1">
        <v>24590.72</v>
      </c>
      <c r="O215" s="1">
        <f t="shared" si="3"/>
        <v>24590.72</v>
      </c>
      <c r="P215" s="2" t="str">
        <f>IF(O215=0,"",_xlfn.XLOOKUP(D215,'1月份计划'!A:A,'1月份计划'!A:A,"计划表需添加"))</f>
        <v>河北方基恒达汽车部件有限公司</v>
      </c>
    </row>
    <row r="216" spans="1:16">
      <c r="A216" s="1" t="s">
        <v>444</v>
      </c>
      <c r="B216" s="1" t="s">
        <v>445</v>
      </c>
      <c r="C216" s="1" t="s">
        <v>41</v>
      </c>
      <c r="D216" s="1" t="s">
        <v>308</v>
      </c>
      <c r="E216" s="1" t="s">
        <v>41</v>
      </c>
      <c r="F216" s="1" t="s">
        <v>443</v>
      </c>
      <c r="G216" s="1" t="s">
        <v>447</v>
      </c>
      <c r="H216" s="1">
        <v>22943.52</v>
      </c>
      <c r="I216" s="1">
        <v>0</v>
      </c>
      <c r="J216" s="1">
        <v>0</v>
      </c>
      <c r="K216" s="1">
        <v>16916.1</v>
      </c>
      <c r="L216" s="1">
        <v>0</v>
      </c>
      <c r="M216" s="1" t="s">
        <v>447</v>
      </c>
      <c r="N216" s="1">
        <v>22943.52</v>
      </c>
      <c r="O216" s="1">
        <f t="shared" si="3"/>
        <v>22943.52</v>
      </c>
      <c r="P216" s="2" t="str">
        <f>IF(O216=0,"",_xlfn.XLOOKUP(D216,'1月份计划'!A:A,'1月份计划'!A:A,"计划表需添加"))</f>
        <v>清河县沁园汽车零部件有限公司</v>
      </c>
    </row>
    <row r="217" spans="1:16">
      <c r="A217" s="1" t="s">
        <v>444</v>
      </c>
      <c r="B217" s="1" t="s">
        <v>445</v>
      </c>
      <c r="C217" s="1" t="s">
        <v>41</v>
      </c>
      <c r="D217" s="1" t="s">
        <v>321</v>
      </c>
      <c r="E217" s="1" t="s">
        <v>41</v>
      </c>
      <c r="F217" s="1" t="s">
        <v>443</v>
      </c>
      <c r="G217" s="1" t="s">
        <v>489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 t="s">
        <v>489</v>
      </c>
      <c r="N217" s="1">
        <v>0</v>
      </c>
      <c r="O217" s="1">
        <f t="shared" si="3"/>
        <v>0</v>
      </c>
      <c r="P217" s="2" t="str">
        <f>IF(O217=0,"",_xlfn.XLOOKUP(D217,'1月份计划'!A:A,'1月份计划'!A:A,"计划表需添加"))</f>
        <v/>
      </c>
    </row>
    <row r="218" spans="1:16">
      <c r="A218" s="1" t="s">
        <v>444</v>
      </c>
      <c r="B218" s="1" t="s">
        <v>445</v>
      </c>
      <c r="C218" s="1" t="s">
        <v>41</v>
      </c>
      <c r="D218" s="1" t="s">
        <v>309</v>
      </c>
      <c r="E218" s="1" t="s">
        <v>41</v>
      </c>
      <c r="F218" s="1" t="s">
        <v>443</v>
      </c>
      <c r="G218" s="1" t="s">
        <v>447</v>
      </c>
      <c r="H218" s="1">
        <v>3245.36</v>
      </c>
      <c r="I218" s="1">
        <v>0</v>
      </c>
      <c r="J218" s="1">
        <v>0</v>
      </c>
      <c r="K218" s="1">
        <v>6490.72</v>
      </c>
      <c r="L218" s="1">
        <v>0</v>
      </c>
      <c r="M218" s="1" t="s">
        <v>447</v>
      </c>
      <c r="N218" s="1">
        <v>3245.36</v>
      </c>
      <c r="O218" s="1">
        <f t="shared" si="3"/>
        <v>3245.36</v>
      </c>
      <c r="P218" s="2" t="str">
        <f>IF(O218=0,"",_xlfn.XLOOKUP(D218,'1月份计划'!A:A,'1月份计划'!A:A,"计划表需添加"))</f>
        <v>新梦顶（上海）贸易有限公司</v>
      </c>
    </row>
    <row r="219" spans="1:16">
      <c r="A219" s="1" t="s">
        <v>444</v>
      </c>
      <c r="B219" s="1" t="s">
        <v>445</v>
      </c>
      <c r="C219" s="1" t="s">
        <v>41</v>
      </c>
      <c r="D219" s="1" t="s">
        <v>595</v>
      </c>
      <c r="E219" s="1" t="s">
        <v>41</v>
      </c>
      <c r="F219" s="1" t="s">
        <v>443</v>
      </c>
      <c r="G219" s="1" t="s">
        <v>489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 t="s">
        <v>489</v>
      </c>
      <c r="N219" s="1">
        <v>0</v>
      </c>
      <c r="O219" s="1">
        <f t="shared" si="3"/>
        <v>0</v>
      </c>
      <c r="P219" s="2" t="str">
        <f>IF(O219=0,"",_xlfn.XLOOKUP(D219,'1月份计划'!A:A,'1月份计划'!A:A,"计划表需添加"))</f>
        <v/>
      </c>
    </row>
    <row r="220" spans="1:16">
      <c r="A220" s="1" t="s">
        <v>444</v>
      </c>
      <c r="B220" s="1" t="s">
        <v>445</v>
      </c>
      <c r="C220" s="1" t="s">
        <v>41</v>
      </c>
      <c r="D220" s="1" t="s">
        <v>313</v>
      </c>
      <c r="E220" s="1" t="s">
        <v>41</v>
      </c>
      <c r="F220" s="1" t="s">
        <v>443</v>
      </c>
      <c r="G220" s="1" t="s">
        <v>447</v>
      </c>
      <c r="H220" s="1">
        <v>44413.72</v>
      </c>
      <c r="I220" s="1">
        <v>0</v>
      </c>
      <c r="J220" s="1">
        <v>0</v>
      </c>
      <c r="K220" s="1">
        <v>0</v>
      </c>
      <c r="L220" s="1">
        <v>40426.88</v>
      </c>
      <c r="M220" s="1" t="s">
        <v>447</v>
      </c>
      <c r="N220" s="1">
        <v>44413.72</v>
      </c>
      <c r="O220" s="1">
        <f t="shared" si="3"/>
        <v>44413.72</v>
      </c>
      <c r="P220" s="2" t="str">
        <f>IF(O220=0,"",_xlfn.XLOOKUP(D220,'1月份计划'!A:A,'1月份计划'!A:A,"计划表需添加"))</f>
        <v>江苏万金汽车零部件制造有限公</v>
      </c>
    </row>
    <row r="221" spans="1:16">
      <c r="A221" s="1" t="s">
        <v>444</v>
      </c>
      <c r="B221" s="1" t="s">
        <v>445</v>
      </c>
      <c r="C221" s="1" t="s">
        <v>41</v>
      </c>
      <c r="D221" s="1" t="s">
        <v>315</v>
      </c>
      <c r="E221" s="1" t="s">
        <v>41</v>
      </c>
      <c r="F221" s="1" t="s">
        <v>443</v>
      </c>
      <c r="G221" s="1" t="s">
        <v>447</v>
      </c>
      <c r="H221" s="1">
        <v>3305.25</v>
      </c>
      <c r="I221" s="1">
        <v>0</v>
      </c>
      <c r="J221" s="1">
        <v>0</v>
      </c>
      <c r="K221" s="1">
        <v>0</v>
      </c>
      <c r="L221" s="1">
        <v>3305.25</v>
      </c>
      <c r="M221" s="1" t="s">
        <v>447</v>
      </c>
      <c r="N221" s="1">
        <v>3305.25</v>
      </c>
      <c r="O221" s="1">
        <f t="shared" si="3"/>
        <v>3305.25</v>
      </c>
      <c r="P221" s="2" t="str">
        <f>IF(O221=0,"",_xlfn.XLOOKUP(D221,'1月份计划'!A:A,'1月份计划'!A:A,"计划表需添加"))</f>
        <v>江苏凌派通信科技有限公司</v>
      </c>
    </row>
    <row r="222" spans="1:16">
      <c r="A222" s="1" t="s">
        <v>444</v>
      </c>
      <c r="B222" s="1" t="s">
        <v>445</v>
      </c>
      <c r="C222" s="1" t="s">
        <v>41</v>
      </c>
      <c r="D222" s="1" t="s">
        <v>596</v>
      </c>
      <c r="E222" s="1" t="s">
        <v>41</v>
      </c>
      <c r="F222" s="1" t="s">
        <v>443</v>
      </c>
      <c r="G222" s="1" t="s">
        <v>489</v>
      </c>
      <c r="H222" s="1">
        <v>0</v>
      </c>
      <c r="I222" s="1">
        <v>0</v>
      </c>
      <c r="J222" s="1">
        <v>0</v>
      </c>
      <c r="K222" s="1">
        <v>0</v>
      </c>
      <c r="L222" s="1">
        <v>0</v>
      </c>
      <c r="M222" s="1" t="s">
        <v>489</v>
      </c>
      <c r="N222" s="1">
        <v>0</v>
      </c>
      <c r="O222" s="1">
        <f t="shared" si="3"/>
        <v>0</v>
      </c>
      <c r="P222" s="2" t="str">
        <f>IF(O222=0,"",_xlfn.XLOOKUP(D222,'1月份计划'!A:A,'1月份计划'!A:A,"计划表需添加"))</f>
        <v/>
      </c>
    </row>
    <row r="223" spans="1:16">
      <c r="A223" s="1" t="s">
        <v>444</v>
      </c>
      <c r="B223" s="1" t="s">
        <v>445</v>
      </c>
      <c r="C223" s="1" t="s">
        <v>41</v>
      </c>
      <c r="D223" s="1" t="s">
        <v>380</v>
      </c>
      <c r="E223" s="1" t="s">
        <v>41</v>
      </c>
      <c r="F223" s="1" t="s">
        <v>443</v>
      </c>
      <c r="G223" s="1" t="s">
        <v>447</v>
      </c>
      <c r="H223" s="1">
        <v>7000</v>
      </c>
      <c r="I223" s="1">
        <v>0</v>
      </c>
      <c r="J223" s="1">
        <v>0</v>
      </c>
      <c r="K223" s="1">
        <v>0</v>
      </c>
      <c r="L223" s="1">
        <v>-34000</v>
      </c>
      <c r="M223" s="1" t="s">
        <v>447</v>
      </c>
      <c r="N223" s="1">
        <v>7000</v>
      </c>
      <c r="O223" s="1">
        <f t="shared" si="3"/>
        <v>7000</v>
      </c>
      <c r="P223" s="2" t="str">
        <f>IF(O223=0,"",_xlfn.XLOOKUP(D223,'1月份计划'!A:A,'1月份计划'!A:A,"计划表需添加"))</f>
        <v>无锡市奇胜五金制品有限公司</v>
      </c>
    </row>
    <row r="224" spans="1:16">
      <c r="A224" s="1" t="s">
        <v>444</v>
      </c>
      <c r="B224" s="1" t="s">
        <v>445</v>
      </c>
      <c r="C224" s="1" t="s">
        <v>41</v>
      </c>
      <c r="D224" s="1" t="s">
        <v>410</v>
      </c>
      <c r="E224" s="1" t="s">
        <v>41</v>
      </c>
      <c r="F224" s="1" t="s">
        <v>443</v>
      </c>
      <c r="G224" s="1" t="s">
        <v>447</v>
      </c>
      <c r="H224" s="1">
        <v>34880</v>
      </c>
      <c r="I224" s="1">
        <v>0</v>
      </c>
      <c r="J224" s="1">
        <v>0</v>
      </c>
      <c r="K224" s="1">
        <v>60000</v>
      </c>
      <c r="L224" s="1">
        <v>0</v>
      </c>
      <c r="M224" s="1" t="s">
        <v>447</v>
      </c>
      <c r="N224" s="1">
        <v>34880</v>
      </c>
      <c r="O224" s="1">
        <f t="shared" si="3"/>
        <v>34880</v>
      </c>
      <c r="P224" s="2" t="str">
        <f>IF(O224=0,"",_xlfn.XLOOKUP(D224,'1月份计划'!A:A,'1月份计划'!A:A,"计划表需添加"))</f>
        <v>慈溪市维克多自控元件有限公司</v>
      </c>
    </row>
    <row r="225" spans="1:16">
      <c r="A225" s="1" t="s">
        <v>444</v>
      </c>
      <c r="B225" s="1" t="s">
        <v>445</v>
      </c>
      <c r="C225" s="1" t="s">
        <v>41</v>
      </c>
      <c r="D225" s="1" t="s">
        <v>597</v>
      </c>
      <c r="E225" s="1" t="s">
        <v>41</v>
      </c>
      <c r="F225" s="1" t="s">
        <v>443</v>
      </c>
      <c r="G225" s="1" t="s">
        <v>489</v>
      </c>
      <c r="H225" s="1">
        <v>0</v>
      </c>
      <c r="I225" s="1">
        <v>0</v>
      </c>
      <c r="J225" s="1">
        <v>0</v>
      </c>
      <c r="K225" s="1">
        <v>0</v>
      </c>
      <c r="L225" s="1">
        <v>0</v>
      </c>
      <c r="M225" s="1" t="s">
        <v>489</v>
      </c>
      <c r="N225" s="1">
        <v>0</v>
      </c>
      <c r="O225" s="1">
        <f t="shared" si="3"/>
        <v>0</v>
      </c>
      <c r="P225" s="2" t="str">
        <f>IF(O225=0,"",_xlfn.XLOOKUP(D225,'1月份计划'!A:A,'1月份计划'!A:A,"计划表需添加"))</f>
        <v/>
      </c>
    </row>
    <row r="226" spans="1:16">
      <c r="A226" s="1" t="s">
        <v>444</v>
      </c>
      <c r="B226" s="1" t="s">
        <v>445</v>
      </c>
      <c r="C226" s="1" t="s">
        <v>41</v>
      </c>
      <c r="D226" s="1" t="s">
        <v>598</v>
      </c>
      <c r="E226" s="1" t="s">
        <v>41</v>
      </c>
      <c r="F226" s="1" t="s">
        <v>443</v>
      </c>
      <c r="G226" s="1" t="s">
        <v>489</v>
      </c>
      <c r="H226" s="1">
        <v>0</v>
      </c>
      <c r="I226" s="1">
        <v>0</v>
      </c>
      <c r="J226" s="1">
        <v>0</v>
      </c>
      <c r="K226" s="1">
        <v>0</v>
      </c>
      <c r="L226" s="1">
        <v>0</v>
      </c>
      <c r="M226" s="1" t="s">
        <v>489</v>
      </c>
      <c r="N226" s="1">
        <v>0</v>
      </c>
      <c r="O226" s="1">
        <f t="shared" si="3"/>
        <v>0</v>
      </c>
      <c r="P226" s="2" t="str">
        <f>IF(O226=0,"",_xlfn.XLOOKUP(D226,'1月份计划'!A:A,'1月份计划'!A:A,"计划表需添加"))</f>
        <v/>
      </c>
    </row>
    <row r="227" spans="1:16">
      <c r="A227" s="1" t="s">
        <v>444</v>
      </c>
      <c r="B227" s="1" t="s">
        <v>445</v>
      </c>
      <c r="C227" s="1" t="s">
        <v>41</v>
      </c>
      <c r="D227" s="1" t="s">
        <v>411</v>
      </c>
      <c r="E227" s="1" t="s">
        <v>41</v>
      </c>
      <c r="F227" s="1" t="s">
        <v>443</v>
      </c>
      <c r="G227" s="1" t="s">
        <v>447</v>
      </c>
      <c r="H227" s="1">
        <v>39034.81</v>
      </c>
      <c r="I227" s="1">
        <v>39034.81</v>
      </c>
      <c r="J227" s="1">
        <v>0</v>
      </c>
      <c r="K227" s="1">
        <v>39034.81</v>
      </c>
      <c r="L227" s="1">
        <v>0</v>
      </c>
      <c r="M227" s="1" t="s">
        <v>489</v>
      </c>
      <c r="N227" s="1">
        <v>0</v>
      </c>
      <c r="O227" s="1">
        <f t="shared" si="3"/>
        <v>0</v>
      </c>
      <c r="P227" s="2" t="str">
        <f>IF(O227=0,"",_xlfn.XLOOKUP(D227,'1月份计划'!A:A,'1月份计划'!A:A,"计划表需添加"))</f>
        <v/>
      </c>
    </row>
    <row r="228" spans="1:16">
      <c r="A228" s="1" t="s">
        <v>444</v>
      </c>
      <c r="B228" s="1" t="s">
        <v>445</v>
      </c>
      <c r="C228" s="1" t="s">
        <v>41</v>
      </c>
      <c r="D228" s="1" t="s">
        <v>240</v>
      </c>
      <c r="E228" s="1" t="s">
        <v>41</v>
      </c>
      <c r="F228" s="1" t="s">
        <v>443</v>
      </c>
      <c r="G228" s="1" t="s">
        <v>447</v>
      </c>
      <c r="H228" s="1">
        <v>35549.92</v>
      </c>
      <c r="I228" s="1">
        <v>0</v>
      </c>
      <c r="J228" s="1">
        <v>0</v>
      </c>
      <c r="K228" s="1">
        <v>25000</v>
      </c>
      <c r="L228" s="1">
        <v>1853.2</v>
      </c>
      <c r="M228" s="1" t="s">
        <v>447</v>
      </c>
      <c r="N228" s="1">
        <v>35549.92</v>
      </c>
      <c r="O228" s="1">
        <f t="shared" si="3"/>
        <v>35549.92</v>
      </c>
      <c r="P228" s="2" t="str">
        <f>IF(O228=0,"",_xlfn.XLOOKUP(D228,'1月份计划'!A:A,'1月份计划'!A:A,"计划表需添加"))</f>
        <v>重庆厚元汽车配件有限公司</v>
      </c>
    </row>
  </sheetData>
  <autoFilter xmlns:etc="http://www.wps.cn/officeDocument/2017/etCustomData" ref="A1:P228" etc:filterBottomFollowUsedRange="0">
    <filterColumn colId="15">
      <colorFilter dxfId="1"/>
    </filterColumn>
    <extLst/>
  </autoFilter>
  <conditionalFormatting sqref="P$1:P$1048576">
    <cfRule type="containsText" dxfId="2" priority="1" operator="between" text="计划表需添加">
      <formula>NOT(ISERROR(SEARCH("计划表需添加",P1)))</formula>
    </cfRule>
  </conditionalFormatting>
  <pageMargins left="0.75" right="0.75" top="1" bottom="1" header="0.5" footer="0.5"/>
  <pageSetup paperSize="9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/>
  <dimension ref="A1:V100"/>
  <sheetViews>
    <sheetView topLeftCell="C1" workbookViewId="0">
      <selection activeCell="C1" sqref="$A1:$XFD1048576"/>
    </sheetView>
  </sheetViews>
  <sheetFormatPr defaultColWidth="8" defaultRowHeight="14.25"/>
  <cols>
    <col min="1" max="1" width="12.625" style="1" customWidth="1"/>
    <col min="2" max="2" width="10.875" style="1" customWidth="1"/>
    <col min="3" max="3" width="6.25" style="1" customWidth="1"/>
    <col min="4" max="4" width="9.375" style="1" customWidth="1"/>
    <col min="5" max="6" width="10.875" style="1" customWidth="1"/>
    <col min="7" max="7" width="7.75" style="1" customWidth="1"/>
    <col min="8" max="9" width="10.875" style="1" customWidth="1"/>
    <col min="10" max="10" width="12.375" style="1" customWidth="1"/>
    <col min="11" max="11" width="10.875" style="1" customWidth="1"/>
    <col min="12" max="12" width="14" style="1" customWidth="1"/>
    <col min="13" max="13" width="7.75" style="1" customWidth="1"/>
    <col min="14" max="14" width="16.875" style="1" customWidth="1"/>
    <col min="15" max="16" width="10.875" style="1" customWidth="1"/>
    <col min="17" max="17" width="7.75" style="1" customWidth="1"/>
    <col min="18" max="18" width="23.125" style="1" customWidth="1"/>
    <col min="19" max="20" width="10.875" style="1" customWidth="1"/>
    <col min="21" max="21" width="7.75" style="1" customWidth="1"/>
    <col min="22" max="22" width="9.5" style="1" customWidth="1"/>
    <col min="23" max="16384" width="8" style="1"/>
  </cols>
  <sheetData>
    <row r="1" s="1" customFormat="1" spans="1:22">
      <c r="A1" s="4" t="s">
        <v>640</v>
      </c>
      <c r="B1" s="4" t="s">
        <v>0</v>
      </c>
      <c r="C1" s="5" t="s">
        <v>12</v>
      </c>
      <c r="D1" s="4" t="s">
        <v>641</v>
      </c>
      <c r="E1" s="5" t="s">
        <v>2</v>
      </c>
      <c r="F1" s="5" t="s">
        <v>642</v>
      </c>
      <c r="G1" s="4" t="s">
        <v>429</v>
      </c>
      <c r="H1" s="4" t="s">
        <v>643</v>
      </c>
      <c r="I1" s="4" t="s">
        <v>644</v>
      </c>
      <c r="J1" s="4" t="s">
        <v>645</v>
      </c>
      <c r="K1" s="4" t="s">
        <v>646</v>
      </c>
      <c r="L1" s="4" t="s">
        <v>647</v>
      </c>
      <c r="M1" s="4" t="s">
        <v>648</v>
      </c>
      <c r="N1" s="4" t="s">
        <v>649</v>
      </c>
      <c r="O1" s="5" t="s">
        <v>650</v>
      </c>
      <c r="P1" s="5" t="s">
        <v>651</v>
      </c>
      <c r="Q1" s="4" t="s">
        <v>652</v>
      </c>
      <c r="R1" s="4" t="s">
        <v>653</v>
      </c>
      <c r="S1" s="4" t="s">
        <v>654</v>
      </c>
      <c r="T1" s="4" t="s">
        <v>655</v>
      </c>
      <c r="U1" s="4" t="s">
        <v>656</v>
      </c>
      <c r="V1" s="4" t="s">
        <v>657</v>
      </c>
    </row>
    <row r="2" s="1" customFormat="1" ht="16.5" customHeight="1" spans="1:22">
      <c r="A2" s="8" t="s">
        <v>658</v>
      </c>
      <c r="B2" s="11" t="s">
        <v>32</v>
      </c>
      <c r="C2" s="9">
        <v>3</v>
      </c>
      <c r="D2" s="8" t="s">
        <v>659</v>
      </c>
      <c r="E2" s="10">
        <v>45688</v>
      </c>
      <c r="F2" s="10">
        <v>45691</v>
      </c>
      <c r="G2" s="11" t="s">
        <v>444</v>
      </c>
      <c r="H2" s="8" t="s">
        <v>445</v>
      </c>
      <c r="I2" s="11" t="s">
        <v>41</v>
      </c>
      <c r="J2" s="8" t="s">
        <v>660</v>
      </c>
      <c r="K2" s="11" t="s">
        <v>41</v>
      </c>
      <c r="L2" s="8" t="s">
        <v>492</v>
      </c>
      <c r="M2" s="11" t="s">
        <v>41</v>
      </c>
      <c r="N2" s="8" t="s">
        <v>661</v>
      </c>
      <c r="O2" s="19">
        <v>956.15</v>
      </c>
      <c r="P2" s="19">
        <v>0</v>
      </c>
      <c r="Q2" s="8" t="s">
        <v>662</v>
      </c>
      <c r="R2" s="8" t="s">
        <v>274</v>
      </c>
      <c r="S2" s="8" t="s">
        <v>36</v>
      </c>
      <c r="T2" s="8" t="s">
        <v>663</v>
      </c>
      <c r="U2" s="8" t="s">
        <v>664</v>
      </c>
      <c r="V2" s="8" t="s">
        <v>665</v>
      </c>
    </row>
    <row r="3" s="1" customFormat="1" ht="16.5" customHeight="1" spans="1:22">
      <c r="A3" s="12" t="s">
        <v>658</v>
      </c>
      <c r="B3" s="15" t="s">
        <v>32</v>
      </c>
      <c r="C3" s="13">
        <v>1</v>
      </c>
      <c r="D3" s="12" t="s">
        <v>659</v>
      </c>
      <c r="E3" s="14">
        <v>45688</v>
      </c>
      <c r="F3" s="14">
        <v>45691</v>
      </c>
      <c r="G3" s="15" t="s">
        <v>444</v>
      </c>
      <c r="H3" s="12" t="s">
        <v>445</v>
      </c>
      <c r="I3" s="15" t="s">
        <v>41</v>
      </c>
      <c r="J3" s="12" t="s">
        <v>660</v>
      </c>
      <c r="K3" s="15" t="s">
        <v>41</v>
      </c>
      <c r="L3" s="12" t="s">
        <v>492</v>
      </c>
      <c r="M3" s="15" t="s">
        <v>41</v>
      </c>
      <c r="N3" s="12" t="s">
        <v>661</v>
      </c>
      <c r="O3" s="21">
        <v>0</v>
      </c>
      <c r="P3" s="21">
        <v>59215.8</v>
      </c>
      <c r="Q3" s="12" t="s">
        <v>662</v>
      </c>
      <c r="R3" s="12" t="s">
        <v>274</v>
      </c>
      <c r="S3" s="12" t="s">
        <v>36</v>
      </c>
      <c r="T3" s="12" t="s">
        <v>663</v>
      </c>
      <c r="U3" s="12" t="s">
        <v>664</v>
      </c>
      <c r="V3" s="12" t="s">
        <v>665</v>
      </c>
    </row>
    <row r="4" s="1" customFormat="1" ht="16.5" customHeight="1" spans="1:22">
      <c r="A4" s="8" t="s">
        <v>666</v>
      </c>
      <c r="B4" s="11" t="s">
        <v>32</v>
      </c>
      <c r="C4" s="9">
        <v>1</v>
      </c>
      <c r="D4" s="8" t="s">
        <v>667</v>
      </c>
      <c r="E4" s="10">
        <v>45688</v>
      </c>
      <c r="F4" s="10">
        <v>45691</v>
      </c>
      <c r="G4" s="11" t="s">
        <v>444</v>
      </c>
      <c r="H4" s="8" t="s">
        <v>445</v>
      </c>
      <c r="I4" s="11" t="s">
        <v>41</v>
      </c>
      <c r="J4" s="8" t="s">
        <v>660</v>
      </c>
      <c r="K4" s="11" t="s">
        <v>41</v>
      </c>
      <c r="L4" s="8" t="s">
        <v>492</v>
      </c>
      <c r="M4" s="11" t="s">
        <v>41</v>
      </c>
      <c r="N4" s="8" t="s">
        <v>668</v>
      </c>
      <c r="O4" s="19">
        <v>0.02</v>
      </c>
      <c r="P4" s="19">
        <v>0</v>
      </c>
      <c r="Q4" s="8" t="s">
        <v>662</v>
      </c>
      <c r="R4" s="8" t="s">
        <v>274</v>
      </c>
      <c r="S4" s="8" t="s">
        <v>36</v>
      </c>
      <c r="T4" s="8" t="s">
        <v>663</v>
      </c>
      <c r="U4" s="8" t="s">
        <v>669</v>
      </c>
      <c r="V4" s="8" t="s">
        <v>665</v>
      </c>
    </row>
    <row r="5" s="1" customFormat="1" ht="16.5" customHeight="1" spans="1:22">
      <c r="A5" s="12" t="s">
        <v>670</v>
      </c>
      <c r="B5" s="15" t="s">
        <v>32</v>
      </c>
      <c r="C5" s="13">
        <v>1</v>
      </c>
      <c r="D5" s="12" t="s">
        <v>671</v>
      </c>
      <c r="E5" s="14">
        <v>45688</v>
      </c>
      <c r="F5" s="14">
        <v>45691</v>
      </c>
      <c r="G5" s="15" t="s">
        <v>444</v>
      </c>
      <c r="H5" s="12" t="s">
        <v>445</v>
      </c>
      <c r="I5" s="15" t="s">
        <v>41</v>
      </c>
      <c r="J5" s="12" t="s">
        <v>660</v>
      </c>
      <c r="K5" s="15" t="s">
        <v>41</v>
      </c>
      <c r="L5" s="12" t="s">
        <v>492</v>
      </c>
      <c r="M5" s="15" t="s">
        <v>41</v>
      </c>
      <c r="N5" s="12" t="s">
        <v>672</v>
      </c>
      <c r="O5" s="21">
        <v>0</v>
      </c>
      <c r="P5" s="21">
        <v>1606313.31</v>
      </c>
      <c r="Q5" s="12" t="s">
        <v>673</v>
      </c>
      <c r="R5" s="12" t="s">
        <v>451</v>
      </c>
      <c r="S5" s="12" t="s">
        <v>36</v>
      </c>
      <c r="T5" s="12" t="s">
        <v>663</v>
      </c>
      <c r="U5" s="12" t="s">
        <v>674</v>
      </c>
      <c r="V5" s="12" t="s">
        <v>665</v>
      </c>
    </row>
    <row r="6" s="1" customFormat="1" ht="16.5" customHeight="1" spans="1:22">
      <c r="A6" s="8" t="s">
        <v>670</v>
      </c>
      <c r="B6" s="11" t="s">
        <v>32</v>
      </c>
      <c r="C6" s="9">
        <v>3</v>
      </c>
      <c r="D6" s="8" t="s">
        <v>671</v>
      </c>
      <c r="E6" s="10">
        <v>45688</v>
      </c>
      <c r="F6" s="10">
        <v>45691</v>
      </c>
      <c r="G6" s="11" t="s">
        <v>444</v>
      </c>
      <c r="H6" s="8" t="s">
        <v>445</v>
      </c>
      <c r="I6" s="11" t="s">
        <v>41</v>
      </c>
      <c r="J6" s="8" t="s">
        <v>660</v>
      </c>
      <c r="K6" s="11" t="s">
        <v>41</v>
      </c>
      <c r="L6" s="8" t="s">
        <v>492</v>
      </c>
      <c r="M6" s="11" t="s">
        <v>41</v>
      </c>
      <c r="N6" s="8" t="s">
        <v>672</v>
      </c>
      <c r="O6" s="19">
        <v>4026.33</v>
      </c>
      <c r="P6" s="19">
        <v>0</v>
      </c>
      <c r="Q6" s="8" t="s">
        <v>673</v>
      </c>
      <c r="R6" s="8" t="s">
        <v>451</v>
      </c>
      <c r="S6" s="8" t="s">
        <v>36</v>
      </c>
      <c r="T6" s="8" t="s">
        <v>663</v>
      </c>
      <c r="U6" s="8" t="s">
        <v>674</v>
      </c>
      <c r="V6" s="8" t="s">
        <v>665</v>
      </c>
    </row>
    <row r="7" s="1" customFormat="1" ht="16.5" customHeight="1" spans="1:22">
      <c r="A7" s="12" t="s">
        <v>675</v>
      </c>
      <c r="B7" s="15" t="s">
        <v>32</v>
      </c>
      <c r="C7" s="13">
        <v>1</v>
      </c>
      <c r="D7" s="12" t="s">
        <v>676</v>
      </c>
      <c r="E7" s="14">
        <v>45688</v>
      </c>
      <c r="F7" s="14">
        <v>45691</v>
      </c>
      <c r="G7" s="15" t="s">
        <v>444</v>
      </c>
      <c r="H7" s="12" t="s">
        <v>445</v>
      </c>
      <c r="I7" s="15" t="s">
        <v>41</v>
      </c>
      <c r="J7" s="12" t="s">
        <v>660</v>
      </c>
      <c r="K7" s="15" t="s">
        <v>41</v>
      </c>
      <c r="L7" s="12" t="s">
        <v>492</v>
      </c>
      <c r="M7" s="15" t="s">
        <v>41</v>
      </c>
      <c r="N7" s="12" t="s">
        <v>677</v>
      </c>
      <c r="O7" s="21">
        <v>0.04</v>
      </c>
      <c r="P7" s="21">
        <v>0</v>
      </c>
      <c r="Q7" s="12" t="s">
        <v>673</v>
      </c>
      <c r="R7" s="12" t="s">
        <v>451</v>
      </c>
      <c r="S7" s="12" t="s">
        <v>36</v>
      </c>
      <c r="T7" s="12" t="s">
        <v>663</v>
      </c>
      <c r="U7" s="12" t="s">
        <v>678</v>
      </c>
      <c r="V7" s="12" t="s">
        <v>665</v>
      </c>
    </row>
    <row r="8" s="1" customFormat="1" ht="16.5" customHeight="1" spans="1:22">
      <c r="A8" s="8" t="s">
        <v>679</v>
      </c>
      <c r="B8" s="11" t="s">
        <v>32</v>
      </c>
      <c r="C8" s="9">
        <v>1</v>
      </c>
      <c r="D8" s="8" t="s">
        <v>680</v>
      </c>
      <c r="E8" s="10">
        <v>45688</v>
      </c>
      <c r="F8" s="10">
        <v>45691</v>
      </c>
      <c r="G8" s="11" t="s">
        <v>444</v>
      </c>
      <c r="H8" s="8" t="s">
        <v>445</v>
      </c>
      <c r="I8" s="11" t="s">
        <v>41</v>
      </c>
      <c r="J8" s="8" t="s">
        <v>660</v>
      </c>
      <c r="K8" s="11" t="s">
        <v>41</v>
      </c>
      <c r="L8" s="8" t="s">
        <v>492</v>
      </c>
      <c r="M8" s="11" t="s">
        <v>41</v>
      </c>
      <c r="N8" s="8" t="s">
        <v>681</v>
      </c>
      <c r="O8" s="19">
        <v>1602286.94</v>
      </c>
      <c r="P8" s="19">
        <v>0</v>
      </c>
      <c r="Q8" s="8" t="s">
        <v>673</v>
      </c>
      <c r="R8" s="8" t="s">
        <v>451</v>
      </c>
      <c r="S8" s="8" t="s">
        <v>36</v>
      </c>
      <c r="T8" s="8" t="s">
        <v>663</v>
      </c>
      <c r="U8" s="8" t="s">
        <v>682</v>
      </c>
      <c r="V8" s="8" t="s">
        <v>665</v>
      </c>
    </row>
    <row r="9" s="1" customFormat="1" ht="16.5" customHeight="1" spans="1:22">
      <c r="A9" s="12" t="s">
        <v>683</v>
      </c>
      <c r="B9" s="15" t="s">
        <v>32</v>
      </c>
      <c r="C9" s="13">
        <v>1</v>
      </c>
      <c r="D9" s="12" t="s">
        <v>684</v>
      </c>
      <c r="E9" s="14">
        <v>45688</v>
      </c>
      <c r="F9" s="14">
        <v>45691</v>
      </c>
      <c r="G9" s="15" t="s">
        <v>444</v>
      </c>
      <c r="H9" s="12" t="s">
        <v>445</v>
      </c>
      <c r="I9" s="15" t="s">
        <v>41</v>
      </c>
      <c r="J9" s="12" t="s">
        <v>660</v>
      </c>
      <c r="K9" s="15" t="s">
        <v>41</v>
      </c>
      <c r="L9" s="12" t="s">
        <v>492</v>
      </c>
      <c r="M9" s="15" t="s">
        <v>41</v>
      </c>
      <c r="N9" s="12" t="s">
        <v>685</v>
      </c>
      <c r="O9" s="21">
        <v>0</v>
      </c>
      <c r="P9" s="21">
        <v>1602286.94</v>
      </c>
      <c r="Q9" s="12" t="s">
        <v>686</v>
      </c>
      <c r="R9" s="12" t="s">
        <v>446</v>
      </c>
      <c r="S9" s="12" t="s">
        <v>36</v>
      </c>
      <c r="T9" s="12" t="s">
        <v>663</v>
      </c>
      <c r="U9" s="12" t="s">
        <v>687</v>
      </c>
      <c r="V9" s="12" t="s">
        <v>665</v>
      </c>
    </row>
    <row r="10" s="1" customFormat="1" ht="16.5" customHeight="1" spans="1:22">
      <c r="A10" s="8" t="s">
        <v>688</v>
      </c>
      <c r="B10" s="11" t="s">
        <v>32</v>
      </c>
      <c r="C10" s="9">
        <v>1</v>
      </c>
      <c r="D10" s="8" t="s">
        <v>689</v>
      </c>
      <c r="E10" s="10">
        <v>45688</v>
      </c>
      <c r="F10" s="10">
        <v>45691</v>
      </c>
      <c r="G10" s="11" t="s">
        <v>444</v>
      </c>
      <c r="H10" s="8" t="s">
        <v>445</v>
      </c>
      <c r="I10" s="11" t="s">
        <v>41</v>
      </c>
      <c r="J10" s="8" t="s">
        <v>660</v>
      </c>
      <c r="K10" s="11" t="s">
        <v>41</v>
      </c>
      <c r="L10" s="8" t="s">
        <v>492</v>
      </c>
      <c r="M10" s="11" t="s">
        <v>41</v>
      </c>
      <c r="N10" s="8" t="s">
        <v>690</v>
      </c>
      <c r="O10" s="19">
        <v>0</v>
      </c>
      <c r="P10" s="19">
        <v>34215.27</v>
      </c>
      <c r="Q10" s="8" t="s">
        <v>691</v>
      </c>
      <c r="R10" s="8" t="s">
        <v>302</v>
      </c>
      <c r="S10" s="8" t="s">
        <v>36</v>
      </c>
      <c r="T10" s="8" t="s">
        <v>663</v>
      </c>
      <c r="U10" s="8" t="s">
        <v>692</v>
      </c>
      <c r="V10" s="8" t="s">
        <v>665</v>
      </c>
    </row>
    <row r="11" s="1" customFormat="1" ht="16.5" customHeight="1" spans="1:22">
      <c r="A11" s="12" t="s">
        <v>693</v>
      </c>
      <c r="B11" s="15" t="s">
        <v>32</v>
      </c>
      <c r="C11" s="13">
        <v>1</v>
      </c>
      <c r="D11" s="12" t="s">
        <v>694</v>
      </c>
      <c r="E11" s="14">
        <v>45688</v>
      </c>
      <c r="F11" s="14">
        <v>45691</v>
      </c>
      <c r="G11" s="15" t="s">
        <v>444</v>
      </c>
      <c r="H11" s="12" t="s">
        <v>445</v>
      </c>
      <c r="I11" s="15" t="s">
        <v>41</v>
      </c>
      <c r="J11" s="12" t="s">
        <v>660</v>
      </c>
      <c r="K11" s="15" t="s">
        <v>41</v>
      </c>
      <c r="L11" s="12" t="s">
        <v>492</v>
      </c>
      <c r="M11" s="15" t="s">
        <v>41</v>
      </c>
      <c r="N11" s="12" t="s">
        <v>695</v>
      </c>
      <c r="O11" s="21">
        <v>0</v>
      </c>
      <c r="P11" s="21">
        <v>520134.48</v>
      </c>
      <c r="Q11" s="12" t="s">
        <v>696</v>
      </c>
      <c r="R11" s="12" t="s">
        <v>248</v>
      </c>
      <c r="S11" s="12" t="s">
        <v>36</v>
      </c>
      <c r="T11" s="12" t="s">
        <v>663</v>
      </c>
      <c r="U11" s="12" t="s">
        <v>697</v>
      </c>
      <c r="V11" s="12" t="s">
        <v>665</v>
      </c>
    </row>
    <row r="12" s="1" customFormat="1" ht="16.5" customHeight="1" spans="1:22">
      <c r="A12" s="8" t="s">
        <v>698</v>
      </c>
      <c r="B12" s="11" t="s">
        <v>32</v>
      </c>
      <c r="C12" s="9">
        <v>1</v>
      </c>
      <c r="D12" s="8" t="s">
        <v>699</v>
      </c>
      <c r="E12" s="10">
        <v>45688</v>
      </c>
      <c r="F12" s="10">
        <v>45691</v>
      </c>
      <c r="G12" s="11" t="s">
        <v>444</v>
      </c>
      <c r="H12" s="8" t="s">
        <v>445</v>
      </c>
      <c r="I12" s="11" t="s">
        <v>41</v>
      </c>
      <c r="J12" s="8" t="s">
        <v>660</v>
      </c>
      <c r="K12" s="11" t="s">
        <v>41</v>
      </c>
      <c r="L12" s="8" t="s">
        <v>492</v>
      </c>
      <c r="M12" s="11" t="s">
        <v>41</v>
      </c>
      <c r="N12" s="8" t="s">
        <v>700</v>
      </c>
      <c r="O12" s="19">
        <v>0</v>
      </c>
      <c r="P12" s="19">
        <v>3310.25</v>
      </c>
      <c r="Q12" s="8" t="s">
        <v>701</v>
      </c>
      <c r="R12" s="8" t="s">
        <v>315</v>
      </c>
      <c r="S12" s="8" t="s">
        <v>36</v>
      </c>
      <c r="T12" s="8" t="s">
        <v>663</v>
      </c>
      <c r="U12" s="8" t="s">
        <v>702</v>
      </c>
      <c r="V12" s="8" t="s">
        <v>665</v>
      </c>
    </row>
    <row r="13" s="1" customFormat="1" ht="16.5" customHeight="1" spans="1:22">
      <c r="A13" s="12" t="s">
        <v>698</v>
      </c>
      <c r="B13" s="15" t="s">
        <v>32</v>
      </c>
      <c r="C13" s="13">
        <v>4</v>
      </c>
      <c r="D13" s="12" t="s">
        <v>699</v>
      </c>
      <c r="E13" s="14">
        <v>45688</v>
      </c>
      <c r="F13" s="14">
        <v>45691</v>
      </c>
      <c r="G13" s="15" t="s">
        <v>444</v>
      </c>
      <c r="H13" s="12" t="s">
        <v>445</v>
      </c>
      <c r="I13" s="15" t="s">
        <v>41</v>
      </c>
      <c r="J13" s="12" t="s">
        <v>660</v>
      </c>
      <c r="K13" s="15" t="s">
        <v>41</v>
      </c>
      <c r="L13" s="12" t="s">
        <v>492</v>
      </c>
      <c r="M13" s="15" t="s">
        <v>41</v>
      </c>
      <c r="N13" s="12" t="s">
        <v>700</v>
      </c>
      <c r="O13" s="21">
        <v>5</v>
      </c>
      <c r="P13" s="21">
        <v>0</v>
      </c>
      <c r="Q13" s="12" t="s">
        <v>701</v>
      </c>
      <c r="R13" s="12" t="s">
        <v>315</v>
      </c>
      <c r="S13" s="12" t="s">
        <v>36</v>
      </c>
      <c r="T13" s="12" t="s">
        <v>663</v>
      </c>
      <c r="U13" s="12" t="s">
        <v>702</v>
      </c>
      <c r="V13" s="12" t="s">
        <v>665</v>
      </c>
    </row>
    <row r="14" s="1" customFormat="1" ht="16.5" customHeight="1" spans="1:22">
      <c r="A14" s="8" t="s">
        <v>703</v>
      </c>
      <c r="B14" s="11" t="s">
        <v>32</v>
      </c>
      <c r="C14" s="9">
        <v>3</v>
      </c>
      <c r="D14" s="8" t="s">
        <v>704</v>
      </c>
      <c r="E14" s="10">
        <v>45688</v>
      </c>
      <c r="F14" s="10">
        <v>45691</v>
      </c>
      <c r="G14" s="11" t="s">
        <v>444</v>
      </c>
      <c r="H14" s="8" t="s">
        <v>445</v>
      </c>
      <c r="I14" s="11" t="s">
        <v>41</v>
      </c>
      <c r="J14" s="8" t="s">
        <v>660</v>
      </c>
      <c r="K14" s="11" t="s">
        <v>41</v>
      </c>
      <c r="L14" s="8" t="s">
        <v>492</v>
      </c>
      <c r="M14" s="11" t="s">
        <v>41</v>
      </c>
      <c r="N14" s="8" t="s">
        <v>705</v>
      </c>
      <c r="O14" s="19">
        <v>180</v>
      </c>
      <c r="P14" s="19">
        <v>0</v>
      </c>
      <c r="Q14" s="8" t="s">
        <v>706</v>
      </c>
      <c r="R14" s="8" t="s">
        <v>240</v>
      </c>
      <c r="S14" s="8" t="s">
        <v>36</v>
      </c>
      <c r="T14" s="8" t="s">
        <v>663</v>
      </c>
      <c r="U14" s="8" t="s">
        <v>707</v>
      </c>
      <c r="V14" s="8" t="s">
        <v>665</v>
      </c>
    </row>
    <row r="15" s="1" customFormat="1" ht="16.5" customHeight="1" spans="1:22">
      <c r="A15" s="12" t="s">
        <v>703</v>
      </c>
      <c r="B15" s="15" t="s">
        <v>32</v>
      </c>
      <c r="C15" s="13">
        <v>1</v>
      </c>
      <c r="D15" s="12" t="s">
        <v>704</v>
      </c>
      <c r="E15" s="14">
        <v>45688</v>
      </c>
      <c r="F15" s="14">
        <v>45691</v>
      </c>
      <c r="G15" s="15" t="s">
        <v>444</v>
      </c>
      <c r="H15" s="12" t="s">
        <v>445</v>
      </c>
      <c r="I15" s="15" t="s">
        <v>41</v>
      </c>
      <c r="J15" s="12" t="s">
        <v>660</v>
      </c>
      <c r="K15" s="15" t="s">
        <v>41</v>
      </c>
      <c r="L15" s="12" t="s">
        <v>492</v>
      </c>
      <c r="M15" s="15" t="s">
        <v>41</v>
      </c>
      <c r="N15" s="12" t="s">
        <v>705</v>
      </c>
      <c r="O15" s="21">
        <v>0</v>
      </c>
      <c r="P15" s="21">
        <v>2033.2</v>
      </c>
      <c r="Q15" s="12" t="s">
        <v>706</v>
      </c>
      <c r="R15" s="12" t="s">
        <v>240</v>
      </c>
      <c r="S15" s="12" t="s">
        <v>36</v>
      </c>
      <c r="T15" s="12" t="s">
        <v>663</v>
      </c>
      <c r="U15" s="12" t="s">
        <v>707</v>
      </c>
      <c r="V15" s="12" t="s">
        <v>665</v>
      </c>
    </row>
    <row r="16" s="1" customFormat="1" ht="16.5" customHeight="1" spans="1:22">
      <c r="A16" s="8" t="s">
        <v>708</v>
      </c>
      <c r="B16" s="11" t="s">
        <v>32</v>
      </c>
      <c r="C16" s="9">
        <v>1</v>
      </c>
      <c r="D16" s="8" t="s">
        <v>709</v>
      </c>
      <c r="E16" s="10">
        <v>45688</v>
      </c>
      <c r="F16" s="10">
        <v>45691</v>
      </c>
      <c r="G16" s="11" t="s">
        <v>444</v>
      </c>
      <c r="H16" s="8" t="s">
        <v>445</v>
      </c>
      <c r="I16" s="11" t="s">
        <v>41</v>
      </c>
      <c r="J16" s="8" t="s">
        <v>660</v>
      </c>
      <c r="K16" s="11" t="s">
        <v>41</v>
      </c>
      <c r="L16" s="8" t="s">
        <v>492</v>
      </c>
      <c r="M16" s="11" t="s">
        <v>41</v>
      </c>
      <c r="N16" s="8" t="s">
        <v>710</v>
      </c>
      <c r="O16" s="19">
        <v>0</v>
      </c>
      <c r="P16" s="19">
        <v>88818</v>
      </c>
      <c r="Q16" s="8" t="s">
        <v>711</v>
      </c>
      <c r="R16" s="8" t="s">
        <v>311</v>
      </c>
      <c r="S16" s="8" t="s">
        <v>36</v>
      </c>
      <c r="T16" s="8" t="s">
        <v>663</v>
      </c>
      <c r="U16" s="8" t="s">
        <v>712</v>
      </c>
      <c r="V16" s="8" t="s">
        <v>665</v>
      </c>
    </row>
    <row r="17" s="1" customFormat="1" ht="16.5" customHeight="1" spans="1:22">
      <c r="A17" s="12" t="s">
        <v>713</v>
      </c>
      <c r="B17" s="15" t="s">
        <v>32</v>
      </c>
      <c r="C17" s="13">
        <v>1</v>
      </c>
      <c r="D17" s="12" t="s">
        <v>714</v>
      </c>
      <c r="E17" s="14">
        <v>45688</v>
      </c>
      <c r="F17" s="14">
        <v>45691</v>
      </c>
      <c r="G17" s="15" t="s">
        <v>444</v>
      </c>
      <c r="H17" s="12" t="s">
        <v>445</v>
      </c>
      <c r="I17" s="15" t="s">
        <v>41</v>
      </c>
      <c r="J17" s="12" t="s">
        <v>660</v>
      </c>
      <c r="K17" s="15" t="s">
        <v>41</v>
      </c>
      <c r="L17" s="12" t="s">
        <v>492</v>
      </c>
      <c r="M17" s="15" t="s">
        <v>41</v>
      </c>
      <c r="N17" s="12" t="s">
        <v>715</v>
      </c>
      <c r="O17" s="21">
        <v>0</v>
      </c>
      <c r="P17" s="21">
        <v>24170</v>
      </c>
      <c r="Q17" s="12" t="s">
        <v>34</v>
      </c>
      <c r="R17" s="12" t="s">
        <v>277</v>
      </c>
      <c r="S17" s="12" t="s">
        <v>36</v>
      </c>
      <c r="T17" s="12" t="s">
        <v>663</v>
      </c>
      <c r="U17" s="12" t="s">
        <v>33</v>
      </c>
      <c r="V17" s="12" t="s">
        <v>665</v>
      </c>
    </row>
    <row r="18" s="1" customFormat="1" ht="16.5" customHeight="1" spans="1:22">
      <c r="A18" s="8" t="s">
        <v>716</v>
      </c>
      <c r="B18" s="11" t="s">
        <v>32</v>
      </c>
      <c r="C18" s="9">
        <v>1</v>
      </c>
      <c r="D18" s="8" t="s">
        <v>717</v>
      </c>
      <c r="E18" s="10">
        <v>45688</v>
      </c>
      <c r="F18" s="10">
        <v>45691</v>
      </c>
      <c r="G18" s="11" t="s">
        <v>444</v>
      </c>
      <c r="H18" s="8" t="s">
        <v>445</v>
      </c>
      <c r="I18" s="11" t="s">
        <v>41</v>
      </c>
      <c r="J18" s="8" t="s">
        <v>660</v>
      </c>
      <c r="K18" s="11" t="s">
        <v>41</v>
      </c>
      <c r="L18" s="8" t="s">
        <v>492</v>
      </c>
      <c r="M18" s="11" t="s">
        <v>41</v>
      </c>
      <c r="N18" s="8" t="s">
        <v>718</v>
      </c>
      <c r="O18" s="19">
        <v>0</v>
      </c>
      <c r="P18" s="19">
        <v>18532</v>
      </c>
      <c r="Q18" s="8" t="s">
        <v>719</v>
      </c>
      <c r="R18" s="8" t="s">
        <v>416</v>
      </c>
      <c r="S18" s="8" t="s">
        <v>36</v>
      </c>
      <c r="T18" s="8" t="s">
        <v>663</v>
      </c>
      <c r="U18" s="8" t="s">
        <v>720</v>
      </c>
      <c r="V18" s="8" t="s">
        <v>665</v>
      </c>
    </row>
    <row r="19" s="1" customFormat="1" ht="16.5" customHeight="1" spans="1:22">
      <c r="A19" s="12" t="s">
        <v>721</v>
      </c>
      <c r="B19" s="15" t="s">
        <v>32</v>
      </c>
      <c r="C19" s="13">
        <v>1</v>
      </c>
      <c r="D19" s="12" t="s">
        <v>722</v>
      </c>
      <c r="E19" s="14">
        <v>45688</v>
      </c>
      <c r="F19" s="14">
        <v>45691</v>
      </c>
      <c r="G19" s="15" t="s">
        <v>444</v>
      </c>
      <c r="H19" s="12" t="s">
        <v>445</v>
      </c>
      <c r="I19" s="15" t="s">
        <v>41</v>
      </c>
      <c r="J19" s="12" t="s">
        <v>660</v>
      </c>
      <c r="K19" s="15" t="s">
        <v>41</v>
      </c>
      <c r="L19" s="12" t="s">
        <v>492</v>
      </c>
      <c r="M19" s="15" t="s">
        <v>41</v>
      </c>
      <c r="N19" s="12" t="s">
        <v>723</v>
      </c>
      <c r="O19" s="21">
        <v>0</v>
      </c>
      <c r="P19" s="21">
        <v>62470.92</v>
      </c>
      <c r="Q19" s="12" t="s">
        <v>724</v>
      </c>
      <c r="R19" s="12" t="s">
        <v>306</v>
      </c>
      <c r="S19" s="12" t="s">
        <v>36</v>
      </c>
      <c r="T19" s="12" t="s">
        <v>663</v>
      </c>
      <c r="U19" s="12" t="s">
        <v>725</v>
      </c>
      <c r="V19" s="12" t="s">
        <v>665</v>
      </c>
    </row>
    <row r="20" s="1" customFormat="1" ht="16.5" customHeight="1" spans="1:22">
      <c r="A20" s="8" t="s">
        <v>726</v>
      </c>
      <c r="B20" s="11" t="s">
        <v>32</v>
      </c>
      <c r="C20" s="9">
        <v>1</v>
      </c>
      <c r="D20" s="8" t="s">
        <v>727</v>
      </c>
      <c r="E20" s="10">
        <v>45688</v>
      </c>
      <c r="F20" s="10">
        <v>45691</v>
      </c>
      <c r="G20" s="11" t="s">
        <v>444</v>
      </c>
      <c r="H20" s="8" t="s">
        <v>445</v>
      </c>
      <c r="I20" s="11" t="s">
        <v>41</v>
      </c>
      <c r="J20" s="8" t="s">
        <v>660</v>
      </c>
      <c r="K20" s="11" t="s">
        <v>41</v>
      </c>
      <c r="L20" s="8" t="s">
        <v>492</v>
      </c>
      <c r="M20" s="11" t="s">
        <v>41</v>
      </c>
      <c r="N20" s="8" t="s">
        <v>728</v>
      </c>
      <c r="O20" s="19">
        <v>0</v>
      </c>
      <c r="P20" s="19">
        <v>8644.5</v>
      </c>
      <c r="Q20" s="8" t="s">
        <v>729</v>
      </c>
      <c r="R20" s="8" t="s">
        <v>283</v>
      </c>
      <c r="S20" s="8" t="s">
        <v>36</v>
      </c>
      <c r="T20" s="8" t="s">
        <v>663</v>
      </c>
      <c r="U20" s="8" t="s">
        <v>730</v>
      </c>
      <c r="V20" s="8" t="s">
        <v>665</v>
      </c>
    </row>
    <row r="21" s="1" customFormat="1" ht="16.5" customHeight="1" spans="1:22">
      <c r="A21" s="12" t="s">
        <v>731</v>
      </c>
      <c r="B21" s="15" t="s">
        <v>32</v>
      </c>
      <c r="C21" s="13">
        <v>1</v>
      </c>
      <c r="D21" s="12" t="s">
        <v>732</v>
      </c>
      <c r="E21" s="14">
        <v>45688</v>
      </c>
      <c r="F21" s="14">
        <v>45691</v>
      </c>
      <c r="G21" s="15" t="s">
        <v>444</v>
      </c>
      <c r="H21" s="12" t="s">
        <v>445</v>
      </c>
      <c r="I21" s="15" t="s">
        <v>41</v>
      </c>
      <c r="J21" s="12" t="s">
        <v>660</v>
      </c>
      <c r="K21" s="15" t="s">
        <v>41</v>
      </c>
      <c r="L21" s="12" t="s">
        <v>492</v>
      </c>
      <c r="M21" s="15" t="s">
        <v>41</v>
      </c>
      <c r="N21" s="12" t="s">
        <v>733</v>
      </c>
      <c r="O21" s="21">
        <v>0</v>
      </c>
      <c r="P21" s="21">
        <v>10558.72</v>
      </c>
      <c r="Q21" s="12" t="s">
        <v>734</v>
      </c>
      <c r="R21" s="12" t="s">
        <v>278</v>
      </c>
      <c r="S21" s="12" t="s">
        <v>36</v>
      </c>
      <c r="T21" s="12" t="s">
        <v>663</v>
      </c>
      <c r="U21" s="12" t="s">
        <v>735</v>
      </c>
      <c r="V21" s="12" t="s">
        <v>665</v>
      </c>
    </row>
    <row r="22" s="1" customFormat="1" ht="16.5" customHeight="1" spans="1:22">
      <c r="A22" s="8" t="s">
        <v>736</v>
      </c>
      <c r="B22" s="11" t="s">
        <v>32</v>
      </c>
      <c r="C22" s="9">
        <v>1</v>
      </c>
      <c r="D22" s="8" t="s">
        <v>737</v>
      </c>
      <c r="E22" s="10">
        <v>45688</v>
      </c>
      <c r="F22" s="10">
        <v>45691</v>
      </c>
      <c r="G22" s="11" t="s">
        <v>444</v>
      </c>
      <c r="H22" s="8" t="s">
        <v>445</v>
      </c>
      <c r="I22" s="11" t="s">
        <v>41</v>
      </c>
      <c r="J22" s="8" t="s">
        <v>660</v>
      </c>
      <c r="K22" s="11" t="s">
        <v>41</v>
      </c>
      <c r="L22" s="8" t="s">
        <v>492</v>
      </c>
      <c r="M22" s="11" t="s">
        <v>41</v>
      </c>
      <c r="N22" s="8" t="s">
        <v>738</v>
      </c>
      <c r="O22" s="19">
        <v>0</v>
      </c>
      <c r="P22" s="19">
        <v>442481.59</v>
      </c>
      <c r="Q22" s="8" t="s">
        <v>739</v>
      </c>
      <c r="R22" s="8" t="s">
        <v>249</v>
      </c>
      <c r="S22" s="8" t="s">
        <v>36</v>
      </c>
      <c r="T22" s="8" t="s">
        <v>663</v>
      </c>
      <c r="U22" s="8" t="s">
        <v>740</v>
      </c>
      <c r="V22" s="8" t="s">
        <v>665</v>
      </c>
    </row>
    <row r="23" s="1" customFormat="1" ht="16.5" customHeight="1" spans="1:22">
      <c r="A23" s="12" t="s">
        <v>741</v>
      </c>
      <c r="B23" s="15" t="s">
        <v>32</v>
      </c>
      <c r="C23" s="13">
        <v>1</v>
      </c>
      <c r="D23" s="12" t="s">
        <v>742</v>
      </c>
      <c r="E23" s="14">
        <v>45688</v>
      </c>
      <c r="F23" s="14">
        <v>45691</v>
      </c>
      <c r="G23" s="15" t="s">
        <v>444</v>
      </c>
      <c r="H23" s="12" t="s">
        <v>445</v>
      </c>
      <c r="I23" s="15" t="s">
        <v>41</v>
      </c>
      <c r="J23" s="12" t="s">
        <v>660</v>
      </c>
      <c r="K23" s="15" t="s">
        <v>41</v>
      </c>
      <c r="L23" s="12" t="s">
        <v>492</v>
      </c>
      <c r="M23" s="15" t="s">
        <v>41</v>
      </c>
      <c r="N23" s="12" t="s">
        <v>743</v>
      </c>
      <c r="O23" s="21">
        <v>0</v>
      </c>
      <c r="P23" s="21">
        <v>0.04</v>
      </c>
      <c r="Q23" s="12" t="s">
        <v>739</v>
      </c>
      <c r="R23" s="12" t="s">
        <v>249</v>
      </c>
      <c r="S23" s="12" t="s">
        <v>36</v>
      </c>
      <c r="T23" s="12" t="s">
        <v>663</v>
      </c>
      <c r="U23" s="12" t="s">
        <v>744</v>
      </c>
      <c r="V23" s="12" t="s">
        <v>665</v>
      </c>
    </row>
    <row r="24" s="1" customFormat="1" ht="16.5" customHeight="1" spans="1:22">
      <c r="A24" s="8" t="s">
        <v>745</v>
      </c>
      <c r="B24" s="11" t="s">
        <v>32</v>
      </c>
      <c r="C24" s="9">
        <v>1</v>
      </c>
      <c r="D24" s="8" t="s">
        <v>746</v>
      </c>
      <c r="E24" s="10">
        <v>45688</v>
      </c>
      <c r="F24" s="10">
        <v>45691</v>
      </c>
      <c r="G24" s="11" t="s">
        <v>444</v>
      </c>
      <c r="H24" s="8" t="s">
        <v>445</v>
      </c>
      <c r="I24" s="11" t="s">
        <v>41</v>
      </c>
      <c r="J24" s="8" t="s">
        <v>660</v>
      </c>
      <c r="K24" s="11" t="s">
        <v>41</v>
      </c>
      <c r="L24" s="8" t="s">
        <v>492</v>
      </c>
      <c r="M24" s="11" t="s">
        <v>41</v>
      </c>
      <c r="N24" s="8" t="s">
        <v>747</v>
      </c>
      <c r="O24" s="19">
        <v>0</v>
      </c>
      <c r="P24" s="19">
        <v>241642.59</v>
      </c>
      <c r="Q24" s="8" t="s">
        <v>748</v>
      </c>
      <c r="R24" s="8" t="s">
        <v>259</v>
      </c>
      <c r="S24" s="8" t="s">
        <v>36</v>
      </c>
      <c r="T24" s="8" t="s">
        <v>663</v>
      </c>
      <c r="U24" s="8" t="s">
        <v>749</v>
      </c>
      <c r="V24" s="8" t="s">
        <v>665</v>
      </c>
    </row>
    <row r="25" s="1" customFormat="1" ht="16.5" customHeight="1" spans="1:22">
      <c r="A25" s="12" t="s">
        <v>750</v>
      </c>
      <c r="B25" s="15" t="s">
        <v>32</v>
      </c>
      <c r="C25" s="13">
        <v>1</v>
      </c>
      <c r="D25" s="12" t="s">
        <v>751</v>
      </c>
      <c r="E25" s="14">
        <v>45688</v>
      </c>
      <c r="F25" s="14">
        <v>45691</v>
      </c>
      <c r="G25" s="15" t="s">
        <v>444</v>
      </c>
      <c r="H25" s="12" t="s">
        <v>445</v>
      </c>
      <c r="I25" s="15" t="s">
        <v>41</v>
      </c>
      <c r="J25" s="12" t="s">
        <v>660</v>
      </c>
      <c r="K25" s="15" t="s">
        <v>41</v>
      </c>
      <c r="L25" s="12" t="s">
        <v>492</v>
      </c>
      <c r="M25" s="15" t="s">
        <v>41</v>
      </c>
      <c r="N25" s="12" t="s">
        <v>752</v>
      </c>
      <c r="O25" s="21">
        <v>0</v>
      </c>
      <c r="P25" s="21">
        <v>82998.26</v>
      </c>
      <c r="Q25" s="12" t="s">
        <v>753</v>
      </c>
      <c r="R25" s="12" t="s">
        <v>252</v>
      </c>
      <c r="S25" s="12" t="s">
        <v>36</v>
      </c>
      <c r="T25" s="12" t="s">
        <v>663</v>
      </c>
      <c r="U25" s="12" t="s">
        <v>754</v>
      </c>
      <c r="V25" s="12" t="s">
        <v>665</v>
      </c>
    </row>
    <row r="26" s="1" customFormat="1" ht="16.5" customHeight="1" spans="1:22">
      <c r="A26" s="8" t="s">
        <v>750</v>
      </c>
      <c r="B26" s="11" t="s">
        <v>32</v>
      </c>
      <c r="C26" s="9">
        <v>3</v>
      </c>
      <c r="D26" s="8" t="s">
        <v>751</v>
      </c>
      <c r="E26" s="10">
        <v>45688</v>
      </c>
      <c r="F26" s="10">
        <v>45691</v>
      </c>
      <c r="G26" s="11" t="s">
        <v>444</v>
      </c>
      <c r="H26" s="8" t="s">
        <v>445</v>
      </c>
      <c r="I26" s="11" t="s">
        <v>41</v>
      </c>
      <c r="J26" s="8" t="s">
        <v>660</v>
      </c>
      <c r="K26" s="11" t="s">
        <v>41</v>
      </c>
      <c r="L26" s="8" t="s">
        <v>492</v>
      </c>
      <c r="M26" s="11" t="s">
        <v>41</v>
      </c>
      <c r="N26" s="8" t="s">
        <v>752</v>
      </c>
      <c r="O26" s="19">
        <v>1.48</v>
      </c>
      <c r="P26" s="19">
        <v>0</v>
      </c>
      <c r="Q26" s="8" t="s">
        <v>753</v>
      </c>
      <c r="R26" s="8" t="s">
        <v>252</v>
      </c>
      <c r="S26" s="8" t="s">
        <v>36</v>
      </c>
      <c r="T26" s="8" t="s">
        <v>663</v>
      </c>
      <c r="U26" s="8" t="s">
        <v>754</v>
      </c>
      <c r="V26" s="8" t="s">
        <v>665</v>
      </c>
    </row>
    <row r="27" s="1" customFormat="1" ht="16.5" customHeight="1" spans="1:22">
      <c r="A27" s="12" t="s">
        <v>755</v>
      </c>
      <c r="B27" s="15" t="s">
        <v>32</v>
      </c>
      <c r="C27" s="13">
        <v>1</v>
      </c>
      <c r="D27" s="12" t="s">
        <v>756</v>
      </c>
      <c r="E27" s="14">
        <v>45688</v>
      </c>
      <c r="F27" s="14">
        <v>45691</v>
      </c>
      <c r="G27" s="15" t="s">
        <v>444</v>
      </c>
      <c r="H27" s="12" t="s">
        <v>445</v>
      </c>
      <c r="I27" s="15" t="s">
        <v>41</v>
      </c>
      <c r="J27" s="12" t="s">
        <v>660</v>
      </c>
      <c r="K27" s="15" t="s">
        <v>41</v>
      </c>
      <c r="L27" s="12" t="s">
        <v>492</v>
      </c>
      <c r="M27" s="15" t="s">
        <v>41</v>
      </c>
      <c r="N27" s="12" t="s">
        <v>757</v>
      </c>
      <c r="O27" s="21">
        <v>0</v>
      </c>
      <c r="P27" s="21">
        <v>60072.21</v>
      </c>
      <c r="Q27" s="12" t="s">
        <v>758</v>
      </c>
      <c r="R27" s="12" t="s">
        <v>314</v>
      </c>
      <c r="S27" s="12" t="s">
        <v>36</v>
      </c>
      <c r="T27" s="12" t="s">
        <v>663</v>
      </c>
      <c r="U27" s="12" t="s">
        <v>759</v>
      </c>
      <c r="V27" s="12" t="s">
        <v>665</v>
      </c>
    </row>
    <row r="28" s="1" customFormat="1" ht="16.5" customHeight="1" spans="1:22">
      <c r="A28" s="8" t="s">
        <v>755</v>
      </c>
      <c r="B28" s="11" t="s">
        <v>32</v>
      </c>
      <c r="C28" s="9">
        <v>3</v>
      </c>
      <c r="D28" s="8" t="s">
        <v>756</v>
      </c>
      <c r="E28" s="10">
        <v>45688</v>
      </c>
      <c r="F28" s="10">
        <v>45691</v>
      </c>
      <c r="G28" s="11" t="s">
        <v>444</v>
      </c>
      <c r="H28" s="8" t="s">
        <v>445</v>
      </c>
      <c r="I28" s="11" t="s">
        <v>41</v>
      </c>
      <c r="J28" s="8" t="s">
        <v>660</v>
      </c>
      <c r="K28" s="11" t="s">
        <v>41</v>
      </c>
      <c r="L28" s="8" t="s">
        <v>492</v>
      </c>
      <c r="M28" s="11" t="s">
        <v>41</v>
      </c>
      <c r="N28" s="8" t="s">
        <v>757</v>
      </c>
      <c r="O28" s="19">
        <v>6383.25</v>
      </c>
      <c r="P28" s="19">
        <v>0</v>
      </c>
      <c r="Q28" s="8" t="s">
        <v>758</v>
      </c>
      <c r="R28" s="8" t="s">
        <v>314</v>
      </c>
      <c r="S28" s="8" t="s">
        <v>36</v>
      </c>
      <c r="T28" s="8" t="s">
        <v>663</v>
      </c>
      <c r="U28" s="8" t="s">
        <v>759</v>
      </c>
      <c r="V28" s="8" t="s">
        <v>665</v>
      </c>
    </row>
    <row r="29" s="1" customFormat="1" ht="16.5" customHeight="1" spans="1:22">
      <c r="A29" s="12" t="s">
        <v>760</v>
      </c>
      <c r="B29" s="15" t="s">
        <v>32</v>
      </c>
      <c r="C29" s="13">
        <v>1</v>
      </c>
      <c r="D29" s="12" t="s">
        <v>761</v>
      </c>
      <c r="E29" s="14">
        <v>45688</v>
      </c>
      <c r="F29" s="14">
        <v>45691</v>
      </c>
      <c r="G29" s="15" t="s">
        <v>444</v>
      </c>
      <c r="H29" s="12" t="s">
        <v>445</v>
      </c>
      <c r="I29" s="15" t="s">
        <v>41</v>
      </c>
      <c r="J29" s="12" t="s">
        <v>660</v>
      </c>
      <c r="K29" s="15" t="s">
        <v>41</v>
      </c>
      <c r="L29" s="12" t="s">
        <v>492</v>
      </c>
      <c r="M29" s="15" t="s">
        <v>41</v>
      </c>
      <c r="N29" s="12" t="s">
        <v>762</v>
      </c>
      <c r="O29" s="21">
        <v>0</v>
      </c>
      <c r="P29" s="21">
        <v>5706.73</v>
      </c>
      <c r="Q29" s="12" t="s">
        <v>763</v>
      </c>
      <c r="R29" s="12" t="s">
        <v>275</v>
      </c>
      <c r="S29" s="12" t="s">
        <v>36</v>
      </c>
      <c r="T29" s="12" t="s">
        <v>663</v>
      </c>
      <c r="U29" s="12" t="s">
        <v>764</v>
      </c>
      <c r="V29" s="12" t="s">
        <v>665</v>
      </c>
    </row>
    <row r="30" s="1" customFormat="1" ht="16.5" customHeight="1" spans="1:22">
      <c r="A30" s="8" t="s">
        <v>765</v>
      </c>
      <c r="B30" s="11" t="s">
        <v>32</v>
      </c>
      <c r="C30" s="9">
        <v>1</v>
      </c>
      <c r="D30" s="8" t="s">
        <v>766</v>
      </c>
      <c r="E30" s="10">
        <v>45688</v>
      </c>
      <c r="F30" s="10">
        <v>45691</v>
      </c>
      <c r="G30" s="11" t="s">
        <v>444</v>
      </c>
      <c r="H30" s="8" t="s">
        <v>445</v>
      </c>
      <c r="I30" s="11" t="s">
        <v>41</v>
      </c>
      <c r="J30" s="8" t="s">
        <v>660</v>
      </c>
      <c r="K30" s="11" t="s">
        <v>41</v>
      </c>
      <c r="L30" s="8" t="s">
        <v>492</v>
      </c>
      <c r="M30" s="11" t="s">
        <v>41</v>
      </c>
      <c r="N30" s="8" t="s">
        <v>767</v>
      </c>
      <c r="O30" s="19">
        <v>0</v>
      </c>
      <c r="P30" s="19">
        <v>14567.69</v>
      </c>
      <c r="Q30" s="8" t="s">
        <v>768</v>
      </c>
      <c r="R30" s="8" t="s">
        <v>307</v>
      </c>
      <c r="S30" s="8" t="s">
        <v>36</v>
      </c>
      <c r="T30" s="8" t="s">
        <v>663</v>
      </c>
      <c r="U30" s="8" t="s">
        <v>769</v>
      </c>
      <c r="V30" s="8" t="s">
        <v>665</v>
      </c>
    </row>
    <row r="31" s="1" customFormat="1" ht="16.5" customHeight="1" spans="1:22">
      <c r="A31" s="12" t="s">
        <v>765</v>
      </c>
      <c r="B31" s="15" t="s">
        <v>32</v>
      </c>
      <c r="C31" s="13">
        <v>3</v>
      </c>
      <c r="D31" s="12" t="s">
        <v>766</v>
      </c>
      <c r="E31" s="14">
        <v>45688</v>
      </c>
      <c r="F31" s="14">
        <v>45691</v>
      </c>
      <c r="G31" s="15" t="s">
        <v>444</v>
      </c>
      <c r="H31" s="12" t="s">
        <v>445</v>
      </c>
      <c r="I31" s="15" t="s">
        <v>41</v>
      </c>
      <c r="J31" s="12" t="s">
        <v>660</v>
      </c>
      <c r="K31" s="15" t="s">
        <v>41</v>
      </c>
      <c r="L31" s="12" t="s">
        <v>492</v>
      </c>
      <c r="M31" s="15" t="s">
        <v>41</v>
      </c>
      <c r="N31" s="12" t="s">
        <v>767</v>
      </c>
      <c r="O31" s="21">
        <v>1241.1</v>
      </c>
      <c r="P31" s="21">
        <v>0</v>
      </c>
      <c r="Q31" s="12" t="s">
        <v>768</v>
      </c>
      <c r="R31" s="12" t="s">
        <v>307</v>
      </c>
      <c r="S31" s="12" t="s">
        <v>36</v>
      </c>
      <c r="T31" s="12" t="s">
        <v>663</v>
      </c>
      <c r="U31" s="12" t="s">
        <v>769</v>
      </c>
      <c r="V31" s="12" t="s">
        <v>665</v>
      </c>
    </row>
    <row r="32" s="1" customFormat="1" ht="16.5" customHeight="1" spans="1:22">
      <c r="A32" s="8" t="s">
        <v>770</v>
      </c>
      <c r="B32" s="11" t="s">
        <v>32</v>
      </c>
      <c r="C32" s="9">
        <v>3</v>
      </c>
      <c r="D32" s="8" t="s">
        <v>771</v>
      </c>
      <c r="E32" s="10">
        <v>45688</v>
      </c>
      <c r="F32" s="10">
        <v>45691</v>
      </c>
      <c r="G32" s="11" t="s">
        <v>444</v>
      </c>
      <c r="H32" s="8" t="s">
        <v>445</v>
      </c>
      <c r="I32" s="11" t="s">
        <v>41</v>
      </c>
      <c r="J32" s="8" t="s">
        <v>660</v>
      </c>
      <c r="K32" s="11" t="s">
        <v>41</v>
      </c>
      <c r="L32" s="8" t="s">
        <v>492</v>
      </c>
      <c r="M32" s="11" t="s">
        <v>41</v>
      </c>
      <c r="N32" s="8" t="s">
        <v>772</v>
      </c>
      <c r="O32" s="19">
        <v>1979.36</v>
      </c>
      <c r="P32" s="19">
        <v>0</v>
      </c>
      <c r="Q32" s="8" t="s">
        <v>773</v>
      </c>
      <c r="R32" s="8" t="s">
        <v>417</v>
      </c>
      <c r="S32" s="8" t="s">
        <v>36</v>
      </c>
      <c r="T32" s="8" t="s">
        <v>663</v>
      </c>
      <c r="U32" s="8" t="s">
        <v>774</v>
      </c>
      <c r="V32" s="8" t="s">
        <v>665</v>
      </c>
    </row>
    <row r="33" s="1" customFormat="1" ht="16.5" customHeight="1" spans="1:22">
      <c r="A33" s="12" t="s">
        <v>770</v>
      </c>
      <c r="B33" s="15" t="s">
        <v>32</v>
      </c>
      <c r="C33" s="13">
        <v>1</v>
      </c>
      <c r="D33" s="12" t="s">
        <v>771</v>
      </c>
      <c r="E33" s="14">
        <v>45688</v>
      </c>
      <c r="F33" s="14">
        <v>45691</v>
      </c>
      <c r="G33" s="15" t="s">
        <v>444</v>
      </c>
      <c r="H33" s="12" t="s">
        <v>445</v>
      </c>
      <c r="I33" s="15" t="s">
        <v>41</v>
      </c>
      <c r="J33" s="12" t="s">
        <v>660</v>
      </c>
      <c r="K33" s="15" t="s">
        <v>41</v>
      </c>
      <c r="L33" s="12" t="s">
        <v>492</v>
      </c>
      <c r="M33" s="15" t="s">
        <v>41</v>
      </c>
      <c r="N33" s="12" t="s">
        <v>772</v>
      </c>
      <c r="O33" s="21">
        <v>0</v>
      </c>
      <c r="P33" s="21">
        <v>70331.52</v>
      </c>
      <c r="Q33" s="12" t="s">
        <v>773</v>
      </c>
      <c r="R33" s="12" t="s">
        <v>417</v>
      </c>
      <c r="S33" s="12" t="s">
        <v>36</v>
      </c>
      <c r="T33" s="12" t="s">
        <v>663</v>
      </c>
      <c r="U33" s="12" t="s">
        <v>774</v>
      </c>
      <c r="V33" s="12" t="s">
        <v>665</v>
      </c>
    </row>
    <row r="34" s="1" customFormat="1" ht="16.5" customHeight="1" spans="1:22">
      <c r="A34" s="8" t="s">
        <v>775</v>
      </c>
      <c r="B34" s="11" t="s">
        <v>32</v>
      </c>
      <c r="C34" s="9">
        <v>1</v>
      </c>
      <c r="D34" s="8" t="s">
        <v>776</v>
      </c>
      <c r="E34" s="10">
        <v>45688</v>
      </c>
      <c r="F34" s="10">
        <v>45691</v>
      </c>
      <c r="G34" s="11" t="s">
        <v>444</v>
      </c>
      <c r="H34" s="8" t="s">
        <v>445</v>
      </c>
      <c r="I34" s="11" t="s">
        <v>41</v>
      </c>
      <c r="J34" s="8" t="s">
        <v>660</v>
      </c>
      <c r="K34" s="11" t="s">
        <v>41</v>
      </c>
      <c r="L34" s="8" t="s">
        <v>492</v>
      </c>
      <c r="M34" s="11" t="s">
        <v>41</v>
      </c>
      <c r="N34" s="8" t="s">
        <v>777</v>
      </c>
      <c r="O34" s="19">
        <v>0</v>
      </c>
      <c r="P34" s="19">
        <v>40426.88</v>
      </c>
      <c r="Q34" s="8" t="s">
        <v>778</v>
      </c>
      <c r="R34" s="8" t="s">
        <v>313</v>
      </c>
      <c r="S34" s="8" t="s">
        <v>36</v>
      </c>
      <c r="T34" s="8" t="s">
        <v>663</v>
      </c>
      <c r="U34" s="8" t="s">
        <v>779</v>
      </c>
      <c r="V34" s="8" t="s">
        <v>665</v>
      </c>
    </row>
    <row r="35" s="1" customFormat="1" ht="16.5" customHeight="1" spans="1:22">
      <c r="A35" s="12" t="s">
        <v>780</v>
      </c>
      <c r="B35" s="15" t="s">
        <v>32</v>
      </c>
      <c r="C35" s="13">
        <v>1</v>
      </c>
      <c r="D35" s="12" t="s">
        <v>781</v>
      </c>
      <c r="E35" s="14">
        <v>45688</v>
      </c>
      <c r="F35" s="14">
        <v>45691</v>
      </c>
      <c r="G35" s="15" t="s">
        <v>444</v>
      </c>
      <c r="H35" s="12" t="s">
        <v>445</v>
      </c>
      <c r="I35" s="15" t="s">
        <v>41</v>
      </c>
      <c r="J35" s="12" t="s">
        <v>660</v>
      </c>
      <c r="K35" s="15" t="s">
        <v>41</v>
      </c>
      <c r="L35" s="12" t="s">
        <v>492</v>
      </c>
      <c r="M35" s="15" t="s">
        <v>41</v>
      </c>
      <c r="N35" s="12" t="s">
        <v>782</v>
      </c>
      <c r="O35" s="21">
        <v>0</v>
      </c>
      <c r="P35" s="21">
        <v>36216.5</v>
      </c>
      <c r="Q35" s="12" t="s">
        <v>783</v>
      </c>
      <c r="R35" s="12" t="s">
        <v>280</v>
      </c>
      <c r="S35" s="12" t="s">
        <v>36</v>
      </c>
      <c r="T35" s="12" t="s">
        <v>663</v>
      </c>
      <c r="U35" s="12" t="s">
        <v>784</v>
      </c>
      <c r="V35" s="12" t="s">
        <v>665</v>
      </c>
    </row>
    <row r="36" s="1" customFormat="1" ht="16.5" customHeight="1" spans="1:22">
      <c r="A36" s="8" t="s">
        <v>785</v>
      </c>
      <c r="B36" s="11" t="s">
        <v>32</v>
      </c>
      <c r="C36" s="9">
        <v>1</v>
      </c>
      <c r="D36" s="8" t="s">
        <v>786</v>
      </c>
      <c r="E36" s="10">
        <v>45688</v>
      </c>
      <c r="F36" s="10">
        <v>45691</v>
      </c>
      <c r="G36" s="11" t="s">
        <v>444</v>
      </c>
      <c r="H36" s="8" t="s">
        <v>445</v>
      </c>
      <c r="I36" s="11" t="s">
        <v>41</v>
      </c>
      <c r="J36" s="8" t="s">
        <v>660</v>
      </c>
      <c r="K36" s="11" t="s">
        <v>41</v>
      </c>
      <c r="L36" s="8" t="s">
        <v>492</v>
      </c>
      <c r="M36" s="11" t="s">
        <v>41</v>
      </c>
      <c r="N36" s="8" t="s">
        <v>787</v>
      </c>
      <c r="O36" s="19">
        <v>0</v>
      </c>
      <c r="P36" s="19">
        <v>7541.62</v>
      </c>
      <c r="Q36" s="8" t="s">
        <v>788</v>
      </c>
      <c r="R36" s="8" t="s">
        <v>412</v>
      </c>
      <c r="S36" s="8" t="s">
        <v>36</v>
      </c>
      <c r="T36" s="8" t="s">
        <v>663</v>
      </c>
      <c r="U36" s="8" t="s">
        <v>789</v>
      </c>
      <c r="V36" s="8" t="s">
        <v>665</v>
      </c>
    </row>
    <row r="37" s="1" customFormat="1" ht="16.5" customHeight="1" spans="1:22">
      <c r="A37" s="12" t="s">
        <v>790</v>
      </c>
      <c r="B37" s="15" t="s">
        <v>32</v>
      </c>
      <c r="C37" s="13">
        <v>1</v>
      </c>
      <c r="D37" s="12" t="s">
        <v>791</v>
      </c>
      <c r="E37" s="14">
        <v>45688</v>
      </c>
      <c r="F37" s="14">
        <v>45691</v>
      </c>
      <c r="G37" s="15" t="s">
        <v>444</v>
      </c>
      <c r="H37" s="12" t="s">
        <v>445</v>
      </c>
      <c r="I37" s="15" t="s">
        <v>41</v>
      </c>
      <c r="J37" s="12" t="s">
        <v>660</v>
      </c>
      <c r="K37" s="15" t="s">
        <v>41</v>
      </c>
      <c r="L37" s="12" t="s">
        <v>492</v>
      </c>
      <c r="M37" s="15" t="s">
        <v>41</v>
      </c>
      <c r="N37" s="12" t="s">
        <v>792</v>
      </c>
      <c r="O37" s="21">
        <v>0</v>
      </c>
      <c r="P37" s="21">
        <v>338259.87</v>
      </c>
      <c r="Q37" s="12" t="s">
        <v>793</v>
      </c>
      <c r="R37" s="12" t="s">
        <v>299</v>
      </c>
      <c r="S37" s="12" t="s">
        <v>36</v>
      </c>
      <c r="T37" s="12" t="s">
        <v>663</v>
      </c>
      <c r="U37" s="12" t="s">
        <v>794</v>
      </c>
      <c r="V37" s="12" t="s">
        <v>665</v>
      </c>
    </row>
    <row r="38" s="1" customFormat="1" ht="16.5" customHeight="1" spans="1:22">
      <c r="A38" s="8" t="s">
        <v>790</v>
      </c>
      <c r="B38" s="11" t="s">
        <v>32</v>
      </c>
      <c r="C38" s="9">
        <v>3</v>
      </c>
      <c r="D38" s="8" t="s">
        <v>791</v>
      </c>
      <c r="E38" s="10">
        <v>45688</v>
      </c>
      <c r="F38" s="10">
        <v>45691</v>
      </c>
      <c r="G38" s="11" t="s">
        <v>444</v>
      </c>
      <c r="H38" s="8" t="s">
        <v>445</v>
      </c>
      <c r="I38" s="11" t="s">
        <v>41</v>
      </c>
      <c r="J38" s="8" t="s">
        <v>660</v>
      </c>
      <c r="K38" s="11" t="s">
        <v>41</v>
      </c>
      <c r="L38" s="8" t="s">
        <v>492</v>
      </c>
      <c r="M38" s="11" t="s">
        <v>41</v>
      </c>
      <c r="N38" s="8" t="s">
        <v>792</v>
      </c>
      <c r="O38" s="19">
        <v>13464.2</v>
      </c>
      <c r="P38" s="19">
        <v>0</v>
      </c>
      <c r="Q38" s="8" t="s">
        <v>793</v>
      </c>
      <c r="R38" s="8" t="s">
        <v>299</v>
      </c>
      <c r="S38" s="8" t="s">
        <v>36</v>
      </c>
      <c r="T38" s="8" t="s">
        <v>663</v>
      </c>
      <c r="U38" s="8" t="s">
        <v>794</v>
      </c>
      <c r="V38" s="8" t="s">
        <v>665</v>
      </c>
    </row>
    <row r="39" s="1" customFormat="1" ht="16.5" customHeight="1" spans="1:22">
      <c r="A39" s="12" t="s">
        <v>795</v>
      </c>
      <c r="B39" s="15" t="s">
        <v>32</v>
      </c>
      <c r="C39" s="13">
        <v>1</v>
      </c>
      <c r="D39" s="12" t="s">
        <v>796</v>
      </c>
      <c r="E39" s="14">
        <v>45688</v>
      </c>
      <c r="F39" s="14">
        <v>45691</v>
      </c>
      <c r="G39" s="15" t="s">
        <v>444</v>
      </c>
      <c r="H39" s="12" t="s">
        <v>445</v>
      </c>
      <c r="I39" s="15" t="s">
        <v>41</v>
      </c>
      <c r="J39" s="12" t="s">
        <v>660</v>
      </c>
      <c r="K39" s="15" t="s">
        <v>41</v>
      </c>
      <c r="L39" s="12" t="s">
        <v>492</v>
      </c>
      <c r="M39" s="15" t="s">
        <v>41</v>
      </c>
      <c r="N39" s="12" t="s">
        <v>797</v>
      </c>
      <c r="O39" s="21">
        <v>0</v>
      </c>
      <c r="P39" s="21">
        <v>12540.63</v>
      </c>
      <c r="Q39" s="12" t="s">
        <v>798</v>
      </c>
      <c r="R39" s="12" t="s">
        <v>267</v>
      </c>
      <c r="S39" s="12" t="s">
        <v>36</v>
      </c>
      <c r="T39" s="12" t="s">
        <v>663</v>
      </c>
      <c r="U39" s="12" t="s">
        <v>799</v>
      </c>
      <c r="V39" s="12" t="s">
        <v>665</v>
      </c>
    </row>
    <row r="40" s="1" customFormat="1" ht="16.5" customHeight="1" spans="1:22">
      <c r="A40" s="8" t="s">
        <v>800</v>
      </c>
      <c r="B40" s="11" t="s">
        <v>32</v>
      </c>
      <c r="C40" s="9">
        <v>1</v>
      </c>
      <c r="D40" s="8" t="s">
        <v>801</v>
      </c>
      <c r="E40" s="10">
        <v>45688</v>
      </c>
      <c r="F40" s="10">
        <v>45691</v>
      </c>
      <c r="G40" s="11" t="s">
        <v>444</v>
      </c>
      <c r="H40" s="8" t="s">
        <v>445</v>
      </c>
      <c r="I40" s="11" t="s">
        <v>41</v>
      </c>
      <c r="J40" s="8" t="s">
        <v>660</v>
      </c>
      <c r="K40" s="11" t="s">
        <v>41</v>
      </c>
      <c r="L40" s="8" t="s">
        <v>492</v>
      </c>
      <c r="M40" s="11" t="s">
        <v>41</v>
      </c>
      <c r="N40" s="8" t="s">
        <v>802</v>
      </c>
      <c r="O40" s="19">
        <v>0</v>
      </c>
      <c r="P40" s="19">
        <v>11517.66</v>
      </c>
      <c r="Q40" s="8" t="s">
        <v>803</v>
      </c>
      <c r="R40" s="8" t="s">
        <v>281</v>
      </c>
      <c r="S40" s="8" t="s">
        <v>36</v>
      </c>
      <c r="T40" s="8" t="s">
        <v>663</v>
      </c>
      <c r="U40" s="8" t="s">
        <v>804</v>
      </c>
      <c r="V40" s="8" t="s">
        <v>665</v>
      </c>
    </row>
    <row r="41" s="1" customFormat="1" ht="16.5" customHeight="1" spans="1:22">
      <c r="A41" s="12" t="s">
        <v>800</v>
      </c>
      <c r="B41" s="15" t="s">
        <v>32</v>
      </c>
      <c r="C41" s="13">
        <v>3</v>
      </c>
      <c r="D41" s="12" t="s">
        <v>801</v>
      </c>
      <c r="E41" s="14">
        <v>45688</v>
      </c>
      <c r="F41" s="14">
        <v>45691</v>
      </c>
      <c r="G41" s="15" t="s">
        <v>444</v>
      </c>
      <c r="H41" s="12" t="s">
        <v>445</v>
      </c>
      <c r="I41" s="15" t="s">
        <v>41</v>
      </c>
      <c r="J41" s="12" t="s">
        <v>660</v>
      </c>
      <c r="K41" s="15" t="s">
        <v>41</v>
      </c>
      <c r="L41" s="12" t="s">
        <v>492</v>
      </c>
      <c r="M41" s="15" t="s">
        <v>41</v>
      </c>
      <c r="N41" s="12" t="s">
        <v>802</v>
      </c>
      <c r="O41" s="21">
        <v>1941.66</v>
      </c>
      <c r="P41" s="21">
        <v>0</v>
      </c>
      <c r="Q41" s="12" t="s">
        <v>803</v>
      </c>
      <c r="R41" s="12" t="s">
        <v>281</v>
      </c>
      <c r="S41" s="12" t="s">
        <v>36</v>
      </c>
      <c r="T41" s="12" t="s">
        <v>663</v>
      </c>
      <c r="U41" s="12" t="s">
        <v>804</v>
      </c>
      <c r="V41" s="12" t="s">
        <v>665</v>
      </c>
    </row>
    <row r="42" s="1" customFormat="1" ht="16.5" customHeight="1" spans="1:22">
      <c r="A42" s="8" t="s">
        <v>805</v>
      </c>
      <c r="B42" s="11" t="s">
        <v>32</v>
      </c>
      <c r="C42" s="9">
        <v>3</v>
      </c>
      <c r="D42" s="8" t="s">
        <v>806</v>
      </c>
      <c r="E42" s="10">
        <v>45688</v>
      </c>
      <c r="F42" s="10">
        <v>45692</v>
      </c>
      <c r="G42" s="11" t="s">
        <v>444</v>
      </c>
      <c r="H42" s="8" t="s">
        <v>445</v>
      </c>
      <c r="I42" s="11" t="s">
        <v>41</v>
      </c>
      <c r="J42" s="8" t="s">
        <v>660</v>
      </c>
      <c r="K42" s="11" t="s">
        <v>41</v>
      </c>
      <c r="L42" s="8" t="s">
        <v>492</v>
      </c>
      <c r="M42" s="11" t="s">
        <v>41</v>
      </c>
      <c r="N42" s="8" t="s">
        <v>807</v>
      </c>
      <c r="O42" s="19">
        <v>3092.74</v>
      </c>
      <c r="P42" s="19">
        <v>0</v>
      </c>
      <c r="Q42" s="8" t="s">
        <v>808</v>
      </c>
      <c r="R42" s="8" t="s">
        <v>269</v>
      </c>
      <c r="S42" s="8" t="s">
        <v>36</v>
      </c>
      <c r="T42" s="8" t="s">
        <v>663</v>
      </c>
      <c r="U42" s="8" t="s">
        <v>809</v>
      </c>
      <c r="V42" s="8" t="s">
        <v>665</v>
      </c>
    </row>
    <row r="43" s="1" customFormat="1" ht="16.5" customHeight="1" spans="1:22">
      <c r="A43" s="12" t="s">
        <v>805</v>
      </c>
      <c r="B43" s="15" t="s">
        <v>32</v>
      </c>
      <c r="C43" s="13">
        <v>1</v>
      </c>
      <c r="D43" s="12" t="s">
        <v>806</v>
      </c>
      <c r="E43" s="14">
        <v>45688</v>
      </c>
      <c r="F43" s="14">
        <v>45692</v>
      </c>
      <c r="G43" s="15" t="s">
        <v>444</v>
      </c>
      <c r="H43" s="12" t="s">
        <v>445</v>
      </c>
      <c r="I43" s="15" t="s">
        <v>41</v>
      </c>
      <c r="J43" s="12" t="s">
        <v>660</v>
      </c>
      <c r="K43" s="15" t="s">
        <v>41</v>
      </c>
      <c r="L43" s="12" t="s">
        <v>492</v>
      </c>
      <c r="M43" s="15" t="s">
        <v>41</v>
      </c>
      <c r="N43" s="12" t="s">
        <v>807</v>
      </c>
      <c r="O43" s="21">
        <v>0</v>
      </c>
      <c r="P43" s="21">
        <v>50327.94</v>
      </c>
      <c r="Q43" s="12" t="s">
        <v>808</v>
      </c>
      <c r="R43" s="12" t="s">
        <v>269</v>
      </c>
      <c r="S43" s="12" t="s">
        <v>36</v>
      </c>
      <c r="T43" s="12" t="s">
        <v>663</v>
      </c>
      <c r="U43" s="12" t="s">
        <v>809</v>
      </c>
      <c r="V43" s="12" t="s">
        <v>665</v>
      </c>
    </row>
    <row r="44" s="1" customFormat="1" ht="16.5" customHeight="1" spans="1:22">
      <c r="A44" s="8" t="s">
        <v>810</v>
      </c>
      <c r="B44" s="11" t="s">
        <v>32</v>
      </c>
      <c r="C44" s="9">
        <v>1</v>
      </c>
      <c r="D44" s="8" t="s">
        <v>811</v>
      </c>
      <c r="E44" s="10">
        <v>45688</v>
      </c>
      <c r="F44" s="10">
        <v>45692</v>
      </c>
      <c r="G44" s="11" t="s">
        <v>444</v>
      </c>
      <c r="H44" s="8" t="s">
        <v>445</v>
      </c>
      <c r="I44" s="11" t="s">
        <v>41</v>
      </c>
      <c r="J44" s="8" t="s">
        <v>660</v>
      </c>
      <c r="K44" s="11" t="s">
        <v>41</v>
      </c>
      <c r="L44" s="8" t="s">
        <v>492</v>
      </c>
      <c r="M44" s="11" t="s">
        <v>41</v>
      </c>
      <c r="N44" s="8" t="s">
        <v>812</v>
      </c>
      <c r="O44" s="19">
        <v>0</v>
      </c>
      <c r="P44" s="19">
        <v>82490</v>
      </c>
      <c r="Q44" s="8" t="s">
        <v>149</v>
      </c>
      <c r="R44" s="8" t="s">
        <v>251</v>
      </c>
      <c r="S44" s="8" t="s">
        <v>36</v>
      </c>
      <c r="T44" s="8" t="s">
        <v>663</v>
      </c>
      <c r="U44" s="8" t="s">
        <v>148</v>
      </c>
      <c r="V44" s="8" t="s">
        <v>665</v>
      </c>
    </row>
    <row r="45" s="1" customFormat="1" ht="16.5" customHeight="1" spans="1:22">
      <c r="A45" s="12" t="s">
        <v>813</v>
      </c>
      <c r="B45" s="15" t="s">
        <v>32</v>
      </c>
      <c r="C45" s="13">
        <v>4</v>
      </c>
      <c r="D45" s="12" t="s">
        <v>814</v>
      </c>
      <c r="E45" s="14">
        <v>45688</v>
      </c>
      <c r="F45" s="14">
        <v>45692</v>
      </c>
      <c r="G45" s="15" t="s">
        <v>444</v>
      </c>
      <c r="H45" s="12" t="s">
        <v>445</v>
      </c>
      <c r="I45" s="15" t="s">
        <v>41</v>
      </c>
      <c r="J45" s="12" t="s">
        <v>660</v>
      </c>
      <c r="K45" s="15" t="s">
        <v>41</v>
      </c>
      <c r="L45" s="12" t="s">
        <v>492</v>
      </c>
      <c r="M45" s="15" t="s">
        <v>41</v>
      </c>
      <c r="N45" s="12" t="s">
        <v>815</v>
      </c>
      <c r="O45" s="21">
        <v>1524</v>
      </c>
      <c r="P45" s="21">
        <v>0</v>
      </c>
      <c r="Q45" s="12" t="s">
        <v>816</v>
      </c>
      <c r="R45" s="12" t="s">
        <v>301</v>
      </c>
      <c r="S45" s="12" t="s">
        <v>36</v>
      </c>
      <c r="T45" s="12" t="s">
        <v>663</v>
      </c>
      <c r="U45" s="12" t="s">
        <v>817</v>
      </c>
      <c r="V45" s="12" t="s">
        <v>665</v>
      </c>
    </row>
    <row r="46" s="1" customFormat="1" ht="16.5" customHeight="1" spans="1:22">
      <c r="A46" s="8" t="s">
        <v>813</v>
      </c>
      <c r="B46" s="11" t="s">
        <v>32</v>
      </c>
      <c r="C46" s="9">
        <v>1</v>
      </c>
      <c r="D46" s="8" t="s">
        <v>814</v>
      </c>
      <c r="E46" s="10">
        <v>45688</v>
      </c>
      <c r="F46" s="10">
        <v>45692</v>
      </c>
      <c r="G46" s="11" t="s">
        <v>444</v>
      </c>
      <c r="H46" s="8" t="s">
        <v>445</v>
      </c>
      <c r="I46" s="11" t="s">
        <v>41</v>
      </c>
      <c r="J46" s="8" t="s">
        <v>660</v>
      </c>
      <c r="K46" s="11" t="s">
        <v>41</v>
      </c>
      <c r="L46" s="8" t="s">
        <v>492</v>
      </c>
      <c r="M46" s="11" t="s">
        <v>41</v>
      </c>
      <c r="N46" s="8" t="s">
        <v>815</v>
      </c>
      <c r="O46" s="19">
        <v>0</v>
      </c>
      <c r="P46" s="19">
        <v>50626.91</v>
      </c>
      <c r="Q46" s="8" t="s">
        <v>816</v>
      </c>
      <c r="R46" s="8" t="s">
        <v>301</v>
      </c>
      <c r="S46" s="8" t="s">
        <v>36</v>
      </c>
      <c r="T46" s="8" t="s">
        <v>663</v>
      </c>
      <c r="U46" s="8" t="s">
        <v>817</v>
      </c>
      <c r="V46" s="8" t="s">
        <v>665</v>
      </c>
    </row>
    <row r="47" s="1" customFormat="1" ht="16.5" customHeight="1" spans="1:22">
      <c r="A47" s="12" t="s">
        <v>818</v>
      </c>
      <c r="B47" s="15" t="s">
        <v>32</v>
      </c>
      <c r="C47" s="13">
        <v>1</v>
      </c>
      <c r="D47" s="12" t="s">
        <v>819</v>
      </c>
      <c r="E47" s="14">
        <v>45688</v>
      </c>
      <c r="F47" s="14">
        <v>45692</v>
      </c>
      <c r="G47" s="15" t="s">
        <v>444</v>
      </c>
      <c r="H47" s="12" t="s">
        <v>445</v>
      </c>
      <c r="I47" s="15" t="s">
        <v>41</v>
      </c>
      <c r="J47" s="12" t="s">
        <v>660</v>
      </c>
      <c r="K47" s="15" t="s">
        <v>41</v>
      </c>
      <c r="L47" s="12" t="s">
        <v>492</v>
      </c>
      <c r="M47" s="15" t="s">
        <v>41</v>
      </c>
      <c r="N47" s="12" t="s">
        <v>820</v>
      </c>
      <c r="O47" s="21">
        <v>0.02</v>
      </c>
      <c r="P47" s="21">
        <v>0</v>
      </c>
      <c r="Q47" s="12" t="s">
        <v>816</v>
      </c>
      <c r="R47" s="12" t="s">
        <v>301</v>
      </c>
      <c r="S47" s="12" t="s">
        <v>36</v>
      </c>
      <c r="T47" s="12" t="s">
        <v>663</v>
      </c>
      <c r="U47" s="12" t="s">
        <v>821</v>
      </c>
      <c r="V47" s="12" t="s">
        <v>665</v>
      </c>
    </row>
    <row r="48" s="1" customFormat="1" ht="16.5" customHeight="1" spans="1:22">
      <c r="A48" s="8" t="s">
        <v>822</v>
      </c>
      <c r="B48" s="11" t="s">
        <v>32</v>
      </c>
      <c r="C48" s="9">
        <v>3</v>
      </c>
      <c r="D48" s="8" t="s">
        <v>823</v>
      </c>
      <c r="E48" s="10">
        <v>45688</v>
      </c>
      <c r="F48" s="10">
        <v>45692</v>
      </c>
      <c r="G48" s="11" t="s">
        <v>444</v>
      </c>
      <c r="H48" s="8" t="s">
        <v>445</v>
      </c>
      <c r="I48" s="11" t="s">
        <v>41</v>
      </c>
      <c r="J48" s="8" t="s">
        <v>660</v>
      </c>
      <c r="K48" s="11" t="s">
        <v>41</v>
      </c>
      <c r="L48" s="8" t="s">
        <v>492</v>
      </c>
      <c r="M48" s="11" t="s">
        <v>41</v>
      </c>
      <c r="N48" s="8" t="s">
        <v>807</v>
      </c>
      <c r="O48" s="19">
        <v>28626.41</v>
      </c>
      <c r="P48" s="19">
        <v>0</v>
      </c>
      <c r="Q48" s="8" t="s">
        <v>808</v>
      </c>
      <c r="R48" s="8" t="s">
        <v>269</v>
      </c>
      <c r="S48" s="8" t="s">
        <v>36</v>
      </c>
      <c r="T48" s="8" t="s">
        <v>663</v>
      </c>
      <c r="U48" s="8" t="s">
        <v>824</v>
      </c>
      <c r="V48" s="8" t="s">
        <v>665</v>
      </c>
    </row>
    <row r="49" s="1" customFormat="1" ht="16.5" customHeight="1" spans="1:22">
      <c r="A49" s="12" t="s">
        <v>822</v>
      </c>
      <c r="B49" s="15" t="s">
        <v>32</v>
      </c>
      <c r="C49" s="13">
        <v>1</v>
      </c>
      <c r="D49" s="12" t="s">
        <v>823</v>
      </c>
      <c r="E49" s="14">
        <v>45688</v>
      </c>
      <c r="F49" s="14">
        <v>45692</v>
      </c>
      <c r="G49" s="15" t="s">
        <v>444</v>
      </c>
      <c r="H49" s="12" t="s">
        <v>445</v>
      </c>
      <c r="I49" s="15" t="s">
        <v>41</v>
      </c>
      <c r="J49" s="12" t="s">
        <v>660</v>
      </c>
      <c r="K49" s="15" t="s">
        <v>41</v>
      </c>
      <c r="L49" s="12" t="s">
        <v>492</v>
      </c>
      <c r="M49" s="15" t="s">
        <v>41</v>
      </c>
      <c r="N49" s="12" t="s">
        <v>807</v>
      </c>
      <c r="O49" s="21">
        <v>0</v>
      </c>
      <c r="P49" s="21">
        <v>77287.81</v>
      </c>
      <c r="Q49" s="12" t="s">
        <v>808</v>
      </c>
      <c r="R49" s="12" t="s">
        <v>269</v>
      </c>
      <c r="S49" s="12" t="s">
        <v>36</v>
      </c>
      <c r="T49" s="12" t="s">
        <v>663</v>
      </c>
      <c r="U49" s="12" t="s">
        <v>824</v>
      </c>
      <c r="V49" s="12" t="s">
        <v>665</v>
      </c>
    </row>
    <row r="50" s="1" customFormat="1" ht="16.5" customHeight="1" spans="1:22">
      <c r="A50" s="8" t="s">
        <v>825</v>
      </c>
      <c r="B50" s="11" t="s">
        <v>32</v>
      </c>
      <c r="C50" s="9">
        <v>1</v>
      </c>
      <c r="D50" s="8" t="s">
        <v>826</v>
      </c>
      <c r="E50" s="10">
        <v>45688</v>
      </c>
      <c r="F50" s="10">
        <v>45692</v>
      </c>
      <c r="G50" s="11" t="s">
        <v>444</v>
      </c>
      <c r="H50" s="8" t="s">
        <v>445</v>
      </c>
      <c r="I50" s="11" t="s">
        <v>41</v>
      </c>
      <c r="J50" s="8" t="s">
        <v>660</v>
      </c>
      <c r="K50" s="11" t="s">
        <v>41</v>
      </c>
      <c r="L50" s="8" t="s">
        <v>492</v>
      </c>
      <c r="M50" s="11" t="s">
        <v>41</v>
      </c>
      <c r="N50" s="8" t="s">
        <v>827</v>
      </c>
      <c r="O50" s="19">
        <v>0</v>
      </c>
      <c r="P50" s="19">
        <v>22780.8</v>
      </c>
      <c r="Q50" s="8" t="s">
        <v>828</v>
      </c>
      <c r="R50" s="8" t="s">
        <v>579</v>
      </c>
      <c r="S50" s="8" t="s">
        <v>36</v>
      </c>
      <c r="T50" s="8" t="s">
        <v>663</v>
      </c>
      <c r="U50" s="8" t="s">
        <v>829</v>
      </c>
      <c r="V50" s="8" t="s">
        <v>665</v>
      </c>
    </row>
    <row r="51" s="1" customFormat="1" ht="16.5" customHeight="1" spans="1:22">
      <c r="A51" s="12" t="s">
        <v>830</v>
      </c>
      <c r="B51" s="15" t="s">
        <v>32</v>
      </c>
      <c r="C51" s="13">
        <v>3</v>
      </c>
      <c r="D51" s="12" t="s">
        <v>831</v>
      </c>
      <c r="E51" s="14">
        <v>45688</v>
      </c>
      <c r="F51" s="14">
        <v>45692</v>
      </c>
      <c r="G51" s="15" t="s">
        <v>444</v>
      </c>
      <c r="H51" s="12" t="s">
        <v>445</v>
      </c>
      <c r="I51" s="15" t="s">
        <v>41</v>
      </c>
      <c r="J51" s="12" t="s">
        <v>660</v>
      </c>
      <c r="K51" s="15" t="s">
        <v>41</v>
      </c>
      <c r="L51" s="12" t="s">
        <v>492</v>
      </c>
      <c r="M51" s="15" t="s">
        <v>41</v>
      </c>
      <c r="N51" s="12" t="s">
        <v>832</v>
      </c>
      <c r="O51" s="21">
        <v>2.4</v>
      </c>
      <c r="P51" s="21">
        <v>0</v>
      </c>
      <c r="Q51" s="12" t="s">
        <v>833</v>
      </c>
      <c r="R51" s="12" t="s">
        <v>418</v>
      </c>
      <c r="S51" s="12" t="s">
        <v>36</v>
      </c>
      <c r="T51" s="12" t="s">
        <v>663</v>
      </c>
      <c r="U51" s="12" t="s">
        <v>834</v>
      </c>
      <c r="V51" s="12" t="s">
        <v>665</v>
      </c>
    </row>
    <row r="52" s="1" customFormat="1" ht="16.5" customHeight="1" spans="1:22">
      <c r="A52" s="8" t="s">
        <v>830</v>
      </c>
      <c r="B52" s="11" t="s">
        <v>32</v>
      </c>
      <c r="C52" s="9">
        <v>1</v>
      </c>
      <c r="D52" s="8" t="s">
        <v>831</v>
      </c>
      <c r="E52" s="10">
        <v>45688</v>
      </c>
      <c r="F52" s="10">
        <v>45692</v>
      </c>
      <c r="G52" s="11" t="s">
        <v>444</v>
      </c>
      <c r="H52" s="8" t="s">
        <v>445</v>
      </c>
      <c r="I52" s="11" t="s">
        <v>41</v>
      </c>
      <c r="J52" s="8" t="s">
        <v>660</v>
      </c>
      <c r="K52" s="11" t="s">
        <v>41</v>
      </c>
      <c r="L52" s="8" t="s">
        <v>492</v>
      </c>
      <c r="M52" s="11" t="s">
        <v>41</v>
      </c>
      <c r="N52" s="8" t="s">
        <v>832</v>
      </c>
      <c r="O52" s="19">
        <v>0</v>
      </c>
      <c r="P52" s="19">
        <v>79820.08</v>
      </c>
      <c r="Q52" s="8" t="s">
        <v>833</v>
      </c>
      <c r="R52" s="8" t="s">
        <v>418</v>
      </c>
      <c r="S52" s="8" t="s">
        <v>36</v>
      </c>
      <c r="T52" s="8" t="s">
        <v>663</v>
      </c>
      <c r="U52" s="8" t="s">
        <v>834</v>
      </c>
      <c r="V52" s="8" t="s">
        <v>665</v>
      </c>
    </row>
    <row r="53" s="1" customFormat="1" ht="16.5" customHeight="1" spans="1:22">
      <c r="A53" s="12" t="s">
        <v>835</v>
      </c>
      <c r="B53" s="15" t="s">
        <v>32</v>
      </c>
      <c r="C53" s="13">
        <v>1</v>
      </c>
      <c r="D53" s="12" t="s">
        <v>836</v>
      </c>
      <c r="E53" s="14">
        <v>45688</v>
      </c>
      <c r="F53" s="14">
        <v>45692</v>
      </c>
      <c r="G53" s="15" t="s">
        <v>444</v>
      </c>
      <c r="H53" s="12" t="s">
        <v>445</v>
      </c>
      <c r="I53" s="15" t="s">
        <v>41</v>
      </c>
      <c r="J53" s="12" t="s">
        <v>660</v>
      </c>
      <c r="K53" s="15" t="s">
        <v>41</v>
      </c>
      <c r="L53" s="12" t="s">
        <v>492</v>
      </c>
      <c r="M53" s="15" t="s">
        <v>41</v>
      </c>
      <c r="N53" s="12" t="s">
        <v>832</v>
      </c>
      <c r="O53" s="21">
        <v>0.01</v>
      </c>
      <c r="P53" s="21">
        <v>0</v>
      </c>
      <c r="Q53" s="12" t="s">
        <v>833</v>
      </c>
      <c r="R53" s="12" t="s">
        <v>418</v>
      </c>
      <c r="S53" s="12" t="s">
        <v>36</v>
      </c>
      <c r="T53" s="12" t="s">
        <v>663</v>
      </c>
      <c r="U53" s="12" t="s">
        <v>837</v>
      </c>
      <c r="V53" s="12" t="s">
        <v>665</v>
      </c>
    </row>
    <row r="54" s="1" customFormat="1" ht="16.5" customHeight="1" spans="1:22">
      <c r="A54" s="8" t="s">
        <v>838</v>
      </c>
      <c r="B54" s="11" t="s">
        <v>32</v>
      </c>
      <c r="C54" s="9">
        <v>1</v>
      </c>
      <c r="D54" s="8" t="s">
        <v>839</v>
      </c>
      <c r="E54" s="10">
        <v>45688</v>
      </c>
      <c r="F54" s="10">
        <v>45692</v>
      </c>
      <c r="G54" s="11" t="s">
        <v>444</v>
      </c>
      <c r="H54" s="8" t="s">
        <v>445</v>
      </c>
      <c r="I54" s="11" t="s">
        <v>41</v>
      </c>
      <c r="J54" s="8" t="s">
        <v>660</v>
      </c>
      <c r="K54" s="11" t="s">
        <v>41</v>
      </c>
      <c r="L54" s="8" t="s">
        <v>492</v>
      </c>
      <c r="M54" s="11" t="s">
        <v>41</v>
      </c>
      <c r="N54" s="8" t="s">
        <v>840</v>
      </c>
      <c r="O54" s="19">
        <v>0</v>
      </c>
      <c r="P54" s="19">
        <v>562795.04</v>
      </c>
      <c r="Q54" s="8" t="s">
        <v>841</v>
      </c>
      <c r="R54" s="8" t="s">
        <v>303</v>
      </c>
      <c r="S54" s="8" t="s">
        <v>36</v>
      </c>
      <c r="T54" s="8" t="s">
        <v>663</v>
      </c>
      <c r="U54" s="8" t="s">
        <v>842</v>
      </c>
      <c r="V54" s="8" t="s">
        <v>665</v>
      </c>
    </row>
    <row r="55" s="1" customFormat="1" ht="16.5" customHeight="1" spans="1:22">
      <c r="A55" s="12" t="s">
        <v>838</v>
      </c>
      <c r="B55" s="15" t="s">
        <v>32</v>
      </c>
      <c r="C55" s="13">
        <v>3</v>
      </c>
      <c r="D55" s="12" t="s">
        <v>839</v>
      </c>
      <c r="E55" s="14">
        <v>45688</v>
      </c>
      <c r="F55" s="14">
        <v>45692</v>
      </c>
      <c r="G55" s="15" t="s">
        <v>444</v>
      </c>
      <c r="H55" s="12" t="s">
        <v>445</v>
      </c>
      <c r="I55" s="15" t="s">
        <v>41</v>
      </c>
      <c r="J55" s="12" t="s">
        <v>660</v>
      </c>
      <c r="K55" s="15" t="s">
        <v>41</v>
      </c>
      <c r="L55" s="12" t="s">
        <v>492</v>
      </c>
      <c r="M55" s="15" t="s">
        <v>41</v>
      </c>
      <c r="N55" s="12" t="s">
        <v>840</v>
      </c>
      <c r="O55" s="21">
        <v>168555.04</v>
      </c>
      <c r="P55" s="21">
        <v>0</v>
      </c>
      <c r="Q55" s="12" t="s">
        <v>841</v>
      </c>
      <c r="R55" s="12" t="s">
        <v>303</v>
      </c>
      <c r="S55" s="12" t="s">
        <v>36</v>
      </c>
      <c r="T55" s="12" t="s">
        <v>663</v>
      </c>
      <c r="U55" s="12" t="s">
        <v>842</v>
      </c>
      <c r="V55" s="12" t="s">
        <v>665</v>
      </c>
    </row>
    <row r="56" s="1" customFormat="1" ht="16.5" customHeight="1" spans="1:22">
      <c r="A56" s="8" t="s">
        <v>843</v>
      </c>
      <c r="B56" s="11" t="s">
        <v>32</v>
      </c>
      <c r="C56" s="9">
        <v>3</v>
      </c>
      <c r="D56" s="8" t="s">
        <v>844</v>
      </c>
      <c r="E56" s="10">
        <v>45688</v>
      </c>
      <c r="F56" s="10">
        <v>45692</v>
      </c>
      <c r="G56" s="11" t="s">
        <v>444</v>
      </c>
      <c r="H56" s="8" t="s">
        <v>445</v>
      </c>
      <c r="I56" s="11" t="s">
        <v>41</v>
      </c>
      <c r="J56" s="8" t="s">
        <v>660</v>
      </c>
      <c r="K56" s="11" t="s">
        <v>41</v>
      </c>
      <c r="L56" s="8" t="s">
        <v>492</v>
      </c>
      <c r="M56" s="11" t="s">
        <v>41</v>
      </c>
      <c r="N56" s="8" t="s">
        <v>812</v>
      </c>
      <c r="O56" s="19">
        <v>109720.47</v>
      </c>
      <c r="P56" s="19">
        <v>0</v>
      </c>
      <c r="Q56" s="8" t="s">
        <v>149</v>
      </c>
      <c r="R56" s="8" t="s">
        <v>251</v>
      </c>
      <c r="S56" s="8" t="s">
        <v>36</v>
      </c>
      <c r="T56" s="8" t="s">
        <v>663</v>
      </c>
      <c r="U56" s="8" t="s">
        <v>163</v>
      </c>
      <c r="V56" s="8" t="s">
        <v>665</v>
      </c>
    </row>
    <row r="57" s="1" customFormat="1" ht="16.5" customHeight="1" spans="1:22">
      <c r="A57" s="12" t="s">
        <v>843</v>
      </c>
      <c r="B57" s="15" t="s">
        <v>32</v>
      </c>
      <c r="C57" s="13">
        <v>1</v>
      </c>
      <c r="D57" s="12" t="s">
        <v>844</v>
      </c>
      <c r="E57" s="14">
        <v>45688</v>
      </c>
      <c r="F57" s="14">
        <v>45692</v>
      </c>
      <c r="G57" s="15" t="s">
        <v>444</v>
      </c>
      <c r="H57" s="12" t="s">
        <v>445</v>
      </c>
      <c r="I57" s="15" t="s">
        <v>41</v>
      </c>
      <c r="J57" s="12" t="s">
        <v>660</v>
      </c>
      <c r="K57" s="15" t="s">
        <v>41</v>
      </c>
      <c r="L57" s="12" t="s">
        <v>492</v>
      </c>
      <c r="M57" s="15" t="s">
        <v>41</v>
      </c>
      <c r="N57" s="12" t="s">
        <v>812</v>
      </c>
      <c r="O57" s="21">
        <v>0</v>
      </c>
      <c r="P57" s="21">
        <v>428536.47</v>
      </c>
      <c r="Q57" s="12" t="s">
        <v>149</v>
      </c>
      <c r="R57" s="12" t="s">
        <v>251</v>
      </c>
      <c r="S57" s="12" t="s">
        <v>36</v>
      </c>
      <c r="T57" s="12" t="s">
        <v>663</v>
      </c>
      <c r="U57" s="12" t="s">
        <v>163</v>
      </c>
      <c r="V57" s="12" t="s">
        <v>665</v>
      </c>
    </row>
    <row r="58" s="1" customFormat="1" ht="16.5" customHeight="1" spans="1:22">
      <c r="A58" s="8" t="s">
        <v>845</v>
      </c>
      <c r="B58" s="11" t="s">
        <v>32</v>
      </c>
      <c r="C58" s="9">
        <v>1</v>
      </c>
      <c r="D58" s="8" t="s">
        <v>846</v>
      </c>
      <c r="E58" s="10">
        <v>45688</v>
      </c>
      <c r="F58" s="10">
        <v>45692</v>
      </c>
      <c r="G58" s="11" t="s">
        <v>444</v>
      </c>
      <c r="H58" s="8" t="s">
        <v>445</v>
      </c>
      <c r="I58" s="11" t="s">
        <v>41</v>
      </c>
      <c r="J58" s="8" t="s">
        <v>660</v>
      </c>
      <c r="K58" s="11" t="s">
        <v>41</v>
      </c>
      <c r="L58" s="8" t="s">
        <v>492</v>
      </c>
      <c r="M58" s="11" t="s">
        <v>41</v>
      </c>
      <c r="N58" s="8" t="s">
        <v>847</v>
      </c>
      <c r="O58" s="19">
        <v>0</v>
      </c>
      <c r="P58" s="19">
        <v>181993.28</v>
      </c>
      <c r="Q58" s="8" t="s">
        <v>848</v>
      </c>
      <c r="R58" s="8" t="s">
        <v>298</v>
      </c>
      <c r="S58" s="8" t="s">
        <v>36</v>
      </c>
      <c r="T58" s="8" t="s">
        <v>663</v>
      </c>
      <c r="U58" s="8" t="s">
        <v>849</v>
      </c>
      <c r="V58" s="8" t="s">
        <v>665</v>
      </c>
    </row>
    <row r="59" s="1" customFormat="1" ht="16.5" customHeight="1" spans="1:22">
      <c r="A59" s="12" t="s">
        <v>850</v>
      </c>
      <c r="B59" s="15" t="s">
        <v>32</v>
      </c>
      <c r="C59" s="13">
        <v>3</v>
      </c>
      <c r="D59" s="12" t="s">
        <v>851</v>
      </c>
      <c r="E59" s="14">
        <v>45688</v>
      </c>
      <c r="F59" s="14">
        <v>45692</v>
      </c>
      <c r="G59" s="15" t="s">
        <v>444</v>
      </c>
      <c r="H59" s="12" t="s">
        <v>445</v>
      </c>
      <c r="I59" s="15" t="s">
        <v>41</v>
      </c>
      <c r="J59" s="12" t="s">
        <v>660</v>
      </c>
      <c r="K59" s="15" t="s">
        <v>41</v>
      </c>
      <c r="L59" s="12" t="s">
        <v>492</v>
      </c>
      <c r="M59" s="15" t="s">
        <v>41</v>
      </c>
      <c r="N59" s="12" t="s">
        <v>852</v>
      </c>
      <c r="O59" s="21">
        <v>74865.23</v>
      </c>
      <c r="P59" s="21">
        <v>0</v>
      </c>
      <c r="Q59" s="12" t="s">
        <v>853</v>
      </c>
      <c r="R59" s="12" t="s">
        <v>265</v>
      </c>
      <c r="S59" s="12" t="s">
        <v>36</v>
      </c>
      <c r="T59" s="12" t="s">
        <v>663</v>
      </c>
      <c r="U59" s="12" t="s">
        <v>854</v>
      </c>
      <c r="V59" s="12" t="s">
        <v>665</v>
      </c>
    </row>
    <row r="60" s="1" customFormat="1" ht="16.5" customHeight="1" spans="1:22">
      <c r="A60" s="8" t="s">
        <v>850</v>
      </c>
      <c r="B60" s="11" t="s">
        <v>32</v>
      </c>
      <c r="C60" s="9">
        <v>1</v>
      </c>
      <c r="D60" s="8" t="s">
        <v>851</v>
      </c>
      <c r="E60" s="10">
        <v>45688</v>
      </c>
      <c r="F60" s="10">
        <v>45692</v>
      </c>
      <c r="G60" s="11" t="s">
        <v>444</v>
      </c>
      <c r="H60" s="8" t="s">
        <v>445</v>
      </c>
      <c r="I60" s="11" t="s">
        <v>41</v>
      </c>
      <c r="J60" s="8" t="s">
        <v>660</v>
      </c>
      <c r="K60" s="11" t="s">
        <v>41</v>
      </c>
      <c r="L60" s="8" t="s">
        <v>492</v>
      </c>
      <c r="M60" s="11" t="s">
        <v>41</v>
      </c>
      <c r="N60" s="8" t="s">
        <v>852</v>
      </c>
      <c r="O60" s="19">
        <v>0</v>
      </c>
      <c r="P60" s="19">
        <v>1760353.04</v>
      </c>
      <c r="Q60" s="8" t="s">
        <v>853</v>
      </c>
      <c r="R60" s="8" t="s">
        <v>265</v>
      </c>
      <c r="S60" s="8" t="s">
        <v>36</v>
      </c>
      <c r="T60" s="8" t="s">
        <v>663</v>
      </c>
      <c r="U60" s="8" t="s">
        <v>854</v>
      </c>
      <c r="V60" s="8" t="s">
        <v>665</v>
      </c>
    </row>
    <row r="61" s="1" customFormat="1" ht="16.5" customHeight="1" spans="1:22">
      <c r="A61" s="12" t="s">
        <v>855</v>
      </c>
      <c r="B61" s="15" t="s">
        <v>32</v>
      </c>
      <c r="C61" s="13">
        <v>3</v>
      </c>
      <c r="D61" s="12" t="s">
        <v>856</v>
      </c>
      <c r="E61" s="14">
        <v>45688</v>
      </c>
      <c r="F61" s="14">
        <v>45692</v>
      </c>
      <c r="G61" s="15" t="s">
        <v>444</v>
      </c>
      <c r="H61" s="12" t="s">
        <v>445</v>
      </c>
      <c r="I61" s="15" t="s">
        <v>41</v>
      </c>
      <c r="J61" s="12" t="s">
        <v>660</v>
      </c>
      <c r="K61" s="15" t="s">
        <v>41</v>
      </c>
      <c r="L61" s="12" t="s">
        <v>492</v>
      </c>
      <c r="M61" s="15" t="s">
        <v>41</v>
      </c>
      <c r="N61" s="12" t="s">
        <v>852</v>
      </c>
      <c r="O61" s="21">
        <v>54879.24</v>
      </c>
      <c r="P61" s="21">
        <v>0</v>
      </c>
      <c r="Q61" s="12" t="s">
        <v>853</v>
      </c>
      <c r="R61" s="12" t="s">
        <v>265</v>
      </c>
      <c r="S61" s="12" t="s">
        <v>36</v>
      </c>
      <c r="T61" s="12" t="s">
        <v>663</v>
      </c>
      <c r="U61" s="12" t="s">
        <v>857</v>
      </c>
      <c r="V61" s="12" t="s">
        <v>665</v>
      </c>
    </row>
    <row r="62" s="1" customFormat="1" ht="16.5" customHeight="1" spans="1:22">
      <c r="A62" s="8" t="s">
        <v>855</v>
      </c>
      <c r="B62" s="11" t="s">
        <v>32</v>
      </c>
      <c r="C62" s="9">
        <v>1</v>
      </c>
      <c r="D62" s="8" t="s">
        <v>856</v>
      </c>
      <c r="E62" s="10">
        <v>45688</v>
      </c>
      <c r="F62" s="10">
        <v>45692</v>
      </c>
      <c r="G62" s="11" t="s">
        <v>444</v>
      </c>
      <c r="H62" s="8" t="s">
        <v>445</v>
      </c>
      <c r="I62" s="11" t="s">
        <v>41</v>
      </c>
      <c r="J62" s="8" t="s">
        <v>660</v>
      </c>
      <c r="K62" s="11" t="s">
        <v>41</v>
      </c>
      <c r="L62" s="8" t="s">
        <v>492</v>
      </c>
      <c r="M62" s="11" t="s">
        <v>41</v>
      </c>
      <c r="N62" s="8" t="s">
        <v>852</v>
      </c>
      <c r="O62" s="19">
        <v>0</v>
      </c>
      <c r="P62" s="19">
        <v>77415.96</v>
      </c>
      <c r="Q62" s="8" t="s">
        <v>853</v>
      </c>
      <c r="R62" s="8" t="s">
        <v>265</v>
      </c>
      <c r="S62" s="8" t="s">
        <v>36</v>
      </c>
      <c r="T62" s="8" t="s">
        <v>663</v>
      </c>
      <c r="U62" s="8" t="s">
        <v>857</v>
      </c>
      <c r="V62" s="8" t="s">
        <v>665</v>
      </c>
    </row>
    <row r="63" s="1" customFormat="1" ht="16.5" customHeight="1" spans="1:22">
      <c r="A63" s="12" t="s">
        <v>858</v>
      </c>
      <c r="B63" s="15" t="s">
        <v>32</v>
      </c>
      <c r="C63" s="13">
        <v>1</v>
      </c>
      <c r="D63" s="12" t="s">
        <v>859</v>
      </c>
      <c r="E63" s="14">
        <v>45688</v>
      </c>
      <c r="F63" s="14">
        <v>45692</v>
      </c>
      <c r="G63" s="15" t="s">
        <v>444</v>
      </c>
      <c r="H63" s="12" t="s">
        <v>445</v>
      </c>
      <c r="I63" s="15" t="s">
        <v>41</v>
      </c>
      <c r="J63" s="12" t="s">
        <v>660</v>
      </c>
      <c r="K63" s="15" t="s">
        <v>41</v>
      </c>
      <c r="L63" s="12" t="s">
        <v>492</v>
      </c>
      <c r="M63" s="15" t="s">
        <v>41</v>
      </c>
      <c r="N63" s="12" t="s">
        <v>860</v>
      </c>
      <c r="O63" s="21">
        <v>0</v>
      </c>
      <c r="P63" s="21">
        <v>78601.67</v>
      </c>
      <c r="Q63" s="12" t="s">
        <v>861</v>
      </c>
      <c r="R63" s="12" t="s">
        <v>244</v>
      </c>
      <c r="S63" s="12" t="s">
        <v>36</v>
      </c>
      <c r="T63" s="12" t="s">
        <v>663</v>
      </c>
      <c r="U63" s="12" t="s">
        <v>862</v>
      </c>
      <c r="V63" s="12" t="s">
        <v>665</v>
      </c>
    </row>
    <row r="64" s="1" customFormat="1" ht="16.5" customHeight="1" spans="1:22">
      <c r="A64" s="8" t="s">
        <v>863</v>
      </c>
      <c r="B64" s="11" t="s">
        <v>32</v>
      </c>
      <c r="C64" s="9">
        <v>3</v>
      </c>
      <c r="D64" s="8" t="s">
        <v>864</v>
      </c>
      <c r="E64" s="10">
        <v>45688</v>
      </c>
      <c r="F64" s="10">
        <v>45692</v>
      </c>
      <c r="G64" s="11" t="s">
        <v>444</v>
      </c>
      <c r="H64" s="8" t="s">
        <v>445</v>
      </c>
      <c r="I64" s="11" t="s">
        <v>41</v>
      </c>
      <c r="J64" s="8" t="s">
        <v>660</v>
      </c>
      <c r="K64" s="11" t="s">
        <v>41</v>
      </c>
      <c r="L64" s="8" t="s">
        <v>492</v>
      </c>
      <c r="M64" s="11" t="s">
        <v>41</v>
      </c>
      <c r="N64" s="8" t="s">
        <v>865</v>
      </c>
      <c r="O64" s="19">
        <v>5972.94</v>
      </c>
      <c r="P64" s="19">
        <v>0</v>
      </c>
      <c r="Q64" s="8" t="s">
        <v>866</v>
      </c>
      <c r="R64" s="8" t="s">
        <v>250</v>
      </c>
      <c r="S64" s="8" t="s">
        <v>36</v>
      </c>
      <c r="T64" s="8" t="s">
        <v>663</v>
      </c>
      <c r="U64" s="8" t="s">
        <v>867</v>
      </c>
      <c r="V64" s="8" t="s">
        <v>665</v>
      </c>
    </row>
    <row r="65" s="1" customFormat="1" ht="16.5" customHeight="1" spans="1:22">
      <c r="A65" s="12" t="s">
        <v>863</v>
      </c>
      <c r="B65" s="15" t="s">
        <v>32</v>
      </c>
      <c r="C65" s="13">
        <v>1</v>
      </c>
      <c r="D65" s="12" t="s">
        <v>864</v>
      </c>
      <c r="E65" s="14">
        <v>45688</v>
      </c>
      <c r="F65" s="14">
        <v>45692</v>
      </c>
      <c r="G65" s="15" t="s">
        <v>444</v>
      </c>
      <c r="H65" s="12" t="s">
        <v>445</v>
      </c>
      <c r="I65" s="15" t="s">
        <v>41</v>
      </c>
      <c r="J65" s="12" t="s">
        <v>660</v>
      </c>
      <c r="K65" s="15" t="s">
        <v>41</v>
      </c>
      <c r="L65" s="12" t="s">
        <v>492</v>
      </c>
      <c r="M65" s="15" t="s">
        <v>41</v>
      </c>
      <c r="N65" s="12" t="s">
        <v>865</v>
      </c>
      <c r="O65" s="21">
        <v>0</v>
      </c>
      <c r="P65" s="21">
        <v>338860.87</v>
      </c>
      <c r="Q65" s="12" t="s">
        <v>866</v>
      </c>
      <c r="R65" s="12" t="s">
        <v>250</v>
      </c>
      <c r="S65" s="12" t="s">
        <v>36</v>
      </c>
      <c r="T65" s="12" t="s">
        <v>663</v>
      </c>
      <c r="U65" s="12" t="s">
        <v>867</v>
      </c>
      <c r="V65" s="12" t="s">
        <v>665</v>
      </c>
    </row>
    <row r="66" s="1" customFormat="1" ht="16.5" customHeight="1" spans="1:22">
      <c r="A66" s="8" t="s">
        <v>868</v>
      </c>
      <c r="B66" s="11" t="s">
        <v>32</v>
      </c>
      <c r="C66" s="9">
        <v>1</v>
      </c>
      <c r="D66" s="8" t="s">
        <v>869</v>
      </c>
      <c r="E66" s="10">
        <v>45688</v>
      </c>
      <c r="F66" s="10">
        <v>45693</v>
      </c>
      <c r="G66" s="11" t="s">
        <v>444</v>
      </c>
      <c r="H66" s="8" t="s">
        <v>445</v>
      </c>
      <c r="I66" s="11" t="s">
        <v>41</v>
      </c>
      <c r="J66" s="8" t="s">
        <v>660</v>
      </c>
      <c r="K66" s="11" t="s">
        <v>41</v>
      </c>
      <c r="L66" s="8" t="s">
        <v>492</v>
      </c>
      <c r="M66" s="11" t="s">
        <v>41</v>
      </c>
      <c r="N66" s="8" t="s">
        <v>870</v>
      </c>
      <c r="O66" s="19">
        <v>0</v>
      </c>
      <c r="P66" s="19">
        <v>75095.26</v>
      </c>
      <c r="Q66" s="8" t="s">
        <v>871</v>
      </c>
      <c r="R66" s="8" t="s">
        <v>246</v>
      </c>
      <c r="S66" s="8" t="s">
        <v>36</v>
      </c>
      <c r="T66" s="8" t="s">
        <v>663</v>
      </c>
      <c r="U66" s="8" t="s">
        <v>872</v>
      </c>
      <c r="V66" s="8" t="s">
        <v>665</v>
      </c>
    </row>
    <row r="67" s="1" customFormat="1" ht="16.5" customHeight="1" spans="1:22">
      <c r="A67" s="12" t="s">
        <v>873</v>
      </c>
      <c r="B67" s="15" t="s">
        <v>32</v>
      </c>
      <c r="C67" s="13">
        <v>1</v>
      </c>
      <c r="D67" s="12" t="s">
        <v>874</v>
      </c>
      <c r="E67" s="14">
        <v>45688</v>
      </c>
      <c r="F67" s="14">
        <v>45693</v>
      </c>
      <c r="G67" s="15" t="s">
        <v>444</v>
      </c>
      <c r="H67" s="12" t="s">
        <v>445</v>
      </c>
      <c r="I67" s="15" t="s">
        <v>41</v>
      </c>
      <c r="J67" s="12" t="s">
        <v>660</v>
      </c>
      <c r="K67" s="15" t="s">
        <v>41</v>
      </c>
      <c r="L67" s="12" t="s">
        <v>492</v>
      </c>
      <c r="M67" s="15" t="s">
        <v>41</v>
      </c>
      <c r="N67" s="12" t="s">
        <v>875</v>
      </c>
      <c r="O67" s="21">
        <v>0</v>
      </c>
      <c r="P67" s="21">
        <v>170865.32</v>
      </c>
      <c r="Q67" s="12" t="s">
        <v>876</v>
      </c>
      <c r="R67" s="12" t="s">
        <v>272</v>
      </c>
      <c r="S67" s="12" t="s">
        <v>36</v>
      </c>
      <c r="T67" s="12" t="s">
        <v>663</v>
      </c>
      <c r="U67" s="12" t="s">
        <v>877</v>
      </c>
      <c r="V67" s="12" t="s">
        <v>665</v>
      </c>
    </row>
    <row r="68" s="1" customFormat="1" ht="16.5" customHeight="1" spans="1:22">
      <c r="A68" s="8" t="s">
        <v>878</v>
      </c>
      <c r="B68" s="11" t="s">
        <v>32</v>
      </c>
      <c r="C68" s="9">
        <v>1</v>
      </c>
      <c r="D68" s="8" t="s">
        <v>879</v>
      </c>
      <c r="E68" s="10">
        <v>45688</v>
      </c>
      <c r="F68" s="10">
        <v>45693</v>
      </c>
      <c r="G68" s="11" t="s">
        <v>444</v>
      </c>
      <c r="H68" s="8" t="s">
        <v>445</v>
      </c>
      <c r="I68" s="11" t="s">
        <v>41</v>
      </c>
      <c r="J68" s="8" t="s">
        <v>660</v>
      </c>
      <c r="K68" s="11" t="s">
        <v>41</v>
      </c>
      <c r="L68" s="8" t="s">
        <v>492</v>
      </c>
      <c r="M68" s="11" t="s">
        <v>41</v>
      </c>
      <c r="N68" s="8" t="s">
        <v>880</v>
      </c>
      <c r="O68" s="19">
        <v>0</v>
      </c>
      <c r="P68" s="19">
        <v>16908.29</v>
      </c>
      <c r="Q68" s="8" t="s">
        <v>881</v>
      </c>
      <c r="R68" s="8" t="s">
        <v>243</v>
      </c>
      <c r="S68" s="8" t="s">
        <v>36</v>
      </c>
      <c r="T68" s="8" t="s">
        <v>663</v>
      </c>
      <c r="U68" s="8" t="s">
        <v>882</v>
      </c>
      <c r="V68" s="8" t="s">
        <v>665</v>
      </c>
    </row>
    <row r="69" s="1" customFormat="1" ht="16.5" customHeight="1" spans="1:22">
      <c r="A69" s="12" t="s">
        <v>883</v>
      </c>
      <c r="B69" s="15" t="s">
        <v>32</v>
      </c>
      <c r="C69" s="13">
        <v>1</v>
      </c>
      <c r="D69" s="12" t="s">
        <v>884</v>
      </c>
      <c r="E69" s="14">
        <v>45688</v>
      </c>
      <c r="F69" s="14">
        <v>45693</v>
      </c>
      <c r="G69" s="15" t="s">
        <v>444</v>
      </c>
      <c r="H69" s="12" t="s">
        <v>445</v>
      </c>
      <c r="I69" s="15" t="s">
        <v>41</v>
      </c>
      <c r="J69" s="12" t="s">
        <v>660</v>
      </c>
      <c r="K69" s="15" t="s">
        <v>41</v>
      </c>
      <c r="L69" s="12" t="s">
        <v>492</v>
      </c>
      <c r="M69" s="15" t="s">
        <v>41</v>
      </c>
      <c r="N69" s="12" t="s">
        <v>885</v>
      </c>
      <c r="O69" s="21">
        <v>0.01</v>
      </c>
      <c r="P69" s="21">
        <v>0</v>
      </c>
      <c r="Q69" s="12" t="s">
        <v>881</v>
      </c>
      <c r="R69" s="12" t="s">
        <v>243</v>
      </c>
      <c r="S69" s="12" t="s">
        <v>36</v>
      </c>
      <c r="T69" s="12" t="s">
        <v>663</v>
      </c>
      <c r="U69" s="12" t="s">
        <v>886</v>
      </c>
      <c r="V69" s="12" t="s">
        <v>665</v>
      </c>
    </row>
    <row r="70" s="1" customFormat="1" ht="16.5" customHeight="1" spans="1:22">
      <c r="A70" s="8" t="s">
        <v>887</v>
      </c>
      <c r="B70" s="11" t="s">
        <v>32</v>
      </c>
      <c r="C70" s="9">
        <v>1</v>
      </c>
      <c r="D70" s="8" t="s">
        <v>888</v>
      </c>
      <c r="E70" s="10">
        <v>45688</v>
      </c>
      <c r="F70" s="10">
        <v>45693</v>
      </c>
      <c r="G70" s="11" t="s">
        <v>444</v>
      </c>
      <c r="H70" s="8" t="s">
        <v>445</v>
      </c>
      <c r="I70" s="11" t="s">
        <v>41</v>
      </c>
      <c r="J70" s="8" t="s">
        <v>660</v>
      </c>
      <c r="K70" s="11" t="s">
        <v>41</v>
      </c>
      <c r="L70" s="8" t="s">
        <v>492</v>
      </c>
      <c r="M70" s="11" t="s">
        <v>41</v>
      </c>
      <c r="N70" s="8" t="s">
        <v>889</v>
      </c>
      <c r="O70" s="19">
        <v>0</v>
      </c>
      <c r="P70" s="19">
        <v>32879.48</v>
      </c>
      <c r="Q70" s="8" t="s">
        <v>890</v>
      </c>
      <c r="R70" s="8" t="s">
        <v>263</v>
      </c>
      <c r="S70" s="8" t="s">
        <v>36</v>
      </c>
      <c r="T70" s="8" t="s">
        <v>663</v>
      </c>
      <c r="U70" s="8" t="s">
        <v>891</v>
      </c>
      <c r="V70" s="8" t="s">
        <v>665</v>
      </c>
    </row>
    <row r="71" s="1" customFormat="1" ht="16.5" customHeight="1" spans="1:22">
      <c r="A71" s="12" t="s">
        <v>892</v>
      </c>
      <c r="B71" s="15" t="s">
        <v>32</v>
      </c>
      <c r="C71" s="13">
        <v>1</v>
      </c>
      <c r="D71" s="12" t="s">
        <v>893</v>
      </c>
      <c r="E71" s="14">
        <v>45688</v>
      </c>
      <c r="F71" s="14">
        <v>45693</v>
      </c>
      <c r="G71" s="15" t="s">
        <v>444</v>
      </c>
      <c r="H71" s="12" t="s">
        <v>445</v>
      </c>
      <c r="I71" s="15" t="s">
        <v>41</v>
      </c>
      <c r="J71" s="12" t="s">
        <v>660</v>
      </c>
      <c r="K71" s="15" t="s">
        <v>41</v>
      </c>
      <c r="L71" s="12" t="s">
        <v>492</v>
      </c>
      <c r="M71" s="15" t="s">
        <v>41</v>
      </c>
      <c r="N71" s="12" t="s">
        <v>894</v>
      </c>
      <c r="O71" s="21">
        <v>0.03</v>
      </c>
      <c r="P71" s="21">
        <v>0</v>
      </c>
      <c r="Q71" s="12" t="s">
        <v>890</v>
      </c>
      <c r="R71" s="12" t="s">
        <v>263</v>
      </c>
      <c r="S71" s="12" t="s">
        <v>36</v>
      </c>
      <c r="T71" s="12" t="s">
        <v>663</v>
      </c>
      <c r="U71" s="12" t="s">
        <v>895</v>
      </c>
      <c r="V71" s="12" t="s">
        <v>665</v>
      </c>
    </row>
    <row r="72" s="1" customFormat="1" ht="16.5" customHeight="1" spans="1:22">
      <c r="A72" s="8" t="s">
        <v>896</v>
      </c>
      <c r="B72" s="11" t="s">
        <v>32</v>
      </c>
      <c r="C72" s="9">
        <v>1</v>
      </c>
      <c r="D72" s="8" t="s">
        <v>897</v>
      </c>
      <c r="E72" s="10">
        <v>45688</v>
      </c>
      <c r="F72" s="10">
        <v>45693</v>
      </c>
      <c r="G72" s="11" t="s">
        <v>444</v>
      </c>
      <c r="H72" s="8" t="s">
        <v>445</v>
      </c>
      <c r="I72" s="11" t="s">
        <v>41</v>
      </c>
      <c r="J72" s="8" t="s">
        <v>660</v>
      </c>
      <c r="K72" s="11" t="s">
        <v>41</v>
      </c>
      <c r="L72" s="8" t="s">
        <v>492</v>
      </c>
      <c r="M72" s="11" t="s">
        <v>41</v>
      </c>
      <c r="N72" s="8" t="s">
        <v>898</v>
      </c>
      <c r="O72" s="19">
        <v>0</v>
      </c>
      <c r="P72" s="19">
        <v>71377.98</v>
      </c>
      <c r="Q72" s="8" t="s">
        <v>899</v>
      </c>
      <c r="R72" s="8" t="s">
        <v>245</v>
      </c>
      <c r="S72" s="8" t="s">
        <v>36</v>
      </c>
      <c r="T72" s="8" t="s">
        <v>663</v>
      </c>
      <c r="U72" s="8" t="s">
        <v>900</v>
      </c>
      <c r="V72" s="8" t="s">
        <v>665</v>
      </c>
    </row>
    <row r="73" s="1" customFormat="1" ht="16.5" customHeight="1" spans="1:22">
      <c r="A73" s="12" t="s">
        <v>896</v>
      </c>
      <c r="B73" s="15" t="s">
        <v>32</v>
      </c>
      <c r="C73" s="13">
        <v>3</v>
      </c>
      <c r="D73" s="12" t="s">
        <v>897</v>
      </c>
      <c r="E73" s="14">
        <v>45688</v>
      </c>
      <c r="F73" s="14">
        <v>45693</v>
      </c>
      <c r="G73" s="15" t="s">
        <v>444</v>
      </c>
      <c r="H73" s="12" t="s">
        <v>445</v>
      </c>
      <c r="I73" s="15" t="s">
        <v>41</v>
      </c>
      <c r="J73" s="12" t="s">
        <v>660</v>
      </c>
      <c r="K73" s="15" t="s">
        <v>41</v>
      </c>
      <c r="L73" s="12" t="s">
        <v>492</v>
      </c>
      <c r="M73" s="15" t="s">
        <v>41</v>
      </c>
      <c r="N73" s="12" t="s">
        <v>898</v>
      </c>
      <c r="O73" s="21">
        <v>0.63</v>
      </c>
      <c r="P73" s="21">
        <v>0</v>
      </c>
      <c r="Q73" s="12" t="s">
        <v>899</v>
      </c>
      <c r="R73" s="12" t="s">
        <v>245</v>
      </c>
      <c r="S73" s="12" t="s">
        <v>36</v>
      </c>
      <c r="T73" s="12" t="s">
        <v>663</v>
      </c>
      <c r="U73" s="12" t="s">
        <v>900</v>
      </c>
      <c r="V73" s="12" t="s">
        <v>665</v>
      </c>
    </row>
    <row r="74" s="1" customFormat="1" ht="16.5" customHeight="1" spans="1:22">
      <c r="A74" s="8" t="s">
        <v>901</v>
      </c>
      <c r="B74" s="11" t="s">
        <v>32</v>
      </c>
      <c r="C74" s="9">
        <v>1</v>
      </c>
      <c r="D74" s="8" t="s">
        <v>902</v>
      </c>
      <c r="E74" s="10">
        <v>45688</v>
      </c>
      <c r="F74" s="10">
        <v>45693</v>
      </c>
      <c r="G74" s="11" t="s">
        <v>444</v>
      </c>
      <c r="H74" s="8" t="s">
        <v>445</v>
      </c>
      <c r="I74" s="11" t="s">
        <v>41</v>
      </c>
      <c r="J74" s="8" t="s">
        <v>660</v>
      </c>
      <c r="K74" s="11" t="s">
        <v>41</v>
      </c>
      <c r="L74" s="8" t="s">
        <v>492</v>
      </c>
      <c r="M74" s="11" t="s">
        <v>41</v>
      </c>
      <c r="N74" s="8" t="s">
        <v>903</v>
      </c>
      <c r="O74" s="19">
        <v>0</v>
      </c>
      <c r="P74" s="19">
        <v>61016.77</v>
      </c>
      <c r="Q74" s="8" t="s">
        <v>904</v>
      </c>
      <c r="R74" s="8" t="s">
        <v>258</v>
      </c>
      <c r="S74" s="8" t="s">
        <v>36</v>
      </c>
      <c r="T74" s="8" t="s">
        <v>663</v>
      </c>
      <c r="U74" s="8" t="s">
        <v>905</v>
      </c>
      <c r="V74" s="8" t="s">
        <v>665</v>
      </c>
    </row>
    <row r="75" s="1" customFormat="1" ht="16.5" customHeight="1" spans="1:22">
      <c r="A75" s="12" t="s">
        <v>906</v>
      </c>
      <c r="B75" s="15" t="s">
        <v>32</v>
      </c>
      <c r="C75" s="13">
        <v>1</v>
      </c>
      <c r="D75" s="12" t="s">
        <v>907</v>
      </c>
      <c r="E75" s="14">
        <v>45688</v>
      </c>
      <c r="F75" s="14">
        <v>45693</v>
      </c>
      <c r="G75" s="15" t="s">
        <v>444</v>
      </c>
      <c r="H75" s="12" t="s">
        <v>445</v>
      </c>
      <c r="I75" s="15" t="s">
        <v>41</v>
      </c>
      <c r="J75" s="12" t="s">
        <v>660</v>
      </c>
      <c r="K75" s="15" t="s">
        <v>41</v>
      </c>
      <c r="L75" s="12" t="s">
        <v>492</v>
      </c>
      <c r="M75" s="15" t="s">
        <v>41</v>
      </c>
      <c r="N75" s="12" t="s">
        <v>908</v>
      </c>
      <c r="O75" s="21">
        <v>0</v>
      </c>
      <c r="P75" s="21">
        <v>77995.01</v>
      </c>
      <c r="Q75" s="12" t="s">
        <v>909</v>
      </c>
      <c r="R75" s="12" t="s">
        <v>242</v>
      </c>
      <c r="S75" s="12" t="s">
        <v>36</v>
      </c>
      <c r="T75" s="12" t="s">
        <v>663</v>
      </c>
      <c r="U75" s="12" t="s">
        <v>910</v>
      </c>
      <c r="V75" s="12" t="s">
        <v>665</v>
      </c>
    </row>
    <row r="76" s="1" customFormat="1" ht="16.5" customHeight="1" spans="1:22">
      <c r="A76" s="8" t="s">
        <v>911</v>
      </c>
      <c r="B76" s="11" t="s">
        <v>32</v>
      </c>
      <c r="C76" s="9">
        <v>1</v>
      </c>
      <c r="D76" s="8" t="s">
        <v>912</v>
      </c>
      <c r="E76" s="10">
        <v>45688</v>
      </c>
      <c r="F76" s="10">
        <v>45693</v>
      </c>
      <c r="G76" s="11" t="s">
        <v>444</v>
      </c>
      <c r="H76" s="8" t="s">
        <v>445</v>
      </c>
      <c r="I76" s="11" t="s">
        <v>41</v>
      </c>
      <c r="J76" s="8" t="s">
        <v>660</v>
      </c>
      <c r="K76" s="11" t="s">
        <v>41</v>
      </c>
      <c r="L76" s="8" t="s">
        <v>492</v>
      </c>
      <c r="M76" s="11" t="s">
        <v>41</v>
      </c>
      <c r="N76" s="8" t="s">
        <v>913</v>
      </c>
      <c r="O76" s="19">
        <v>0</v>
      </c>
      <c r="P76" s="19">
        <v>7509.52</v>
      </c>
      <c r="Q76" s="8" t="s">
        <v>914</v>
      </c>
      <c r="R76" s="8" t="s">
        <v>270</v>
      </c>
      <c r="S76" s="8" t="s">
        <v>36</v>
      </c>
      <c r="T76" s="8" t="s">
        <v>663</v>
      </c>
      <c r="U76" s="8" t="s">
        <v>915</v>
      </c>
      <c r="V76" s="8" t="s">
        <v>665</v>
      </c>
    </row>
    <row r="77" s="1" customFormat="1" ht="16.5" customHeight="1" spans="1:22">
      <c r="A77" s="12" t="s">
        <v>916</v>
      </c>
      <c r="B77" s="15" t="s">
        <v>32</v>
      </c>
      <c r="C77" s="13">
        <v>1</v>
      </c>
      <c r="D77" s="12" t="s">
        <v>917</v>
      </c>
      <c r="E77" s="14">
        <v>45688</v>
      </c>
      <c r="F77" s="14">
        <v>45693</v>
      </c>
      <c r="G77" s="15" t="s">
        <v>444</v>
      </c>
      <c r="H77" s="12" t="s">
        <v>445</v>
      </c>
      <c r="I77" s="15" t="s">
        <v>41</v>
      </c>
      <c r="J77" s="12" t="s">
        <v>660</v>
      </c>
      <c r="K77" s="15" t="s">
        <v>41</v>
      </c>
      <c r="L77" s="12" t="s">
        <v>492</v>
      </c>
      <c r="M77" s="15" t="s">
        <v>41</v>
      </c>
      <c r="N77" s="12" t="s">
        <v>918</v>
      </c>
      <c r="O77" s="21">
        <v>0</v>
      </c>
      <c r="P77" s="21">
        <v>149855.09</v>
      </c>
      <c r="Q77" s="12" t="s">
        <v>919</v>
      </c>
      <c r="R77" s="12" t="s">
        <v>260</v>
      </c>
      <c r="S77" s="12" t="s">
        <v>36</v>
      </c>
      <c r="T77" s="12" t="s">
        <v>663</v>
      </c>
      <c r="U77" s="12" t="s">
        <v>920</v>
      </c>
      <c r="V77" s="12" t="s">
        <v>665</v>
      </c>
    </row>
    <row r="78" s="1" customFormat="1" ht="16.5" customHeight="1" spans="1:22">
      <c r="A78" s="8" t="s">
        <v>916</v>
      </c>
      <c r="B78" s="11" t="s">
        <v>32</v>
      </c>
      <c r="C78" s="9">
        <v>3</v>
      </c>
      <c r="D78" s="8" t="s">
        <v>917</v>
      </c>
      <c r="E78" s="10">
        <v>45688</v>
      </c>
      <c r="F78" s="10">
        <v>45693</v>
      </c>
      <c r="G78" s="11" t="s">
        <v>444</v>
      </c>
      <c r="H78" s="8" t="s">
        <v>445</v>
      </c>
      <c r="I78" s="11" t="s">
        <v>41</v>
      </c>
      <c r="J78" s="8" t="s">
        <v>660</v>
      </c>
      <c r="K78" s="11" t="s">
        <v>41</v>
      </c>
      <c r="L78" s="8" t="s">
        <v>492</v>
      </c>
      <c r="M78" s="11" t="s">
        <v>41</v>
      </c>
      <c r="N78" s="8" t="s">
        <v>918</v>
      </c>
      <c r="O78" s="19">
        <v>1494.84</v>
      </c>
      <c r="P78" s="19">
        <v>0</v>
      </c>
      <c r="Q78" s="8" t="s">
        <v>919</v>
      </c>
      <c r="R78" s="8" t="s">
        <v>260</v>
      </c>
      <c r="S78" s="8" t="s">
        <v>36</v>
      </c>
      <c r="T78" s="8" t="s">
        <v>663</v>
      </c>
      <c r="U78" s="8" t="s">
        <v>920</v>
      </c>
      <c r="V78" s="8" t="s">
        <v>665</v>
      </c>
    </row>
    <row r="79" s="1" customFormat="1" ht="16.5" customHeight="1" spans="1:22">
      <c r="A79" s="12" t="s">
        <v>921</v>
      </c>
      <c r="B79" s="15" t="s">
        <v>32</v>
      </c>
      <c r="C79" s="13">
        <v>1</v>
      </c>
      <c r="D79" s="12" t="s">
        <v>922</v>
      </c>
      <c r="E79" s="14">
        <v>45688</v>
      </c>
      <c r="F79" s="14">
        <v>45693</v>
      </c>
      <c r="G79" s="15" t="s">
        <v>444</v>
      </c>
      <c r="H79" s="12" t="s">
        <v>445</v>
      </c>
      <c r="I79" s="15" t="s">
        <v>41</v>
      </c>
      <c r="J79" s="12" t="s">
        <v>660</v>
      </c>
      <c r="K79" s="15" t="s">
        <v>41</v>
      </c>
      <c r="L79" s="12" t="s">
        <v>492</v>
      </c>
      <c r="M79" s="15" t="s">
        <v>41</v>
      </c>
      <c r="N79" s="12" t="s">
        <v>923</v>
      </c>
      <c r="O79" s="21">
        <v>0</v>
      </c>
      <c r="P79" s="21">
        <v>0.01</v>
      </c>
      <c r="Q79" s="12" t="s">
        <v>919</v>
      </c>
      <c r="R79" s="12" t="s">
        <v>260</v>
      </c>
      <c r="S79" s="12" t="s">
        <v>36</v>
      </c>
      <c r="T79" s="12" t="s">
        <v>663</v>
      </c>
      <c r="U79" s="12" t="s">
        <v>924</v>
      </c>
      <c r="V79" s="12" t="s">
        <v>665</v>
      </c>
    </row>
    <row r="80" s="1" customFormat="1" ht="16.5" customHeight="1" spans="1:22">
      <c r="A80" s="8" t="s">
        <v>925</v>
      </c>
      <c r="B80" s="11" t="s">
        <v>32</v>
      </c>
      <c r="C80" s="9">
        <v>1</v>
      </c>
      <c r="D80" s="8" t="s">
        <v>926</v>
      </c>
      <c r="E80" s="10">
        <v>45688</v>
      </c>
      <c r="F80" s="10">
        <v>45693</v>
      </c>
      <c r="G80" s="11" t="s">
        <v>444</v>
      </c>
      <c r="H80" s="8" t="s">
        <v>445</v>
      </c>
      <c r="I80" s="11" t="s">
        <v>41</v>
      </c>
      <c r="J80" s="8" t="s">
        <v>660</v>
      </c>
      <c r="K80" s="11" t="s">
        <v>41</v>
      </c>
      <c r="L80" s="8" t="s">
        <v>492</v>
      </c>
      <c r="M80" s="11" t="s">
        <v>41</v>
      </c>
      <c r="N80" s="8" t="s">
        <v>927</v>
      </c>
      <c r="O80" s="19">
        <v>0</v>
      </c>
      <c r="P80" s="19">
        <v>119091.84</v>
      </c>
      <c r="Q80" s="8" t="s">
        <v>928</v>
      </c>
      <c r="R80" s="8" t="s">
        <v>241</v>
      </c>
      <c r="S80" s="8" t="s">
        <v>36</v>
      </c>
      <c r="T80" s="8" t="s">
        <v>663</v>
      </c>
      <c r="U80" s="8" t="s">
        <v>929</v>
      </c>
      <c r="V80" s="8" t="s">
        <v>665</v>
      </c>
    </row>
    <row r="81" s="1" customFormat="1" ht="16.5" customHeight="1" spans="1:22">
      <c r="A81" s="12" t="s">
        <v>930</v>
      </c>
      <c r="B81" s="15" t="s">
        <v>32</v>
      </c>
      <c r="C81" s="13">
        <v>1</v>
      </c>
      <c r="D81" s="12" t="s">
        <v>931</v>
      </c>
      <c r="E81" s="14">
        <v>45688</v>
      </c>
      <c r="F81" s="14">
        <v>45693</v>
      </c>
      <c r="G81" s="15" t="s">
        <v>444</v>
      </c>
      <c r="H81" s="12" t="s">
        <v>445</v>
      </c>
      <c r="I81" s="15" t="s">
        <v>41</v>
      </c>
      <c r="J81" s="12" t="s">
        <v>660</v>
      </c>
      <c r="K81" s="15" t="s">
        <v>41</v>
      </c>
      <c r="L81" s="12" t="s">
        <v>492</v>
      </c>
      <c r="M81" s="15" t="s">
        <v>41</v>
      </c>
      <c r="N81" s="12" t="s">
        <v>875</v>
      </c>
      <c r="O81" s="21">
        <v>0</v>
      </c>
      <c r="P81" s="21">
        <v>4843.63</v>
      </c>
      <c r="Q81" s="12" t="s">
        <v>876</v>
      </c>
      <c r="R81" s="12" t="s">
        <v>272</v>
      </c>
      <c r="S81" s="12" t="s">
        <v>36</v>
      </c>
      <c r="T81" s="12" t="s">
        <v>663</v>
      </c>
      <c r="U81" s="12" t="s">
        <v>932</v>
      </c>
      <c r="V81" s="12" t="s">
        <v>665</v>
      </c>
    </row>
    <row r="82" s="1" customFormat="1" ht="16.5" customHeight="1" spans="1:22">
      <c r="A82" s="8" t="s">
        <v>933</v>
      </c>
      <c r="B82" s="11" t="s">
        <v>32</v>
      </c>
      <c r="C82" s="9">
        <v>3</v>
      </c>
      <c r="D82" s="8" t="s">
        <v>934</v>
      </c>
      <c r="E82" s="10">
        <v>45688</v>
      </c>
      <c r="F82" s="10">
        <v>45693</v>
      </c>
      <c r="G82" s="11" t="s">
        <v>444</v>
      </c>
      <c r="H82" s="8" t="s">
        <v>445</v>
      </c>
      <c r="I82" s="11" t="s">
        <v>41</v>
      </c>
      <c r="J82" s="8" t="s">
        <v>660</v>
      </c>
      <c r="K82" s="11" t="s">
        <v>41</v>
      </c>
      <c r="L82" s="8" t="s">
        <v>492</v>
      </c>
      <c r="M82" s="11" t="s">
        <v>41</v>
      </c>
      <c r="N82" s="8" t="s">
        <v>715</v>
      </c>
      <c r="O82" s="19">
        <v>72345.13</v>
      </c>
      <c r="P82" s="19">
        <v>0</v>
      </c>
      <c r="Q82" s="8" t="s">
        <v>34</v>
      </c>
      <c r="R82" s="8" t="s">
        <v>277</v>
      </c>
      <c r="S82" s="8" t="s">
        <v>36</v>
      </c>
      <c r="T82" s="8" t="s">
        <v>663</v>
      </c>
      <c r="U82" s="8" t="s">
        <v>47</v>
      </c>
      <c r="V82" s="8" t="s">
        <v>665</v>
      </c>
    </row>
    <row r="83" s="1" customFormat="1" ht="16.5" customHeight="1" spans="1:22">
      <c r="A83" s="12" t="s">
        <v>933</v>
      </c>
      <c r="B83" s="15" t="s">
        <v>32</v>
      </c>
      <c r="C83" s="13">
        <v>1</v>
      </c>
      <c r="D83" s="12" t="s">
        <v>934</v>
      </c>
      <c r="E83" s="14">
        <v>45688</v>
      </c>
      <c r="F83" s="14">
        <v>45693</v>
      </c>
      <c r="G83" s="15" t="s">
        <v>444</v>
      </c>
      <c r="H83" s="12" t="s">
        <v>445</v>
      </c>
      <c r="I83" s="15" t="s">
        <v>41</v>
      </c>
      <c r="J83" s="12" t="s">
        <v>660</v>
      </c>
      <c r="K83" s="15" t="s">
        <v>41</v>
      </c>
      <c r="L83" s="12" t="s">
        <v>492</v>
      </c>
      <c r="M83" s="15" t="s">
        <v>41</v>
      </c>
      <c r="N83" s="12" t="s">
        <v>715</v>
      </c>
      <c r="O83" s="21">
        <v>0</v>
      </c>
      <c r="P83" s="21">
        <v>561668.88</v>
      </c>
      <c r="Q83" s="12" t="s">
        <v>34</v>
      </c>
      <c r="R83" s="12" t="s">
        <v>277</v>
      </c>
      <c r="S83" s="12" t="s">
        <v>36</v>
      </c>
      <c r="T83" s="12" t="s">
        <v>663</v>
      </c>
      <c r="U83" s="12" t="s">
        <v>47</v>
      </c>
      <c r="V83" s="12" t="s">
        <v>665</v>
      </c>
    </row>
    <row r="84" s="1" customFormat="1" ht="16.5" customHeight="1" spans="1:22">
      <c r="A84" s="8" t="s">
        <v>935</v>
      </c>
      <c r="B84" s="11" t="s">
        <v>32</v>
      </c>
      <c r="C84" s="9">
        <v>3</v>
      </c>
      <c r="D84" s="8" t="s">
        <v>936</v>
      </c>
      <c r="E84" s="10">
        <v>45688</v>
      </c>
      <c r="F84" s="10">
        <v>45693</v>
      </c>
      <c r="G84" s="11" t="s">
        <v>444</v>
      </c>
      <c r="H84" s="8" t="s">
        <v>445</v>
      </c>
      <c r="I84" s="11" t="s">
        <v>41</v>
      </c>
      <c r="J84" s="8" t="s">
        <v>660</v>
      </c>
      <c r="K84" s="11" t="s">
        <v>41</v>
      </c>
      <c r="L84" s="8" t="s">
        <v>492</v>
      </c>
      <c r="M84" s="11" t="s">
        <v>41</v>
      </c>
      <c r="N84" s="8" t="s">
        <v>937</v>
      </c>
      <c r="O84" s="19">
        <v>5617.51</v>
      </c>
      <c r="P84" s="19">
        <v>0</v>
      </c>
      <c r="Q84" s="8" t="s">
        <v>938</v>
      </c>
      <c r="R84" s="8" t="s">
        <v>253</v>
      </c>
      <c r="S84" s="8" t="s">
        <v>36</v>
      </c>
      <c r="T84" s="8" t="s">
        <v>663</v>
      </c>
      <c r="U84" s="8" t="s">
        <v>939</v>
      </c>
      <c r="V84" s="8" t="s">
        <v>665</v>
      </c>
    </row>
    <row r="85" s="1" customFormat="1" ht="16.5" customHeight="1" spans="1:22">
      <c r="A85" s="12" t="s">
        <v>935</v>
      </c>
      <c r="B85" s="15" t="s">
        <v>32</v>
      </c>
      <c r="C85" s="13">
        <v>1</v>
      </c>
      <c r="D85" s="12" t="s">
        <v>936</v>
      </c>
      <c r="E85" s="14">
        <v>45688</v>
      </c>
      <c r="F85" s="14">
        <v>45693</v>
      </c>
      <c r="G85" s="15" t="s">
        <v>444</v>
      </c>
      <c r="H85" s="12" t="s">
        <v>445</v>
      </c>
      <c r="I85" s="15" t="s">
        <v>41</v>
      </c>
      <c r="J85" s="12" t="s">
        <v>660</v>
      </c>
      <c r="K85" s="15" t="s">
        <v>41</v>
      </c>
      <c r="L85" s="12" t="s">
        <v>492</v>
      </c>
      <c r="M85" s="15" t="s">
        <v>41</v>
      </c>
      <c r="N85" s="12" t="s">
        <v>937</v>
      </c>
      <c r="O85" s="21">
        <v>0</v>
      </c>
      <c r="P85" s="21">
        <v>141073.87</v>
      </c>
      <c r="Q85" s="12" t="s">
        <v>938</v>
      </c>
      <c r="R85" s="12" t="s">
        <v>253</v>
      </c>
      <c r="S85" s="12" t="s">
        <v>36</v>
      </c>
      <c r="T85" s="12" t="s">
        <v>663</v>
      </c>
      <c r="U85" s="12" t="s">
        <v>939</v>
      </c>
      <c r="V85" s="12" t="s">
        <v>665</v>
      </c>
    </row>
    <row r="86" s="1" customFormat="1" ht="16.5" customHeight="1" spans="1:22">
      <c r="A86" s="8" t="s">
        <v>940</v>
      </c>
      <c r="B86" s="11" t="s">
        <v>32</v>
      </c>
      <c r="C86" s="9">
        <v>1</v>
      </c>
      <c r="D86" s="8" t="s">
        <v>941</v>
      </c>
      <c r="E86" s="10">
        <v>45688</v>
      </c>
      <c r="F86" s="10">
        <v>45693</v>
      </c>
      <c r="G86" s="11" t="s">
        <v>444</v>
      </c>
      <c r="H86" s="8" t="s">
        <v>445</v>
      </c>
      <c r="I86" s="11" t="s">
        <v>41</v>
      </c>
      <c r="J86" s="8" t="s">
        <v>660</v>
      </c>
      <c r="K86" s="11" t="s">
        <v>41</v>
      </c>
      <c r="L86" s="8" t="s">
        <v>492</v>
      </c>
      <c r="M86" s="11" t="s">
        <v>41</v>
      </c>
      <c r="N86" s="8" t="s">
        <v>942</v>
      </c>
      <c r="O86" s="19">
        <v>0.09</v>
      </c>
      <c r="P86" s="19">
        <v>0</v>
      </c>
      <c r="Q86" s="8" t="s">
        <v>938</v>
      </c>
      <c r="R86" s="8" t="s">
        <v>253</v>
      </c>
      <c r="S86" s="8" t="s">
        <v>36</v>
      </c>
      <c r="T86" s="8" t="s">
        <v>663</v>
      </c>
      <c r="U86" s="8" t="s">
        <v>943</v>
      </c>
      <c r="V86" s="8" t="s">
        <v>665</v>
      </c>
    </row>
    <row r="87" s="1" customFormat="1" ht="16.5" customHeight="1" spans="1:22">
      <c r="A87" s="12" t="s">
        <v>944</v>
      </c>
      <c r="B87" s="15" t="s">
        <v>32</v>
      </c>
      <c r="C87" s="13">
        <v>1</v>
      </c>
      <c r="D87" s="12" t="s">
        <v>945</v>
      </c>
      <c r="E87" s="14">
        <v>45688</v>
      </c>
      <c r="F87" s="14">
        <v>45693</v>
      </c>
      <c r="G87" s="15" t="s">
        <v>444</v>
      </c>
      <c r="H87" s="12" t="s">
        <v>445</v>
      </c>
      <c r="I87" s="15" t="s">
        <v>41</v>
      </c>
      <c r="J87" s="12" t="s">
        <v>660</v>
      </c>
      <c r="K87" s="15" t="s">
        <v>41</v>
      </c>
      <c r="L87" s="12" t="s">
        <v>492</v>
      </c>
      <c r="M87" s="15" t="s">
        <v>41</v>
      </c>
      <c r="N87" s="12" t="s">
        <v>946</v>
      </c>
      <c r="O87" s="21">
        <v>0</v>
      </c>
      <c r="P87" s="21">
        <v>147549.22</v>
      </c>
      <c r="Q87" s="12" t="s">
        <v>947</v>
      </c>
      <c r="R87" s="12" t="s">
        <v>300</v>
      </c>
      <c r="S87" s="12" t="s">
        <v>36</v>
      </c>
      <c r="T87" s="12" t="s">
        <v>663</v>
      </c>
      <c r="U87" s="12" t="s">
        <v>948</v>
      </c>
      <c r="V87" s="12" t="s">
        <v>665</v>
      </c>
    </row>
    <row r="88" s="1" customFormat="1" ht="16.5" customHeight="1" spans="1:22">
      <c r="A88" s="8" t="s">
        <v>949</v>
      </c>
      <c r="B88" s="11" t="s">
        <v>32</v>
      </c>
      <c r="C88" s="9">
        <v>1</v>
      </c>
      <c r="D88" s="8" t="s">
        <v>950</v>
      </c>
      <c r="E88" s="10">
        <v>45688</v>
      </c>
      <c r="F88" s="10">
        <v>45693</v>
      </c>
      <c r="G88" s="11" t="s">
        <v>444</v>
      </c>
      <c r="H88" s="8" t="s">
        <v>445</v>
      </c>
      <c r="I88" s="11" t="s">
        <v>41</v>
      </c>
      <c r="J88" s="8" t="s">
        <v>660</v>
      </c>
      <c r="K88" s="11" t="s">
        <v>41</v>
      </c>
      <c r="L88" s="8" t="s">
        <v>492</v>
      </c>
      <c r="M88" s="11" t="s">
        <v>41</v>
      </c>
      <c r="N88" s="8" t="s">
        <v>951</v>
      </c>
      <c r="O88" s="19">
        <v>0</v>
      </c>
      <c r="P88" s="19">
        <v>1071771.08</v>
      </c>
      <c r="Q88" s="8" t="s">
        <v>952</v>
      </c>
      <c r="R88" s="8" t="s">
        <v>264</v>
      </c>
      <c r="S88" s="8" t="s">
        <v>36</v>
      </c>
      <c r="T88" s="8" t="s">
        <v>663</v>
      </c>
      <c r="U88" s="8" t="s">
        <v>953</v>
      </c>
      <c r="V88" s="8" t="s">
        <v>665</v>
      </c>
    </row>
    <row r="89" s="1" customFormat="1" ht="16.5" customHeight="1" spans="1:22">
      <c r="A89" s="12" t="s">
        <v>949</v>
      </c>
      <c r="B89" s="15" t="s">
        <v>32</v>
      </c>
      <c r="C89" s="13">
        <v>4</v>
      </c>
      <c r="D89" s="12" t="s">
        <v>950</v>
      </c>
      <c r="E89" s="14">
        <v>45688</v>
      </c>
      <c r="F89" s="14">
        <v>45693</v>
      </c>
      <c r="G89" s="15" t="s">
        <v>444</v>
      </c>
      <c r="H89" s="12" t="s">
        <v>445</v>
      </c>
      <c r="I89" s="15" t="s">
        <v>41</v>
      </c>
      <c r="J89" s="12" t="s">
        <v>660</v>
      </c>
      <c r="K89" s="15" t="s">
        <v>41</v>
      </c>
      <c r="L89" s="12" t="s">
        <v>492</v>
      </c>
      <c r="M89" s="15" t="s">
        <v>41</v>
      </c>
      <c r="N89" s="12" t="s">
        <v>951</v>
      </c>
      <c r="O89" s="21">
        <v>4791.1</v>
      </c>
      <c r="P89" s="21">
        <v>0</v>
      </c>
      <c r="Q89" s="12" t="s">
        <v>952</v>
      </c>
      <c r="R89" s="12" t="s">
        <v>264</v>
      </c>
      <c r="S89" s="12" t="s">
        <v>36</v>
      </c>
      <c r="T89" s="12" t="s">
        <v>663</v>
      </c>
      <c r="U89" s="12" t="s">
        <v>953</v>
      </c>
      <c r="V89" s="12" t="s">
        <v>665</v>
      </c>
    </row>
    <row r="90" s="1" customFormat="1" ht="16.5" customHeight="1" spans="1:22">
      <c r="A90" s="8" t="s">
        <v>954</v>
      </c>
      <c r="B90" s="11" t="s">
        <v>32</v>
      </c>
      <c r="C90" s="9">
        <v>1</v>
      </c>
      <c r="D90" s="8" t="s">
        <v>955</v>
      </c>
      <c r="E90" s="10">
        <v>45688</v>
      </c>
      <c r="F90" s="10">
        <v>45693</v>
      </c>
      <c r="G90" s="11" t="s">
        <v>444</v>
      </c>
      <c r="H90" s="8" t="s">
        <v>445</v>
      </c>
      <c r="I90" s="11" t="s">
        <v>41</v>
      </c>
      <c r="J90" s="8" t="s">
        <v>660</v>
      </c>
      <c r="K90" s="11" t="s">
        <v>41</v>
      </c>
      <c r="L90" s="8" t="s">
        <v>492</v>
      </c>
      <c r="M90" s="11" t="s">
        <v>41</v>
      </c>
      <c r="N90" s="8" t="s">
        <v>956</v>
      </c>
      <c r="O90" s="19">
        <v>0</v>
      </c>
      <c r="P90" s="19">
        <v>0.01</v>
      </c>
      <c r="Q90" s="8" t="s">
        <v>952</v>
      </c>
      <c r="R90" s="8" t="s">
        <v>264</v>
      </c>
      <c r="S90" s="8" t="s">
        <v>36</v>
      </c>
      <c r="T90" s="8" t="s">
        <v>663</v>
      </c>
      <c r="U90" s="8" t="s">
        <v>957</v>
      </c>
      <c r="V90" s="8" t="s">
        <v>665</v>
      </c>
    </row>
    <row r="91" s="1" customFormat="1" ht="16.5" customHeight="1" spans="1:22">
      <c r="A91" s="12" t="s">
        <v>954</v>
      </c>
      <c r="B91" s="15" t="s">
        <v>32</v>
      </c>
      <c r="C91" s="13">
        <v>3</v>
      </c>
      <c r="D91" s="12" t="s">
        <v>955</v>
      </c>
      <c r="E91" s="14">
        <v>45688</v>
      </c>
      <c r="F91" s="14">
        <v>45693</v>
      </c>
      <c r="G91" s="15" t="s">
        <v>444</v>
      </c>
      <c r="H91" s="12" t="s">
        <v>445</v>
      </c>
      <c r="I91" s="15" t="s">
        <v>41</v>
      </c>
      <c r="J91" s="12" t="s">
        <v>660</v>
      </c>
      <c r="K91" s="15" t="s">
        <v>41</v>
      </c>
      <c r="L91" s="12" t="s">
        <v>492</v>
      </c>
      <c r="M91" s="15" t="s">
        <v>41</v>
      </c>
      <c r="N91" s="12" t="s">
        <v>956</v>
      </c>
      <c r="O91" s="21">
        <v>0.11</v>
      </c>
      <c r="P91" s="21">
        <v>0</v>
      </c>
      <c r="Q91" s="12" t="s">
        <v>952</v>
      </c>
      <c r="R91" s="12" t="s">
        <v>264</v>
      </c>
      <c r="S91" s="12" t="s">
        <v>36</v>
      </c>
      <c r="T91" s="12" t="s">
        <v>663</v>
      </c>
      <c r="U91" s="12" t="s">
        <v>957</v>
      </c>
      <c r="V91" s="12" t="s">
        <v>665</v>
      </c>
    </row>
    <row r="92" s="1" customFormat="1" ht="16.5" customHeight="1" spans="1:22">
      <c r="A92" s="8" t="s">
        <v>958</v>
      </c>
      <c r="B92" s="11" t="s">
        <v>32</v>
      </c>
      <c r="C92" s="9">
        <v>3</v>
      </c>
      <c r="D92" s="8" t="s">
        <v>959</v>
      </c>
      <c r="E92" s="10">
        <v>45688</v>
      </c>
      <c r="F92" s="10">
        <v>45693</v>
      </c>
      <c r="G92" s="11" t="s">
        <v>444</v>
      </c>
      <c r="H92" s="8" t="s">
        <v>445</v>
      </c>
      <c r="I92" s="11" t="s">
        <v>41</v>
      </c>
      <c r="J92" s="8" t="s">
        <v>660</v>
      </c>
      <c r="K92" s="11" t="s">
        <v>41</v>
      </c>
      <c r="L92" s="8" t="s">
        <v>492</v>
      </c>
      <c r="M92" s="11" t="s">
        <v>41</v>
      </c>
      <c r="N92" s="8" t="s">
        <v>960</v>
      </c>
      <c r="O92" s="19">
        <v>3418.99</v>
      </c>
      <c r="P92" s="19">
        <v>0</v>
      </c>
      <c r="Q92" s="8" t="s">
        <v>961</v>
      </c>
      <c r="R92" s="8" t="s">
        <v>254</v>
      </c>
      <c r="S92" s="8" t="s">
        <v>36</v>
      </c>
      <c r="T92" s="8" t="s">
        <v>663</v>
      </c>
      <c r="U92" s="8" t="s">
        <v>962</v>
      </c>
      <c r="V92" s="8" t="s">
        <v>665</v>
      </c>
    </row>
    <row r="93" s="1" customFormat="1" ht="16.5" customHeight="1" spans="1:22">
      <c r="A93" s="12" t="s">
        <v>958</v>
      </c>
      <c r="B93" s="15" t="s">
        <v>32</v>
      </c>
      <c r="C93" s="13">
        <v>1</v>
      </c>
      <c r="D93" s="12" t="s">
        <v>959</v>
      </c>
      <c r="E93" s="14">
        <v>45688</v>
      </c>
      <c r="F93" s="14">
        <v>45693</v>
      </c>
      <c r="G93" s="15" t="s">
        <v>444</v>
      </c>
      <c r="H93" s="12" t="s">
        <v>445</v>
      </c>
      <c r="I93" s="15" t="s">
        <v>41</v>
      </c>
      <c r="J93" s="12" t="s">
        <v>660</v>
      </c>
      <c r="K93" s="15" t="s">
        <v>41</v>
      </c>
      <c r="L93" s="12" t="s">
        <v>492</v>
      </c>
      <c r="M93" s="15" t="s">
        <v>41</v>
      </c>
      <c r="N93" s="12" t="s">
        <v>960</v>
      </c>
      <c r="O93" s="21">
        <v>0</v>
      </c>
      <c r="P93" s="21">
        <v>886770.37</v>
      </c>
      <c r="Q93" s="12" t="s">
        <v>961</v>
      </c>
      <c r="R93" s="12" t="s">
        <v>254</v>
      </c>
      <c r="S93" s="12" t="s">
        <v>36</v>
      </c>
      <c r="T93" s="12" t="s">
        <v>663</v>
      </c>
      <c r="U93" s="12" t="s">
        <v>962</v>
      </c>
      <c r="V93" s="12" t="s">
        <v>665</v>
      </c>
    </row>
    <row r="94" s="1" customFormat="1" ht="16.5" customHeight="1" spans="1:22">
      <c r="A94" s="8" t="s">
        <v>963</v>
      </c>
      <c r="B94" s="11" t="s">
        <v>32</v>
      </c>
      <c r="C94" s="9">
        <v>1</v>
      </c>
      <c r="D94" s="8" t="s">
        <v>964</v>
      </c>
      <c r="E94" s="10">
        <v>45688</v>
      </c>
      <c r="F94" s="10">
        <v>45693</v>
      </c>
      <c r="G94" s="11" t="s">
        <v>444</v>
      </c>
      <c r="H94" s="8" t="s">
        <v>445</v>
      </c>
      <c r="I94" s="11" t="s">
        <v>41</v>
      </c>
      <c r="J94" s="8" t="s">
        <v>660</v>
      </c>
      <c r="K94" s="11" t="s">
        <v>41</v>
      </c>
      <c r="L94" s="8" t="s">
        <v>492</v>
      </c>
      <c r="M94" s="11" t="s">
        <v>41</v>
      </c>
      <c r="N94" s="8" t="s">
        <v>965</v>
      </c>
      <c r="O94" s="19">
        <v>0</v>
      </c>
      <c r="P94" s="19">
        <v>0.01</v>
      </c>
      <c r="Q94" s="8" t="s">
        <v>961</v>
      </c>
      <c r="R94" s="8" t="s">
        <v>254</v>
      </c>
      <c r="S94" s="8" t="s">
        <v>36</v>
      </c>
      <c r="T94" s="8" t="s">
        <v>663</v>
      </c>
      <c r="U94" s="8" t="s">
        <v>966</v>
      </c>
      <c r="V94" s="8" t="s">
        <v>665</v>
      </c>
    </row>
    <row r="95" s="1" customFormat="1" ht="16.5" customHeight="1" spans="1:22">
      <c r="A95" s="12" t="s">
        <v>967</v>
      </c>
      <c r="B95" s="15" t="s">
        <v>32</v>
      </c>
      <c r="C95" s="13">
        <v>1</v>
      </c>
      <c r="D95" s="12" t="s">
        <v>968</v>
      </c>
      <c r="E95" s="14">
        <v>45688</v>
      </c>
      <c r="F95" s="14">
        <v>45693</v>
      </c>
      <c r="G95" s="15" t="s">
        <v>444</v>
      </c>
      <c r="H95" s="12" t="s">
        <v>445</v>
      </c>
      <c r="I95" s="15" t="s">
        <v>41</v>
      </c>
      <c r="J95" s="12" t="s">
        <v>660</v>
      </c>
      <c r="K95" s="15" t="s">
        <v>41</v>
      </c>
      <c r="L95" s="12" t="s">
        <v>492</v>
      </c>
      <c r="M95" s="15" t="s">
        <v>41</v>
      </c>
      <c r="N95" s="12" t="s">
        <v>969</v>
      </c>
      <c r="O95" s="21">
        <v>0</v>
      </c>
      <c r="P95" s="21">
        <v>89.5</v>
      </c>
      <c r="Q95" s="12" t="s">
        <v>816</v>
      </c>
      <c r="R95" s="12" t="s">
        <v>301</v>
      </c>
      <c r="S95" s="12" t="s">
        <v>36</v>
      </c>
      <c r="T95" s="12" t="s">
        <v>663</v>
      </c>
      <c r="U95" s="12" t="s">
        <v>970</v>
      </c>
      <c r="V95" s="12" t="s">
        <v>665</v>
      </c>
    </row>
    <row r="96" s="1" customFormat="1" ht="16.5" customHeight="1" spans="1:22">
      <c r="A96" s="8" t="s">
        <v>971</v>
      </c>
      <c r="B96" s="11" t="s">
        <v>32</v>
      </c>
      <c r="C96" s="9">
        <v>1</v>
      </c>
      <c r="D96" s="8" t="s">
        <v>972</v>
      </c>
      <c r="E96" s="10">
        <v>45688</v>
      </c>
      <c r="F96" s="10">
        <v>45693</v>
      </c>
      <c r="G96" s="11" t="s">
        <v>444</v>
      </c>
      <c r="H96" s="8" t="s">
        <v>445</v>
      </c>
      <c r="I96" s="11" t="s">
        <v>41</v>
      </c>
      <c r="J96" s="8" t="s">
        <v>660</v>
      </c>
      <c r="K96" s="11" t="s">
        <v>41</v>
      </c>
      <c r="L96" s="8" t="s">
        <v>492</v>
      </c>
      <c r="M96" s="11" t="s">
        <v>41</v>
      </c>
      <c r="N96" s="8" t="s">
        <v>960</v>
      </c>
      <c r="O96" s="19">
        <v>0</v>
      </c>
      <c r="P96" s="19">
        <v>31103.28</v>
      </c>
      <c r="Q96" s="8" t="s">
        <v>961</v>
      </c>
      <c r="R96" s="8" t="s">
        <v>254</v>
      </c>
      <c r="S96" s="8" t="s">
        <v>36</v>
      </c>
      <c r="T96" s="8" t="s">
        <v>663</v>
      </c>
      <c r="U96" s="8" t="s">
        <v>973</v>
      </c>
      <c r="V96" s="8" t="s">
        <v>665</v>
      </c>
    </row>
    <row r="97" s="1" customFormat="1" ht="16.5" customHeight="1" spans="1:22">
      <c r="A97" s="12" t="s">
        <v>971</v>
      </c>
      <c r="B97" s="15" t="s">
        <v>32</v>
      </c>
      <c r="C97" s="13">
        <v>3</v>
      </c>
      <c r="D97" s="12" t="s">
        <v>972</v>
      </c>
      <c r="E97" s="14">
        <v>45688</v>
      </c>
      <c r="F97" s="14">
        <v>45693</v>
      </c>
      <c r="G97" s="15" t="s">
        <v>444</v>
      </c>
      <c r="H97" s="12" t="s">
        <v>445</v>
      </c>
      <c r="I97" s="15" t="s">
        <v>41</v>
      </c>
      <c r="J97" s="12" t="s">
        <v>660</v>
      </c>
      <c r="K97" s="15" t="s">
        <v>41</v>
      </c>
      <c r="L97" s="12" t="s">
        <v>492</v>
      </c>
      <c r="M97" s="15" t="s">
        <v>41</v>
      </c>
      <c r="N97" s="12" t="s">
        <v>960</v>
      </c>
      <c r="O97" s="21">
        <v>1251.72</v>
      </c>
      <c r="P97" s="21">
        <v>0</v>
      </c>
      <c r="Q97" s="12" t="s">
        <v>961</v>
      </c>
      <c r="R97" s="12" t="s">
        <v>254</v>
      </c>
      <c r="S97" s="12" t="s">
        <v>36</v>
      </c>
      <c r="T97" s="12" t="s">
        <v>663</v>
      </c>
      <c r="U97" s="12" t="s">
        <v>973</v>
      </c>
      <c r="V97" s="12" t="s">
        <v>665</v>
      </c>
    </row>
    <row r="98" s="1" customFormat="1" ht="16.5" customHeight="1" spans="1:22">
      <c r="A98" s="8" t="s">
        <v>974</v>
      </c>
      <c r="B98" s="11" t="s">
        <v>32</v>
      </c>
      <c r="C98" s="9">
        <v>1</v>
      </c>
      <c r="D98" s="8" t="s">
        <v>975</v>
      </c>
      <c r="E98" s="10">
        <v>45688</v>
      </c>
      <c r="F98" s="10">
        <v>45693</v>
      </c>
      <c r="G98" s="11" t="s">
        <v>444</v>
      </c>
      <c r="H98" s="8" t="s">
        <v>445</v>
      </c>
      <c r="I98" s="11" t="s">
        <v>41</v>
      </c>
      <c r="J98" s="8" t="s">
        <v>660</v>
      </c>
      <c r="K98" s="11" t="s">
        <v>41</v>
      </c>
      <c r="L98" s="8" t="s">
        <v>492</v>
      </c>
      <c r="M98" s="11" t="s">
        <v>41</v>
      </c>
      <c r="N98" s="8" t="s">
        <v>960</v>
      </c>
      <c r="O98" s="19">
        <v>0</v>
      </c>
      <c r="P98" s="19">
        <v>0.01</v>
      </c>
      <c r="Q98" s="8" t="s">
        <v>961</v>
      </c>
      <c r="R98" s="8" t="s">
        <v>254</v>
      </c>
      <c r="S98" s="8" t="s">
        <v>36</v>
      </c>
      <c r="T98" s="8" t="s">
        <v>663</v>
      </c>
      <c r="U98" s="8" t="s">
        <v>976</v>
      </c>
      <c r="V98" s="8" t="s">
        <v>665</v>
      </c>
    </row>
    <row r="99" s="1" customFormat="1" ht="16.5" customHeight="1" spans="1:22">
      <c r="A99" s="12" t="s">
        <v>977</v>
      </c>
      <c r="B99" s="15" t="s">
        <v>32</v>
      </c>
      <c r="C99" s="13">
        <v>1</v>
      </c>
      <c r="D99" s="12" t="s">
        <v>978</v>
      </c>
      <c r="E99" s="14">
        <v>45688</v>
      </c>
      <c r="F99" s="14">
        <v>45693</v>
      </c>
      <c r="G99" s="15" t="s">
        <v>444</v>
      </c>
      <c r="H99" s="12" t="s">
        <v>445</v>
      </c>
      <c r="I99" s="15" t="s">
        <v>41</v>
      </c>
      <c r="J99" s="12" t="s">
        <v>660</v>
      </c>
      <c r="K99" s="15" t="s">
        <v>41</v>
      </c>
      <c r="L99" s="12" t="s">
        <v>492</v>
      </c>
      <c r="M99" s="15" t="s">
        <v>41</v>
      </c>
      <c r="N99" s="12" t="s">
        <v>852</v>
      </c>
      <c r="O99" s="21">
        <v>0</v>
      </c>
      <c r="P99" s="21">
        <v>11179.2</v>
      </c>
      <c r="Q99" s="12" t="s">
        <v>853</v>
      </c>
      <c r="R99" s="12" t="s">
        <v>265</v>
      </c>
      <c r="S99" s="12" t="s">
        <v>36</v>
      </c>
      <c r="T99" s="12" t="s">
        <v>663</v>
      </c>
      <c r="U99" s="12" t="s">
        <v>979</v>
      </c>
      <c r="V99" s="12" t="s">
        <v>665</v>
      </c>
    </row>
    <row r="100" s="1" customFormat="1" ht="16.5" customHeight="1" spans="1:22">
      <c r="A100" s="8" t="s">
        <v>977</v>
      </c>
      <c r="B100" s="11" t="s">
        <v>32</v>
      </c>
      <c r="C100" s="9">
        <v>3</v>
      </c>
      <c r="D100" s="8" t="s">
        <v>978</v>
      </c>
      <c r="E100" s="10">
        <v>45688</v>
      </c>
      <c r="F100" s="10">
        <v>45693</v>
      </c>
      <c r="G100" s="11" t="s">
        <v>444</v>
      </c>
      <c r="H100" s="8" t="s">
        <v>445</v>
      </c>
      <c r="I100" s="11" t="s">
        <v>41</v>
      </c>
      <c r="J100" s="8" t="s">
        <v>660</v>
      </c>
      <c r="K100" s="11" t="s">
        <v>41</v>
      </c>
      <c r="L100" s="8" t="s">
        <v>492</v>
      </c>
      <c r="M100" s="11" t="s">
        <v>41</v>
      </c>
      <c r="N100" s="8" t="s">
        <v>852</v>
      </c>
      <c r="O100" s="19">
        <v>7924.8</v>
      </c>
      <c r="P100" s="19">
        <v>0</v>
      </c>
      <c r="Q100" s="8" t="s">
        <v>853</v>
      </c>
      <c r="R100" s="8" t="s">
        <v>265</v>
      </c>
      <c r="S100" s="8" t="s">
        <v>36</v>
      </c>
      <c r="T100" s="8" t="s">
        <v>663</v>
      </c>
      <c r="U100" s="8" t="s">
        <v>979</v>
      </c>
      <c r="V100" s="8" t="s">
        <v>665</v>
      </c>
    </row>
  </sheetData>
  <pageMargins left="0.75" right="0.75" top="1" bottom="1" header="0.5" footer="0.5"/>
  <pageSetup paperSize="9" orientation="portrait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6"/>
  <dimension ref="A1:Y102"/>
  <sheetViews>
    <sheetView topLeftCell="L1" workbookViewId="0">
      <selection activeCell="Q102" sqref="Q102"/>
    </sheetView>
  </sheetViews>
  <sheetFormatPr defaultColWidth="8" defaultRowHeight="14.25"/>
  <cols>
    <col min="1" max="1" width="12.625" style="1" customWidth="1"/>
    <col min="2" max="2" width="10.875" style="1" customWidth="1"/>
    <col min="3" max="3" width="6.25" style="1" customWidth="1"/>
    <col min="4" max="4" width="9.375" style="1" customWidth="1"/>
    <col min="5" max="6" width="10.875" style="1" customWidth="1"/>
    <col min="7" max="7" width="7.75" style="1" customWidth="1"/>
    <col min="8" max="9" width="10.875" style="1" customWidth="1"/>
    <col min="10" max="10" width="12.375" style="1" customWidth="1"/>
    <col min="11" max="11" width="10.875" style="1" customWidth="1"/>
    <col min="12" max="12" width="14" style="1" customWidth="1"/>
    <col min="13" max="13" width="7.75" style="1" customWidth="1"/>
    <col min="14" max="14" width="16.875" style="1" customWidth="1"/>
    <col min="15" max="16" width="10.875" style="1" customWidth="1"/>
    <col min="17" max="17" width="11.375" style="1" customWidth="1"/>
    <col min="18" max="18" width="23.125" style="1" customWidth="1"/>
    <col min="19" max="20" width="10.875" style="1" customWidth="1"/>
    <col min="21" max="21" width="7.75" style="1" customWidth="1"/>
    <col min="22" max="22" width="9.5" style="1" customWidth="1"/>
    <col min="23" max="23" width="8" style="1"/>
    <col min="24" max="24" width="27.75" style="1" customWidth="1"/>
    <col min="25" max="25" width="22.625" style="1" customWidth="1"/>
    <col min="26" max="16384" width="8" style="1"/>
  </cols>
  <sheetData>
    <row r="1" s="1" customFormat="1" spans="1:23">
      <c r="A1" s="4" t="s">
        <v>640</v>
      </c>
      <c r="B1" s="4" t="s">
        <v>0</v>
      </c>
      <c r="C1" s="5" t="s">
        <v>980</v>
      </c>
      <c r="D1" s="4" t="s">
        <v>12</v>
      </c>
      <c r="E1" s="5" t="s">
        <v>641</v>
      </c>
      <c r="F1" s="5" t="s">
        <v>642</v>
      </c>
      <c r="G1" s="4" t="s">
        <v>2</v>
      </c>
      <c r="H1" s="4" t="s">
        <v>429</v>
      </c>
      <c r="I1" s="4" t="s">
        <v>643</v>
      </c>
      <c r="J1" s="4" t="s">
        <v>644</v>
      </c>
      <c r="K1" s="4" t="s">
        <v>645</v>
      </c>
      <c r="L1" s="4" t="s">
        <v>646</v>
      </c>
      <c r="M1" s="4" t="s">
        <v>647</v>
      </c>
      <c r="N1" s="4" t="s">
        <v>648</v>
      </c>
      <c r="O1" s="5" t="s">
        <v>649</v>
      </c>
      <c r="P1" s="5" t="s">
        <v>650</v>
      </c>
      <c r="Q1" s="4" t="s">
        <v>651</v>
      </c>
      <c r="R1" s="4" t="s">
        <v>652</v>
      </c>
      <c r="S1" s="4" t="s">
        <v>653</v>
      </c>
      <c r="T1" s="4" t="s">
        <v>654</v>
      </c>
      <c r="U1" s="4" t="s">
        <v>655</v>
      </c>
      <c r="V1" s="4" t="s">
        <v>656</v>
      </c>
      <c r="W1" s="1" t="s">
        <v>657</v>
      </c>
    </row>
    <row r="2" s="1" customFormat="1" ht="16.5" hidden="1" customHeight="1" spans="1:24">
      <c r="A2" s="8" t="s">
        <v>981</v>
      </c>
      <c r="B2" s="11" t="s">
        <v>32</v>
      </c>
      <c r="C2" s="9" t="s">
        <v>982</v>
      </c>
      <c r="D2" s="8">
        <v>1</v>
      </c>
      <c r="E2" s="10" t="s">
        <v>983</v>
      </c>
      <c r="F2" s="10">
        <v>45714</v>
      </c>
      <c r="G2" s="11">
        <v>45714</v>
      </c>
      <c r="H2" s="8" t="s">
        <v>444</v>
      </c>
      <c r="I2" s="11" t="s">
        <v>445</v>
      </c>
      <c r="J2" s="8" t="s">
        <v>41</v>
      </c>
      <c r="K2" s="11" t="s">
        <v>660</v>
      </c>
      <c r="L2" s="8" t="s">
        <v>41</v>
      </c>
      <c r="M2" s="11" t="s">
        <v>492</v>
      </c>
      <c r="N2" s="8" t="s">
        <v>41</v>
      </c>
      <c r="O2" s="19" t="s">
        <v>946</v>
      </c>
      <c r="P2" s="19">
        <v>0</v>
      </c>
      <c r="Q2" s="8">
        <v>145568.89</v>
      </c>
      <c r="R2" s="8" t="s">
        <v>947</v>
      </c>
      <c r="S2" s="8" t="s">
        <v>300</v>
      </c>
      <c r="T2" s="8" t="s">
        <v>36</v>
      </c>
      <c r="U2" s="8" t="s">
        <v>663</v>
      </c>
      <c r="V2" s="8" t="s">
        <v>984</v>
      </c>
      <c r="W2" s="1" t="s">
        <v>665</v>
      </c>
      <c r="X2" s="1" t="str" cm="1">
        <f t="array" ref="X2:X57">_xlfn.UNIQUE(S:S)</f>
        <v>名称</v>
      </c>
    </row>
    <row r="3" s="1" customFormat="1" ht="16.5" hidden="1" customHeight="1" spans="1:25">
      <c r="A3" s="12" t="s">
        <v>985</v>
      </c>
      <c r="B3" s="15" t="s">
        <v>32</v>
      </c>
      <c r="C3" s="13" t="s">
        <v>986</v>
      </c>
      <c r="D3" s="12">
        <v>1</v>
      </c>
      <c r="E3" s="14" t="s">
        <v>987</v>
      </c>
      <c r="F3" s="14">
        <v>45714</v>
      </c>
      <c r="G3" s="15">
        <v>45714</v>
      </c>
      <c r="H3" s="12" t="s">
        <v>444</v>
      </c>
      <c r="I3" s="15" t="s">
        <v>445</v>
      </c>
      <c r="J3" s="12" t="s">
        <v>41</v>
      </c>
      <c r="K3" s="15" t="s">
        <v>660</v>
      </c>
      <c r="L3" s="12" t="s">
        <v>41</v>
      </c>
      <c r="M3" s="15" t="s">
        <v>492</v>
      </c>
      <c r="N3" s="12" t="s">
        <v>41</v>
      </c>
      <c r="O3" s="21" t="s">
        <v>988</v>
      </c>
      <c r="P3" s="21">
        <v>0</v>
      </c>
      <c r="Q3" s="12">
        <v>88818</v>
      </c>
      <c r="R3" s="12" t="s">
        <v>711</v>
      </c>
      <c r="S3" s="12" t="s">
        <v>311</v>
      </c>
      <c r="T3" s="12" t="s">
        <v>36</v>
      </c>
      <c r="U3" s="12" t="s">
        <v>663</v>
      </c>
      <c r="V3" s="12" t="s">
        <v>989</v>
      </c>
      <c r="W3" s="1" t="s">
        <v>665</v>
      </c>
      <c r="X3" s="1" t="str">
        <v>广州市信征汽车零件有限公司</v>
      </c>
      <c r="Y3" s="1" t="str">
        <f>_xlfn.XLOOKUP(X3,'3月份计划-1'!A:A,'3月份计划-1'!A:A)</f>
        <v>广州市信征汽车零件有限公司</v>
      </c>
    </row>
    <row r="4" s="1" customFormat="1" ht="16.5" hidden="1" customHeight="1" spans="1:25">
      <c r="A4" s="8" t="s">
        <v>990</v>
      </c>
      <c r="B4" s="11" t="s">
        <v>32</v>
      </c>
      <c r="C4" s="9" t="s">
        <v>991</v>
      </c>
      <c r="D4" s="8">
        <v>1</v>
      </c>
      <c r="E4" s="10" t="s">
        <v>992</v>
      </c>
      <c r="F4" s="10">
        <v>45714</v>
      </c>
      <c r="G4" s="11">
        <v>45714</v>
      </c>
      <c r="H4" s="8" t="s">
        <v>444</v>
      </c>
      <c r="I4" s="11" t="s">
        <v>445</v>
      </c>
      <c r="J4" s="8" t="s">
        <v>41</v>
      </c>
      <c r="K4" s="11" t="s">
        <v>660</v>
      </c>
      <c r="L4" s="8" t="s">
        <v>41</v>
      </c>
      <c r="M4" s="11" t="s">
        <v>492</v>
      </c>
      <c r="N4" s="8" t="s">
        <v>41</v>
      </c>
      <c r="O4" s="19" t="s">
        <v>993</v>
      </c>
      <c r="P4" s="19">
        <v>0</v>
      </c>
      <c r="Q4" s="8">
        <v>7760.42</v>
      </c>
      <c r="R4" s="8" t="s">
        <v>994</v>
      </c>
      <c r="S4" s="8" t="s">
        <v>316</v>
      </c>
      <c r="T4" s="8" t="s">
        <v>36</v>
      </c>
      <c r="U4" s="8" t="s">
        <v>663</v>
      </c>
      <c r="V4" s="8" t="s">
        <v>995</v>
      </c>
      <c r="W4" s="1" t="s">
        <v>665</v>
      </c>
      <c r="X4" s="1" t="str">
        <v>江苏全盛座舱技术股份有限公司</v>
      </c>
      <c r="Y4" s="1" t="str">
        <f>_xlfn.XLOOKUP(X4,'3月份计划-1'!A:A,'3月份计划-1'!A:A)</f>
        <v>江苏全盛座舱技术股份有限公司</v>
      </c>
    </row>
    <row r="5" s="1" customFormat="1" ht="16.5" hidden="1" customHeight="1" spans="1:25">
      <c r="A5" s="12" t="s">
        <v>996</v>
      </c>
      <c r="B5" s="15" t="s">
        <v>32</v>
      </c>
      <c r="C5" s="13" t="s">
        <v>997</v>
      </c>
      <c r="D5" s="12">
        <v>1</v>
      </c>
      <c r="E5" s="14" t="s">
        <v>998</v>
      </c>
      <c r="F5" s="14">
        <v>45714</v>
      </c>
      <c r="G5" s="15">
        <v>45714</v>
      </c>
      <c r="H5" s="12" t="s">
        <v>444</v>
      </c>
      <c r="I5" s="15" t="s">
        <v>445</v>
      </c>
      <c r="J5" s="12" t="s">
        <v>41</v>
      </c>
      <c r="K5" s="15" t="s">
        <v>660</v>
      </c>
      <c r="L5" s="12" t="s">
        <v>41</v>
      </c>
      <c r="M5" s="15" t="s">
        <v>492</v>
      </c>
      <c r="N5" s="12" t="s">
        <v>41</v>
      </c>
      <c r="O5" s="21" t="s">
        <v>999</v>
      </c>
      <c r="P5" s="21">
        <v>0</v>
      </c>
      <c r="Q5" s="12">
        <v>231977.7</v>
      </c>
      <c r="R5" s="12" t="s">
        <v>739</v>
      </c>
      <c r="S5" s="12" t="s">
        <v>249</v>
      </c>
      <c r="T5" s="12" t="s">
        <v>36</v>
      </c>
      <c r="U5" s="12" t="s">
        <v>663</v>
      </c>
      <c r="V5" s="12" t="s">
        <v>1000</v>
      </c>
      <c r="W5" s="1" t="s">
        <v>665</v>
      </c>
      <c r="X5" s="1" t="str">
        <v>无锡中天汽车部件有限公司</v>
      </c>
      <c r="Y5" s="1" t="str">
        <f>_xlfn.XLOOKUP(X5,'3月份计划-1'!A:A,'3月份计划-1'!A:A)</f>
        <v>无锡中天汽车部件有限公司</v>
      </c>
    </row>
    <row r="6" s="1" customFormat="1" ht="16.5" hidden="1" customHeight="1" spans="1:25">
      <c r="A6" s="8" t="s">
        <v>1001</v>
      </c>
      <c r="B6" s="11" t="s">
        <v>32</v>
      </c>
      <c r="C6" s="9" t="s">
        <v>1002</v>
      </c>
      <c r="D6" s="8">
        <v>1</v>
      </c>
      <c r="E6" s="10" t="s">
        <v>1003</v>
      </c>
      <c r="F6" s="10">
        <v>45714</v>
      </c>
      <c r="G6" s="11">
        <v>45714</v>
      </c>
      <c r="H6" s="8" t="s">
        <v>444</v>
      </c>
      <c r="I6" s="11" t="s">
        <v>445</v>
      </c>
      <c r="J6" s="8" t="s">
        <v>41</v>
      </c>
      <c r="K6" s="11" t="s">
        <v>660</v>
      </c>
      <c r="L6" s="8" t="s">
        <v>41</v>
      </c>
      <c r="M6" s="11" t="s">
        <v>492</v>
      </c>
      <c r="N6" s="8" t="s">
        <v>41</v>
      </c>
      <c r="O6" s="19" t="s">
        <v>1004</v>
      </c>
      <c r="P6" s="19">
        <v>0</v>
      </c>
      <c r="Q6" s="8">
        <v>6644.4</v>
      </c>
      <c r="R6" s="8" t="s">
        <v>1005</v>
      </c>
      <c r="S6" s="8" t="s">
        <v>308</v>
      </c>
      <c r="T6" s="8" t="s">
        <v>36</v>
      </c>
      <c r="U6" s="8" t="s">
        <v>663</v>
      </c>
      <c r="V6" s="8" t="s">
        <v>1006</v>
      </c>
      <c r="W6" s="1" t="s">
        <v>665</v>
      </c>
      <c r="X6" s="1" t="str">
        <v>江苏力乐汽车部件股份有限公司</v>
      </c>
      <c r="Y6" s="1" t="str">
        <f>_xlfn.XLOOKUP(X6,'3月份计划-1'!A:A,'3月份计划-1'!A:A)</f>
        <v>江苏力乐汽车部件股份有限公司</v>
      </c>
    </row>
    <row r="7" s="1" customFormat="1" ht="16.5" hidden="1" customHeight="1" spans="1:25">
      <c r="A7" s="12" t="s">
        <v>1007</v>
      </c>
      <c r="B7" s="15" t="s">
        <v>32</v>
      </c>
      <c r="C7" s="13" t="s">
        <v>1008</v>
      </c>
      <c r="D7" s="12">
        <v>1</v>
      </c>
      <c r="E7" s="14" t="s">
        <v>1009</v>
      </c>
      <c r="F7" s="14">
        <v>45714</v>
      </c>
      <c r="G7" s="15">
        <v>45714</v>
      </c>
      <c r="H7" s="12" t="s">
        <v>444</v>
      </c>
      <c r="I7" s="15" t="s">
        <v>445</v>
      </c>
      <c r="J7" s="12" t="s">
        <v>41</v>
      </c>
      <c r="K7" s="15" t="s">
        <v>660</v>
      </c>
      <c r="L7" s="12" t="s">
        <v>41</v>
      </c>
      <c r="M7" s="15" t="s">
        <v>492</v>
      </c>
      <c r="N7" s="12" t="s">
        <v>41</v>
      </c>
      <c r="O7" s="21" t="s">
        <v>715</v>
      </c>
      <c r="P7" s="21">
        <v>0</v>
      </c>
      <c r="Q7" s="12">
        <v>50958</v>
      </c>
      <c r="R7" s="12" t="s">
        <v>34</v>
      </c>
      <c r="S7" s="12" t="s">
        <v>277</v>
      </c>
      <c r="T7" s="12" t="s">
        <v>36</v>
      </c>
      <c r="U7" s="12" t="s">
        <v>663</v>
      </c>
      <c r="V7" s="12" t="s">
        <v>56</v>
      </c>
      <c r="W7" s="1" t="s">
        <v>665</v>
      </c>
      <c r="X7" s="1" t="str">
        <v>清河县沁园汽车零部件有限公司</v>
      </c>
      <c r="Y7" s="1" t="str">
        <f>_xlfn.XLOOKUP(X7,'3月份计划-1'!A:A,'3月份计划-1'!A:A)</f>
        <v>清河县沁园汽车零部件有限公司</v>
      </c>
    </row>
    <row r="8" s="1" customFormat="1" ht="16.5" hidden="1" customHeight="1" spans="1:25">
      <c r="A8" s="8" t="s">
        <v>1007</v>
      </c>
      <c r="B8" s="11" t="s">
        <v>32</v>
      </c>
      <c r="C8" s="9" t="s">
        <v>1008</v>
      </c>
      <c r="D8" s="8">
        <v>3</v>
      </c>
      <c r="E8" s="10" t="s">
        <v>1009</v>
      </c>
      <c r="F8" s="10">
        <v>45714</v>
      </c>
      <c r="G8" s="11">
        <v>45714</v>
      </c>
      <c r="H8" s="8" t="s">
        <v>444</v>
      </c>
      <c r="I8" s="11" t="s">
        <v>445</v>
      </c>
      <c r="J8" s="8" t="s">
        <v>41</v>
      </c>
      <c r="K8" s="11" t="s">
        <v>660</v>
      </c>
      <c r="L8" s="8" t="s">
        <v>41</v>
      </c>
      <c r="M8" s="11" t="s">
        <v>492</v>
      </c>
      <c r="N8" s="8" t="s">
        <v>41</v>
      </c>
      <c r="O8" s="19" t="s">
        <v>715</v>
      </c>
      <c r="P8" s="19">
        <v>2650.5</v>
      </c>
      <c r="Q8" s="8">
        <v>0</v>
      </c>
      <c r="R8" s="8" t="s">
        <v>34</v>
      </c>
      <c r="S8" s="8" t="s">
        <v>277</v>
      </c>
      <c r="T8" s="8" t="s">
        <v>36</v>
      </c>
      <c r="U8" s="8" t="s">
        <v>663</v>
      </c>
      <c r="V8" s="8" t="s">
        <v>56</v>
      </c>
      <c r="W8" s="1" t="s">
        <v>665</v>
      </c>
      <c r="X8" s="1" t="str">
        <v>汇阅（上海）新材料科技有限公</v>
      </c>
      <c r="Y8" s="1" t="str">
        <f>_xlfn.XLOOKUP(X8,'3月份计划-1'!A:A,'3月份计划-1'!A:A)</f>
        <v>汇阅（上海）新材料科技有限公</v>
      </c>
    </row>
    <row r="9" s="1" customFormat="1" ht="16.5" hidden="1" customHeight="1" spans="1:25">
      <c r="A9" s="12" t="s">
        <v>1010</v>
      </c>
      <c r="B9" s="15" t="s">
        <v>32</v>
      </c>
      <c r="C9" s="13" t="s">
        <v>1011</v>
      </c>
      <c r="D9" s="12">
        <v>1</v>
      </c>
      <c r="E9" s="14" t="s">
        <v>1012</v>
      </c>
      <c r="F9" s="14">
        <v>45714</v>
      </c>
      <c r="G9" s="15">
        <v>45714</v>
      </c>
      <c r="H9" s="12" t="s">
        <v>444</v>
      </c>
      <c r="I9" s="15" t="s">
        <v>445</v>
      </c>
      <c r="J9" s="12" t="s">
        <v>41</v>
      </c>
      <c r="K9" s="15" t="s">
        <v>660</v>
      </c>
      <c r="L9" s="12" t="s">
        <v>41</v>
      </c>
      <c r="M9" s="15" t="s">
        <v>492</v>
      </c>
      <c r="N9" s="12" t="s">
        <v>41</v>
      </c>
      <c r="O9" s="21" t="s">
        <v>847</v>
      </c>
      <c r="P9" s="21">
        <v>0</v>
      </c>
      <c r="Q9" s="12">
        <v>65088</v>
      </c>
      <c r="R9" s="12" t="s">
        <v>848</v>
      </c>
      <c r="S9" s="12" t="s">
        <v>298</v>
      </c>
      <c r="T9" s="12" t="s">
        <v>36</v>
      </c>
      <c r="U9" s="12" t="s">
        <v>663</v>
      </c>
      <c r="V9" s="12" t="s">
        <v>1013</v>
      </c>
      <c r="W9" s="1" t="s">
        <v>665</v>
      </c>
      <c r="X9" s="1" t="str">
        <v>浙江华悦汽车零部件股份有限公</v>
      </c>
      <c r="Y9" s="1" t="str">
        <f>_xlfn.XLOOKUP(X9,'3月份计划-1'!A:A,'3月份计划-1'!A:A)</f>
        <v>浙江华悦汽车零部件股份有限公</v>
      </c>
    </row>
    <row r="10" s="1" customFormat="1" ht="16.5" hidden="1" customHeight="1" spans="1:25">
      <c r="A10" s="8" t="s">
        <v>1014</v>
      </c>
      <c r="B10" s="11" t="s">
        <v>32</v>
      </c>
      <c r="C10" s="9" t="s">
        <v>1015</v>
      </c>
      <c r="D10" s="8">
        <v>1</v>
      </c>
      <c r="E10" s="10" t="s">
        <v>1016</v>
      </c>
      <c r="F10" s="10">
        <v>45714</v>
      </c>
      <c r="G10" s="11">
        <v>45714</v>
      </c>
      <c r="H10" s="8" t="s">
        <v>444</v>
      </c>
      <c r="I10" s="11" t="s">
        <v>445</v>
      </c>
      <c r="J10" s="8" t="s">
        <v>41</v>
      </c>
      <c r="K10" s="11" t="s">
        <v>660</v>
      </c>
      <c r="L10" s="8" t="s">
        <v>41</v>
      </c>
      <c r="M10" s="11" t="s">
        <v>492</v>
      </c>
      <c r="N10" s="8" t="s">
        <v>41</v>
      </c>
      <c r="O10" s="19" t="s">
        <v>1017</v>
      </c>
      <c r="P10" s="19">
        <v>0</v>
      </c>
      <c r="Q10" s="8">
        <v>245761.44</v>
      </c>
      <c r="R10" s="8" t="s">
        <v>748</v>
      </c>
      <c r="S10" s="8" t="s">
        <v>259</v>
      </c>
      <c r="T10" s="8" t="s">
        <v>36</v>
      </c>
      <c r="U10" s="8" t="s">
        <v>663</v>
      </c>
      <c r="V10" s="8" t="s">
        <v>1018</v>
      </c>
      <c r="W10" s="1" t="s">
        <v>665</v>
      </c>
      <c r="X10" s="1" t="str">
        <v>吉林省方舟电子科技有限公司</v>
      </c>
      <c r="Y10" s="1" t="str">
        <f>_xlfn.XLOOKUP(X10,'3月份计划-1'!A:A,'3月份计划-1'!A:A)</f>
        <v>吉林省方舟电子科技有限公司</v>
      </c>
    </row>
    <row r="11" s="1" customFormat="1" ht="16.5" hidden="1" customHeight="1" spans="1:25">
      <c r="A11" s="12" t="s">
        <v>1019</v>
      </c>
      <c r="B11" s="15" t="s">
        <v>32</v>
      </c>
      <c r="C11" s="13" t="s">
        <v>1020</v>
      </c>
      <c r="D11" s="12">
        <v>1</v>
      </c>
      <c r="E11" s="14" t="s">
        <v>1021</v>
      </c>
      <c r="F11" s="14">
        <v>45714</v>
      </c>
      <c r="G11" s="15">
        <v>45714</v>
      </c>
      <c r="H11" s="12" t="s">
        <v>444</v>
      </c>
      <c r="I11" s="15" t="s">
        <v>445</v>
      </c>
      <c r="J11" s="12" t="s">
        <v>41</v>
      </c>
      <c r="K11" s="15" t="s">
        <v>660</v>
      </c>
      <c r="L11" s="12" t="s">
        <v>41</v>
      </c>
      <c r="M11" s="15" t="s">
        <v>492</v>
      </c>
      <c r="N11" s="12" t="s">
        <v>41</v>
      </c>
      <c r="O11" s="21" t="s">
        <v>1022</v>
      </c>
      <c r="P11" s="21">
        <v>0</v>
      </c>
      <c r="Q11" s="12">
        <v>119235.69</v>
      </c>
      <c r="R11" s="12" t="s">
        <v>1023</v>
      </c>
      <c r="S11" s="12" t="s">
        <v>317</v>
      </c>
      <c r="T11" s="12" t="s">
        <v>36</v>
      </c>
      <c r="U11" s="12" t="s">
        <v>663</v>
      </c>
      <c r="V11" s="12" t="s">
        <v>1024</v>
      </c>
      <c r="W11" s="1" t="s">
        <v>665</v>
      </c>
      <c r="X11" s="1" t="str">
        <v>天津力登维汽车部件有限公司</v>
      </c>
      <c r="Y11" s="1" t="str">
        <f>_xlfn.XLOOKUP(X11,'3月份计划-1'!A:A,'3月份计划-1'!A:A)</f>
        <v>天津力登维汽车部件有限公司</v>
      </c>
    </row>
    <row r="12" s="1" customFormat="1" ht="16.5" hidden="1" customHeight="1" spans="1:25">
      <c r="A12" s="8" t="s">
        <v>1025</v>
      </c>
      <c r="B12" s="11" t="s">
        <v>32</v>
      </c>
      <c r="C12" s="9" t="s">
        <v>1026</v>
      </c>
      <c r="D12" s="8">
        <v>1</v>
      </c>
      <c r="E12" s="10" t="s">
        <v>1027</v>
      </c>
      <c r="F12" s="10">
        <v>45714</v>
      </c>
      <c r="G12" s="11">
        <v>45714</v>
      </c>
      <c r="H12" s="8" t="s">
        <v>444</v>
      </c>
      <c r="I12" s="11" t="s">
        <v>445</v>
      </c>
      <c r="J12" s="8" t="s">
        <v>41</v>
      </c>
      <c r="K12" s="11" t="s">
        <v>660</v>
      </c>
      <c r="L12" s="8" t="s">
        <v>41</v>
      </c>
      <c r="M12" s="11" t="s">
        <v>492</v>
      </c>
      <c r="N12" s="8" t="s">
        <v>41</v>
      </c>
      <c r="O12" s="19" t="s">
        <v>1028</v>
      </c>
      <c r="P12" s="19">
        <v>0</v>
      </c>
      <c r="Q12" s="8">
        <v>120063.05</v>
      </c>
      <c r="R12" s="8" t="s">
        <v>1029</v>
      </c>
      <c r="S12" s="8" t="s">
        <v>318</v>
      </c>
      <c r="T12" s="8" t="s">
        <v>36</v>
      </c>
      <c r="U12" s="8" t="s">
        <v>663</v>
      </c>
      <c r="V12" s="8" t="s">
        <v>1030</v>
      </c>
      <c r="W12" s="1" t="s">
        <v>665</v>
      </c>
      <c r="X12" s="1" t="str">
        <v>重庆品高弹簧有限公司</v>
      </c>
      <c r="Y12" s="1" t="str">
        <f>_xlfn.XLOOKUP(X12,'3月份计划-1'!A:A,'3月份计划-1'!A:A)</f>
        <v>重庆品高弹簧有限公司</v>
      </c>
    </row>
    <row r="13" s="1" customFormat="1" ht="16.5" hidden="1" customHeight="1" spans="1:25">
      <c r="A13" s="12" t="s">
        <v>1031</v>
      </c>
      <c r="B13" s="15" t="s">
        <v>32</v>
      </c>
      <c r="C13" s="13" t="s">
        <v>1032</v>
      </c>
      <c r="D13" s="12">
        <v>1</v>
      </c>
      <c r="E13" s="14" t="s">
        <v>1033</v>
      </c>
      <c r="F13" s="14">
        <v>45714</v>
      </c>
      <c r="G13" s="15">
        <v>45714</v>
      </c>
      <c r="H13" s="12" t="s">
        <v>444</v>
      </c>
      <c r="I13" s="15" t="s">
        <v>445</v>
      </c>
      <c r="J13" s="12" t="s">
        <v>41</v>
      </c>
      <c r="K13" s="15" t="s">
        <v>660</v>
      </c>
      <c r="L13" s="12" t="s">
        <v>41</v>
      </c>
      <c r="M13" s="15" t="s">
        <v>492</v>
      </c>
      <c r="N13" s="12" t="s">
        <v>41</v>
      </c>
      <c r="O13" s="21" t="s">
        <v>1034</v>
      </c>
      <c r="P13" s="21">
        <v>0</v>
      </c>
      <c r="Q13" s="12">
        <v>0.01</v>
      </c>
      <c r="R13" s="12" t="s">
        <v>1029</v>
      </c>
      <c r="S13" s="12" t="s">
        <v>318</v>
      </c>
      <c r="T13" s="12" t="s">
        <v>36</v>
      </c>
      <c r="U13" s="12" t="s">
        <v>663</v>
      </c>
      <c r="V13" s="12" t="s">
        <v>1035</v>
      </c>
      <c r="W13" s="1" t="s">
        <v>665</v>
      </c>
      <c r="X13" s="1" t="str">
        <v>景德镇市凯达汽车配件有限公司</v>
      </c>
      <c r="Y13" s="1" t="str">
        <f>_xlfn.XLOOKUP(X13,'3月份计划-1'!A:A,'3月份计划-1'!A:A)</f>
        <v>景德镇市凯达汽车配件有限公司</v>
      </c>
    </row>
    <row r="14" s="1" customFormat="1" ht="16.5" hidden="1" customHeight="1" spans="1:25">
      <c r="A14" s="8" t="s">
        <v>1036</v>
      </c>
      <c r="B14" s="11" t="s">
        <v>32</v>
      </c>
      <c r="C14" s="9" t="s">
        <v>1037</v>
      </c>
      <c r="D14" s="8">
        <v>1</v>
      </c>
      <c r="E14" s="10" t="s">
        <v>1038</v>
      </c>
      <c r="F14" s="10">
        <v>45714</v>
      </c>
      <c r="G14" s="11">
        <v>45714</v>
      </c>
      <c r="H14" s="8" t="s">
        <v>444</v>
      </c>
      <c r="I14" s="11" t="s">
        <v>445</v>
      </c>
      <c r="J14" s="8" t="s">
        <v>41</v>
      </c>
      <c r="K14" s="11" t="s">
        <v>660</v>
      </c>
      <c r="L14" s="8" t="s">
        <v>41</v>
      </c>
      <c r="M14" s="11" t="s">
        <v>492</v>
      </c>
      <c r="N14" s="8" t="s">
        <v>41</v>
      </c>
      <c r="O14" s="19" t="s">
        <v>1039</v>
      </c>
      <c r="P14" s="19">
        <v>0</v>
      </c>
      <c r="Q14" s="8">
        <v>213281.68</v>
      </c>
      <c r="R14" s="8" t="s">
        <v>1040</v>
      </c>
      <c r="S14" s="8" t="s">
        <v>262</v>
      </c>
      <c r="T14" s="8" t="s">
        <v>36</v>
      </c>
      <c r="U14" s="8" t="s">
        <v>663</v>
      </c>
      <c r="V14" s="8" t="s">
        <v>1041</v>
      </c>
      <c r="W14" s="1" t="s">
        <v>665</v>
      </c>
      <c r="X14" s="1" t="str">
        <v>昆山吉山会津塑料工业股份有限</v>
      </c>
      <c r="Y14" s="1" t="str">
        <f>_xlfn.XLOOKUP(X14,'3月份计划-1'!A:A,'3月份计划-1'!A:A)</f>
        <v>昆山吉山会津塑料工业股份有限</v>
      </c>
    </row>
    <row r="15" s="1" customFormat="1" ht="16.5" hidden="1" customHeight="1" spans="1:25">
      <c r="A15" s="12" t="s">
        <v>1036</v>
      </c>
      <c r="B15" s="15" t="s">
        <v>32</v>
      </c>
      <c r="C15" s="13" t="s">
        <v>1037</v>
      </c>
      <c r="D15" s="12">
        <v>3</v>
      </c>
      <c r="E15" s="14" t="s">
        <v>1038</v>
      </c>
      <c r="F15" s="14">
        <v>45714</v>
      </c>
      <c r="G15" s="15">
        <v>45714</v>
      </c>
      <c r="H15" s="12" t="s">
        <v>444</v>
      </c>
      <c r="I15" s="15" t="s">
        <v>445</v>
      </c>
      <c r="J15" s="12" t="s">
        <v>41</v>
      </c>
      <c r="K15" s="15" t="s">
        <v>660</v>
      </c>
      <c r="L15" s="12" t="s">
        <v>41</v>
      </c>
      <c r="M15" s="15" t="s">
        <v>492</v>
      </c>
      <c r="N15" s="12" t="s">
        <v>41</v>
      </c>
      <c r="O15" s="21" t="s">
        <v>1039</v>
      </c>
      <c r="P15" s="21">
        <v>1707.59</v>
      </c>
      <c r="Q15" s="12">
        <v>0</v>
      </c>
      <c r="R15" s="12" t="s">
        <v>1040</v>
      </c>
      <c r="S15" s="12" t="s">
        <v>262</v>
      </c>
      <c r="T15" s="12" t="s">
        <v>36</v>
      </c>
      <c r="U15" s="12" t="s">
        <v>663</v>
      </c>
      <c r="V15" s="12" t="s">
        <v>1041</v>
      </c>
      <c r="W15" s="1" t="s">
        <v>665</v>
      </c>
      <c r="X15" s="1" t="str">
        <v>俱泰(上海)汽车零部件有限公司</v>
      </c>
      <c r="Y15" s="1" t="str">
        <f>_xlfn.XLOOKUP(X15,'3月份计划-1'!A:A,'3月份计划-1'!A:A)</f>
        <v>俱泰(上海)汽车零部件有限公司</v>
      </c>
    </row>
    <row r="16" s="1" customFormat="1" ht="16.5" hidden="1" customHeight="1" spans="1:25">
      <c r="A16" s="8" t="s">
        <v>1042</v>
      </c>
      <c r="B16" s="11" t="s">
        <v>32</v>
      </c>
      <c r="C16" s="9" t="s">
        <v>1043</v>
      </c>
      <c r="D16" s="8">
        <v>1</v>
      </c>
      <c r="E16" s="10" t="s">
        <v>1044</v>
      </c>
      <c r="F16" s="10">
        <v>45714</v>
      </c>
      <c r="G16" s="11">
        <v>45714</v>
      </c>
      <c r="H16" s="8" t="s">
        <v>444</v>
      </c>
      <c r="I16" s="11" t="s">
        <v>445</v>
      </c>
      <c r="J16" s="8" t="s">
        <v>41</v>
      </c>
      <c r="K16" s="11" t="s">
        <v>660</v>
      </c>
      <c r="L16" s="8" t="s">
        <v>41</v>
      </c>
      <c r="M16" s="11" t="s">
        <v>492</v>
      </c>
      <c r="N16" s="8" t="s">
        <v>41</v>
      </c>
      <c r="O16" s="19" t="s">
        <v>1045</v>
      </c>
      <c r="P16" s="19">
        <v>0</v>
      </c>
      <c r="Q16" s="8">
        <v>0.01</v>
      </c>
      <c r="R16" s="8" t="s">
        <v>1040</v>
      </c>
      <c r="S16" s="8" t="s">
        <v>262</v>
      </c>
      <c r="T16" s="8" t="s">
        <v>36</v>
      </c>
      <c r="U16" s="8" t="s">
        <v>663</v>
      </c>
      <c r="V16" s="8" t="s">
        <v>1046</v>
      </c>
      <c r="W16" s="1" t="s">
        <v>665</v>
      </c>
      <c r="X16" s="1" t="str">
        <v>广州自强汽车零部件有限公司</v>
      </c>
      <c r="Y16" s="1" t="str">
        <f>_xlfn.XLOOKUP(X16,'3月份计划-1'!A:A,'3月份计划-1'!A:A)</f>
        <v>广州自强汽车零部件有限公司</v>
      </c>
    </row>
    <row r="17" s="1" customFormat="1" ht="16.5" hidden="1" customHeight="1" spans="1:25">
      <c r="A17" s="12" t="s">
        <v>1047</v>
      </c>
      <c r="B17" s="15" t="s">
        <v>32</v>
      </c>
      <c r="C17" s="13" t="s">
        <v>1048</v>
      </c>
      <c r="D17" s="12">
        <v>1</v>
      </c>
      <c r="E17" s="14" t="s">
        <v>1049</v>
      </c>
      <c r="F17" s="14">
        <v>45714</v>
      </c>
      <c r="G17" s="15">
        <v>45714</v>
      </c>
      <c r="H17" s="12" t="s">
        <v>444</v>
      </c>
      <c r="I17" s="15" t="s">
        <v>445</v>
      </c>
      <c r="J17" s="12" t="s">
        <v>41</v>
      </c>
      <c r="K17" s="15" t="s">
        <v>660</v>
      </c>
      <c r="L17" s="12" t="s">
        <v>41</v>
      </c>
      <c r="M17" s="15" t="s">
        <v>492</v>
      </c>
      <c r="N17" s="12" t="s">
        <v>41</v>
      </c>
      <c r="O17" s="21" t="s">
        <v>1050</v>
      </c>
      <c r="P17" s="21">
        <v>0</v>
      </c>
      <c r="Q17" s="12">
        <v>5720.63</v>
      </c>
      <c r="R17" s="12" t="s">
        <v>1051</v>
      </c>
      <c r="S17" s="12" t="s">
        <v>319</v>
      </c>
      <c r="T17" s="12" t="s">
        <v>36</v>
      </c>
      <c r="U17" s="12" t="s">
        <v>663</v>
      </c>
      <c r="V17" s="12" t="s">
        <v>1052</v>
      </c>
      <c r="W17" s="1" t="s">
        <v>665</v>
      </c>
      <c r="X17" s="1" t="str">
        <v>广州市三泰汽车内饰材料有限公</v>
      </c>
      <c r="Y17" s="1" t="str">
        <f>_xlfn.XLOOKUP(X17,'3月份计划-1'!A:A,'3月份计划-1'!A:A)</f>
        <v>广州市三泰汽车内饰材料有限公</v>
      </c>
    </row>
    <row r="18" s="1" customFormat="1" ht="16.5" hidden="1" customHeight="1" spans="1:25">
      <c r="A18" s="8" t="s">
        <v>1053</v>
      </c>
      <c r="B18" s="11" t="s">
        <v>32</v>
      </c>
      <c r="C18" s="9" t="s">
        <v>1054</v>
      </c>
      <c r="D18" s="8">
        <v>1</v>
      </c>
      <c r="E18" s="10" t="s">
        <v>1055</v>
      </c>
      <c r="F18" s="10">
        <v>45714</v>
      </c>
      <c r="G18" s="11">
        <v>45714</v>
      </c>
      <c r="H18" s="8" t="s">
        <v>444</v>
      </c>
      <c r="I18" s="11" t="s">
        <v>445</v>
      </c>
      <c r="J18" s="8" t="s">
        <v>41</v>
      </c>
      <c r="K18" s="11" t="s">
        <v>660</v>
      </c>
      <c r="L18" s="8" t="s">
        <v>41</v>
      </c>
      <c r="M18" s="11" t="s">
        <v>492</v>
      </c>
      <c r="N18" s="8" t="s">
        <v>41</v>
      </c>
      <c r="O18" s="19" t="s">
        <v>1056</v>
      </c>
      <c r="P18" s="19">
        <v>0</v>
      </c>
      <c r="Q18" s="8">
        <v>40135.34</v>
      </c>
      <c r="R18" s="8" t="s">
        <v>1057</v>
      </c>
      <c r="S18" s="8" t="s">
        <v>286</v>
      </c>
      <c r="T18" s="8" t="s">
        <v>36</v>
      </c>
      <c r="U18" s="8" t="s">
        <v>663</v>
      </c>
      <c r="V18" s="8" t="s">
        <v>1058</v>
      </c>
      <c r="W18" s="1" t="s">
        <v>665</v>
      </c>
      <c r="X18" s="1" t="str">
        <v>霸州市政锦五金制品有限公司</v>
      </c>
      <c r="Y18" s="1" t="str">
        <f>_xlfn.XLOOKUP(X18,'3月份计划-1'!A:A,'3月份计划-1'!A:A)</f>
        <v>霸州市政锦五金制品有限公司</v>
      </c>
    </row>
    <row r="19" s="1" customFormat="1" ht="16.5" hidden="1" customHeight="1" spans="1:25">
      <c r="A19" s="12" t="s">
        <v>1053</v>
      </c>
      <c r="B19" s="15" t="s">
        <v>32</v>
      </c>
      <c r="C19" s="13" t="s">
        <v>1054</v>
      </c>
      <c r="D19" s="12">
        <v>3</v>
      </c>
      <c r="E19" s="14" t="s">
        <v>1055</v>
      </c>
      <c r="F19" s="14">
        <v>45714</v>
      </c>
      <c r="G19" s="15">
        <v>45714</v>
      </c>
      <c r="H19" s="12" t="s">
        <v>444</v>
      </c>
      <c r="I19" s="15" t="s">
        <v>445</v>
      </c>
      <c r="J19" s="12" t="s">
        <v>41</v>
      </c>
      <c r="K19" s="15" t="s">
        <v>660</v>
      </c>
      <c r="L19" s="12" t="s">
        <v>41</v>
      </c>
      <c r="M19" s="15" t="s">
        <v>492</v>
      </c>
      <c r="N19" s="12" t="s">
        <v>41</v>
      </c>
      <c r="O19" s="21" t="s">
        <v>1056</v>
      </c>
      <c r="P19" s="21">
        <v>0.01</v>
      </c>
      <c r="Q19" s="12">
        <v>0</v>
      </c>
      <c r="R19" s="12" t="s">
        <v>1057</v>
      </c>
      <c r="S19" s="12" t="s">
        <v>286</v>
      </c>
      <c r="T19" s="12" t="s">
        <v>36</v>
      </c>
      <c r="U19" s="12" t="s">
        <v>663</v>
      </c>
      <c r="V19" s="12" t="s">
        <v>1058</v>
      </c>
      <c r="W19" s="1" t="s">
        <v>665</v>
      </c>
      <c r="X19" s="1" t="str">
        <v>湘潭湘和汽车零部件制造有限公</v>
      </c>
      <c r="Y19" s="1" t="str">
        <f>_xlfn.XLOOKUP(X19,'3月份计划-1'!A:A,'3月份计划-1'!A:A)</f>
        <v>湘潭湘和汽车零部件制造有限公</v>
      </c>
    </row>
    <row r="20" s="1" customFormat="1" ht="16.5" hidden="1" customHeight="1" spans="1:25">
      <c r="A20" s="8" t="s">
        <v>1059</v>
      </c>
      <c r="B20" s="11" t="s">
        <v>32</v>
      </c>
      <c r="C20" s="9" t="s">
        <v>1060</v>
      </c>
      <c r="D20" s="8">
        <v>1</v>
      </c>
      <c r="E20" s="10" t="s">
        <v>1061</v>
      </c>
      <c r="F20" s="10">
        <v>45714</v>
      </c>
      <c r="G20" s="11">
        <v>45714</v>
      </c>
      <c r="H20" s="8" t="s">
        <v>444</v>
      </c>
      <c r="I20" s="11" t="s">
        <v>445</v>
      </c>
      <c r="J20" s="8" t="s">
        <v>41</v>
      </c>
      <c r="K20" s="11" t="s">
        <v>660</v>
      </c>
      <c r="L20" s="8" t="s">
        <v>41</v>
      </c>
      <c r="M20" s="11" t="s">
        <v>492</v>
      </c>
      <c r="N20" s="8" t="s">
        <v>41</v>
      </c>
      <c r="O20" s="19" t="s">
        <v>1062</v>
      </c>
      <c r="P20" s="19">
        <v>0</v>
      </c>
      <c r="Q20" s="8">
        <v>0.01</v>
      </c>
      <c r="R20" s="8" t="s">
        <v>1057</v>
      </c>
      <c r="S20" s="8" t="s">
        <v>286</v>
      </c>
      <c r="T20" s="8" t="s">
        <v>36</v>
      </c>
      <c r="U20" s="8" t="s">
        <v>663</v>
      </c>
      <c r="V20" s="8" t="s">
        <v>1063</v>
      </c>
      <c r="W20" s="1" t="s">
        <v>665</v>
      </c>
      <c r="X20" s="1" t="str">
        <v>重庆厚元汽车配件有限公司</v>
      </c>
      <c r="Y20" s="1" t="str">
        <f>_xlfn.XLOOKUP(X20,'3月份计划-1'!A:A,'3月份计划-1'!A:A)</f>
        <v>重庆厚元汽车配件有限公司</v>
      </c>
    </row>
    <row r="21" s="1" customFormat="1" ht="16.5" hidden="1" customHeight="1" spans="1:25">
      <c r="A21" s="12" t="s">
        <v>1064</v>
      </c>
      <c r="B21" s="15" t="s">
        <v>32</v>
      </c>
      <c r="C21" s="13" t="s">
        <v>1065</v>
      </c>
      <c r="D21" s="12">
        <v>1</v>
      </c>
      <c r="E21" s="14" t="s">
        <v>1066</v>
      </c>
      <c r="F21" s="14">
        <v>45714</v>
      </c>
      <c r="G21" s="15">
        <v>45714</v>
      </c>
      <c r="H21" s="12" t="s">
        <v>444</v>
      </c>
      <c r="I21" s="15" t="s">
        <v>445</v>
      </c>
      <c r="J21" s="12" t="s">
        <v>41</v>
      </c>
      <c r="K21" s="15" t="s">
        <v>660</v>
      </c>
      <c r="L21" s="12" t="s">
        <v>41</v>
      </c>
      <c r="M21" s="15" t="s">
        <v>492</v>
      </c>
      <c r="N21" s="12" t="s">
        <v>41</v>
      </c>
      <c r="O21" s="21" t="s">
        <v>1067</v>
      </c>
      <c r="P21" s="21">
        <v>0</v>
      </c>
      <c r="Q21" s="12">
        <v>55019.85</v>
      </c>
      <c r="R21" s="12" t="s">
        <v>1068</v>
      </c>
      <c r="S21" s="12" t="s">
        <v>287</v>
      </c>
      <c r="T21" s="12" t="s">
        <v>36</v>
      </c>
      <c r="U21" s="12" t="s">
        <v>663</v>
      </c>
      <c r="V21" s="12" t="s">
        <v>1069</v>
      </c>
      <c r="W21" s="1" t="s">
        <v>665</v>
      </c>
      <c r="X21" s="1" t="str">
        <v>武汉德锐隆科技有限公司</v>
      </c>
      <c r="Y21" s="1" t="str">
        <f>_xlfn.XLOOKUP(X21,'3月份计划-1'!A:A,'3月份计划-1'!A:A)</f>
        <v>武汉德锐隆科技有限公司</v>
      </c>
    </row>
    <row r="22" s="1" customFormat="1" ht="16.5" hidden="1" customHeight="1" spans="1:25">
      <c r="A22" s="8" t="s">
        <v>1070</v>
      </c>
      <c r="B22" s="11" t="s">
        <v>32</v>
      </c>
      <c r="C22" s="9" t="s">
        <v>1071</v>
      </c>
      <c r="D22" s="8">
        <v>1</v>
      </c>
      <c r="E22" s="10" t="s">
        <v>1072</v>
      </c>
      <c r="F22" s="10">
        <v>45714</v>
      </c>
      <c r="G22" s="11">
        <v>45714</v>
      </c>
      <c r="H22" s="8" t="s">
        <v>444</v>
      </c>
      <c r="I22" s="11" t="s">
        <v>445</v>
      </c>
      <c r="J22" s="8" t="s">
        <v>41</v>
      </c>
      <c r="K22" s="11" t="s">
        <v>660</v>
      </c>
      <c r="L22" s="8" t="s">
        <v>41</v>
      </c>
      <c r="M22" s="11" t="s">
        <v>492</v>
      </c>
      <c r="N22" s="8" t="s">
        <v>41</v>
      </c>
      <c r="O22" s="19" t="s">
        <v>1073</v>
      </c>
      <c r="P22" s="19">
        <v>0</v>
      </c>
      <c r="Q22" s="8">
        <v>28170.9</v>
      </c>
      <c r="R22" s="8" t="s">
        <v>1074</v>
      </c>
      <c r="S22" s="8" t="s">
        <v>288</v>
      </c>
      <c r="T22" s="8" t="s">
        <v>36</v>
      </c>
      <c r="U22" s="8" t="s">
        <v>663</v>
      </c>
      <c r="V22" s="8" t="s">
        <v>1075</v>
      </c>
      <c r="W22" s="1" t="s">
        <v>665</v>
      </c>
      <c r="X22" s="1" t="str">
        <v>株洲诚康实业有限责任公司</v>
      </c>
      <c r="Y22" s="1" t="str">
        <f>_xlfn.XLOOKUP(X22,'3月份计划-1'!A:A,'3月份计划-1'!A:A)</f>
        <v>株洲诚康实业有限责任公司</v>
      </c>
    </row>
    <row r="23" s="1" customFormat="1" ht="16.5" hidden="1" customHeight="1" spans="1:25">
      <c r="A23" s="12" t="s">
        <v>1076</v>
      </c>
      <c r="B23" s="15" t="s">
        <v>32</v>
      </c>
      <c r="C23" s="13" t="s">
        <v>1077</v>
      </c>
      <c r="D23" s="12">
        <v>1</v>
      </c>
      <c r="E23" s="14" t="s">
        <v>1078</v>
      </c>
      <c r="F23" s="14">
        <v>45714</v>
      </c>
      <c r="G23" s="15">
        <v>45714</v>
      </c>
      <c r="H23" s="12" t="s">
        <v>444</v>
      </c>
      <c r="I23" s="15" t="s">
        <v>445</v>
      </c>
      <c r="J23" s="12" t="s">
        <v>41</v>
      </c>
      <c r="K23" s="15" t="s">
        <v>660</v>
      </c>
      <c r="L23" s="12" t="s">
        <v>41</v>
      </c>
      <c r="M23" s="15" t="s">
        <v>492</v>
      </c>
      <c r="N23" s="12" t="s">
        <v>41</v>
      </c>
      <c r="O23" s="21" t="s">
        <v>1079</v>
      </c>
      <c r="P23" s="21">
        <v>0</v>
      </c>
      <c r="Q23" s="12">
        <v>4135.8</v>
      </c>
      <c r="R23" s="12" t="s">
        <v>1080</v>
      </c>
      <c r="S23" s="12" t="s">
        <v>305</v>
      </c>
      <c r="T23" s="12" t="s">
        <v>36</v>
      </c>
      <c r="U23" s="12" t="s">
        <v>663</v>
      </c>
      <c r="V23" s="12" t="s">
        <v>1081</v>
      </c>
      <c r="W23" s="1" t="s">
        <v>665</v>
      </c>
      <c r="X23" s="1" t="str">
        <v>湖北伟士通汽车零件有限公司</v>
      </c>
      <c r="Y23" s="1" t="str">
        <f>_xlfn.XLOOKUP(X23,'3月份计划-1'!A:A,'3月份计划-1'!A:A)</f>
        <v>湖北伟士通汽车零件有限公司</v>
      </c>
    </row>
    <row r="24" s="1" customFormat="1" ht="16.5" hidden="1" customHeight="1" spans="1:25">
      <c r="A24" s="8" t="s">
        <v>1082</v>
      </c>
      <c r="B24" s="11" t="s">
        <v>32</v>
      </c>
      <c r="C24" s="9" t="s">
        <v>1083</v>
      </c>
      <c r="D24" s="8">
        <v>1</v>
      </c>
      <c r="E24" s="10" t="s">
        <v>1084</v>
      </c>
      <c r="F24" s="10">
        <v>45715</v>
      </c>
      <c r="G24" s="11">
        <v>45715</v>
      </c>
      <c r="H24" s="8" t="s">
        <v>444</v>
      </c>
      <c r="I24" s="11" t="s">
        <v>445</v>
      </c>
      <c r="J24" s="8" t="s">
        <v>41</v>
      </c>
      <c r="K24" s="11" t="s">
        <v>660</v>
      </c>
      <c r="L24" s="8" t="s">
        <v>41</v>
      </c>
      <c r="M24" s="11" t="s">
        <v>492</v>
      </c>
      <c r="N24" s="8" t="s">
        <v>41</v>
      </c>
      <c r="O24" s="19" t="s">
        <v>951</v>
      </c>
      <c r="P24" s="19">
        <v>0</v>
      </c>
      <c r="Q24" s="8">
        <v>395578.84</v>
      </c>
      <c r="R24" s="8" t="s">
        <v>952</v>
      </c>
      <c r="S24" s="8" t="s">
        <v>264</v>
      </c>
      <c r="T24" s="8" t="s">
        <v>36</v>
      </c>
      <c r="U24" s="8" t="s">
        <v>663</v>
      </c>
      <c r="V24" s="8" t="s">
        <v>1085</v>
      </c>
      <c r="W24" s="1" t="s">
        <v>665</v>
      </c>
      <c r="X24" s="1" t="str">
        <v>北京光华荣昌汽车部件有限公司</v>
      </c>
      <c r="Y24" s="1" t="e">
        <f>_xlfn.XLOOKUP(X24,'3月份计划-1'!A:A,'3月份计划-1'!A:A)</f>
        <v>#N/A</v>
      </c>
    </row>
    <row r="25" s="1" customFormat="1" ht="16.5" hidden="1" customHeight="1" spans="1:25">
      <c r="A25" s="12" t="s">
        <v>1082</v>
      </c>
      <c r="B25" s="15" t="s">
        <v>32</v>
      </c>
      <c r="C25" s="13" t="s">
        <v>1083</v>
      </c>
      <c r="D25" s="12">
        <v>3</v>
      </c>
      <c r="E25" s="14" t="s">
        <v>1084</v>
      </c>
      <c r="F25" s="14">
        <v>45715</v>
      </c>
      <c r="G25" s="15">
        <v>45715</v>
      </c>
      <c r="H25" s="12" t="s">
        <v>444</v>
      </c>
      <c r="I25" s="15" t="s">
        <v>445</v>
      </c>
      <c r="J25" s="12" t="s">
        <v>41</v>
      </c>
      <c r="K25" s="15" t="s">
        <v>660</v>
      </c>
      <c r="L25" s="12" t="s">
        <v>41</v>
      </c>
      <c r="M25" s="15" t="s">
        <v>492</v>
      </c>
      <c r="N25" s="12" t="s">
        <v>41</v>
      </c>
      <c r="O25" s="21" t="s">
        <v>951</v>
      </c>
      <c r="P25" s="21">
        <v>1361.85</v>
      </c>
      <c r="Q25" s="12">
        <v>0</v>
      </c>
      <c r="R25" s="12" t="s">
        <v>952</v>
      </c>
      <c r="S25" s="12" t="s">
        <v>264</v>
      </c>
      <c r="T25" s="12" t="s">
        <v>36</v>
      </c>
      <c r="U25" s="12" t="s">
        <v>663</v>
      </c>
      <c r="V25" s="12" t="s">
        <v>1085</v>
      </c>
      <c r="W25" s="1" t="s">
        <v>665</v>
      </c>
      <c r="X25" s="1" t="str">
        <v>沧州旭兴五金制品有限公司</v>
      </c>
      <c r="Y25" s="1" t="str">
        <f>_xlfn.XLOOKUP(X25,'3月份计划-1'!A:A,'3月份计划-1'!A:A)</f>
        <v>沧州旭兴五金制品有限公司</v>
      </c>
    </row>
    <row r="26" s="1" customFormat="1" ht="16.5" hidden="1" customHeight="1" spans="1:25">
      <c r="A26" s="8" t="s">
        <v>1086</v>
      </c>
      <c r="B26" s="11" t="s">
        <v>32</v>
      </c>
      <c r="C26" s="9" t="s">
        <v>1087</v>
      </c>
      <c r="D26" s="8">
        <v>1</v>
      </c>
      <c r="E26" s="10" t="s">
        <v>1088</v>
      </c>
      <c r="F26" s="10">
        <v>45715</v>
      </c>
      <c r="G26" s="11">
        <v>45715</v>
      </c>
      <c r="H26" s="8" t="s">
        <v>444</v>
      </c>
      <c r="I26" s="11" t="s">
        <v>445</v>
      </c>
      <c r="J26" s="8" t="s">
        <v>41</v>
      </c>
      <c r="K26" s="11" t="s">
        <v>660</v>
      </c>
      <c r="L26" s="8" t="s">
        <v>41</v>
      </c>
      <c r="M26" s="11" t="s">
        <v>492</v>
      </c>
      <c r="N26" s="8" t="s">
        <v>41</v>
      </c>
      <c r="O26" s="19" t="s">
        <v>1089</v>
      </c>
      <c r="P26" s="19">
        <v>0</v>
      </c>
      <c r="Q26" s="8">
        <v>148243.95</v>
      </c>
      <c r="R26" s="8" t="s">
        <v>706</v>
      </c>
      <c r="S26" s="8" t="s">
        <v>240</v>
      </c>
      <c r="T26" s="8" t="s">
        <v>36</v>
      </c>
      <c r="U26" s="8" t="s">
        <v>663</v>
      </c>
      <c r="V26" s="8" t="s">
        <v>1090</v>
      </c>
      <c r="W26" s="1" t="s">
        <v>665</v>
      </c>
      <c r="X26" s="1" t="str">
        <v>上海明芳汽车零件有限公司</v>
      </c>
      <c r="Y26" s="1" t="str">
        <f>_xlfn.XLOOKUP(X26,'3月份计划-1'!A:A,'3月份计划-1'!A:A)</f>
        <v>上海明芳汽车零件有限公司</v>
      </c>
    </row>
    <row r="27" s="1" customFormat="1" ht="16.5" hidden="1" customHeight="1" spans="1:25">
      <c r="A27" s="12" t="s">
        <v>1086</v>
      </c>
      <c r="B27" s="15" t="s">
        <v>32</v>
      </c>
      <c r="C27" s="13" t="s">
        <v>1087</v>
      </c>
      <c r="D27" s="12">
        <v>3</v>
      </c>
      <c r="E27" s="14" t="s">
        <v>1088</v>
      </c>
      <c r="F27" s="14">
        <v>45715</v>
      </c>
      <c r="G27" s="15">
        <v>45715</v>
      </c>
      <c r="H27" s="12" t="s">
        <v>444</v>
      </c>
      <c r="I27" s="15" t="s">
        <v>445</v>
      </c>
      <c r="J27" s="12" t="s">
        <v>41</v>
      </c>
      <c r="K27" s="15" t="s">
        <v>660</v>
      </c>
      <c r="L27" s="12" t="s">
        <v>41</v>
      </c>
      <c r="M27" s="15" t="s">
        <v>492</v>
      </c>
      <c r="N27" s="12" t="s">
        <v>41</v>
      </c>
      <c r="O27" s="21" t="s">
        <v>1089</v>
      </c>
      <c r="P27" s="21">
        <v>270</v>
      </c>
      <c r="Q27" s="12">
        <v>0</v>
      </c>
      <c r="R27" s="12" t="s">
        <v>706</v>
      </c>
      <c r="S27" s="12" t="s">
        <v>240</v>
      </c>
      <c r="T27" s="12" t="s">
        <v>36</v>
      </c>
      <c r="U27" s="12" t="s">
        <v>663</v>
      </c>
      <c r="V27" s="12" t="s">
        <v>1090</v>
      </c>
      <c r="W27" s="1" t="s">
        <v>665</v>
      </c>
      <c r="X27" s="1" t="str">
        <v>长春富维安道拓汽车金属零部件</v>
      </c>
      <c r="Y27" s="1" t="str">
        <f>_xlfn.XLOOKUP(X27,'3月份计划-1'!A:A,'3月份计划-1'!A:A)</f>
        <v>长春富维安道拓汽车金属零部件</v>
      </c>
    </row>
    <row r="28" s="1" customFormat="1" ht="16.5" hidden="1" customHeight="1" spans="1:25">
      <c r="A28" s="8" t="s">
        <v>1091</v>
      </c>
      <c r="B28" s="11" t="s">
        <v>32</v>
      </c>
      <c r="C28" s="9" t="s">
        <v>1092</v>
      </c>
      <c r="D28" s="8">
        <v>1</v>
      </c>
      <c r="E28" s="10" t="s">
        <v>1093</v>
      </c>
      <c r="F28" s="10">
        <v>45715</v>
      </c>
      <c r="G28" s="11">
        <v>45715</v>
      </c>
      <c r="H28" s="8" t="s">
        <v>444</v>
      </c>
      <c r="I28" s="11" t="s">
        <v>445</v>
      </c>
      <c r="J28" s="8" t="s">
        <v>41</v>
      </c>
      <c r="K28" s="11" t="s">
        <v>660</v>
      </c>
      <c r="L28" s="8" t="s">
        <v>41</v>
      </c>
      <c r="M28" s="11" t="s">
        <v>492</v>
      </c>
      <c r="N28" s="8" t="s">
        <v>41</v>
      </c>
      <c r="O28" s="19" t="s">
        <v>1094</v>
      </c>
      <c r="P28" s="19">
        <v>0.01</v>
      </c>
      <c r="Q28" s="8">
        <v>0</v>
      </c>
      <c r="R28" s="8" t="s">
        <v>706</v>
      </c>
      <c r="S28" s="8" t="s">
        <v>240</v>
      </c>
      <c r="T28" s="8" t="s">
        <v>36</v>
      </c>
      <c r="U28" s="8" t="s">
        <v>663</v>
      </c>
      <c r="V28" s="8" t="s">
        <v>1095</v>
      </c>
      <c r="W28" s="1" t="s">
        <v>665</v>
      </c>
      <c r="X28" s="1" t="str">
        <v>文安县德实汽车配件有限公司</v>
      </c>
      <c r="Y28" s="1" t="str">
        <f>_xlfn.XLOOKUP(X28,'3月份计划-1'!A:A,'3月份计划-1'!A:A)</f>
        <v>文安县德实汽车配件有限公司</v>
      </c>
    </row>
    <row r="29" s="1" customFormat="1" ht="16.5" customHeight="1" spans="1:25">
      <c r="A29" s="12" t="s">
        <v>1096</v>
      </c>
      <c r="B29" s="15" t="s">
        <v>32</v>
      </c>
      <c r="C29" s="13" t="s">
        <v>1097</v>
      </c>
      <c r="D29" s="12">
        <v>1</v>
      </c>
      <c r="E29" s="14" t="s">
        <v>1098</v>
      </c>
      <c r="F29" s="14">
        <v>45715</v>
      </c>
      <c r="G29" s="15">
        <v>45715</v>
      </c>
      <c r="H29" s="12" t="s">
        <v>444</v>
      </c>
      <c r="I29" s="15" t="s">
        <v>445</v>
      </c>
      <c r="J29" s="12" t="s">
        <v>41</v>
      </c>
      <c r="K29" s="15" t="s">
        <v>660</v>
      </c>
      <c r="L29" s="12" t="s">
        <v>41</v>
      </c>
      <c r="M29" s="15" t="s">
        <v>492</v>
      </c>
      <c r="N29" s="12" t="s">
        <v>41</v>
      </c>
      <c r="O29" s="21" t="s">
        <v>889</v>
      </c>
      <c r="P29" s="21">
        <v>0</v>
      </c>
      <c r="Q29" s="12">
        <v>271468.82</v>
      </c>
      <c r="R29" s="12" t="s">
        <v>890</v>
      </c>
      <c r="S29" s="12" t="s">
        <v>263</v>
      </c>
      <c r="T29" s="12" t="s">
        <v>36</v>
      </c>
      <c r="U29" s="12" t="s">
        <v>663</v>
      </c>
      <c r="V29" s="12" t="s">
        <v>1099</v>
      </c>
      <c r="W29" s="1" t="s">
        <v>665</v>
      </c>
      <c r="X29" s="1" t="str">
        <v>湖南驷马机械有限公司</v>
      </c>
      <c r="Y29" s="1" t="str">
        <f>_xlfn.XLOOKUP(X29,'3月份计划-1'!A:A,'3月份计划-1'!A:A)</f>
        <v>湖南驷马机械有限公司</v>
      </c>
    </row>
    <row r="30" s="1" customFormat="1" ht="16.5" customHeight="1" spans="1:25">
      <c r="A30" s="8" t="s">
        <v>1096</v>
      </c>
      <c r="B30" s="11" t="s">
        <v>32</v>
      </c>
      <c r="C30" s="9" t="s">
        <v>1097</v>
      </c>
      <c r="D30" s="8">
        <v>3</v>
      </c>
      <c r="E30" s="10" t="s">
        <v>1098</v>
      </c>
      <c r="F30" s="10">
        <v>45715</v>
      </c>
      <c r="G30" s="11">
        <v>45715</v>
      </c>
      <c r="H30" s="8" t="s">
        <v>444</v>
      </c>
      <c r="I30" s="11" t="s">
        <v>445</v>
      </c>
      <c r="J30" s="8" t="s">
        <v>41</v>
      </c>
      <c r="K30" s="11" t="s">
        <v>660</v>
      </c>
      <c r="L30" s="8" t="s">
        <v>41</v>
      </c>
      <c r="M30" s="11" t="s">
        <v>492</v>
      </c>
      <c r="N30" s="8" t="s">
        <v>41</v>
      </c>
      <c r="O30" s="19" t="s">
        <v>889</v>
      </c>
      <c r="P30" s="19">
        <v>1.16</v>
      </c>
      <c r="Q30" s="8">
        <v>0</v>
      </c>
      <c r="R30" s="8" t="s">
        <v>890</v>
      </c>
      <c r="S30" s="8" t="s">
        <v>263</v>
      </c>
      <c r="T30" s="8" t="s">
        <v>36</v>
      </c>
      <c r="U30" s="8" t="s">
        <v>663</v>
      </c>
      <c r="V30" s="8" t="s">
        <v>1099</v>
      </c>
      <c r="W30" s="1" t="s">
        <v>665</v>
      </c>
      <c r="X30" s="1" t="str">
        <v>天津鑫淼塑料制品有限公司</v>
      </c>
      <c r="Y30" s="1" t="str">
        <f>_xlfn.XLOOKUP(X30,'3月份计划-1'!A:A,'3月份计划-1'!A:A)</f>
        <v>天津鑫淼塑料制品有限公司</v>
      </c>
    </row>
    <row r="31" s="1" customFormat="1" ht="16.5" hidden="1" customHeight="1" spans="1:25">
      <c r="A31" s="12" t="s">
        <v>1100</v>
      </c>
      <c r="B31" s="15" t="s">
        <v>32</v>
      </c>
      <c r="C31" s="13" t="s">
        <v>1101</v>
      </c>
      <c r="D31" s="12">
        <v>1</v>
      </c>
      <c r="E31" s="14" t="s">
        <v>1102</v>
      </c>
      <c r="F31" s="14">
        <v>45715</v>
      </c>
      <c r="G31" s="15">
        <v>45715</v>
      </c>
      <c r="H31" s="12" t="s">
        <v>444</v>
      </c>
      <c r="I31" s="15" t="s">
        <v>445</v>
      </c>
      <c r="J31" s="12" t="s">
        <v>41</v>
      </c>
      <c r="K31" s="15" t="s">
        <v>660</v>
      </c>
      <c r="L31" s="12" t="s">
        <v>41</v>
      </c>
      <c r="M31" s="15" t="s">
        <v>492</v>
      </c>
      <c r="N31" s="12" t="s">
        <v>41</v>
      </c>
      <c r="O31" s="21" t="s">
        <v>762</v>
      </c>
      <c r="P31" s="21">
        <v>0</v>
      </c>
      <c r="Q31" s="12">
        <v>5326.28</v>
      </c>
      <c r="R31" s="12" t="s">
        <v>763</v>
      </c>
      <c r="S31" s="12" t="s">
        <v>275</v>
      </c>
      <c r="T31" s="12" t="s">
        <v>36</v>
      </c>
      <c r="U31" s="12" t="s">
        <v>663</v>
      </c>
      <c r="V31" s="12" t="s">
        <v>1103</v>
      </c>
      <c r="W31" s="1" t="s">
        <v>665</v>
      </c>
      <c r="X31" s="1" t="str">
        <v>江苏忠明祥和精工股份有限公司</v>
      </c>
      <c r="Y31" s="1" t="str">
        <f>_xlfn.XLOOKUP(X31,'3月份计划-1'!A:A,'3月份计划-1'!A:A)</f>
        <v>江苏忠明祥和精工股份有限公司</v>
      </c>
    </row>
    <row r="32" s="1" customFormat="1" ht="16.5" hidden="1" customHeight="1" spans="1:25">
      <c r="A32" s="8" t="s">
        <v>1104</v>
      </c>
      <c r="B32" s="11" t="s">
        <v>32</v>
      </c>
      <c r="C32" s="9" t="s">
        <v>1105</v>
      </c>
      <c r="D32" s="8">
        <v>1</v>
      </c>
      <c r="E32" s="10" t="s">
        <v>1106</v>
      </c>
      <c r="F32" s="10">
        <v>45715</v>
      </c>
      <c r="G32" s="11">
        <v>45715</v>
      </c>
      <c r="H32" s="8" t="s">
        <v>444</v>
      </c>
      <c r="I32" s="11" t="s">
        <v>445</v>
      </c>
      <c r="J32" s="8" t="s">
        <v>41</v>
      </c>
      <c r="K32" s="11" t="s">
        <v>660</v>
      </c>
      <c r="L32" s="8" t="s">
        <v>41</v>
      </c>
      <c r="M32" s="11" t="s">
        <v>492</v>
      </c>
      <c r="N32" s="8" t="s">
        <v>41</v>
      </c>
      <c r="O32" s="19" t="s">
        <v>1107</v>
      </c>
      <c r="P32" s="19">
        <v>0</v>
      </c>
      <c r="Q32" s="8">
        <v>49655.69</v>
      </c>
      <c r="R32" s="8" t="s">
        <v>753</v>
      </c>
      <c r="S32" s="8" t="s">
        <v>252</v>
      </c>
      <c r="T32" s="8" t="s">
        <v>36</v>
      </c>
      <c r="U32" s="8" t="s">
        <v>663</v>
      </c>
      <c r="V32" s="8" t="s">
        <v>1108</v>
      </c>
      <c r="W32" s="1" t="s">
        <v>665</v>
      </c>
      <c r="X32" s="1" t="str">
        <v>北京美好生活家居用品有限公司</v>
      </c>
      <c r="Y32" s="1" t="str">
        <f>_xlfn.XLOOKUP(X32,'3月份计划-1'!A:A,'3月份计划-1'!A:A)</f>
        <v>北京美好生活家居用品有限公司</v>
      </c>
    </row>
    <row r="33" s="1" customFormat="1" ht="16.5" hidden="1" customHeight="1" spans="1:25">
      <c r="A33" s="12" t="s">
        <v>1104</v>
      </c>
      <c r="B33" s="15" t="s">
        <v>32</v>
      </c>
      <c r="C33" s="13" t="s">
        <v>1105</v>
      </c>
      <c r="D33" s="12">
        <v>3</v>
      </c>
      <c r="E33" s="14" t="s">
        <v>1106</v>
      </c>
      <c r="F33" s="14">
        <v>45715</v>
      </c>
      <c r="G33" s="15">
        <v>45715</v>
      </c>
      <c r="H33" s="12" t="s">
        <v>444</v>
      </c>
      <c r="I33" s="15" t="s">
        <v>445</v>
      </c>
      <c r="J33" s="12" t="s">
        <v>41</v>
      </c>
      <c r="K33" s="15" t="s">
        <v>660</v>
      </c>
      <c r="L33" s="12" t="s">
        <v>41</v>
      </c>
      <c r="M33" s="15" t="s">
        <v>492</v>
      </c>
      <c r="N33" s="12" t="s">
        <v>41</v>
      </c>
      <c r="O33" s="21" t="s">
        <v>1107</v>
      </c>
      <c r="P33" s="21">
        <v>0.91</v>
      </c>
      <c r="Q33" s="12">
        <v>0</v>
      </c>
      <c r="R33" s="12" t="s">
        <v>753</v>
      </c>
      <c r="S33" s="12" t="s">
        <v>252</v>
      </c>
      <c r="T33" s="12" t="s">
        <v>36</v>
      </c>
      <c r="U33" s="12" t="s">
        <v>663</v>
      </c>
      <c r="V33" s="12" t="s">
        <v>1108</v>
      </c>
      <c r="W33" s="1" t="s">
        <v>665</v>
      </c>
      <c r="X33" s="1" t="str">
        <v>湘潭市忠强气体有限公司</v>
      </c>
      <c r="Y33" s="1" t="str">
        <f>_xlfn.XLOOKUP(X33,'3月份计划-1'!A:A,'3月份计划-1'!A:A)</f>
        <v>湘潭市忠强气体有限公司</v>
      </c>
    </row>
    <row r="34" s="1" customFormat="1" ht="16.5" hidden="1" customHeight="1" spans="1:25">
      <c r="A34" s="8" t="s">
        <v>1109</v>
      </c>
      <c r="B34" s="11" t="s">
        <v>32</v>
      </c>
      <c r="C34" s="9" t="s">
        <v>1110</v>
      </c>
      <c r="D34" s="8">
        <v>1</v>
      </c>
      <c r="E34" s="10" t="s">
        <v>1111</v>
      </c>
      <c r="F34" s="10">
        <v>45715</v>
      </c>
      <c r="G34" s="11">
        <v>45715</v>
      </c>
      <c r="H34" s="8" t="s">
        <v>444</v>
      </c>
      <c r="I34" s="11" t="s">
        <v>445</v>
      </c>
      <c r="J34" s="8" t="s">
        <v>41</v>
      </c>
      <c r="K34" s="11" t="s">
        <v>660</v>
      </c>
      <c r="L34" s="8" t="s">
        <v>41</v>
      </c>
      <c r="M34" s="11" t="s">
        <v>492</v>
      </c>
      <c r="N34" s="8" t="s">
        <v>41</v>
      </c>
      <c r="O34" s="19" t="s">
        <v>1112</v>
      </c>
      <c r="P34" s="19">
        <v>0</v>
      </c>
      <c r="Q34" s="8">
        <v>39356.54</v>
      </c>
      <c r="R34" s="8" t="s">
        <v>686</v>
      </c>
      <c r="S34" s="8" t="s">
        <v>446</v>
      </c>
      <c r="T34" s="8" t="s">
        <v>36</v>
      </c>
      <c r="U34" s="8" t="s">
        <v>663</v>
      </c>
      <c r="V34" s="8" t="s">
        <v>1113</v>
      </c>
      <c r="W34" s="1" t="s">
        <v>665</v>
      </c>
      <c r="X34" s="1" t="str">
        <v>廊坊市烁鑫汽车配件有限公司</v>
      </c>
      <c r="Y34" s="1" t="str">
        <f>_xlfn.XLOOKUP(X34,'3月份计划-1'!A:A,'3月份计划-1'!A:A)</f>
        <v>廊坊市烁鑫汽车配件有限公司</v>
      </c>
    </row>
    <row r="35" s="1" customFormat="1" ht="16.5" hidden="1" customHeight="1" spans="1:25">
      <c r="A35" s="12" t="s">
        <v>1114</v>
      </c>
      <c r="B35" s="15" t="s">
        <v>32</v>
      </c>
      <c r="C35" s="13" t="s">
        <v>1115</v>
      </c>
      <c r="D35" s="12">
        <v>1</v>
      </c>
      <c r="E35" s="14" t="s">
        <v>1116</v>
      </c>
      <c r="F35" s="14">
        <v>45715</v>
      </c>
      <c r="G35" s="15">
        <v>45715</v>
      </c>
      <c r="H35" s="12" t="s">
        <v>444</v>
      </c>
      <c r="I35" s="15" t="s">
        <v>445</v>
      </c>
      <c r="J35" s="12" t="s">
        <v>41</v>
      </c>
      <c r="K35" s="15" t="s">
        <v>660</v>
      </c>
      <c r="L35" s="12" t="s">
        <v>41</v>
      </c>
      <c r="M35" s="15" t="s">
        <v>492</v>
      </c>
      <c r="N35" s="12" t="s">
        <v>41</v>
      </c>
      <c r="O35" s="21" t="s">
        <v>1117</v>
      </c>
      <c r="P35" s="21">
        <v>0</v>
      </c>
      <c r="Q35" s="12">
        <v>10468.98</v>
      </c>
      <c r="R35" s="12" t="s">
        <v>1118</v>
      </c>
      <c r="S35" s="12" t="s">
        <v>312</v>
      </c>
      <c r="T35" s="12" t="s">
        <v>36</v>
      </c>
      <c r="U35" s="12" t="s">
        <v>663</v>
      </c>
      <c r="V35" s="12" t="s">
        <v>1119</v>
      </c>
      <c r="W35" s="1" t="s">
        <v>665</v>
      </c>
      <c r="X35" s="1" t="str">
        <v>溧阳鑫岩汽车零部件有限公司</v>
      </c>
      <c r="Y35" s="1" t="str">
        <f>_xlfn.XLOOKUP(X35,'3月份计划-1'!A:A,'3月份计划-1'!A:A)</f>
        <v>溧阳鑫岩汽车零部件有限公司</v>
      </c>
    </row>
    <row r="36" s="1" customFormat="1" ht="16.5" hidden="1" customHeight="1" spans="1:25">
      <c r="A36" s="8" t="s">
        <v>1114</v>
      </c>
      <c r="B36" s="11" t="s">
        <v>32</v>
      </c>
      <c r="C36" s="9" t="s">
        <v>1115</v>
      </c>
      <c r="D36" s="8">
        <v>3</v>
      </c>
      <c r="E36" s="10" t="s">
        <v>1116</v>
      </c>
      <c r="F36" s="10">
        <v>45715</v>
      </c>
      <c r="G36" s="11">
        <v>45715</v>
      </c>
      <c r="H36" s="8" t="s">
        <v>444</v>
      </c>
      <c r="I36" s="11" t="s">
        <v>445</v>
      </c>
      <c r="J36" s="8" t="s">
        <v>41</v>
      </c>
      <c r="K36" s="11" t="s">
        <v>660</v>
      </c>
      <c r="L36" s="8" t="s">
        <v>41</v>
      </c>
      <c r="M36" s="11" t="s">
        <v>492</v>
      </c>
      <c r="N36" s="8" t="s">
        <v>41</v>
      </c>
      <c r="O36" s="19" t="s">
        <v>1117</v>
      </c>
      <c r="P36" s="19">
        <v>4428</v>
      </c>
      <c r="Q36" s="8">
        <v>0</v>
      </c>
      <c r="R36" s="8" t="s">
        <v>1118</v>
      </c>
      <c r="S36" s="8" t="s">
        <v>312</v>
      </c>
      <c r="T36" s="8" t="s">
        <v>36</v>
      </c>
      <c r="U36" s="8" t="s">
        <v>663</v>
      </c>
      <c r="V36" s="8" t="s">
        <v>1119</v>
      </c>
      <c r="W36" s="1" t="s">
        <v>665</v>
      </c>
      <c r="X36" s="1" t="str">
        <v>湖南诺亿科技有限公司</v>
      </c>
      <c r="Y36" s="1" t="str">
        <f>_xlfn.XLOOKUP(X36,'3月份计划-1'!A:A,'3月份计划-1'!A:A)</f>
        <v>湖南诺亿科技有限公司</v>
      </c>
    </row>
    <row r="37" s="1" customFormat="1" ht="16.5" hidden="1" customHeight="1" spans="1:25">
      <c r="A37" s="12" t="s">
        <v>1120</v>
      </c>
      <c r="B37" s="15" t="s">
        <v>32</v>
      </c>
      <c r="C37" s="13" t="s">
        <v>1121</v>
      </c>
      <c r="D37" s="12">
        <v>1</v>
      </c>
      <c r="E37" s="14" t="s">
        <v>1122</v>
      </c>
      <c r="F37" s="14">
        <v>45715</v>
      </c>
      <c r="G37" s="15">
        <v>45715</v>
      </c>
      <c r="H37" s="12" t="s">
        <v>444</v>
      </c>
      <c r="I37" s="15" t="s">
        <v>445</v>
      </c>
      <c r="J37" s="12" t="s">
        <v>41</v>
      </c>
      <c r="K37" s="15" t="s">
        <v>660</v>
      </c>
      <c r="L37" s="12" t="s">
        <v>41</v>
      </c>
      <c r="M37" s="15" t="s">
        <v>492</v>
      </c>
      <c r="N37" s="12" t="s">
        <v>41</v>
      </c>
      <c r="O37" s="21" t="s">
        <v>710</v>
      </c>
      <c r="P37" s="21">
        <v>0</v>
      </c>
      <c r="Q37" s="12">
        <v>88818</v>
      </c>
      <c r="R37" s="12" t="s">
        <v>711</v>
      </c>
      <c r="S37" s="12" t="s">
        <v>311</v>
      </c>
      <c r="T37" s="12" t="s">
        <v>36</v>
      </c>
      <c r="U37" s="12" t="s">
        <v>663</v>
      </c>
      <c r="V37" s="12" t="s">
        <v>1123</v>
      </c>
      <c r="W37" s="1" t="s">
        <v>665</v>
      </c>
      <c r="X37" s="1" t="str">
        <v>重庆光大产业有限公司</v>
      </c>
      <c r="Y37" s="1" t="str">
        <f>_xlfn.XLOOKUP(X37,'3月份计划-1'!A:A,'3月份计划-1'!A:A)</f>
        <v>重庆光大产业有限公司</v>
      </c>
    </row>
    <row r="38" s="1" customFormat="1" ht="16.5" hidden="1" customHeight="1" spans="1:25">
      <c r="A38" s="8" t="s">
        <v>1124</v>
      </c>
      <c r="B38" s="11" t="s">
        <v>32</v>
      </c>
      <c r="C38" s="9" t="s">
        <v>1125</v>
      </c>
      <c r="D38" s="8">
        <v>1</v>
      </c>
      <c r="E38" s="10" t="s">
        <v>1126</v>
      </c>
      <c r="F38" s="10">
        <v>45715</v>
      </c>
      <c r="G38" s="11">
        <v>45715</v>
      </c>
      <c r="H38" s="8" t="s">
        <v>444</v>
      </c>
      <c r="I38" s="11" t="s">
        <v>445</v>
      </c>
      <c r="J38" s="8" t="s">
        <v>41</v>
      </c>
      <c r="K38" s="11" t="s">
        <v>660</v>
      </c>
      <c r="L38" s="8" t="s">
        <v>41</v>
      </c>
      <c r="M38" s="11" t="s">
        <v>492</v>
      </c>
      <c r="N38" s="8" t="s">
        <v>41</v>
      </c>
      <c r="O38" s="19" t="s">
        <v>1127</v>
      </c>
      <c r="P38" s="19">
        <v>0</v>
      </c>
      <c r="Q38" s="8">
        <v>78020.18</v>
      </c>
      <c r="R38" s="8" t="s">
        <v>696</v>
      </c>
      <c r="S38" s="8" t="s">
        <v>248</v>
      </c>
      <c r="T38" s="8" t="s">
        <v>36</v>
      </c>
      <c r="U38" s="8" t="s">
        <v>663</v>
      </c>
      <c r="V38" s="8" t="s">
        <v>1128</v>
      </c>
      <c r="W38" s="1" t="s">
        <v>665</v>
      </c>
      <c r="X38" s="1" t="str">
        <v>湖南中道机械设备有限公司</v>
      </c>
      <c r="Y38" s="1" t="str">
        <f>_xlfn.XLOOKUP(X38,'3月份计划-1'!A:A,'3月份计划-1'!A:A)</f>
        <v>湖南中道机械设备有限公司</v>
      </c>
    </row>
    <row r="39" s="1" customFormat="1" ht="16.5" hidden="1" customHeight="1" spans="1:25">
      <c r="A39" s="12" t="s">
        <v>1129</v>
      </c>
      <c r="B39" s="15" t="s">
        <v>32</v>
      </c>
      <c r="C39" s="13" t="s">
        <v>1130</v>
      </c>
      <c r="D39" s="12">
        <v>1</v>
      </c>
      <c r="E39" s="14" t="s">
        <v>1131</v>
      </c>
      <c r="F39" s="14">
        <v>45715</v>
      </c>
      <c r="G39" s="15">
        <v>45715</v>
      </c>
      <c r="H39" s="12" t="s">
        <v>444</v>
      </c>
      <c r="I39" s="15" t="s">
        <v>445</v>
      </c>
      <c r="J39" s="12" t="s">
        <v>41</v>
      </c>
      <c r="K39" s="15" t="s">
        <v>660</v>
      </c>
      <c r="L39" s="12" t="s">
        <v>41</v>
      </c>
      <c r="M39" s="15" t="s">
        <v>492</v>
      </c>
      <c r="N39" s="12" t="s">
        <v>41</v>
      </c>
      <c r="O39" s="21" t="s">
        <v>1132</v>
      </c>
      <c r="P39" s="21">
        <v>0</v>
      </c>
      <c r="Q39" s="12">
        <v>220943.09</v>
      </c>
      <c r="R39" s="12" t="s">
        <v>793</v>
      </c>
      <c r="S39" s="12" t="s">
        <v>299</v>
      </c>
      <c r="T39" s="12" t="s">
        <v>36</v>
      </c>
      <c r="U39" s="12" t="s">
        <v>663</v>
      </c>
      <c r="V39" s="12" t="s">
        <v>1133</v>
      </c>
      <c r="W39" s="1" t="s">
        <v>665</v>
      </c>
      <c r="X39" s="1" t="str">
        <v>霸州市自强汽车零部件厂</v>
      </c>
      <c r="Y39" s="1" t="str">
        <f>_xlfn.XLOOKUP(X39,'3月份计划-1'!A:A,'3月份计划-1'!A:A)</f>
        <v>霸州市自强汽车零部件厂</v>
      </c>
    </row>
    <row r="40" s="1" customFormat="1" ht="16.5" hidden="1" customHeight="1" spans="1:25">
      <c r="A40" s="8" t="s">
        <v>1129</v>
      </c>
      <c r="B40" s="11" t="s">
        <v>32</v>
      </c>
      <c r="C40" s="9" t="s">
        <v>1130</v>
      </c>
      <c r="D40" s="8">
        <v>3</v>
      </c>
      <c r="E40" s="10" t="s">
        <v>1131</v>
      </c>
      <c r="F40" s="10">
        <v>45715</v>
      </c>
      <c r="G40" s="11">
        <v>45715</v>
      </c>
      <c r="H40" s="8" t="s">
        <v>444</v>
      </c>
      <c r="I40" s="11" t="s">
        <v>445</v>
      </c>
      <c r="J40" s="8" t="s">
        <v>41</v>
      </c>
      <c r="K40" s="11" t="s">
        <v>660</v>
      </c>
      <c r="L40" s="8" t="s">
        <v>41</v>
      </c>
      <c r="M40" s="11" t="s">
        <v>492</v>
      </c>
      <c r="N40" s="8" t="s">
        <v>41</v>
      </c>
      <c r="O40" s="19" t="s">
        <v>1132</v>
      </c>
      <c r="P40" s="19">
        <v>11344.7</v>
      </c>
      <c r="Q40" s="8">
        <v>0</v>
      </c>
      <c r="R40" s="8" t="s">
        <v>793</v>
      </c>
      <c r="S40" s="8" t="s">
        <v>299</v>
      </c>
      <c r="T40" s="8" t="s">
        <v>36</v>
      </c>
      <c r="U40" s="8" t="s">
        <v>663</v>
      </c>
      <c r="V40" s="8" t="s">
        <v>1133</v>
      </c>
      <c r="W40" s="1" t="s">
        <v>665</v>
      </c>
      <c r="X40" s="1" t="str">
        <v>深州市晶立泰机械配件有限公司</v>
      </c>
      <c r="Y40" s="1" t="str">
        <f>_xlfn.XLOOKUP(X40,'3月份计划-1'!A:A,'3月份计划-1'!A:A)</f>
        <v>深州市晶立泰机械配件有限公司</v>
      </c>
    </row>
    <row r="41" s="1" customFormat="1" ht="16.5" hidden="1" customHeight="1" spans="1:25">
      <c r="A41" s="12" t="s">
        <v>1134</v>
      </c>
      <c r="B41" s="15" t="s">
        <v>32</v>
      </c>
      <c r="C41" s="13" t="s">
        <v>1135</v>
      </c>
      <c r="D41" s="12">
        <v>1</v>
      </c>
      <c r="E41" s="14" t="s">
        <v>1136</v>
      </c>
      <c r="F41" s="14">
        <v>45715</v>
      </c>
      <c r="G41" s="15">
        <v>45715</v>
      </c>
      <c r="H41" s="12" t="s">
        <v>444</v>
      </c>
      <c r="I41" s="15" t="s">
        <v>445</v>
      </c>
      <c r="J41" s="12" t="s">
        <v>41</v>
      </c>
      <c r="K41" s="15" t="s">
        <v>660</v>
      </c>
      <c r="L41" s="12" t="s">
        <v>41</v>
      </c>
      <c r="M41" s="15" t="s">
        <v>492</v>
      </c>
      <c r="N41" s="12" t="s">
        <v>41</v>
      </c>
      <c r="O41" s="21" t="s">
        <v>1137</v>
      </c>
      <c r="P41" s="21">
        <v>0</v>
      </c>
      <c r="Q41" s="12">
        <v>20165.3</v>
      </c>
      <c r="R41" s="12" t="s">
        <v>783</v>
      </c>
      <c r="S41" s="12" t="s">
        <v>280</v>
      </c>
      <c r="T41" s="12" t="s">
        <v>36</v>
      </c>
      <c r="U41" s="12" t="s">
        <v>663</v>
      </c>
      <c r="V41" s="12" t="s">
        <v>1138</v>
      </c>
      <c r="W41" s="1" t="s">
        <v>665</v>
      </c>
      <c r="X41" s="1" t="str">
        <v>黄骅市广亿汽车部件有限公司</v>
      </c>
      <c r="Y41" s="1" t="str">
        <f>_xlfn.XLOOKUP(X41,'3月份计划-1'!A:A,'3月份计划-1'!A:A)</f>
        <v>黄骅市广亿汽车部件有限公司</v>
      </c>
    </row>
    <row r="42" s="1" customFormat="1" ht="16.5" hidden="1" customHeight="1" spans="1:25">
      <c r="A42" s="8" t="s">
        <v>1139</v>
      </c>
      <c r="B42" s="11" t="s">
        <v>32</v>
      </c>
      <c r="C42" s="9" t="s">
        <v>1140</v>
      </c>
      <c r="D42" s="8">
        <v>1</v>
      </c>
      <c r="E42" s="10" t="s">
        <v>1141</v>
      </c>
      <c r="F42" s="10">
        <v>45715</v>
      </c>
      <c r="G42" s="11">
        <v>45715</v>
      </c>
      <c r="H42" s="8" t="s">
        <v>444</v>
      </c>
      <c r="I42" s="11" t="s">
        <v>445</v>
      </c>
      <c r="J42" s="8" t="s">
        <v>41</v>
      </c>
      <c r="K42" s="11" t="s">
        <v>660</v>
      </c>
      <c r="L42" s="8" t="s">
        <v>41</v>
      </c>
      <c r="M42" s="11" t="s">
        <v>492</v>
      </c>
      <c r="N42" s="8" t="s">
        <v>41</v>
      </c>
      <c r="O42" s="19" t="s">
        <v>1142</v>
      </c>
      <c r="P42" s="19">
        <v>0</v>
      </c>
      <c r="Q42" s="8">
        <v>34883.3</v>
      </c>
      <c r="R42" s="8" t="s">
        <v>1143</v>
      </c>
      <c r="S42" s="8" t="s">
        <v>268</v>
      </c>
      <c r="T42" s="8" t="s">
        <v>36</v>
      </c>
      <c r="U42" s="8" t="s">
        <v>663</v>
      </c>
      <c r="V42" s="8" t="s">
        <v>1144</v>
      </c>
      <c r="W42" s="1" t="s">
        <v>665</v>
      </c>
      <c r="X42" s="1" t="str">
        <v>黄骅市雍丰塑料制品有限公司</v>
      </c>
      <c r="Y42" s="1" t="str">
        <f>_xlfn.XLOOKUP(X42,'3月份计划-1'!A:A,'3月份计划-1'!A:A)</f>
        <v>黄骅市雍丰塑料制品有限公司</v>
      </c>
    </row>
    <row r="43" s="1" customFormat="1" ht="16.5" hidden="1" customHeight="1" spans="1:25">
      <c r="A43" s="12" t="s">
        <v>1139</v>
      </c>
      <c r="B43" s="15" t="s">
        <v>32</v>
      </c>
      <c r="C43" s="13" t="s">
        <v>1140</v>
      </c>
      <c r="D43" s="12">
        <v>3</v>
      </c>
      <c r="E43" s="14" t="s">
        <v>1141</v>
      </c>
      <c r="F43" s="14">
        <v>45715</v>
      </c>
      <c r="G43" s="15">
        <v>45715</v>
      </c>
      <c r="H43" s="12" t="s">
        <v>444</v>
      </c>
      <c r="I43" s="15" t="s">
        <v>445</v>
      </c>
      <c r="J43" s="12" t="s">
        <v>41</v>
      </c>
      <c r="K43" s="15" t="s">
        <v>660</v>
      </c>
      <c r="L43" s="12" t="s">
        <v>41</v>
      </c>
      <c r="M43" s="15" t="s">
        <v>492</v>
      </c>
      <c r="N43" s="12" t="s">
        <v>41</v>
      </c>
      <c r="O43" s="21" t="s">
        <v>1142</v>
      </c>
      <c r="P43" s="21">
        <v>9820.8</v>
      </c>
      <c r="Q43" s="12">
        <v>0</v>
      </c>
      <c r="R43" s="12" t="s">
        <v>1143</v>
      </c>
      <c r="S43" s="12" t="s">
        <v>268</v>
      </c>
      <c r="T43" s="12" t="s">
        <v>36</v>
      </c>
      <c r="U43" s="12" t="s">
        <v>663</v>
      </c>
      <c r="V43" s="12" t="s">
        <v>1144</v>
      </c>
      <c r="W43" s="1" t="s">
        <v>665</v>
      </c>
      <c r="X43" s="1" t="str">
        <v>天津琪安科技有限公司</v>
      </c>
      <c r="Y43" s="1" t="str">
        <f>_xlfn.XLOOKUP(X43,'3月份计划-1'!A:A,'3月份计划-1'!A:A)</f>
        <v>天津琪安科技有限公司</v>
      </c>
    </row>
    <row r="44" s="1" customFormat="1" ht="16.5" hidden="1" customHeight="1" spans="1:25">
      <c r="A44" s="8" t="s">
        <v>1145</v>
      </c>
      <c r="B44" s="11" t="s">
        <v>32</v>
      </c>
      <c r="C44" s="9" t="s">
        <v>1146</v>
      </c>
      <c r="D44" s="8">
        <v>1</v>
      </c>
      <c r="E44" s="10" t="s">
        <v>1147</v>
      </c>
      <c r="F44" s="10">
        <v>45715</v>
      </c>
      <c r="G44" s="11">
        <v>45715</v>
      </c>
      <c r="H44" s="8" t="s">
        <v>444</v>
      </c>
      <c r="I44" s="11" t="s">
        <v>445</v>
      </c>
      <c r="J44" s="8" t="s">
        <v>41</v>
      </c>
      <c r="K44" s="11" t="s">
        <v>660</v>
      </c>
      <c r="L44" s="8" t="s">
        <v>41</v>
      </c>
      <c r="M44" s="11" t="s">
        <v>492</v>
      </c>
      <c r="N44" s="8" t="s">
        <v>41</v>
      </c>
      <c r="O44" s="19" t="s">
        <v>1148</v>
      </c>
      <c r="P44" s="19">
        <v>0</v>
      </c>
      <c r="Q44" s="8">
        <v>54918</v>
      </c>
      <c r="R44" s="8" t="s">
        <v>1149</v>
      </c>
      <c r="S44" s="8" t="s">
        <v>282</v>
      </c>
      <c r="T44" s="8" t="s">
        <v>36</v>
      </c>
      <c r="U44" s="8" t="s">
        <v>663</v>
      </c>
      <c r="V44" s="8" t="s">
        <v>1150</v>
      </c>
      <c r="W44" s="1" t="s">
        <v>665</v>
      </c>
      <c r="X44" s="1" t="str">
        <v>沧州临港明康汽车配件有限公司</v>
      </c>
      <c r="Y44" s="1" t="str">
        <f>_xlfn.XLOOKUP(X44,'3月份计划-1'!A:A,'3月份计划-1'!A:A)</f>
        <v>沧州临港明康汽车配件有限公司</v>
      </c>
    </row>
    <row r="45" s="1" customFormat="1" ht="16.5" hidden="1" customHeight="1" spans="1:25">
      <c r="A45" s="12" t="s">
        <v>1151</v>
      </c>
      <c r="B45" s="15" t="s">
        <v>32</v>
      </c>
      <c r="C45" s="13" t="s">
        <v>1152</v>
      </c>
      <c r="D45" s="12">
        <v>1</v>
      </c>
      <c r="E45" s="14" t="s">
        <v>1153</v>
      </c>
      <c r="F45" s="14">
        <v>45715</v>
      </c>
      <c r="G45" s="15">
        <v>45715</v>
      </c>
      <c r="H45" s="12" t="s">
        <v>444</v>
      </c>
      <c r="I45" s="15" t="s">
        <v>445</v>
      </c>
      <c r="J45" s="12" t="s">
        <v>41</v>
      </c>
      <c r="K45" s="15" t="s">
        <v>660</v>
      </c>
      <c r="L45" s="12" t="s">
        <v>41</v>
      </c>
      <c r="M45" s="15" t="s">
        <v>492</v>
      </c>
      <c r="N45" s="12" t="s">
        <v>41</v>
      </c>
      <c r="O45" s="21" t="s">
        <v>723</v>
      </c>
      <c r="P45" s="21">
        <v>0</v>
      </c>
      <c r="Q45" s="12">
        <v>22494.91</v>
      </c>
      <c r="R45" s="12" t="s">
        <v>724</v>
      </c>
      <c r="S45" s="12" t="s">
        <v>306</v>
      </c>
      <c r="T45" s="12" t="s">
        <v>36</v>
      </c>
      <c r="U45" s="12" t="s">
        <v>663</v>
      </c>
      <c r="V45" s="12" t="s">
        <v>1154</v>
      </c>
      <c r="W45" s="1" t="s">
        <v>665</v>
      </c>
      <c r="X45" s="1" t="str">
        <v>黄骅市建昌塑料制品有限公司</v>
      </c>
      <c r="Y45" s="1" t="str">
        <f>_xlfn.XLOOKUP(X45,'3月份计划-1'!A:A,'3月份计划-1'!A:A)</f>
        <v>黄骅市建昌塑料制品有限公司</v>
      </c>
    </row>
    <row r="46" s="1" customFormat="1" ht="16.5" hidden="1" customHeight="1" spans="1:25">
      <c r="A46" s="8" t="s">
        <v>1155</v>
      </c>
      <c r="B46" s="11" t="s">
        <v>32</v>
      </c>
      <c r="C46" s="9" t="s">
        <v>1156</v>
      </c>
      <c r="D46" s="8">
        <v>1</v>
      </c>
      <c r="E46" s="10" t="s">
        <v>1157</v>
      </c>
      <c r="F46" s="10">
        <v>45715</v>
      </c>
      <c r="G46" s="11">
        <v>45715</v>
      </c>
      <c r="H46" s="8" t="s">
        <v>444</v>
      </c>
      <c r="I46" s="11" t="s">
        <v>445</v>
      </c>
      <c r="J46" s="8" t="s">
        <v>41</v>
      </c>
      <c r="K46" s="11" t="s">
        <v>660</v>
      </c>
      <c r="L46" s="8" t="s">
        <v>41</v>
      </c>
      <c r="M46" s="11" t="s">
        <v>492</v>
      </c>
      <c r="N46" s="8" t="s">
        <v>41</v>
      </c>
      <c r="O46" s="19" t="s">
        <v>946</v>
      </c>
      <c r="P46" s="19">
        <v>0</v>
      </c>
      <c r="Q46" s="8">
        <v>140581.18</v>
      </c>
      <c r="R46" s="8" t="s">
        <v>947</v>
      </c>
      <c r="S46" s="8" t="s">
        <v>300</v>
      </c>
      <c r="T46" s="8" t="s">
        <v>36</v>
      </c>
      <c r="U46" s="8" t="s">
        <v>663</v>
      </c>
      <c r="V46" s="8" t="s">
        <v>1158</v>
      </c>
      <c r="W46" s="1" t="s">
        <v>665</v>
      </c>
      <c r="X46" s="1" t="str">
        <v>吉林省德邦汽车电子有限公司</v>
      </c>
      <c r="Y46" s="1" t="str">
        <f>_xlfn.XLOOKUP(X46,'3月份计划-1'!A:A,'3月份计划-1'!A:A)</f>
        <v>吉林省德邦汽车电子有限公司</v>
      </c>
    </row>
    <row r="47" s="1" customFormat="1" ht="16.5" hidden="1" customHeight="1" spans="1:25">
      <c r="A47" s="12" t="s">
        <v>1155</v>
      </c>
      <c r="B47" s="15" t="s">
        <v>32</v>
      </c>
      <c r="C47" s="13" t="s">
        <v>1156</v>
      </c>
      <c r="D47" s="12">
        <v>3</v>
      </c>
      <c r="E47" s="14" t="s">
        <v>1157</v>
      </c>
      <c r="F47" s="14">
        <v>45715</v>
      </c>
      <c r="G47" s="15">
        <v>45715</v>
      </c>
      <c r="H47" s="12" t="s">
        <v>444</v>
      </c>
      <c r="I47" s="15" t="s">
        <v>445</v>
      </c>
      <c r="J47" s="12" t="s">
        <v>41</v>
      </c>
      <c r="K47" s="15" t="s">
        <v>660</v>
      </c>
      <c r="L47" s="12" t="s">
        <v>41</v>
      </c>
      <c r="M47" s="15" t="s">
        <v>492</v>
      </c>
      <c r="N47" s="12" t="s">
        <v>41</v>
      </c>
      <c r="O47" s="21" t="s">
        <v>946</v>
      </c>
      <c r="P47" s="21">
        <v>5.3</v>
      </c>
      <c r="Q47" s="12">
        <v>0</v>
      </c>
      <c r="R47" s="12" t="s">
        <v>947</v>
      </c>
      <c r="S47" s="12" t="s">
        <v>300</v>
      </c>
      <c r="T47" s="12" t="s">
        <v>36</v>
      </c>
      <c r="U47" s="12" t="s">
        <v>663</v>
      </c>
      <c r="V47" s="12" t="s">
        <v>1158</v>
      </c>
      <c r="W47" s="1" t="s">
        <v>665</v>
      </c>
      <c r="X47" s="1" t="str">
        <v>江苏万金汽车零部件制造有限公</v>
      </c>
      <c r="Y47" s="1" t="str">
        <f>_xlfn.XLOOKUP(X47,'3月份计划-1'!A:A,'3月份计划-1'!A:A)</f>
        <v>江苏万金汽车零部件制造有限公</v>
      </c>
    </row>
    <row r="48" s="1" customFormat="1" ht="16.5" hidden="1" customHeight="1" spans="1:25">
      <c r="A48" s="8" t="s">
        <v>1159</v>
      </c>
      <c r="B48" s="11" t="s">
        <v>32</v>
      </c>
      <c r="C48" s="9" t="s">
        <v>1160</v>
      </c>
      <c r="D48" s="8">
        <v>1</v>
      </c>
      <c r="E48" s="10" t="s">
        <v>1161</v>
      </c>
      <c r="F48" s="10">
        <v>45715</v>
      </c>
      <c r="G48" s="11">
        <v>45715</v>
      </c>
      <c r="H48" s="8" t="s">
        <v>444</v>
      </c>
      <c r="I48" s="11" t="s">
        <v>445</v>
      </c>
      <c r="J48" s="8" t="s">
        <v>41</v>
      </c>
      <c r="K48" s="11" t="s">
        <v>660</v>
      </c>
      <c r="L48" s="8" t="s">
        <v>41</v>
      </c>
      <c r="M48" s="11" t="s">
        <v>492</v>
      </c>
      <c r="N48" s="8" t="s">
        <v>41</v>
      </c>
      <c r="O48" s="19" t="s">
        <v>1162</v>
      </c>
      <c r="P48" s="19">
        <v>0</v>
      </c>
      <c r="Q48" s="8">
        <v>26702.39</v>
      </c>
      <c r="R48" s="8" t="s">
        <v>758</v>
      </c>
      <c r="S48" s="8" t="s">
        <v>314</v>
      </c>
      <c r="T48" s="8" t="s">
        <v>36</v>
      </c>
      <c r="U48" s="8" t="s">
        <v>663</v>
      </c>
      <c r="V48" s="8" t="s">
        <v>1163</v>
      </c>
      <c r="W48" s="1" t="s">
        <v>665</v>
      </c>
      <c r="X48" s="1" t="str">
        <v>黄骅市成卓汽车部件厂</v>
      </c>
      <c r="Y48" s="1" t="str">
        <f>_xlfn.XLOOKUP(X48,'3月份计划-1'!A:A,'3月份计划-1'!A:A)</f>
        <v>黄骅市成卓汽车部件厂</v>
      </c>
    </row>
    <row r="49" s="1" customFormat="1" ht="16.5" hidden="1" customHeight="1" spans="1:25">
      <c r="A49" s="12" t="s">
        <v>1159</v>
      </c>
      <c r="B49" s="15" t="s">
        <v>32</v>
      </c>
      <c r="C49" s="13" t="s">
        <v>1160</v>
      </c>
      <c r="D49" s="12">
        <v>3</v>
      </c>
      <c r="E49" s="14" t="s">
        <v>1161</v>
      </c>
      <c r="F49" s="14">
        <v>45715</v>
      </c>
      <c r="G49" s="15">
        <v>45715</v>
      </c>
      <c r="H49" s="12" t="s">
        <v>444</v>
      </c>
      <c r="I49" s="15" t="s">
        <v>445</v>
      </c>
      <c r="J49" s="12" t="s">
        <v>41</v>
      </c>
      <c r="K49" s="15" t="s">
        <v>660</v>
      </c>
      <c r="L49" s="12" t="s">
        <v>41</v>
      </c>
      <c r="M49" s="15" t="s">
        <v>492</v>
      </c>
      <c r="N49" s="12" t="s">
        <v>41</v>
      </c>
      <c r="O49" s="21" t="s">
        <v>1162</v>
      </c>
      <c r="P49" s="21">
        <v>4255.5</v>
      </c>
      <c r="Q49" s="12">
        <v>0</v>
      </c>
      <c r="R49" s="12" t="s">
        <v>758</v>
      </c>
      <c r="S49" s="12" t="s">
        <v>314</v>
      </c>
      <c r="T49" s="12" t="s">
        <v>36</v>
      </c>
      <c r="U49" s="12" t="s">
        <v>663</v>
      </c>
      <c r="V49" s="12" t="s">
        <v>1163</v>
      </c>
      <c r="W49" s="1" t="s">
        <v>665</v>
      </c>
      <c r="X49" s="1" t="str">
        <v>株洲铖亿轨道交通技术有限</v>
      </c>
      <c r="Y49" s="1" t="str">
        <f>_xlfn.XLOOKUP(X49,'3月份计划-1'!A:A,'3月份计划-1'!A:A)</f>
        <v>株洲铖亿轨道交通技术有限</v>
      </c>
    </row>
    <row r="50" s="1" customFormat="1" ht="16.5" hidden="1" customHeight="1" spans="1:25">
      <c r="A50" s="8" t="s">
        <v>1164</v>
      </c>
      <c r="B50" s="11" t="s">
        <v>32</v>
      </c>
      <c r="C50" s="9" t="s">
        <v>1165</v>
      </c>
      <c r="D50" s="8">
        <v>1</v>
      </c>
      <c r="E50" s="10" t="s">
        <v>1166</v>
      </c>
      <c r="F50" s="10">
        <v>45715</v>
      </c>
      <c r="G50" s="11">
        <v>45715</v>
      </c>
      <c r="H50" s="8" t="s">
        <v>444</v>
      </c>
      <c r="I50" s="11" t="s">
        <v>445</v>
      </c>
      <c r="J50" s="8" t="s">
        <v>41</v>
      </c>
      <c r="K50" s="11" t="s">
        <v>660</v>
      </c>
      <c r="L50" s="8" t="s">
        <v>41</v>
      </c>
      <c r="M50" s="11" t="s">
        <v>492</v>
      </c>
      <c r="N50" s="8" t="s">
        <v>41</v>
      </c>
      <c r="O50" s="19" t="s">
        <v>797</v>
      </c>
      <c r="P50" s="19">
        <v>0</v>
      </c>
      <c r="Q50" s="8">
        <v>9715.55</v>
      </c>
      <c r="R50" s="8" t="s">
        <v>798</v>
      </c>
      <c r="S50" s="8" t="s">
        <v>267</v>
      </c>
      <c r="T50" s="8" t="s">
        <v>36</v>
      </c>
      <c r="U50" s="8" t="s">
        <v>663</v>
      </c>
      <c r="V50" s="8" t="s">
        <v>1167</v>
      </c>
      <c r="W50" s="1" t="s">
        <v>665</v>
      </c>
      <c r="X50" s="1" t="str">
        <v>湖南凌天汽车零部件有限公司</v>
      </c>
      <c r="Y50" s="1" t="str">
        <f>_xlfn.XLOOKUP(X50,'3月份计划-1'!A:A,'3月份计划-1'!A:A)</f>
        <v>湖南凌天汽车零部件有限公司</v>
      </c>
    </row>
    <row r="51" s="1" customFormat="1" ht="16.5" hidden="1" customHeight="1" spans="1:25">
      <c r="A51" s="12" t="s">
        <v>1164</v>
      </c>
      <c r="B51" s="15" t="s">
        <v>32</v>
      </c>
      <c r="C51" s="13" t="s">
        <v>1165</v>
      </c>
      <c r="D51" s="12">
        <v>3</v>
      </c>
      <c r="E51" s="14" t="s">
        <v>1166</v>
      </c>
      <c r="F51" s="14">
        <v>45715</v>
      </c>
      <c r="G51" s="15">
        <v>45715</v>
      </c>
      <c r="H51" s="12" t="s">
        <v>444</v>
      </c>
      <c r="I51" s="15" t="s">
        <v>445</v>
      </c>
      <c r="J51" s="12" t="s">
        <v>41</v>
      </c>
      <c r="K51" s="15" t="s">
        <v>660</v>
      </c>
      <c r="L51" s="12" t="s">
        <v>41</v>
      </c>
      <c r="M51" s="15" t="s">
        <v>492</v>
      </c>
      <c r="N51" s="12" t="s">
        <v>41</v>
      </c>
      <c r="O51" s="21" t="s">
        <v>797</v>
      </c>
      <c r="P51" s="21">
        <v>2815.2</v>
      </c>
      <c r="Q51" s="12">
        <v>0</v>
      </c>
      <c r="R51" s="12" t="s">
        <v>798</v>
      </c>
      <c r="S51" s="12" t="s">
        <v>267</v>
      </c>
      <c r="T51" s="12" t="s">
        <v>36</v>
      </c>
      <c r="U51" s="12" t="s">
        <v>663</v>
      </c>
      <c r="V51" s="12" t="s">
        <v>1167</v>
      </c>
      <c r="W51" s="1" t="s">
        <v>665</v>
      </c>
      <c r="X51" s="1" t="str">
        <v>湖南兴天宏实业有限公司</v>
      </c>
      <c r="Y51" s="1" t="str">
        <f>_xlfn.XLOOKUP(X51,'3月份计划-1'!A:A,'3月份计划-1'!A:A)</f>
        <v>湖南兴天宏实业有限公司</v>
      </c>
    </row>
    <row r="52" s="1" customFormat="1" ht="16.5" hidden="1" customHeight="1" spans="1:25">
      <c r="A52" s="8" t="s">
        <v>1168</v>
      </c>
      <c r="B52" s="11" t="s">
        <v>32</v>
      </c>
      <c r="C52" s="9" t="s">
        <v>1169</v>
      </c>
      <c r="D52" s="8">
        <v>1</v>
      </c>
      <c r="E52" s="10" t="s">
        <v>1170</v>
      </c>
      <c r="F52" s="10">
        <v>45715</v>
      </c>
      <c r="G52" s="11">
        <v>45715</v>
      </c>
      <c r="H52" s="8" t="s">
        <v>444</v>
      </c>
      <c r="I52" s="11" t="s">
        <v>445</v>
      </c>
      <c r="J52" s="8" t="s">
        <v>41</v>
      </c>
      <c r="K52" s="11" t="s">
        <v>660</v>
      </c>
      <c r="L52" s="8" t="s">
        <v>41</v>
      </c>
      <c r="M52" s="11" t="s">
        <v>492</v>
      </c>
      <c r="N52" s="8" t="s">
        <v>41</v>
      </c>
      <c r="O52" s="19" t="s">
        <v>715</v>
      </c>
      <c r="P52" s="19">
        <v>0</v>
      </c>
      <c r="Q52" s="8">
        <v>25228.97</v>
      </c>
      <c r="R52" s="8" t="s">
        <v>34</v>
      </c>
      <c r="S52" s="8" t="s">
        <v>277</v>
      </c>
      <c r="T52" s="8" t="s">
        <v>36</v>
      </c>
      <c r="U52" s="8" t="s">
        <v>663</v>
      </c>
      <c r="V52" s="8" t="s">
        <v>61</v>
      </c>
      <c r="W52" s="1" t="s">
        <v>665</v>
      </c>
      <c r="X52" s="1" t="str">
        <v>衡阳县标准件厂株洲销售处</v>
      </c>
      <c r="Y52" s="1" t="str">
        <f>_xlfn.XLOOKUP(X52,'3月份计划-1'!A:A,'3月份计划-1'!A:A)</f>
        <v>衡阳县标准件厂株洲销售处</v>
      </c>
    </row>
    <row r="53" s="1" customFormat="1" ht="16.5" hidden="1" customHeight="1" spans="1:25">
      <c r="A53" s="12" t="s">
        <v>1171</v>
      </c>
      <c r="B53" s="15" t="s">
        <v>32</v>
      </c>
      <c r="C53" s="13" t="s">
        <v>1172</v>
      </c>
      <c r="D53" s="12">
        <v>1</v>
      </c>
      <c r="E53" s="14" t="s">
        <v>1173</v>
      </c>
      <c r="F53" s="14">
        <v>45715</v>
      </c>
      <c r="G53" s="15">
        <v>45715</v>
      </c>
      <c r="H53" s="12" t="s">
        <v>444</v>
      </c>
      <c r="I53" s="15" t="s">
        <v>445</v>
      </c>
      <c r="J53" s="12" t="s">
        <v>41</v>
      </c>
      <c r="K53" s="15" t="s">
        <v>660</v>
      </c>
      <c r="L53" s="12" t="s">
        <v>41</v>
      </c>
      <c r="M53" s="15" t="s">
        <v>492</v>
      </c>
      <c r="N53" s="12" t="s">
        <v>41</v>
      </c>
      <c r="O53" s="21" t="s">
        <v>870</v>
      </c>
      <c r="P53" s="21">
        <v>0</v>
      </c>
      <c r="Q53" s="12">
        <v>26670.03</v>
      </c>
      <c r="R53" s="12" t="s">
        <v>871</v>
      </c>
      <c r="S53" s="12" t="s">
        <v>246</v>
      </c>
      <c r="T53" s="12" t="s">
        <v>36</v>
      </c>
      <c r="U53" s="12" t="s">
        <v>663</v>
      </c>
      <c r="V53" s="12" t="s">
        <v>1174</v>
      </c>
      <c r="W53" s="1" t="s">
        <v>665</v>
      </c>
      <c r="X53" s="1" t="str">
        <v>厦门凯平化工有限公司</v>
      </c>
      <c r="Y53" s="1" t="str">
        <f>_xlfn.XLOOKUP(X53,'3月份计划-1'!A:A,'3月份计划-1'!A:A)</f>
        <v>厦门凯平化工有限公司</v>
      </c>
    </row>
    <row r="54" s="1" customFormat="1" ht="16.5" hidden="1" customHeight="1" spans="1:25">
      <c r="A54" s="8" t="s">
        <v>1175</v>
      </c>
      <c r="B54" s="11" t="s">
        <v>32</v>
      </c>
      <c r="C54" s="9" t="s">
        <v>1176</v>
      </c>
      <c r="D54" s="8">
        <v>1</v>
      </c>
      <c r="E54" s="10" t="s">
        <v>1177</v>
      </c>
      <c r="F54" s="10">
        <v>45716</v>
      </c>
      <c r="G54" s="11">
        <v>45716</v>
      </c>
      <c r="H54" s="8" t="s">
        <v>444</v>
      </c>
      <c r="I54" s="11" t="s">
        <v>445</v>
      </c>
      <c r="J54" s="8" t="s">
        <v>41</v>
      </c>
      <c r="K54" s="11" t="s">
        <v>660</v>
      </c>
      <c r="L54" s="8" t="s">
        <v>41</v>
      </c>
      <c r="M54" s="11" t="s">
        <v>492</v>
      </c>
      <c r="N54" s="8" t="s">
        <v>41</v>
      </c>
      <c r="O54" s="19" t="s">
        <v>865</v>
      </c>
      <c r="P54" s="19">
        <v>0</v>
      </c>
      <c r="Q54" s="8">
        <v>156984.32</v>
      </c>
      <c r="R54" s="8" t="s">
        <v>866</v>
      </c>
      <c r="S54" s="8" t="s">
        <v>250</v>
      </c>
      <c r="T54" s="8" t="s">
        <v>36</v>
      </c>
      <c r="U54" s="8" t="s">
        <v>663</v>
      </c>
      <c r="V54" s="8" t="s">
        <v>1178</v>
      </c>
      <c r="W54" s="1" t="s">
        <v>665</v>
      </c>
      <c r="X54" s="1" t="str">
        <v>维克罗（中国）搭扣系统有限公</v>
      </c>
      <c r="Y54" s="1" t="str">
        <f>_xlfn.XLOOKUP(X54,'3月份计划-1'!A:A,'3月份计划-1'!A:A)</f>
        <v>维克罗（中国）搭扣系统有限公</v>
      </c>
    </row>
    <row r="55" s="1" customFormat="1" ht="16.5" hidden="1" customHeight="1" spans="1:25">
      <c r="A55" s="12" t="s">
        <v>1175</v>
      </c>
      <c r="B55" s="15" t="s">
        <v>32</v>
      </c>
      <c r="C55" s="13" t="s">
        <v>1176</v>
      </c>
      <c r="D55" s="12">
        <v>3</v>
      </c>
      <c r="E55" s="14" t="s">
        <v>1177</v>
      </c>
      <c r="F55" s="14">
        <v>45716</v>
      </c>
      <c r="G55" s="15">
        <v>45716</v>
      </c>
      <c r="H55" s="12" t="s">
        <v>444</v>
      </c>
      <c r="I55" s="15" t="s">
        <v>445</v>
      </c>
      <c r="J55" s="12" t="s">
        <v>41</v>
      </c>
      <c r="K55" s="15" t="s">
        <v>660</v>
      </c>
      <c r="L55" s="12" t="s">
        <v>41</v>
      </c>
      <c r="M55" s="15" t="s">
        <v>492</v>
      </c>
      <c r="N55" s="12" t="s">
        <v>41</v>
      </c>
      <c r="O55" s="21" t="s">
        <v>865</v>
      </c>
      <c r="P55" s="21">
        <v>2739.35</v>
      </c>
      <c r="Q55" s="12">
        <v>0</v>
      </c>
      <c r="R55" s="12" t="s">
        <v>866</v>
      </c>
      <c r="S55" s="12" t="s">
        <v>250</v>
      </c>
      <c r="T55" s="12" t="s">
        <v>36</v>
      </c>
      <c r="U55" s="12" t="s">
        <v>663</v>
      </c>
      <c r="V55" s="12" t="s">
        <v>1178</v>
      </c>
      <c r="W55" s="1" t="s">
        <v>665</v>
      </c>
      <c r="X55" s="1" t="str">
        <v>佛吉亚（无锡）座椅部件有限公</v>
      </c>
      <c r="Y55" s="1" t="str">
        <f>_xlfn.XLOOKUP(X55,'3月份计划-1'!A:A,'3月份计划-1'!A:A)</f>
        <v>佛吉亚（无锡）座椅部件有限公</v>
      </c>
    </row>
    <row r="56" s="1" customFormat="1" ht="16.5" hidden="1" customHeight="1" spans="1:25">
      <c r="A56" s="8" t="s">
        <v>1179</v>
      </c>
      <c r="B56" s="11" t="s">
        <v>32</v>
      </c>
      <c r="C56" s="9" t="s">
        <v>1180</v>
      </c>
      <c r="D56" s="8">
        <v>1</v>
      </c>
      <c r="E56" s="10" t="s">
        <v>1181</v>
      </c>
      <c r="F56" s="10">
        <v>45716</v>
      </c>
      <c r="G56" s="11">
        <v>45716</v>
      </c>
      <c r="H56" s="8" t="s">
        <v>444</v>
      </c>
      <c r="I56" s="11" t="s">
        <v>445</v>
      </c>
      <c r="J56" s="8" t="s">
        <v>41</v>
      </c>
      <c r="K56" s="11" t="s">
        <v>660</v>
      </c>
      <c r="L56" s="8" t="s">
        <v>41</v>
      </c>
      <c r="M56" s="11" t="s">
        <v>492</v>
      </c>
      <c r="N56" s="8" t="s">
        <v>41</v>
      </c>
      <c r="O56" s="19" t="s">
        <v>875</v>
      </c>
      <c r="P56" s="19">
        <v>0</v>
      </c>
      <c r="Q56" s="8">
        <v>80152.49</v>
      </c>
      <c r="R56" s="8" t="s">
        <v>876</v>
      </c>
      <c r="S56" s="8" t="s">
        <v>272</v>
      </c>
      <c r="T56" s="8" t="s">
        <v>36</v>
      </c>
      <c r="U56" s="8" t="s">
        <v>663</v>
      </c>
      <c r="V56" s="8" t="s">
        <v>1182</v>
      </c>
      <c r="W56" s="1" t="s">
        <v>665</v>
      </c>
      <c r="X56" s="1" t="str">
        <v>河北光华荣昌汽车部件有限公司</v>
      </c>
      <c r="Y56" s="1" t="e">
        <f>_xlfn.XLOOKUP(X56,'3月份计划-1'!A:A,'3月份计划-1'!A:A)</f>
        <v>#N/A</v>
      </c>
    </row>
    <row r="57" s="1" customFormat="1" ht="16.5" hidden="1" customHeight="1" spans="1:25">
      <c r="A57" s="12" t="s">
        <v>1179</v>
      </c>
      <c r="B57" s="15" t="s">
        <v>32</v>
      </c>
      <c r="C57" s="13" t="s">
        <v>1180</v>
      </c>
      <c r="D57" s="12">
        <v>3</v>
      </c>
      <c r="E57" s="14" t="s">
        <v>1181</v>
      </c>
      <c r="F57" s="14">
        <v>45716</v>
      </c>
      <c r="G57" s="15">
        <v>45716</v>
      </c>
      <c r="H57" s="12" t="s">
        <v>444</v>
      </c>
      <c r="I57" s="15" t="s">
        <v>445</v>
      </c>
      <c r="J57" s="12" t="s">
        <v>41</v>
      </c>
      <c r="K57" s="15" t="s">
        <v>660</v>
      </c>
      <c r="L57" s="12" t="s">
        <v>41</v>
      </c>
      <c r="M57" s="15" t="s">
        <v>492</v>
      </c>
      <c r="N57" s="12" t="s">
        <v>41</v>
      </c>
      <c r="O57" s="21" t="s">
        <v>875</v>
      </c>
      <c r="P57" s="21">
        <v>1.58</v>
      </c>
      <c r="Q57" s="12">
        <v>0</v>
      </c>
      <c r="R57" s="12" t="s">
        <v>876</v>
      </c>
      <c r="S57" s="12" t="s">
        <v>272</v>
      </c>
      <c r="T57" s="12" t="s">
        <v>36</v>
      </c>
      <c r="U57" s="12" t="s">
        <v>663</v>
      </c>
      <c r="V57" s="12" t="s">
        <v>1182</v>
      </c>
      <c r="W57" s="1" t="s">
        <v>665</v>
      </c>
      <c r="X57" s="1">
        <v>0</v>
      </c>
      <c r="Y57" s="1" t="e">
        <f>_xlfn.XLOOKUP(X57,'3月份计划-1'!A:A,'3月份计划-1'!A:A)</f>
        <v>#N/A</v>
      </c>
    </row>
    <row r="58" s="1" customFormat="1" ht="16.5" hidden="1" customHeight="1" spans="1:25">
      <c r="A58" s="8" t="s">
        <v>1183</v>
      </c>
      <c r="B58" s="11" t="s">
        <v>32</v>
      </c>
      <c r="C58" s="9" t="s">
        <v>1184</v>
      </c>
      <c r="D58" s="8">
        <v>1</v>
      </c>
      <c r="E58" s="10" t="s">
        <v>1185</v>
      </c>
      <c r="F58" s="10">
        <v>45716</v>
      </c>
      <c r="G58" s="11">
        <v>45716</v>
      </c>
      <c r="H58" s="8" t="s">
        <v>444</v>
      </c>
      <c r="I58" s="11" t="s">
        <v>445</v>
      </c>
      <c r="J58" s="8" t="s">
        <v>41</v>
      </c>
      <c r="K58" s="11" t="s">
        <v>660</v>
      </c>
      <c r="L58" s="8" t="s">
        <v>41</v>
      </c>
      <c r="M58" s="11" t="s">
        <v>492</v>
      </c>
      <c r="N58" s="8" t="s">
        <v>41</v>
      </c>
      <c r="O58" s="19" t="s">
        <v>875</v>
      </c>
      <c r="P58" s="19">
        <v>0</v>
      </c>
      <c r="Q58" s="8">
        <v>0.01</v>
      </c>
      <c r="R58" s="8" t="s">
        <v>876</v>
      </c>
      <c r="S58" s="8" t="s">
        <v>272</v>
      </c>
      <c r="T58" s="8" t="s">
        <v>36</v>
      </c>
      <c r="U58" s="8" t="s">
        <v>663</v>
      </c>
      <c r="V58" s="8" t="s">
        <v>1186</v>
      </c>
      <c r="W58" s="1" t="s">
        <v>665</v>
      </c>
      <c r="Y58" s="1">
        <f>_xlfn.XLOOKUP(X58,'3月份计划-1'!A:A,'3月份计划-1'!A:A)</f>
        <v>0</v>
      </c>
    </row>
    <row r="59" s="1" customFormat="1" ht="16.5" hidden="1" customHeight="1" spans="1:25">
      <c r="A59" s="12" t="s">
        <v>1187</v>
      </c>
      <c r="B59" s="15" t="s">
        <v>32</v>
      </c>
      <c r="C59" s="13" t="s">
        <v>1188</v>
      </c>
      <c r="D59" s="12">
        <v>1</v>
      </c>
      <c r="E59" s="14" t="s">
        <v>1189</v>
      </c>
      <c r="F59" s="14">
        <v>45716</v>
      </c>
      <c r="G59" s="15">
        <v>45716</v>
      </c>
      <c r="H59" s="12" t="s">
        <v>444</v>
      </c>
      <c r="I59" s="15" t="s">
        <v>445</v>
      </c>
      <c r="J59" s="12" t="s">
        <v>41</v>
      </c>
      <c r="K59" s="15" t="s">
        <v>660</v>
      </c>
      <c r="L59" s="12" t="s">
        <v>41</v>
      </c>
      <c r="M59" s="15" t="s">
        <v>492</v>
      </c>
      <c r="N59" s="12" t="s">
        <v>41</v>
      </c>
      <c r="O59" s="21" t="s">
        <v>1190</v>
      </c>
      <c r="P59" s="21">
        <v>0</v>
      </c>
      <c r="Q59" s="12">
        <v>36544.61</v>
      </c>
      <c r="R59" s="12" t="s">
        <v>1191</v>
      </c>
      <c r="S59" s="12" t="s">
        <v>255</v>
      </c>
      <c r="T59" s="12" t="s">
        <v>36</v>
      </c>
      <c r="U59" s="12" t="s">
        <v>663</v>
      </c>
      <c r="V59" s="12" t="s">
        <v>1192</v>
      </c>
      <c r="W59" s="1" t="s">
        <v>665</v>
      </c>
      <c r="Y59" s="1">
        <f>_xlfn.XLOOKUP(X59,'3月份计划-1'!A:A,'3月份计划-1'!A:A)</f>
        <v>0</v>
      </c>
    </row>
    <row r="60" s="1" customFormat="1" ht="16.5" hidden="1" customHeight="1" spans="1:25">
      <c r="A60" s="8" t="s">
        <v>1187</v>
      </c>
      <c r="B60" s="11" t="s">
        <v>32</v>
      </c>
      <c r="C60" s="9" t="s">
        <v>1188</v>
      </c>
      <c r="D60" s="8">
        <v>3</v>
      </c>
      <c r="E60" s="10" t="s">
        <v>1189</v>
      </c>
      <c r="F60" s="10">
        <v>45716</v>
      </c>
      <c r="G60" s="11">
        <v>45716</v>
      </c>
      <c r="H60" s="8" t="s">
        <v>444</v>
      </c>
      <c r="I60" s="11" t="s">
        <v>445</v>
      </c>
      <c r="J60" s="8" t="s">
        <v>41</v>
      </c>
      <c r="K60" s="11" t="s">
        <v>660</v>
      </c>
      <c r="L60" s="8" t="s">
        <v>41</v>
      </c>
      <c r="M60" s="11" t="s">
        <v>492</v>
      </c>
      <c r="N60" s="8" t="s">
        <v>41</v>
      </c>
      <c r="O60" s="19" t="s">
        <v>1190</v>
      </c>
      <c r="P60" s="19">
        <v>1128.6</v>
      </c>
      <c r="Q60" s="8">
        <v>0</v>
      </c>
      <c r="R60" s="8" t="s">
        <v>1191</v>
      </c>
      <c r="S60" s="8" t="s">
        <v>255</v>
      </c>
      <c r="T60" s="8" t="s">
        <v>36</v>
      </c>
      <c r="U60" s="8" t="s">
        <v>663</v>
      </c>
      <c r="V60" s="8" t="s">
        <v>1192</v>
      </c>
      <c r="W60" s="1" t="s">
        <v>665</v>
      </c>
      <c r="Y60" s="1">
        <f>_xlfn.XLOOKUP(X60,'3月份计划-1'!A:A,'3月份计划-1'!A:A)</f>
        <v>0</v>
      </c>
    </row>
    <row r="61" s="1" customFormat="1" ht="16.5" hidden="1" customHeight="1" spans="1:25">
      <c r="A61" s="12" t="s">
        <v>1193</v>
      </c>
      <c r="B61" s="15" t="s">
        <v>32</v>
      </c>
      <c r="C61" s="13" t="s">
        <v>1194</v>
      </c>
      <c r="D61" s="12">
        <v>1</v>
      </c>
      <c r="E61" s="14" t="s">
        <v>1195</v>
      </c>
      <c r="F61" s="14">
        <v>45716</v>
      </c>
      <c r="G61" s="15">
        <v>45716</v>
      </c>
      <c r="H61" s="12" t="s">
        <v>444</v>
      </c>
      <c r="I61" s="15" t="s">
        <v>445</v>
      </c>
      <c r="J61" s="12" t="s">
        <v>41</v>
      </c>
      <c r="K61" s="15" t="s">
        <v>660</v>
      </c>
      <c r="L61" s="12" t="s">
        <v>41</v>
      </c>
      <c r="M61" s="15" t="s">
        <v>492</v>
      </c>
      <c r="N61" s="12" t="s">
        <v>41</v>
      </c>
      <c r="O61" s="21" t="s">
        <v>1196</v>
      </c>
      <c r="P61" s="21">
        <v>0</v>
      </c>
      <c r="Q61" s="12">
        <v>1074174.36</v>
      </c>
      <c r="R61" s="12" t="s">
        <v>853</v>
      </c>
      <c r="S61" s="12" t="s">
        <v>265</v>
      </c>
      <c r="T61" s="12" t="s">
        <v>36</v>
      </c>
      <c r="U61" s="12" t="s">
        <v>663</v>
      </c>
      <c r="V61" s="12" t="s">
        <v>1197</v>
      </c>
      <c r="W61" s="1" t="s">
        <v>665</v>
      </c>
      <c r="Y61" s="1">
        <f>_xlfn.XLOOKUP(X61,'3月份计划-1'!A:A,'3月份计划-1'!A:A)</f>
        <v>0</v>
      </c>
    </row>
    <row r="62" s="1" customFormat="1" ht="16.5" hidden="1" customHeight="1" spans="1:25">
      <c r="A62" s="8" t="s">
        <v>1193</v>
      </c>
      <c r="B62" s="11" t="s">
        <v>32</v>
      </c>
      <c r="C62" s="9" t="s">
        <v>1194</v>
      </c>
      <c r="D62" s="8">
        <v>7</v>
      </c>
      <c r="E62" s="10" t="s">
        <v>1195</v>
      </c>
      <c r="F62" s="10">
        <v>45716</v>
      </c>
      <c r="G62" s="11">
        <v>45716</v>
      </c>
      <c r="H62" s="8" t="s">
        <v>444</v>
      </c>
      <c r="I62" s="11" t="s">
        <v>445</v>
      </c>
      <c r="J62" s="8" t="s">
        <v>41</v>
      </c>
      <c r="K62" s="11" t="s">
        <v>660</v>
      </c>
      <c r="L62" s="8" t="s">
        <v>41</v>
      </c>
      <c r="M62" s="11" t="s">
        <v>492</v>
      </c>
      <c r="N62" s="8" t="s">
        <v>41</v>
      </c>
      <c r="O62" s="19" t="s">
        <v>1196</v>
      </c>
      <c r="P62" s="19">
        <v>2.38</v>
      </c>
      <c r="Q62" s="8">
        <v>0</v>
      </c>
      <c r="R62" s="8" t="s">
        <v>853</v>
      </c>
      <c r="S62" s="8" t="s">
        <v>265</v>
      </c>
      <c r="T62" s="8" t="s">
        <v>36</v>
      </c>
      <c r="U62" s="8" t="s">
        <v>663</v>
      </c>
      <c r="V62" s="8" t="s">
        <v>1197</v>
      </c>
      <c r="W62" s="1" t="s">
        <v>665</v>
      </c>
      <c r="Y62" s="1">
        <f>_xlfn.XLOOKUP(X62,'3月份计划-1'!A:A,'3月份计划-1'!A:A)</f>
        <v>0</v>
      </c>
    </row>
    <row r="63" s="1" customFormat="1" ht="16.5" hidden="1" customHeight="1" spans="1:25">
      <c r="A63" s="12" t="s">
        <v>1198</v>
      </c>
      <c r="B63" s="15" t="s">
        <v>32</v>
      </c>
      <c r="C63" s="13" t="s">
        <v>1199</v>
      </c>
      <c r="D63" s="12">
        <v>1</v>
      </c>
      <c r="E63" s="14" t="s">
        <v>1200</v>
      </c>
      <c r="F63" s="14">
        <v>45716</v>
      </c>
      <c r="G63" s="15">
        <v>45716</v>
      </c>
      <c r="H63" s="12" t="s">
        <v>444</v>
      </c>
      <c r="I63" s="15" t="s">
        <v>445</v>
      </c>
      <c r="J63" s="12" t="s">
        <v>41</v>
      </c>
      <c r="K63" s="15" t="s">
        <v>660</v>
      </c>
      <c r="L63" s="12" t="s">
        <v>41</v>
      </c>
      <c r="M63" s="15" t="s">
        <v>492</v>
      </c>
      <c r="N63" s="12" t="s">
        <v>41</v>
      </c>
      <c r="O63" s="21" t="s">
        <v>1201</v>
      </c>
      <c r="P63" s="21">
        <v>0</v>
      </c>
      <c r="Q63" s="12">
        <v>0.01</v>
      </c>
      <c r="R63" s="12" t="s">
        <v>853</v>
      </c>
      <c r="S63" s="12" t="s">
        <v>265</v>
      </c>
      <c r="T63" s="12" t="s">
        <v>36</v>
      </c>
      <c r="U63" s="12" t="s">
        <v>663</v>
      </c>
      <c r="V63" s="12" t="s">
        <v>1202</v>
      </c>
      <c r="W63" s="1" t="s">
        <v>665</v>
      </c>
      <c r="Y63" s="1">
        <f>_xlfn.XLOOKUP(X63,'3月份计划-1'!A:A,'3月份计划-1'!A:A)</f>
        <v>0</v>
      </c>
    </row>
    <row r="64" s="1" customFormat="1" ht="16.5" hidden="1" customHeight="1" spans="1:25">
      <c r="A64" s="8" t="s">
        <v>1203</v>
      </c>
      <c r="B64" s="11" t="s">
        <v>32</v>
      </c>
      <c r="C64" s="9" t="s">
        <v>1204</v>
      </c>
      <c r="D64" s="8">
        <v>1</v>
      </c>
      <c r="E64" s="10" t="s">
        <v>1205</v>
      </c>
      <c r="F64" s="10">
        <v>45716</v>
      </c>
      <c r="G64" s="11">
        <v>45716</v>
      </c>
      <c r="H64" s="8" t="s">
        <v>444</v>
      </c>
      <c r="I64" s="11" t="s">
        <v>445</v>
      </c>
      <c r="J64" s="8" t="s">
        <v>41</v>
      </c>
      <c r="K64" s="11" t="s">
        <v>660</v>
      </c>
      <c r="L64" s="8" t="s">
        <v>41</v>
      </c>
      <c r="M64" s="11" t="s">
        <v>492</v>
      </c>
      <c r="N64" s="8" t="s">
        <v>41</v>
      </c>
      <c r="O64" s="19" t="s">
        <v>1206</v>
      </c>
      <c r="P64" s="19">
        <v>0</v>
      </c>
      <c r="Q64" s="8">
        <v>11650.19</v>
      </c>
      <c r="R64" s="8" t="s">
        <v>881</v>
      </c>
      <c r="S64" s="8" t="s">
        <v>243</v>
      </c>
      <c r="T64" s="8" t="s">
        <v>36</v>
      </c>
      <c r="U64" s="8" t="s">
        <v>663</v>
      </c>
      <c r="V64" s="8" t="s">
        <v>1207</v>
      </c>
      <c r="W64" s="1" t="s">
        <v>665</v>
      </c>
      <c r="Y64" s="1">
        <f>_xlfn.XLOOKUP(X64,'3月份计划-1'!A:A,'3月份计划-1'!A:A)</f>
        <v>0</v>
      </c>
    </row>
    <row r="65" s="1" customFormat="1" ht="16.5" hidden="1" customHeight="1" spans="1:25">
      <c r="A65" s="12" t="s">
        <v>1208</v>
      </c>
      <c r="B65" s="15" t="s">
        <v>32</v>
      </c>
      <c r="C65" s="13" t="s">
        <v>1209</v>
      </c>
      <c r="D65" s="12">
        <v>1</v>
      </c>
      <c r="E65" s="14" t="s">
        <v>1210</v>
      </c>
      <c r="F65" s="14">
        <v>45716</v>
      </c>
      <c r="G65" s="15">
        <v>45716</v>
      </c>
      <c r="H65" s="12" t="s">
        <v>444</v>
      </c>
      <c r="I65" s="15" t="s">
        <v>445</v>
      </c>
      <c r="J65" s="12" t="s">
        <v>41</v>
      </c>
      <c r="K65" s="15" t="s">
        <v>660</v>
      </c>
      <c r="L65" s="12" t="s">
        <v>41</v>
      </c>
      <c r="M65" s="15" t="s">
        <v>492</v>
      </c>
      <c r="N65" s="12" t="s">
        <v>41</v>
      </c>
      <c r="O65" s="21" t="s">
        <v>1211</v>
      </c>
      <c r="P65" s="21">
        <v>0</v>
      </c>
      <c r="Q65" s="12">
        <v>13313.92</v>
      </c>
      <c r="R65" s="12" t="s">
        <v>914</v>
      </c>
      <c r="S65" s="12" t="s">
        <v>270</v>
      </c>
      <c r="T65" s="12" t="s">
        <v>36</v>
      </c>
      <c r="U65" s="12" t="s">
        <v>663</v>
      </c>
      <c r="V65" s="12" t="s">
        <v>1212</v>
      </c>
      <c r="W65" s="1" t="s">
        <v>665</v>
      </c>
      <c r="Y65" s="1">
        <f>_xlfn.XLOOKUP(X65,'3月份计划-1'!A:A,'3月份计划-1'!A:A)</f>
        <v>0</v>
      </c>
    </row>
    <row r="66" s="1" customFormat="1" ht="16.5" hidden="1" customHeight="1" spans="1:25">
      <c r="A66" s="8" t="s">
        <v>1208</v>
      </c>
      <c r="B66" s="11" t="s">
        <v>32</v>
      </c>
      <c r="C66" s="9" t="s">
        <v>1209</v>
      </c>
      <c r="D66" s="8">
        <v>3</v>
      </c>
      <c r="E66" s="10" t="s">
        <v>1210</v>
      </c>
      <c r="F66" s="10">
        <v>45716</v>
      </c>
      <c r="G66" s="11">
        <v>45716</v>
      </c>
      <c r="H66" s="8" t="s">
        <v>444</v>
      </c>
      <c r="I66" s="11" t="s">
        <v>445</v>
      </c>
      <c r="J66" s="8" t="s">
        <v>41</v>
      </c>
      <c r="K66" s="11" t="s">
        <v>660</v>
      </c>
      <c r="L66" s="8" t="s">
        <v>41</v>
      </c>
      <c r="M66" s="11" t="s">
        <v>492</v>
      </c>
      <c r="N66" s="8" t="s">
        <v>41</v>
      </c>
      <c r="O66" s="19" t="s">
        <v>1211</v>
      </c>
      <c r="P66" s="19">
        <v>2.04</v>
      </c>
      <c r="Q66" s="8">
        <v>0</v>
      </c>
      <c r="R66" s="8" t="s">
        <v>914</v>
      </c>
      <c r="S66" s="8" t="s">
        <v>270</v>
      </c>
      <c r="T66" s="8" t="s">
        <v>36</v>
      </c>
      <c r="U66" s="8" t="s">
        <v>663</v>
      </c>
      <c r="V66" s="8" t="s">
        <v>1212</v>
      </c>
      <c r="W66" s="1" t="s">
        <v>665</v>
      </c>
      <c r="Y66" s="1">
        <f>_xlfn.XLOOKUP(X66,'3月份计划-1'!A:A,'3月份计划-1'!A:A)</f>
        <v>0</v>
      </c>
    </row>
    <row r="67" s="1" customFormat="1" ht="16.5" hidden="1" customHeight="1" spans="1:25">
      <c r="A67" s="12" t="s">
        <v>1213</v>
      </c>
      <c r="B67" s="15" t="s">
        <v>32</v>
      </c>
      <c r="C67" s="13" t="s">
        <v>1214</v>
      </c>
      <c r="D67" s="12">
        <v>1</v>
      </c>
      <c r="E67" s="14" t="s">
        <v>1215</v>
      </c>
      <c r="F67" s="14">
        <v>45716</v>
      </c>
      <c r="G67" s="15">
        <v>45716</v>
      </c>
      <c r="H67" s="12" t="s">
        <v>444</v>
      </c>
      <c r="I67" s="15" t="s">
        <v>445</v>
      </c>
      <c r="J67" s="12" t="s">
        <v>41</v>
      </c>
      <c r="K67" s="15" t="s">
        <v>660</v>
      </c>
      <c r="L67" s="12" t="s">
        <v>41</v>
      </c>
      <c r="M67" s="15" t="s">
        <v>492</v>
      </c>
      <c r="N67" s="12" t="s">
        <v>41</v>
      </c>
      <c r="O67" s="21" t="s">
        <v>908</v>
      </c>
      <c r="P67" s="21">
        <v>0</v>
      </c>
      <c r="Q67" s="12">
        <v>23825.25</v>
      </c>
      <c r="R67" s="12" t="s">
        <v>909</v>
      </c>
      <c r="S67" s="12" t="s">
        <v>242</v>
      </c>
      <c r="T67" s="12" t="s">
        <v>36</v>
      </c>
      <c r="U67" s="12" t="s">
        <v>663</v>
      </c>
      <c r="V67" s="12" t="s">
        <v>1216</v>
      </c>
      <c r="W67" s="1" t="s">
        <v>665</v>
      </c>
      <c r="Y67" s="1">
        <f>_xlfn.XLOOKUP(X67,'3月份计划-1'!A:A,'3月份计划-1'!A:A)</f>
        <v>0</v>
      </c>
    </row>
    <row r="68" s="1" customFormat="1" ht="16.5" hidden="1" customHeight="1" spans="1:25">
      <c r="A68" s="8" t="s">
        <v>1217</v>
      </c>
      <c r="B68" s="11" t="s">
        <v>32</v>
      </c>
      <c r="C68" s="9" t="s">
        <v>1218</v>
      </c>
      <c r="D68" s="8">
        <v>1</v>
      </c>
      <c r="E68" s="10" t="s">
        <v>1219</v>
      </c>
      <c r="F68" s="10">
        <v>45716</v>
      </c>
      <c r="G68" s="11">
        <v>45716</v>
      </c>
      <c r="H68" s="8" t="s">
        <v>444</v>
      </c>
      <c r="I68" s="11" t="s">
        <v>445</v>
      </c>
      <c r="J68" s="8" t="s">
        <v>41</v>
      </c>
      <c r="K68" s="11" t="s">
        <v>660</v>
      </c>
      <c r="L68" s="8" t="s">
        <v>41</v>
      </c>
      <c r="M68" s="11" t="s">
        <v>492</v>
      </c>
      <c r="N68" s="8" t="s">
        <v>41</v>
      </c>
      <c r="O68" s="19" t="s">
        <v>1220</v>
      </c>
      <c r="P68" s="19">
        <v>0</v>
      </c>
      <c r="Q68" s="8">
        <v>81903.25</v>
      </c>
      <c r="R68" s="8" t="s">
        <v>919</v>
      </c>
      <c r="S68" s="8" t="s">
        <v>260</v>
      </c>
      <c r="T68" s="8" t="s">
        <v>36</v>
      </c>
      <c r="U68" s="8" t="s">
        <v>663</v>
      </c>
      <c r="V68" s="8" t="s">
        <v>1221</v>
      </c>
      <c r="W68" s="1" t="s">
        <v>665</v>
      </c>
      <c r="Y68" s="1">
        <f>_xlfn.XLOOKUP(X68,'3月份计划-1'!A:A,'3月份计划-1'!A:A)</f>
        <v>0</v>
      </c>
    </row>
    <row r="69" s="1" customFormat="1" ht="16.5" hidden="1" customHeight="1" spans="1:25">
      <c r="A69" s="12" t="s">
        <v>1217</v>
      </c>
      <c r="B69" s="15" t="s">
        <v>32</v>
      </c>
      <c r="C69" s="13" t="s">
        <v>1218</v>
      </c>
      <c r="D69" s="12">
        <v>3</v>
      </c>
      <c r="E69" s="14" t="s">
        <v>1219</v>
      </c>
      <c r="F69" s="14">
        <v>45716</v>
      </c>
      <c r="G69" s="15">
        <v>45716</v>
      </c>
      <c r="H69" s="12" t="s">
        <v>444</v>
      </c>
      <c r="I69" s="15" t="s">
        <v>445</v>
      </c>
      <c r="J69" s="12" t="s">
        <v>41</v>
      </c>
      <c r="K69" s="15" t="s">
        <v>660</v>
      </c>
      <c r="L69" s="12" t="s">
        <v>41</v>
      </c>
      <c r="M69" s="15" t="s">
        <v>492</v>
      </c>
      <c r="N69" s="12" t="s">
        <v>41</v>
      </c>
      <c r="O69" s="21" t="s">
        <v>1220</v>
      </c>
      <c r="P69" s="21">
        <v>2597.32</v>
      </c>
      <c r="Q69" s="12">
        <v>0</v>
      </c>
      <c r="R69" s="12" t="s">
        <v>919</v>
      </c>
      <c r="S69" s="12" t="s">
        <v>260</v>
      </c>
      <c r="T69" s="12" t="s">
        <v>36</v>
      </c>
      <c r="U69" s="12" t="s">
        <v>663</v>
      </c>
      <c r="V69" s="12" t="s">
        <v>1221</v>
      </c>
      <c r="W69" s="1" t="s">
        <v>665</v>
      </c>
      <c r="Y69" s="1">
        <f>_xlfn.XLOOKUP(X69,'3月份计划-1'!A:A,'3月份计划-1'!A:A)</f>
        <v>0</v>
      </c>
    </row>
    <row r="70" s="1" customFormat="1" ht="16.5" hidden="1" customHeight="1" spans="1:25">
      <c r="A70" s="8" t="s">
        <v>1222</v>
      </c>
      <c r="B70" s="11" t="s">
        <v>32</v>
      </c>
      <c r="C70" s="9" t="s">
        <v>1223</v>
      </c>
      <c r="D70" s="8">
        <v>1</v>
      </c>
      <c r="E70" s="10" t="s">
        <v>1224</v>
      </c>
      <c r="F70" s="10">
        <v>45716</v>
      </c>
      <c r="G70" s="11">
        <v>45716</v>
      </c>
      <c r="H70" s="8" t="s">
        <v>444</v>
      </c>
      <c r="I70" s="11" t="s">
        <v>445</v>
      </c>
      <c r="J70" s="8" t="s">
        <v>41</v>
      </c>
      <c r="K70" s="11" t="s">
        <v>660</v>
      </c>
      <c r="L70" s="8" t="s">
        <v>41</v>
      </c>
      <c r="M70" s="11" t="s">
        <v>492</v>
      </c>
      <c r="N70" s="8" t="s">
        <v>41</v>
      </c>
      <c r="O70" s="19" t="s">
        <v>1225</v>
      </c>
      <c r="P70" s="19">
        <v>0.01</v>
      </c>
      <c r="Q70" s="8">
        <v>0</v>
      </c>
      <c r="R70" s="8" t="s">
        <v>919</v>
      </c>
      <c r="S70" s="8" t="s">
        <v>260</v>
      </c>
      <c r="T70" s="8" t="s">
        <v>36</v>
      </c>
      <c r="U70" s="8" t="s">
        <v>663</v>
      </c>
      <c r="V70" s="8" t="s">
        <v>1226</v>
      </c>
      <c r="W70" s="1" t="s">
        <v>665</v>
      </c>
      <c r="Y70" s="1">
        <f>_xlfn.XLOOKUP(X70,'3月份计划-1'!A:A,'3月份计划-1'!A:A)</f>
        <v>0</v>
      </c>
    </row>
    <row r="71" s="1" customFormat="1" ht="16.5" hidden="1" customHeight="1" spans="1:25">
      <c r="A71" s="12" t="s">
        <v>1227</v>
      </c>
      <c r="B71" s="15" t="s">
        <v>32</v>
      </c>
      <c r="C71" s="13" t="s">
        <v>1228</v>
      </c>
      <c r="D71" s="12">
        <v>1</v>
      </c>
      <c r="E71" s="14" t="s">
        <v>1229</v>
      </c>
      <c r="F71" s="14">
        <v>45716</v>
      </c>
      <c r="G71" s="15">
        <v>45716</v>
      </c>
      <c r="H71" s="12" t="s">
        <v>444</v>
      </c>
      <c r="I71" s="15" t="s">
        <v>445</v>
      </c>
      <c r="J71" s="12" t="s">
        <v>41</v>
      </c>
      <c r="K71" s="15" t="s">
        <v>660</v>
      </c>
      <c r="L71" s="12" t="s">
        <v>41</v>
      </c>
      <c r="M71" s="15" t="s">
        <v>492</v>
      </c>
      <c r="N71" s="12" t="s">
        <v>41</v>
      </c>
      <c r="O71" s="21" t="s">
        <v>1230</v>
      </c>
      <c r="P71" s="21">
        <v>0</v>
      </c>
      <c r="Q71" s="12">
        <v>12425.53</v>
      </c>
      <c r="R71" s="12" t="s">
        <v>928</v>
      </c>
      <c r="S71" s="12" t="s">
        <v>241</v>
      </c>
      <c r="T71" s="12" t="s">
        <v>36</v>
      </c>
      <c r="U71" s="12" t="s">
        <v>663</v>
      </c>
      <c r="V71" s="12" t="s">
        <v>1231</v>
      </c>
      <c r="W71" s="1" t="s">
        <v>665</v>
      </c>
      <c r="Y71" s="1">
        <f>_xlfn.XLOOKUP(X71,'3月份计划-1'!A:A,'3月份计划-1'!A:A)</f>
        <v>0</v>
      </c>
    </row>
    <row r="72" s="1" customFormat="1" ht="16.5" hidden="1" customHeight="1" spans="1:25">
      <c r="A72" s="8" t="s">
        <v>1232</v>
      </c>
      <c r="B72" s="11" t="s">
        <v>32</v>
      </c>
      <c r="C72" s="9" t="s">
        <v>1233</v>
      </c>
      <c r="D72" s="8">
        <v>1</v>
      </c>
      <c r="E72" s="10" t="s">
        <v>1234</v>
      </c>
      <c r="F72" s="10">
        <v>45716</v>
      </c>
      <c r="G72" s="11">
        <v>45716</v>
      </c>
      <c r="H72" s="8" t="s">
        <v>444</v>
      </c>
      <c r="I72" s="11" t="s">
        <v>445</v>
      </c>
      <c r="J72" s="8" t="s">
        <v>41</v>
      </c>
      <c r="K72" s="11" t="s">
        <v>660</v>
      </c>
      <c r="L72" s="8" t="s">
        <v>41</v>
      </c>
      <c r="M72" s="11" t="s">
        <v>492</v>
      </c>
      <c r="N72" s="8" t="s">
        <v>41</v>
      </c>
      <c r="O72" s="19" t="s">
        <v>860</v>
      </c>
      <c r="P72" s="19">
        <v>0</v>
      </c>
      <c r="Q72" s="8">
        <v>45703.19</v>
      </c>
      <c r="R72" s="8" t="s">
        <v>861</v>
      </c>
      <c r="S72" s="8" t="s">
        <v>244</v>
      </c>
      <c r="T72" s="8" t="s">
        <v>36</v>
      </c>
      <c r="U72" s="8" t="s">
        <v>663</v>
      </c>
      <c r="V72" s="8" t="s">
        <v>1235</v>
      </c>
      <c r="W72" s="1" t="s">
        <v>665</v>
      </c>
      <c r="Y72" s="1">
        <f>_xlfn.XLOOKUP(X72,'3月份计划-1'!A:A,'3月份计划-1'!A:A)</f>
        <v>0</v>
      </c>
    </row>
    <row r="73" s="1" customFormat="1" ht="16.5" hidden="1" customHeight="1" spans="1:25">
      <c r="A73" s="12" t="s">
        <v>1236</v>
      </c>
      <c r="B73" s="15" t="s">
        <v>32</v>
      </c>
      <c r="C73" s="13" t="s">
        <v>1237</v>
      </c>
      <c r="D73" s="12">
        <v>1</v>
      </c>
      <c r="E73" s="14" t="s">
        <v>1238</v>
      </c>
      <c r="F73" s="14">
        <v>45716</v>
      </c>
      <c r="G73" s="15">
        <v>45716</v>
      </c>
      <c r="H73" s="12" t="s">
        <v>444</v>
      </c>
      <c r="I73" s="15" t="s">
        <v>445</v>
      </c>
      <c r="J73" s="12" t="s">
        <v>41</v>
      </c>
      <c r="K73" s="15" t="s">
        <v>660</v>
      </c>
      <c r="L73" s="12" t="s">
        <v>41</v>
      </c>
      <c r="M73" s="15" t="s">
        <v>492</v>
      </c>
      <c r="N73" s="12" t="s">
        <v>41</v>
      </c>
      <c r="O73" s="21" t="s">
        <v>1239</v>
      </c>
      <c r="P73" s="21">
        <v>0</v>
      </c>
      <c r="Q73" s="12">
        <v>37169.2</v>
      </c>
      <c r="R73" s="12" t="s">
        <v>899</v>
      </c>
      <c r="S73" s="12" t="s">
        <v>245</v>
      </c>
      <c r="T73" s="12" t="s">
        <v>36</v>
      </c>
      <c r="U73" s="12" t="s">
        <v>663</v>
      </c>
      <c r="V73" s="12" t="s">
        <v>1240</v>
      </c>
      <c r="W73" s="1" t="s">
        <v>665</v>
      </c>
      <c r="Y73" s="1">
        <f>_xlfn.XLOOKUP(X73,'3月份计划-1'!A:A,'3月份计划-1'!A:A)</f>
        <v>0</v>
      </c>
    </row>
    <row r="74" s="1" customFormat="1" ht="16.5" hidden="1" customHeight="1" spans="1:25">
      <c r="A74" s="8" t="s">
        <v>1236</v>
      </c>
      <c r="B74" s="11" t="s">
        <v>32</v>
      </c>
      <c r="C74" s="9" t="s">
        <v>1237</v>
      </c>
      <c r="D74" s="8">
        <v>3</v>
      </c>
      <c r="E74" s="10" t="s">
        <v>1238</v>
      </c>
      <c r="F74" s="10">
        <v>45716</v>
      </c>
      <c r="G74" s="11">
        <v>45716</v>
      </c>
      <c r="H74" s="8" t="s">
        <v>444</v>
      </c>
      <c r="I74" s="11" t="s">
        <v>445</v>
      </c>
      <c r="J74" s="8" t="s">
        <v>41</v>
      </c>
      <c r="K74" s="11" t="s">
        <v>660</v>
      </c>
      <c r="L74" s="8" t="s">
        <v>41</v>
      </c>
      <c r="M74" s="11" t="s">
        <v>492</v>
      </c>
      <c r="N74" s="8" t="s">
        <v>41</v>
      </c>
      <c r="O74" s="19" t="s">
        <v>1239</v>
      </c>
      <c r="P74" s="19">
        <v>2.38</v>
      </c>
      <c r="Q74" s="8">
        <v>0</v>
      </c>
      <c r="R74" s="8" t="s">
        <v>899</v>
      </c>
      <c r="S74" s="8" t="s">
        <v>245</v>
      </c>
      <c r="T74" s="8" t="s">
        <v>36</v>
      </c>
      <c r="U74" s="8" t="s">
        <v>663</v>
      </c>
      <c r="V74" s="8" t="s">
        <v>1240</v>
      </c>
      <c r="W74" s="1" t="s">
        <v>665</v>
      </c>
      <c r="Y74" s="1">
        <f>_xlfn.XLOOKUP(X74,'3月份计划-1'!A:A,'3月份计划-1'!A:A)</f>
        <v>0</v>
      </c>
    </row>
    <row r="75" s="1" customFormat="1" ht="16.5" hidden="1" customHeight="1" spans="1:25">
      <c r="A75" s="12" t="s">
        <v>1241</v>
      </c>
      <c r="B75" s="15" t="s">
        <v>32</v>
      </c>
      <c r="C75" s="13" t="s">
        <v>1242</v>
      </c>
      <c r="D75" s="12">
        <v>1</v>
      </c>
      <c r="E75" s="14" t="s">
        <v>1243</v>
      </c>
      <c r="F75" s="14">
        <v>45716</v>
      </c>
      <c r="G75" s="15">
        <v>45716</v>
      </c>
      <c r="H75" s="12" t="s">
        <v>444</v>
      </c>
      <c r="I75" s="15" t="s">
        <v>445</v>
      </c>
      <c r="J75" s="12" t="s">
        <v>41</v>
      </c>
      <c r="K75" s="15" t="s">
        <v>660</v>
      </c>
      <c r="L75" s="12" t="s">
        <v>41</v>
      </c>
      <c r="M75" s="15" t="s">
        <v>492</v>
      </c>
      <c r="N75" s="12" t="s">
        <v>41</v>
      </c>
      <c r="O75" s="21" t="s">
        <v>1244</v>
      </c>
      <c r="P75" s="21">
        <v>0.01</v>
      </c>
      <c r="Q75" s="12">
        <v>0</v>
      </c>
      <c r="R75" s="12" t="s">
        <v>899</v>
      </c>
      <c r="S75" s="12" t="s">
        <v>245</v>
      </c>
      <c r="T75" s="12" t="s">
        <v>36</v>
      </c>
      <c r="U75" s="12" t="s">
        <v>663</v>
      </c>
      <c r="V75" s="12" t="s">
        <v>1245</v>
      </c>
      <c r="W75" s="1" t="s">
        <v>665</v>
      </c>
      <c r="Y75" s="1">
        <f>_xlfn.XLOOKUP(X75,'3月份计划-1'!A:A,'3月份计划-1'!A:A)</f>
        <v>0</v>
      </c>
    </row>
    <row r="76" s="1" customFormat="1" ht="16.5" hidden="1" customHeight="1" spans="1:25">
      <c r="A76" s="8" t="s">
        <v>1246</v>
      </c>
      <c r="B76" s="11" t="s">
        <v>32</v>
      </c>
      <c r="C76" s="9" t="s">
        <v>1247</v>
      </c>
      <c r="D76" s="8">
        <v>1</v>
      </c>
      <c r="E76" s="10" t="s">
        <v>1248</v>
      </c>
      <c r="F76" s="10">
        <v>45716</v>
      </c>
      <c r="G76" s="11">
        <v>45716</v>
      </c>
      <c r="H76" s="8" t="s">
        <v>444</v>
      </c>
      <c r="I76" s="11" t="s">
        <v>445</v>
      </c>
      <c r="J76" s="8" t="s">
        <v>41</v>
      </c>
      <c r="K76" s="11" t="s">
        <v>660</v>
      </c>
      <c r="L76" s="8" t="s">
        <v>41</v>
      </c>
      <c r="M76" s="11" t="s">
        <v>492</v>
      </c>
      <c r="N76" s="8" t="s">
        <v>41</v>
      </c>
      <c r="O76" s="19" t="s">
        <v>1249</v>
      </c>
      <c r="P76" s="19">
        <v>0</v>
      </c>
      <c r="Q76" s="8">
        <v>55884.92</v>
      </c>
      <c r="R76" s="8" t="s">
        <v>904</v>
      </c>
      <c r="S76" s="8" t="s">
        <v>258</v>
      </c>
      <c r="T76" s="8" t="s">
        <v>36</v>
      </c>
      <c r="U76" s="8" t="s">
        <v>663</v>
      </c>
      <c r="V76" s="8" t="s">
        <v>1250</v>
      </c>
      <c r="W76" s="1" t="s">
        <v>665</v>
      </c>
      <c r="Y76" s="1">
        <f>_xlfn.XLOOKUP(X76,'3月份计划-1'!A:A,'3月份计划-1'!A:A)</f>
        <v>0</v>
      </c>
    </row>
    <row r="77" s="1" customFormat="1" ht="16.5" hidden="1" customHeight="1" spans="1:25">
      <c r="A77" s="12" t="s">
        <v>1251</v>
      </c>
      <c r="B77" s="15" t="s">
        <v>32</v>
      </c>
      <c r="C77" s="13" t="s">
        <v>1252</v>
      </c>
      <c r="D77" s="12">
        <v>1</v>
      </c>
      <c r="E77" s="14" t="s">
        <v>1253</v>
      </c>
      <c r="F77" s="14">
        <v>45716</v>
      </c>
      <c r="G77" s="15">
        <v>45716</v>
      </c>
      <c r="H77" s="12" t="s">
        <v>444</v>
      </c>
      <c r="I77" s="15" t="s">
        <v>445</v>
      </c>
      <c r="J77" s="12" t="s">
        <v>41</v>
      </c>
      <c r="K77" s="15" t="s">
        <v>660</v>
      </c>
      <c r="L77" s="12" t="s">
        <v>41</v>
      </c>
      <c r="M77" s="15" t="s">
        <v>492</v>
      </c>
      <c r="N77" s="12" t="s">
        <v>41</v>
      </c>
      <c r="O77" s="21" t="s">
        <v>1254</v>
      </c>
      <c r="P77" s="21">
        <v>0.01</v>
      </c>
      <c r="Q77" s="12">
        <v>0</v>
      </c>
      <c r="R77" s="12" t="s">
        <v>1255</v>
      </c>
      <c r="S77" s="12" t="s">
        <v>258</v>
      </c>
      <c r="T77" s="12" t="s">
        <v>36</v>
      </c>
      <c r="U77" s="12" t="s">
        <v>663</v>
      </c>
      <c r="V77" s="12" t="s">
        <v>1256</v>
      </c>
      <c r="W77" s="1" t="s">
        <v>665</v>
      </c>
      <c r="Y77" s="1">
        <f>_xlfn.XLOOKUP(X77,'3月份计划-1'!A:A,'3月份计划-1'!A:A)</f>
        <v>0</v>
      </c>
    </row>
    <row r="78" s="1" customFormat="1" ht="16.5" hidden="1" customHeight="1" spans="1:25">
      <c r="A78" s="8" t="s">
        <v>1251</v>
      </c>
      <c r="B78" s="11" t="s">
        <v>32</v>
      </c>
      <c r="C78" s="9" t="s">
        <v>1252</v>
      </c>
      <c r="D78" s="8">
        <v>3</v>
      </c>
      <c r="E78" s="10" t="s">
        <v>1253</v>
      </c>
      <c r="F78" s="10">
        <v>45716</v>
      </c>
      <c r="G78" s="11">
        <v>45716</v>
      </c>
      <c r="H78" s="8" t="s">
        <v>444</v>
      </c>
      <c r="I78" s="11" t="s">
        <v>445</v>
      </c>
      <c r="J78" s="8" t="s">
        <v>41</v>
      </c>
      <c r="K78" s="11" t="s">
        <v>660</v>
      </c>
      <c r="L78" s="8" t="s">
        <v>41</v>
      </c>
      <c r="M78" s="11" t="s">
        <v>492</v>
      </c>
      <c r="N78" s="8" t="s">
        <v>41</v>
      </c>
      <c r="O78" s="19" t="s">
        <v>1254</v>
      </c>
      <c r="P78" s="19">
        <v>0</v>
      </c>
      <c r="Q78" s="8">
        <v>0.02</v>
      </c>
      <c r="R78" s="8" t="s">
        <v>1255</v>
      </c>
      <c r="S78" s="8" t="s">
        <v>258</v>
      </c>
      <c r="T78" s="8" t="s">
        <v>36</v>
      </c>
      <c r="U78" s="8" t="s">
        <v>663</v>
      </c>
      <c r="V78" s="8" t="s">
        <v>1256</v>
      </c>
      <c r="W78" s="1" t="s">
        <v>665</v>
      </c>
      <c r="Y78" s="1">
        <f>_xlfn.XLOOKUP(X78,'3月份计划-1'!A:A,'3月份计划-1'!A:A)</f>
        <v>0</v>
      </c>
    </row>
    <row r="79" s="1" customFormat="1" ht="16.5" hidden="1" customHeight="1" spans="1:25">
      <c r="A79" s="12" t="s">
        <v>1257</v>
      </c>
      <c r="B79" s="15" t="s">
        <v>32</v>
      </c>
      <c r="C79" s="13" t="s">
        <v>1258</v>
      </c>
      <c r="D79" s="12">
        <v>1</v>
      </c>
      <c r="E79" s="14" t="s">
        <v>1259</v>
      </c>
      <c r="F79" s="14">
        <v>45716</v>
      </c>
      <c r="G79" s="15">
        <v>45716</v>
      </c>
      <c r="H79" s="12" t="s">
        <v>444</v>
      </c>
      <c r="I79" s="15" t="s">
        <v>445</v>
      </c>
      <c r="J79" s="12" t="s">
        <v>41</v>
      </c>
      <c r="K79" s="15" t="s">
        <v>660</v>
      </c>
      <c r="L79" s="12" t="s">
        <v>41</v>
      </c>
      <c r="M79" s="15" t="s">
        <v>492</v>
      </c>
      <c r="N79" s="12" t="s">
        <v>41</v>
      </c>
      <c r="O79" s="21" t="s">
        <v>777</v>
      </c>
      <c r="P79" s="21">
        <v>0</v>
      </c>
      <c r="Q79" s="12">
        <v>6644.4</v>
      </c>
      <c r="R79" s="12" t="s">
        <v>778</v>
      </c>
      <c r="S79" s="12" t="s">
        <v>313</v>
      </c>
      <c r="T79" s="12" t="s">
        <v>36</v>
      </c>
      <c r="U79" s="12" t="s">
        <v>663</v>
      </c>
      <c r="V79" s="12" t="s">
        <v>1260</v>
      </c>
      <c r="W79" s="1" t="s">
        <v>665</v>
      </c>
      <c r="Y79" s="1">
        <f>_xlfn.XLOOKUP(X79,'3月份计划-1'!A:A,'3月份计划-1'!A:A)</f>
        <v>0</v>
      </c>
    </row>
    <row r="80" s="1" customFormat="1" ht="16.5" hidden="1" customHeight="1" spans="1:25">
      <c r="A80" s="8" t="s">
        <v>1261</v>
      </c>
      <c r="B80" s="11" t="s">
        <v>32</v>
      </c>
      <c r="C80" s="9" t="s">
        <v>1262</v>
      </c>
      <c r="D80" s="8">
        <v>1</v>
      </c>
      <c r="E80" s="10" t="s">
        <v>1263</v>
      </c>
      <c r="F80" s="10">
        <v>45716</v>
      </c>
      <c r="G80" s="11">
        <v>45716</v>
      </c>
      <c r="H80" s="8" t="s">
        <v>444</v>
      </c>
      <c r="I80" s="11" t="s">
        <v>445</v>
      </c>
      <c r="J80" s="8" t="s">
        <v>41</v>
      </c>
      <c r="K80" s="11" t="s">
        <v>660</v>
      </c>
      <c r="L80" s="8" t="s">
        <v>41</v>
      </c>
      <c r="M80" s="11" t="s">
        <v>492</v>
      </c>
      <c r="N80" s="8" t="s">
        <v>41</v>
      </c>
      <c r="O80" s="19" t="s">
        <v>728</v>
      </c>
      <c r="P80" s="19">
        <v>0</v>
      </c>
      <c r="Q80" s="8">
        <v>5763</v>
      </c>
      <c r="R80" s="8" t="s">
        <v>729</v>
      </c>
      <c r="S80" s="8" t="s">
        <v>283</v>
      </c>
      <c r="T80" s="8" t="s">
        <v>36</v>
      </c>
      <c r="U80" s="8" t="s">
        <v>663</v>
      </c>
      <c r="V80" s="8" t="s">
        <v>1264</v>
      </c>
      <c r="W80" s="1" t="s">
        <v>665</v>
      </c>
      <c r="Y80" s="1">
        <f>_xlfn.XLOOKUP(X80,'3月份计划-1'!A:A,'3月份计划-1'!A:A)</f>
        <v>0</v>
      </c>
    </row>
    <row r="81" s="1" customFormat="1" ht="16.5" hidden="1" customHeight="1" spans="1:25">
      <c r="A81" s="12" t="s">
        <v>1265</v>
      </c>
      <c r="B81" s="15" t="s">
        <v>32</v>
      </c>
      <c r="C81" s="13" t="s">
        <v>1266</v>
      </c>
      <c r="D81" s="12">
        <v>1</v>
      </c>
      <c r="E81" s="14" t="s">
        <v>1267</v>
      </c>
      <c r="F81" s="14">
        <v>45716</v>
      </c>
      <c r="G81" s="15">
        <v>45716</v>
      </c>
      <c r="H81" s="12" t="s">
        <v>444</v>
      </c>
      <c r="I81" s="15" t="s">
        <v>445</v>
      </c>
      <c r="J81" s="12" t="s">
        <v>41</v>
      </c>
      <c r="K81" s="15" t="s">
        <v>660</v>
      </c>
      <c r="L81" s="12" t="s">
        <v>41</v>
      </c>
      <c r="M81" s="15" t="s">
        <v>492</v>
      </c>
      <c r="N81" s="12" t="s">
        <v>41</v>
      </c>
      <c r="O81" s="21" t="s">
        <v>1268</v>
      </c>
      <c r="P81" s="21">
        <v>0</v>
      </c>
      <c r="Q81" s="12">
        <v>68464.44</v>
      </c>
      <c r="R81" s="12" t="s">
        <v>1269</v>
      </c>
      <c r="S81" s="12" t="s">
        <v>285</v>
      </c>
      <c r="T81" s="12" t="s">
        <v>36</v>
      </c>
      <c r="U81" s="12" t="s">
        <v>663</v>
      </c>
      <c r="V81" s="12" t="s">
        <v>1270</v>
      </c>
      <c r="W81" s="1" t="s">
        <v>665</v>
      </c>
      <c r="Y81" s="1">
        <f>_xlfn.XLOOKUP(X81,'3月份计划-1'!A:A,'3月份计划-1'!A:A)</f>
        <v>0</v>
      </c>
    </row>
    <row r="82" s="1" customFormat="1" ht="16.5" hidden="1" customHeight="1" spans="1:25">
      <c r="A82" s="8" t="s">
        <v>1271</v>
      </c>
      <c r="B82" s="11" t="s">
        <v>32</v>
      </c>
      <c r="C82" s="9" t="s">
        <v>1272</v>
      </c>
      <c r="D82" s="8">
        <v>1</v>
      </c>
      <c r="E82" s="10" t="s">
        <v>1273</v>
      </c>
      <c r="F82" s="10">
        <v>45716</v>
      </c>
      <c r="G82" s="11">
        <v>45716</v>
      </c>
      <c r="H82" s="8" t="s">
        <v>444</v>
      </c>
      <c r="I82" s="11" t="s">
        <v>445</v>
      </c>
      <c r="J82" s="8" t="s">
        <v>41</v>
      </c>
      <c r="K82" s="11" t="s">
        <v>660</v>
      </c>
      <c r="L82" s="8" t="s">
        <v>41</v>
      </c>
      <c r="M82" s="11" t="s">
        <v>492</v>
      </c>
      <c r="N82" s="8" t="s">
        <v>41</v>
      </c>
      <c r="O82" s="19" t="s">
        <v>1274</v>
      </c>
      <c r="P82" s="19">
        <v>0</v>
      </c>
      <c r="Q82" s="8">
        <v>1054690.27</v>
      </c>
      <c r="R82" s="8" t="s">
        <v>34</v>
      </c>
      <c r="S82" s="8" t="s">
        <v>277</v>
      </c>
      <c r="T82" s="8" t="s">
        <v>36</v>
      </c>
      <c r="U82" s="8" t="s">
        <v>663</v>
      </c>
      <c r="V82" s="8" t="s">
        <v>64</v>
      </c>
      <c r="W82" s="1" t="s">
        <v>665</v>
      </c>
      <c r="Y82" s="1">
        <f>_xlfn.XLOOKUP(X82,'3月份计划-1'!A:A,'3月份计划-1'!A:A)</f>
        <v>0</v>
      </c>
    </row>
    <row r="83" s="1" customFormat="1" ht="16.5" hidden="1" customHeight="1" spans="1:25">
      <c r="A83" s="12" t="s">
        <v>1271</v>
      </c>
      <c r="B83" s="15" t="s">
        <v>32</v>
      </c>
      <c r="C83" s="13" t="s">
        <v>1272</v>
      </c>
      <c r="D83" s="12">
        <v>3</v>
      </c>
      <c r="E83" s="14" t="s">
        <v>1273</v>
      </c>
      <c r="F83" s="14">
        <v>45716</v>
      </c>
      <c r="G83" s="15">
        <v>45716</v>
      </c>
      <c r="H83" s="12" t="s">
        <v>444</v>
      </c>
      <c r="I83" s="15" t="s">
        <v>445</v>
      </c>
      <c r="J83" s="12" t="s">
        <v>41</v>
      </c>
      <c r="K83" s="15" t="s">
        <v>660</v>
      </c>
      <c r="L83" s="12" t="s">
        <v>41</v>
      </c>
      <c r="M83" s="15" t="s">
        <v>492</v>
      </c>
      <c r="N83" s="12" t="s">
        <v>41</v>
      </c>
      <c r="O83" s="21" t="s">
        <v>1274</v>
      </c>
      <c r="P83" s="21">
        <v>144690.27</v>
      </c>
      <c r="Q83" s="12">
        <v>0</v>
      </c>
      <c r="R83" s="12" t="s">
        <v>34</v>
      </c>
      <c r="S83" s="12" t="s">
        <v>277</v>
      </c>
      <c r="T83" s="12" t="s">
        <v>36</v>
      </c>
      <c r="U83" s="12" t="s">
        <v>663</v>
      </c>
      <c r="V83" s="12" t="s">
        <v>64</v>
      </c>
      <c r="W83" s="1" t="s">
        <v>665</v>
      </c>
      <c r="Y83" s="1">
        <f>_xlfn.XLOOKUP(X83,'3月份计划-1'!A:A,'3月份计划-1'!A:A)</f>
        <v>0</v>
      </c>
    </row>
    <row r="84" s="1" customFormat="1" ht="16.5" hidden="1" customHeight="1" spans="1:25">
      <c r="A84" s="8" t="s">
        <v>1275</v>
      </c>
      <c r="B84" s="11" t="s">
        <v>32</v>
      </c>
      <c r="C84" s="9" t="s">
        <v>1276</v>
      </c>
      <c r="D84" s="8">
        <v>1</v>
      </c>
      <c r="E84" s="10" t="s">
        <v>1277</v>
      </c>
      <c r="F84" s="10">
        <v>45716</v>
      </c>
      <c r="G84" s="11">
        <v>45716</v>
      </c>
      <c r="H84" s="8" t="s">
        <v>444</v>
      </c>
      <c r="I84" s="11" t="s">
        <v>445</v>
      </c>
      <c r="J84" s="8" t="s">
        <v>41</v>
      </c>
      <c r="K84" s="11" t="s">
        <v>660</v>
      </c>
      <c r="L84" s="8" t="s">
        <v>41</v>
      </c>
      <c r="M84" s="11" t="s">
        <v>492</v>
      </c>
      <c r="N84" s="8" t="s">
        <v>41</v>
      </c>
      <c r="O84" s="19" t="s">
        <v>1278</v>
      </c>
      <c r="P84" s="19">
        <v>0</v>
      </c>
      <c r="Q84" s="8">
        <v>377178.34</v>
      </c>
      <c r="R84" s="8" t="s">
        <v>961</v>
      </c>
      <c r="S84" s="8" t="s">
        <v>254</v>
      </c>
      <c r="T84" s="8" t="s">
        <v>36</v>
      </c>
      <c r="U84" s="8" t="s">
        <v>663</v>
      </c>
      <c r="V84" s="8" t="s">
        <v>1279</v>
      </c>
      <c r="W84" s="1" t="s">
        <v>665</v>
      </c>
      <c r="Y84" s="1">
        <f>_xlfn.XLOOKUP(X84,'3月份计划-1'!A:A,'3月份计划-1'!A:A)</f>
        <v>0</v>
      </c>
    </row>
    <row r="85" s="1" customFormat="1" ht="16.5" hidden="1" customHeight="1" spans="1:25">
      <c r="A85" s="12" t="s">
        <v>1275</v>
      </c>
      <c r="B85" s="15" t="s">
        <v>32</v>
      </c>
      <c r="C85" s="13" t="s">
        <v>1276</v>
      </c>
      <c r="D85" s="12">
        <v>3</v>
      </c>
      <c r="E85" s="14" t="s">
        <v>1277</v>
      </c>
      <c r="F85" s="14">
        <v>45716</v>
      </c>
      <c r="G85" s="15">
        <v>45716</v>
      </c>
      <c r="H85" s="12" t="s">
        <v>444</v>
      </c>
      <c r="I85" s="15" t="s">
        <v>445</v>
      </c>
      <c r="J85" s="12" t="s">
        <v>41</v>
      </c>
      <c r="K85" s="15" t="s">
        <v>660</v>
      </c>
      <c r="L85" s="12" t="s">
        <v>41</v>
      </c>
      <c r="M85" s="15" t="s">
        <v>492</v>
      </c>
      <c r="N85" s="12" t="s">
        <v>41</v>
      </c>
      <c r="O85" s="21" t="s">
        <v>1278</v>
      </c>
      <c r="P85" s="21">
        <v>67.73</v>
      </c>
      <c r="Q85" s="12">
        <v>0</v>
      </c>
      <c r="R85" s="12" t="s">
        <v>961</v>
      </c>
      <c r="S85" s="12" t="s">
        <v>254</v>
      </c>
      <c r="T85" s="12" t="s">
        <v>36</v>
      </c>
      <c r="U85" s="12" t="s">
        <v>663</v>
      </c>
      <c r="V85" s="12" t="s">
        <v>1279</v>
      </c>
      <c r="W85" s="1" t="s">
        <v>665</v>
      </c>
      <c r="Y85" s="1">
        <f>_xlfn.XLOOKUP(X85,'3月份计划-1'!A:A,'3月份计划-1'!A:A)</f>
        <v>0</v>
      </c>
    </row>
    <row r="86" s="1" customFormat="1" ht="16.5" hidden="1" customHeight="1" spans="1:25">
      <c r="A86" s="8" t="s">
        <v>1280</v>
      </c>
      <c r="B86" s="11" t="s">
        <v>32</v>
      </c>
      <c r="C86" s="9" t="s">
        <v>1281</v>
      </c>
      <c r="D86" s="8">
        <v>1</v>
      </c>
      <c r="E86" s="10" t="s">
        <v>1282</v>
      </c>
      <c r="F86" s="10">
        <v>45716</v>
      </c>
      <c r="G86" s="11">
        <v>45716</v>
      </c>
      <c r="H86" s="8" t="s">
        <v>444</v>
      </c>
      <c r="I86" s="11" t="s">
        <v>445</v>
      </c>
      <c r="J86" s="8" t="s">
        <v>41</v>
      </c>
      <c r="K86" s="11" t="s">
        <v>660</v>
      </c>
      <c r="L86" s="8" t="s">
        <v>41</v>
      </c>
      <c r="M86" s="11" t="s">
        <v>492</v>
      </c>
      <c r="N86" s="8" t="s">
        <v>41</v>
      </c>
      <c r="O86" s="19" t="s">
        <v>1283</v>
      </c>
      <c r="P86" s="19">
        <v>0.01</v>
      </c>
      <c r="Q86" s="8">
        <v>0</v>
      </c>
      <c r="R86" s="8" t="s">
        <v>961</v>
      </c>
      <c r="S86" s="8" t="s">
        <v>254</v>
      </c>
      <c r="T86" s="8" t="s">
        <v>36</v>
      </c>
      <c r="U86" s="8" t="s">
        <v>663</v>
      </c>
      <c r="V86" s="8" t="s">
        <v>1284</v>
      </c>
      <c r="W86" s="1" t="s">
        <v>665</v>
      </c>
      <c r="Y86" s="1">
        <f>_xlfn.XLOOKUP(X86,'3月份计划-1'!A:A,'3月份计划-1'!A:A)</f>
        <v>0</v>
      </c>
    </row>
    <row r="87" s="1" customFormat="1" ht="16.5" hidden="1" customHeight="1" spans="1:25">
      <c r="A87" s="12" t="s">
        <v>1285</v>
      </c>
      <c r="B87" s="15" t="s">
        <v>32</v>
      </c>
      <c r="C87" s="13" t="s">
        <v>1286</v>
      </c>
      <c r="D87" s="12">
        <v>1</v>
      </c>
      <c r="E87" s="14" t="s">
        <v>1287</v>
      </c>
      <c r="F87" s="14">
        <v>45716</v>
      </c>
      <c r="G87" s="15">
        <v>45716</v>
      </c>
      <c r="H87" s="12" t="s">
        <v>444</v>
      </c>
      <c r="I87" s="15" t="s">
        <v>445</v>
      </c>
      <c r="J87" s="12" t="s">
        <v>41</v>
      </c>
      <c r="K87" s="15" t="s">
        <v>660</v>
      </c>
      <c r="L87" s="12" t="s">
        <v>41</v>
      </c>
      <c r="M87" s="15" t="s">
        <v>492</v>
      </c>
      <c r="N87" s="12" t="s">
        <v>41</v>
      </c>
      <c r="O87" s="21" t="s">
        <v>1288</v>
      </c>
      <c r="P87" s="21">
        <v>0</v>
      </c>
      <c r="Q87" s="12">
        <v>88256.16</v>
      </c>
      <c r="R87" s="12" t="s">
        <v>1289</v>
      </c>
      <c r="S87" s="12" t="s">
        <v>284</v>
      </c>
      <c r="T87" s="12" t="s">
        <v>36</v>
      </c>
      <c r="U87" s="12" t="s">
        <v>663</v>
      </c>
      <c r="V87" s="12" t="s">
        <v>1290</v>
      </c>
      <c r="W87" s="1" t="s">
        <v>665</v>
      </c>
      <c r="Y87" s="1">
        <f>_xlfn.XLOOKUP(X87,'3月份计划-1'!A:A,'3月份计划-1'!A:A)</f>
        <v>0</v>
      </c>
    </row>
    <row r="88" s="1" customFormat="1" ht="16.5" hidden="1" customHeight="1" spans="1:25">
      <c r="A88" s="8" t="s">
        <v>1291</v>
      </c>
      <c r="B88" s="11" t="s">
        <v>32</v>
      </c>
      <c r="C88" s="9" t="s">
        <v>1292</v>
      </c>
      <c r="D88" s="8">
        <v>1</v>
      </c>
      <c r="E88" s="10" t="s">
        <v>1293</v>
      </c>
      <c r="F88" s="10">
        <v>45716</v>
      </c>
      <c r="G88" s="11">
        <v>45716</v>
      </c>
      <c r="H88" s="8" t="s">
        <v>444</v>
      </c>
      <c r="I88" s="11" t="s">
        <v>445</v>
      </c>
      <c r="J88" s="8" t="s">
        <v>41</v>
      </c>
      <c r="K88" s="11" t="s">
        <v>660</v>
      </c>
      <c r="L88" s="8" t="s">
        <v>41</v>
      </c>
      <c r="M88" s="11" t="s">
        <v>492</v>
      </c>
      <c r="N88" s="8" t="s">
        <v>41</v>
      </c>
      <c r="O88" s="19" t="s">
        <v>1294</v>
      </c>
      <c r="P88" s="19">
        <v>0</v>
      </c>
      <c r="Q88" s="8">
        <v>113359.65</v>
      </c>
      <c r="R88" s="8" t="s">
        <v>938</v>
      </c>
      <c r="S88" s="8" t="s">
        <v>253</v>
      </c>
      <c r="T88" s="8" t="s">
        <v>36</v>
      </c>
      <c r="U88" s="8" t="s">
        <v>663</v>
      </c>
      <c r="V88" s="8" t="s">
        <v>1295</v>
      </c>
      <c r="W88" s="1" t="s">
        <v>665</v>
      </c>
      <c r="Y88" s="1">
        <f>_xlfn.XLOOKUP(X88,'3月份计划-1'!A:A,'3月份计划-1'!A:A)</f>
        <v>0</v>
      </c>
    </row>
    <row r="89" s="1" customFormat="1" ht="16.5" hidden="1" customHeight="1" spans="1:25">
      <c r="A89" s="12" t="s">
        <v>1291</v>
      </c>
      <c r="B89" s="15" t="s">
        <v>32</v>
      </c>
      <c r="C89" s="13" t="s">
        <v>1292</v>
      </c>
      <c r="D89" s="12">
        <v>3</v>
      </c>
      <c r="E89" s="14" t="s">
        <v>1293</v>
      </c>
      <c r="F89" s="14">
        <v>45716</v>
      </c>
      <c r="G89" s="15">
        <v>45716</v>
      </c>
      <c r="H89" s="12" t="s">
        <v>444</v>
      </c>
      <c r="I89" s="15" t="s">
        <v>445</v>
      </c>
      <c r="J89" s="12" t="s">
        <v>41</v>
      </c>
      <c r="K89" s="15" t="s">
        <v>660</v>
      </c>
      <c r="L89" s="12" t="s">
        <v>41</v>
      </c>
      <c r="M89" s="15" t="s">
        <v>492</v>
      </c>
      <c r="N89" s="12" t="s">
        <v>41</v>
      </c>
      <c r="O89" s="21" t="s">
        <v>1294</v>
      </c>
      <c r="P89" s="21">
        <v>3480.59</v>
      </c>
      <c r="Q89" s="12">
        <v>0</v>
      </c>
      <c r="R89" s="12" t="s">
        <v>938</v>
      </c>
      <c r="S89" s="12" t="s">
        <v>253</v>
      </c>
      <c r="T89" s="12" t="s">
        <v>36</v>
      </c>
      <c r="U89" s="12" t="s">
        <v>663</v>
      </c>
      <c r="V89" s="12" t="s">
        <v>1295</v>
      </c>
      <c r="W89" s="1" t="s">
        <v>665</v>
      </c>
      <c r="Y89" s="1">
        <f>_xlfn.XLOOKUP(X89,'3月份计划-1'!A:A,'3月份计划-1'!A:A)</f>
        <v>0</v>
      </c>
    </row>
    <row r="90" s="1" customFormat="1" ht="16.5" hidden="1" customHeight="1" spans="1:25">
      <c r="A90" s="8" t="s">
        <v>1296</v>
      </c>
      <c r="B90" s="11" t="s">
        <v>32</v>
      </c>
      <c r="C90" s="9" t="s">
        <v>1297</v>
      </c>
      <c r="D90" s="8">
        <v>1</v>
      </c>
      <c r="E90" s="10" t="s">
        <v>1298</v>
      </c>
      <c r="F90" s="10">
        <v>45716</v>
      </c>
      <c r="G90" s="11">
        <v>45716</v>
      </c>
      <c r="H90" s="8" t="s">
        <v>444</v>
      </c>
      <c r="I90" s="11" t="s">
        <v>445</v>
      </c>
      <c r="J90" s="8" t="s">
        <v>41</v>
      </c>
      <c r="K90" s="11" t="s">
        <v>660</v>
      </c>
      <c r="L90" s="8" t="s">
        <v>41</v>
      </c>
      <c r="M90" s="11" t="s">
        <v>492</v>
      </c>
      <c r="N90" s="8" t="s">
        <v>41</v>
      </c>
      <c r="O90" s="19" t="s">
        <v>1299</v>
      </c>
      <c r="P90" s="19">
        <v>0.08</v>
      </c>
      <c r="Q90" s="8">
        <v>0</v>
      </c>
      <c r="R90" s="8" t="s">
        <v>938</v>
      </c>
      <c r="S90" s="8" t="s">
        <v>253</v>
      </c>
      <c r="T90" s="8" t="s">
        <v>36</v>
      </c>
      <c r="U90" s="8" t="s">
        <v>663</v>
      </c>
      <c r="V90" s="8" t="s">
        <v>1300</v>
      </c>
      <c r="W90" s="1" t="s">
        <v>665</v>
      </c>
      <c r="Y90" s="1">
        <f>_xlfn.XLOOKUP(X90,'3月份计划-1'!A:A,'3月份计划-1'!A:A)</f>
        <v>0</v>
      </c>
    </row>
    <row r="91" s="1" customFormat="1" ht="16.5" hidden="1" customHeight="1" spans="1:25">
      <c r="A91" s="12" t="s">
        <v>1301</v>
      </c>
      <c r="B91" s="15" t="s">
        <v>32</v>
      </c>
      <c r="C91" s="13" t="s">
        <v>1302</v>
      </c>
      <c r="D91" s="12">
        <v>1</v>
      </c>
      <c r="E91" s="14" t="s">
        <v>1303</v>
      </c>
      <c r="F91" s="14">
        <v>45716</v>
      </c>
      <c r="G91" s="15">
        <v>45716</v>
      </c>
      <c r="H91" s="12" t="s">
        <v>444</v>
      </c>
      <c r="I91" s="15" t="s">
        <v>445</v>
      </c>
      <c r="J91" s="12" t="s">
        <v>41</v>
      </c>
      <c r="K91" s="15" t="s">
        <v>660</v>
      </c>
      <c r="L91" s="12" t="s">
        <v>41</v>
      </c>
      <c r="M91" s="15" t="s">
        <v>492</v>
      </c>
      <c r="N91" s="12" t="s">
        <v>41</v>
      </c>
      <c r="O91" s="21" t="s">
        <v>812</v>
      </c>
      <c r="P91" s="21">
        <v>0</v>
      </c>
      <c r="Q91" s="12">
        <v>512197.6</v>
      </c>
      <c r="R91" s="12" t="s">
        <v>149</v>
      </c>
      <c r="S91" s="12" t="s">
        <v>251</v>
      </c>
      <c r="T91" s="12" t="s">
        <v>36</v>
      </c>
      <c r="U91" s="12" t="s">
        <v>663</v>
      </c>
      <c r="V91" s="12" t="s">
        <v>166</v>
      </c>
      <c r="W91" s="1" t="s">
        <v>665</v>
      </c>
      <c r="Y91" s="1">
        <f>_xlfn.XLOOKUP(X91,'3月份计划-1'!A:A,'3月份计划-1'!A:A)</f>
        <v>0</v>
      </c>
    </row>
    <row r="92" s="1" customFormat="1" ht="16.5" hidden="1" customHeight="1" spans="1:25">
      <c r="A92" s="8" t="s">
        <v>1301</v>
      </c>
      <c r="B92" s="11" t="s">
        <v>32</v>
      </c>
      <c r="C92" s="9" t="s">
        <v>1302</v>
      </c>
      <c r="D92" s="8">
        <v>3</v>
      </c>
      <c r="E92" s="10" t="s">
        <v>1303</v>
      </c>
      <c r="F92" s="10">
        <v>45716</v>
      </c>
      <c r="G92" s="11">
        <v>45716</v>
      </c>
      <c r="H92" s="8" t="s">
        <v>444</v>
      </c>
      <c r="I92" s="11" t="s">
        <v>445</v>
      </c>
      <c r="J92" s="8" t="s">
        <v>41</v>
      </c>
      <c r="K92" s="11" t="s">
        <v>660</v>
      </c>
      <c r="L92" s="8" t="s">
        <v>41</v>
      </c>
      <c r="M92" s="11" t="s">
        <v>492</v>
      </c>
      <c r="N92" s="8" t="s">
        <v>41</v>
      </c>
      <c r="O92" s="19" t="s">
        <v>812</v>
      </c>
      <c r="P92" s="19">
        <v>109720.47</v>
      </c>
      <c r="Q92" s="8">
        <v>0</v>
      </c>
      <c r="R92" s="8" t="s">
        <v>149</v>
      </c>
      <c r="S92" s="8" t="s">
        <v>251</v>
      </c>
      <c r="T92" s="8" t="s">
        <v>36</v>
      </c>
      <c r="U92" s="8" t="s">
        <v>663</v>
      </c>
      <c r="V92" s="8" t="s">
        <v>166</v>
      </c>
      <c r="W92" s="1" t="s">
        <v>665</v>
      </c>
      <c r="Y92" s="1">
        <f>_xlfn.XLOOKUP(X92,'3月份计划-1'!A:A,'3月份计划-1'!A:A)</f>
        <v>0</v>
      </c>
    </row>
    <row r="93" s="1" customFormat="1" ht="16.5" hidden="1" customHeight="1" spans="1:25">
      <c r="A93" s="12" t="s">
        <v>1304</v>
      </c>
      <c r="B93" s="15" t="s">
        <v>32</v>
      </c>
      <c r="C93" s="13" t="s">
        <v>1305</v>
      </c>
      <c r="D93" s="12">
        <v>1</v>
      </c>
      <c r="E93" s="14" t="s">
        <v>1306</v>
      </c>
      <c r="F93" s="14">
        <v>45716</v>
      </c>
      <c r="G93" s="15">
        <v>45716</v>
      </c>
      <c r="H93" s="12" t="s">
        <v>444</v>
      </c>
      <c r="I93" s="15" t="s">
        <v>445</v>
      </c>
      <c r="J93" s="12" t="s">
        <v>41</v>
      </c>
      <c r="K93" s="15" t="s">
        <v>660</v>
      </c>
      <c r="L93" s="12" t="s">
        <v>41</v>
      </c>
      <c r="M93" s="15" t="s">
        <v>492</v>
      </c>
      <c r="N93" s="12" t="s">
        <v>41</v>
      </c>
      <c r="O93" s="21" t="s">
        <v>1307</v>
      </c>
      <c r="P93" s="21">
        <v>0</v>
      </c>
      <c r="Q93" s="12">
        <v>4069.44</v>
      </c>
      <c r="R93" s="12" t="s">
        <v>1308</v>
      </c>
      <c r="S93" s="12" t="s">
        <v>289</v>
      </c>
      <c r="T93" s="12" t="s">
        <v>36</v>
      </c>
      <c r="U93" s="12" t="s">
        <v>663</v>
      </c>
      <c r="V93" s="12" t="s">
        <v>1309</v>
      </c>
      <c r="W93" s="1" t="s">
        <v>665</v>
      </c>
      <c r="Y93" s="1">
        <f>_xlfn.XLOOKUP(X93,'3月份计划-1'!A:A,'3月份计划-1'!A:A)</f>
        <v>0</v>
      </c>
    </row>
    <row r="94" s="1" customFormat="1" ht="16.5" hidden="1" customHeight="1" spans="1:25">
      <c r="A94" s="8" t="s">
        <v>1310</v>
      </c>
      <c r="B94" s="11" t="s">
        <v>32</v>
      </c>
      <c r="C94" s="9" t="s">
        <v>1311</v>
      </c>
      <c r="D94" s="8">
        <v>1</v>
      </c>
      <c r="E94" s="10" t="s">
        <v>1312</v>
      </c>
      <c r="F94" s="10">
        <v>45716</v>
      </c>
      <c r="G94" s="11">
        <v>45716</v>
      </c>
      <c r="H94" s="8" t="s">
        <v>444</v>
      </c>
      <c r="I94" s="11" t="s">
        <v>445</v>
      </c>
      <c r="J94" s="8" t="s">
        <v>41</v>
      </c>
      <c r="K94" s="11" t="s">
        <v>660</v>
      </c>
      <c r="L94" s="8" t="s">
        <v>41</v>
      </c>
      <c r="M94" s="11" t="s">
        <v>492</v>
      </c>
      <c r="N94" s="8" t="s">
        <v>41</v>
      </c>
      <c r="O94" s="19" t="s">
        <v>1313</v>
      </c>
      <c r="P94" s="19">
        <v>0</v>
      </c>
      <c r="Q94" s="8">
        <v>224472.24</v>
      </c>
      <c r="R94" s="8" t="s">
        <v>1314</v>
      </c>
      <c r="S94" s="8" t="s">
        <v>257</v>
      </c>
      <c r="T94" s="8" t="s">
        <v>36</v>
      </c>
      <c r="U94" s="8" t="s">
        <v>663</v>
      </c>
      <c r="V94" s="8" t="s">
        <v>1315</v>
      </c>
      <c r="W94" s="1" t="s">
        <v>665</v>
      </c>
      <c r="Y94" s="1">
        <f>_xlfn.XLOOKUP(X94,'3月份计划-1'!A:A,'3月份计划-1'!A:A)</f>
        <v>0</v>
      </c>
    </row>
    <row r="95" s="1" customFormat="1" ht="16.5" hidden="1" customHeight="1" spans="1:25">
      <c r="A95" s="12" t="s">
        <v>1316</v>
      </c>
      <c r="B95" s="15" t="s">
        <v>32</v>
      </c>
      <c r="C95" s="13" t="s">
        <v>1317</v>
      </c>
      <c r="D95" s="12">
        <v>1</v>
      </c>
      <c r="E95" s="14" t="s">
        <v>1318</v>
      </c>
      <c r="F95" s="14">
        <v>45719</v>
      </c>
      <c r="G95" s="15">
        <v>45716</v>
      </c>
      <c r="H95" s="12" t="s">
        <v>444</v>
      </c>
      <c r="I95" s="15" t="s">
        <v>445</v>
      </c>
      <c r="J95" s="12" t="s">
        <v>41</v>
      </c>
      <c r="K95" s="15" t="s">
        <v>660</v>
      </c>
      <c r="L95" s="12" t="s">
        <v>41</v>
      </c>
      <c r="M95" s="15" t="s">
        <v>492</v>
      </c>
      <c r="N95" s="12" t="s">
        <v>41</v>
      </c>
      <c r="O95" s="21" t="s">
        <v>1319</v>
      </c>
      <c r="P95" s="21">
        <v>0</v>
      </c>
      <c r="Q95" s="12">
        <v>1152836.96</v>
      </c>
      <c r="R95" s="12" t="s">
        <v>673</v>
      </c>
      <c r="S95" s="12" t="s">
        <v>451</v>
      </c>
      <c r="T95" s="12" t="s">
        <v>36</v>
      </c>
      <c r="U95" s="12" t="s">
        <v>663</v>
      </c>
      <c r="V95" s="12" t="s">
        <v>1320</v>
      </c>
      <c r="W95" s="1" t="s">
        <v>665</v>
      </c>
      <c r="Y95" s="1">
        <f>_xlfn.XLOOKUP(X95,'3月份计划-1'!A:A,'3月份计划-1'!A:A)</f>
        <v>0</v>
      </c>
    </row>
    <row r="96" s="1" customFormat="1" ht="16.5" hidden="1" customHeight="1" spans="1:25">
      <c r="A96" s="8" t="s">
        <v>1316</v>
      </c>
      <c r="B96" s="11" t="s">
        <v>32</v>
      </c>
      <c r="C96" s="9" t="s">
        <v>1317</v>
      </c>
      <c r="D96" s="8">
        <v>4</v>
      </c>
      <c r="E96" s="10" t="s">
        <v>1318</v>
      </c>
      <c r="F96" s="10">
        <v>45719</v>
      </c>
      <c r="G96" s="11">
        <v>45716</v>
      </c>
      <c r="H96" s="8" t="s">
        <v>444</v>
      </c>
      <c r="I96" s="11" t="s">
        <v>445</v>
      </c>
      <c r="J96" s="8" t="s">
        <v>41</v>
      </c>
      <c r="K96" s="11" t="s">
        <v>660</v>
      </c>
      <c r="L96" s="8" t="s">
        <v>41</v>
      </c>
      <c r="M96" s="11" t="s">
        <v>492</v>
      </c>
      <c r="N96" s="8" t="s">
        <v>41</v>
      </c>
      <c r="O96" s="19" t="s">
        <v>1319</v>
      </c>
      <c r="P96" s="19">
        <v>7634.58</v>
      </c>
      <c r="Q96" s="8">
        <v>0</v>
      </c>
      <c r="R96" s="8" t="s">
        <v>673</v>
      </c>
      <c r="S96" s="8" t="s">
        <v>451</v>
      </c>
      <c r="T96" s="8" t="s">
        <v>36</v>
      </c>
      <c r="U96" s="8" t="s">
        <v>663</v>
      </c>
      <c r="V96" s="8" t="s">
        <v>1320</v>
      </c>
      <c r="W96" s="1" t="s">
        <v>665</v>
      </c>
      <c r="Y96" s="1">
        <f>_xlfn.XLOOKUP(X96,'3月份计划-1'!A:A,'3月份计划-1'!A:A)</f>
        <v>0</v>
      </c>
    </row>
    <row r="97" s="1" customFormat="1" ht="16.5" hidden="1" customHeight="1" spans="1:25">
      <c r="A97" s="12" t="s">
        <v>1321</v>
      </c>
      <c r="B97" s="15" t="s">
        <v>32</v>
      </c>
      <c r="C97" s="13" t="s">
        <v>1322</v>
      </c>
      <c r="D97" s="12">
        <v>1</v>
      </c>
      <c r="E97" s="14" t="s">
        <v>1323</v>
      </c>
      <c r="F97" s="14">
        <v>45719</v>
      </c>
      <c r="G97" s="15">
        <v>45716</v>
      </c>
      <c r="H97" s="12" t="s">
        <v>444</v>
      </c>
      <c r="I97" s="15" t="s">
        <v>445</v>
      </c>
      <c r="J97" s="12" t="s">
        <v>41</v>
      </c>
      <c r="K97" s="15" t="s">
        <v>660</v>
      </c>
      <c r="L97" s="12" t="s">
        <v>41</v>
      </c>
      <c r="M97" s="15" t="s">
        <v>492</v>
      </c>
      <c r="N97" s="12" t="s">
        <v>41</v>
      </c>
      <c r="O97" s="21" t="s">
        <v>1324</v>
      </c>
      <c r="P97" s="21">
        <v>0</v>
      </c>
      <c r="Q97" s="12">
        <v>0.01</v>
      </c>
      <c r="R97" s="12" t="s">
        <v>673</v>
      </c>
      <c r="S97" s="12" t="s">
        <v>451</v>
      </c>
      <c r="T97" s="12" t="s">
        <v>36</v>
      </c>
      <c r="U97" s="12" t="s">
        <v>663</v>
      </c>
      <c r="V97" s="12" t="s">
        <v>1325</v>
      </c>
      <c r="W97" s="1" t="s">
        <v>665</v>
      </c>
      <c r="Y97" s="1">
        <f>_xlfn.XLOOKUP(X97,'3月份计划-1'!A:A,'3月份计划-1'!A:A)</f>
        <v>0</v>
      </c>
    </row>
    <row r="98" s="1" customFormat="1" ht="16.5" hidden="1" customHeight="1" spans="1:25">
      <c r="A98" s="8" t="s">
        <v>1326</v>
      </c>
      <c r="B98" s="11" t="s">
        <v>32</v>
      </c>
      <c r="C98" s="9" t="s">
        <v>1327</v>
      </c>
      <c r="D98" s="8">
        <v>1</v>
      </c>
      <c r="E98" s="10" t="s">
        <v>1328</v>
      </c>
      <c r="F98" s="10">
        <v>45720</v>
      </c>
      <c r="G98" s="11">
        <v>45716</v>
      </c>
      <c r="H98" s="8" t="s">
        <v>444</v>
      </c>
      <c r="I98" s="11" t="s">
        <v>445</v>
      </c>
      <c r="J98" s="8" t="s">
        <v>41</v>
      </c>
      <c r="K98" s="11" t="s">
        <v>660</v>
      </c>
      <c r="L98" s="8" t="s">
        <v>41</v>
      </c>
      <c r="M98" s="11" t="s">
        <v>492</v>
      </c>
      <c r="N98" s="8" t="s">
        <v>41</v>
      </c>
      <c r="O98" s="19" t="s">
        <v>681</v>
      </c>
      <c r="P98" s="19">
        <v>1145202.39</v>
      </c>
      <c r="Q98" s="8">
        <v>0</v>
      </c>
      <c r="R98" s="8" t="s">
        <v>673</v>
      </c>
      <c r="S98" s="8" t="s">
        <v>451</v>
      </c>
      <c r="T98" s="8" t="s">
        <v>36</v>
      </c>
      <c r="U98" s="8" t="s">
        <v>663</v>
      </c>
      <c r="V98" s="8" t="s">
        <v>1329</v>
      </c>
      <c r="W98" s="1" t="s">
        <v>665</v>
      </c>
      <c r="Y98" s="1">
        <f>_xlfn.XLOOKUP(X98,'3月份计划-1'!A:A,'3月份计划-1'!A:A)</f>
        <v>0</v>
      </c>
    </row>
    <row r="99" s="1" customFormat="1" ht="16.5" hidden="1" customHeight="1" spans="1:25">
      <c r="A99" s="12" t="s">
        <v>1330</v>
      </c>
      <c r="B99" s="15" t="s">
        <v>32</v>
      </c>
      <c r="C99" s="13" t="s">
        <v>1331</v>
      </c>
      <c r="D99" s="12">
        <v>1</v>
      </c>
      <c r="E99" s="14" t="s">
        <v>1332</v>
      </c>
      <c r="F99" s="14">
        <v>45720</v>
      </c>
      <c r="G99" s="15">
        <v>45716</v>
      </c>
      <c r="H99" s="12" t="s">
        <v>444</v>
      </c>
      <c r="I99" s="15" t="s">
        <v>445</v>
      </c>
      <c r="J99" s="12" t="s">
        <v>41</v>
      </c>
      <c r="K99" s="15" t="s">
        <v>660</v>
      </c>
      <c r="L99" s="12" t="s">
        <v>41</v>
      </c>
      <c r="M99" s="15" t="s">
        <v>492</v>
      </c>
      <c r="N99" s="12" t="s">
        <v>41</v>
      </c>
      <c r="O99" s="21" t="s">
        <v>685</v>
      </c>
      <c r="P99" s="21">
        <v>0</v>
      </c>
      <c r="Q99" s="12">
        <v>1145202.39</v>
      </c>
      <c r="R99" s="12" t="s">
        <v>686</v>
      </c>
      <c r="S99" s="12" t="s">
        <v>446</v>
      </c>
      <c r="T99" s="12" t="s">
        <v>36</v>
      </c>
      <c r="U99" s="12" t="s">
        <v>663</v>
      </c>
      <c r="V99" s="12" t="s">
        <v>1333</v>
      </c>
      <c r="W99" s="1" t="s">
        <v>665</v>
      </c>
      <c r="Y99" s="1">
        <f>_xlfn.XLOOKUP(X99,'3月份计划-1'!A:A,'3月份计划-1'!A:A)</f>
        <v>0</v>
      </c>
    </row>
    <row r="100" s="1" customFormat="1" ht="16.5" hidden="1" customHeight="1" spans="1:22">
      <c r="A100" s="8"/>
      <c r="B100" s="11"/>
      <c r="C100" s="9"/>
      <c r="D100" s="8"/>
      <c r="E100" s="10"/>
      <c r="F100" s="10"/>
      <c r="G100" s="11"/>
      <c r="H100" s="8"/>
      <c r="I100" s="11"/>
      <c r="J100" s="8"/>
      <c r="K100" s="11"/>
      <c r="L100" s="8"/>
      <c r="M100" s="11"/>
      <c r="N100" s="8"/>
      <c r="O100" s="19"/>
      <c r="P100" s="19"/>
      <c r="Q100" s="8"/>
      <c r="R100" s="8"/>
      <c r="S100" s="8"/>
      <c r="T100" s="8"/>
      <c r="U100" s="8"/>
      <c r="V100" s="8"/>
    </row>
    <row r="102" spans="17:17">
      <c r="Q102" s="1">
        <f>Q29-P30</f>
        <v>271467.66</v>
      </c>
    </row>
  </sheetData>
  <autoFilter xmlns:etc="http://www.wps.cn/officeDocument/2017/etCustomData" ref="A1:Y100" etc:filterBottomFollowUsedRange="0">
    <filterColumn colId="18">
      <customFilters>
        <customFilter operator="equal" val="武汉德锐隆科技有限公司"/>
      </customFilters>
    </filterColumn>
    <extLst/>
  </autoFilter>
  <pageMargins left="0.75" right="0.75" top="1" bottom="1" header="0.5" footer="0.5"/>
  <pageSetup paperSize="9" orientation="portrait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/>
  <dimension ref="A1:W93"/>
  <sheetViews>
    <sheetView topLeftCell="E1" workbookViewId="0">
      <selection activeCell="J32" sqref="J32"/>
    </sheetView>
  </sheetViews>
  <sheetFormatPr defaultColWidth="8" defaultRowHeight="12.75"/>
  <cols>
    <col min="1" max="1" width="12.625" style="22" customWidth="1"/>
    <col min="2" max="2" width="10.875" style="22" customWidth="1"/>
    <col min="3" max="3" width="15.5" style="22" customWidth="1"/>
    <col min="4" max="4" width="6.25" style="22" customWidth="1"/>
    <col min="5" max="5" width="9.375" style="22" customWidth="1"/>
    <col min="6" max="7" width="10.875" style="22" customWidth="1"/>
    <col min="8" max="8" width="7.75" style="22" customWidth="1"/>
    <col min="9" max="10" width="10.875" style="22" customWidth="1"/>
    <col min="11" max="11" width="12.375" style="22" customWidth="1"/>
    <col min="12" max="12" width="10.875" style="22" customWidth="1"/>
    <col min="13" max="13" width="14" style="22" customWidth="1"/>
    <col min="14" max="14" width="7.75" style="22" customWidth="1"/>
    <col min="15" max="15" width="16.875" style="22" customWidth="1"/>
    <col min="16" max="17" width="10.875" style="22" customWidth="1"/>
    <col min="18" max="18" width="7.75" style="22" customWidth="1"/>
    <col min="19" max="19" width="23.125" style="22" customWidth="1"/>
    <col min="20" max="21" width="10.875" style="22" customWidth="1"/>
    <col min="22" max="22" width="7.75" style="22" customWidth="1"/>
    <col min="23" max="23" width="9.5" style="22" customWidth="1"/>
    <col min="24" max="16384" width="8" style="22"/>
  </cols>
  <sheetData>
    <row r="1" s="22" customFormat="1" spans="1:23">
      <c r="A1" s="23" t="s">
        <v>640</v>
      </c>
      <c r="B1" s="23" t="s">
        <v>0</v>
      </c>
      <c r="C1" s="23" t="s">
        <v>980</v>
      </c>
      <c r="D1" s="24" t="s">
        <v>12</v>
      </c>
      <c r="E1" s="23" t="s">
        <v>641</v>
      </c>
      <c r="F1" s="24" t="s">
        <v>642</v>
      </c>
      <c r="G1" s="24" t="s">
        <v>2</v>
      </c>
      <c r="H1" s="23" t="s">
        <v>429</v>
      </c>
      <c r="I1" s="23" t="s">
        <v>643</v>
      </c>
      <c r="J1" s="23" t="s">
        <v>644</v>
      </c>
      <c r="K1" s="23" t="s">
        <v>645</v>
      </c>
      <c r="L1" s="23" t="s">
        <v>646</v>
      </c>
      <c r="M1" s="23" t="s">
        <v>647</v>
      </c>
      <c r="N1" s="23" t="s">
        <v>648</v>
      </c>
      <c r="O1" s="23" t="s">
        <v>649</v>
      </c>
      <c r="P1" s="24" t="s">
        <v>650</v>
      </c>
      <c r="Q1" s="24" t="s">
        <v>651</v>
      </c>
      <c r="R1" s="23" t="s">
        <v>652</v>
      </c>
      <c r="S1" s="23" t="s">
        <v>653</v>
      </c>
      <c r="T1" s="23" t="s">
        <v>654</v>
      </c>
      <c r="U1" s="23" t="s">
        <v>655</v>
      </c>
      <c r="V1" s="23" t="s">
        <v>656</v>
      </c>
      <c r="W1" s="23" t="s">
        <v>657</v>
      </c>
    </row>
    <row r="2" s="22" customFormat="1" ht="16.5" customHeight="1" spans="1:23">
      <c r="A2" s="25" t="s">
        <v>1334</v>
      </c>
      <c r="B2" s="25" t="s">
        <v>32</v>
      </c>
      <c r="C2" s="25" t="s">
        <v>1335</v>
      </c>
      <c r="D2" s="26">
        <v>1</v>
      </c>
      <c r="E2" s="25" t="s">
        <v>1336</v>
      </c>
      <c r="F2" s="27">
        <v>45735</v>
      </c>
      <c r="G2" s="27">
        <v>45735</v>
      </c>
      <c r="H2" s="28" t="s">
        <v>444</v>
      </c>
      <c r="I2" s="25" t="s">
        <v>445</v>
      </c>
      <c r="J2" s="28" t="s">
        <v>41</v>
      </c>
      <c r="K2" s="25" t="s">
        <v>660</v>
      </c>
      <c r="L2" s="28" t="s">
        <v>41</v>
      </c>
      <c r="M2" s="25" t="s">
        <v>492</v>
      </c>
      <c r="N2" s="28" t="s">
        <v>41</v>
      </c>
      <c r="O2" s="25" t="s">
        <v>1028</v>
      </c>
      <c r="P2" s="33">
        <v>0</v>
      </c>
      <c r="Q2" s="33">
        <v>23061.04</v>
      </c>
      <c r="R2" s="25" t="s">
        <v>1029</v>
      </c>
      <c r="S2" s="25" t="s">
        <v>318</v>
      </c>
      <c r="T2" s="25" t="s">
        <v>36</v>
      </c>
      <c r="U2" s="25" t="s">
        <v>663</v>
      </c>
      <c r="V2" s="25" t="s">
        <v>1337</v>
      </c>
      <c r="W2" s="25" t="s">
        <v>665</v>
      </c>
    </row>
    <row r="3" s="22" customFormat="1" ht="16.5" customHeight="1" spans="1:23">
      <c r="A3" s="29" t="s">
        <v>1338</v>
      </c>
      <c r="B3" s="29" t="s">
        <v>32</v>
      </c>
      <c r="C3" s="29" t="s">
        <v>1339</v>
      </c>
      <c r="D3" s="30">
        <v>1</v>
      </c>
      <c r="E3" s="29" t="s">
        <v>1340</v>
      </c>
      <c r="F3" s="31">
        <v>45735</v>
      </c>
      <c r="G3" s="31">
        <v>45735</v>
      </c>
      <c r="H3" s="32" t="s">
        <v>444</v>
      </c>
      <c r="I3" s="29" t="s">
        <v>445</v>
      </c>
      <c r="J3" s="32" t="s">
        <v>41</v>
      </c>
      <c r="K3" s="29" t="s">
        <v>660</v>
      </c>
      <c r="L3" s="32" t="s">
        <v>41</v>
      </c>
      <c r="M3" s="29" t="s">
        <v>492</v>
      </c>
      <c r="N3" s="32" t="s">
        <v>41</v>
      </c>
      <c r="O3" s="29" t="s">
        <v>1341</v>
      </c>
      <c r="P3" s="34">
        <v>0</v>
      </c>
      <c r="Q3" s="34">
        <v>874.37</v>
      </c>
      <c r="R3" s="29" t="s">
        <v>1342</v>
      </c>
      <c r="S3" s="29" t="s">
        <v>321</v>
      </c>
      <c r="T3" s="29" t="s">
        <v>36</v>
      </c>
      <c r="U3" s="29" t="s">
        <v>663</v>
      </c>
      <c r="V3" s="29" t="s">
        <v>1343</v>
      </c>
      <c r="W3" s="29" t="s">
        <v>665</v>
      </c>
    </row>
    <row r="4" s="22" customFormat="1" ht="16.5" customHeight="1" spans="1:23">
      <c r="A4" s="25" t="s">
        <v>1344</v>
      </c>
      <c r="B4" s="25" t="s">
        <v>32</v>
      </c>
      <c r="C4" s="25" t="s">
        <v>1345</v>
      </c>
      <c r="D4" s="26">
        <v>1</v>
      </c>
      <c r="E4" s="25" t="s">
        <v>1346</v>
      </c>
      <c r="F4" s="27">
        <v>45735</v>
      </c>
      <c r="G4" s="27">
        <v>45735</v>
      </c>
      <c r="H4" s="28" t="s">
        <v>444</v>
      </c>
      <c r="I4" s="25" t="s">
        <v>445</v>
      </c>
      <c r="J4" s="28" t="s">
        <v>41</v>
      </c>
      <c r="K4" s="25" t="s">
        <v>660</v>
      </c>
      <c r="L4" s="28" t="s">
        <v>41</v>
      </c>
      <c r="M4" s="25" t="s">
        <v>492</v>
      </c>
      <c r="N4" s="28" t="s">
        <v>41</v>
      </c>
      <c r="O4" s="25" t="s">
        <v>661</v>
      </c>
      <c r="P4" s="33">
        <v>0</v>
      </c>
      <c r="Q4" s="33">
        <v>48626.14</v>
      </c>
      <c r="R4" s="25" t="s">
        <v>662</v>
      </c>
      <c r="S4" s="25" t="s">
        <v>274</v>
      </c>
      <c r="T4" s="25" t="s">
        <v>36</v>
      </c>
      <c r="U4" s="25" t="s">
        <v>663</v>
      </c>
      <c r="V4" s="25" t="s">
        <v>1347</v>
      </c>
      <c r="W4" s="25" t="s">
        <v>665</v>
      </c>
    </row>
    <row r="5" s="22" customFormat="1" ht="16.5" customHeight="1" spans="1:23">
      <c r="A5" s="29" t="s">
        <v>1344</v>
      </c>
      <c r="B5" s="29" t="s">
        <v>32</v>
      </c>
      <c r="C5" s="29" t="s">
        <v>1345</v>
      </c>
      <c r="D5" s="30">
        <v>4</v>
      </c>
      <c r="E5" s="29" t="s">
        <v>1346</v>
      </c>
      <c r="F5" s="31">
        <v>45735</v>
      </c>
      <c r="G5" s="31">
        <v>45735</v>
      </c>
      <c r="H5" s="32" t="s">
        <v>444</v>
      </c>
      <c r="I5" s="29" t="s">
        <v>445</v>
      </c>
      <c r="J5" s="32" t="s">
        <v>41</v>
      </c>
      <c r="K5" s="29" t="s">
        <v>660</v>
      </c>
      <c r="L5" s="32" t="s">
        <v>41</v>
      </c>
      <c r="M5" s="29" t="s">
        <v>492</v>
      </c>
      <c r="N5" s="32" t="s">
        <v>41</v>
      </c>
      <c r="O5" s="29" t="s">
        <v>661</v>
      </c>
      <c r="P5" s="34">
        <v>325.65</v>
      </c>
      <c r="Q5" s="34">
        <v>0</v>
      </c>
      <c r="R5" s="29" t="s">
        <v>662</v>
      </c>
      <c r="S5" s="29" t="s">
        <v>274</v>
      </c>
      <c r="T5" s="29" t="s">
        <v>36</v>
      </c>
      <c r="U5" s="29" t="s">
        <v>663</v>
      </c>
      <c r="V5" s="29" t="s">
        <v>1347</v>
      </c>
      <c r="W5" s="29" t="s">
        <v>665</v>
      </c>
    </row>
    <row r="6" s="22" customFormat="1" ht="16.5" customHeight="1" spans="1:23">
      <c r="A6" s="25" t="s">
        <v>1348</v>
      </c>
      <c r="B6" s="25" t="s">
        <v>32</v>
      </c>
      <c r="C6" s="25" t="s">
        <v>1349</v>
      </c>
      <c r="D6" s="26">
        <v>1</v>
      </c>
      <c r="E6" s="25" t="s">
        <v>1350</v>
      </c>
      <c r="F6" s="27">
        <v>45735</v>
      </c>
      <c r="G6" s="27">
        <v>45735</v>
      </c>
      <c r="H6" s="28" t="s">
        <v>444</v>
      </c>
      <c r="I6" s="25" t="s">
        <v>445</v>
      </c>
      <c r="J6" s="28" t="s">
        <v>41</v>
      </c>
      <c r="K6" s="25" t="s">
        <v>660</v>
      </c>
      <c r="L6" s="28" t="s">
        <v>41</v>
      </c>
      <c r="M6" s="25" t="s">
        <v>492</v>
      </c>
      <c r="N6" s="28" t="s">
        <v>41</v>
      </c>
      <c r="O6" s="25" t="s">
        <v>1351</v>
      </c>
      <c r="P6" s="33">
        <v>0</v>
      </c>
      <c r="Q6" s="33">
        <v>0.02</v>
      </c>
      <c r="R6" s="25" t="s">
        <v>662</v>
      </c>
      <c r="S6" s="25" t="s">
        <v>274</v>
      </c>
      <c r="T6" s="25" t="s">
        <v>36</v>
      </c>
      <c r="U6" s="25" t="s">
        <v>663</v>
      </c>
      <c r="V6" s="25" t="s">
        <v>1352</v>
      </c>
      <c r="W6" s="25" t="s">
        <v>665</v>
      </c>
    </row>
    <row r="7" s="22" customFormat="1" ht="16.5" customHeight="1" spans="1:23">
      <c r="A7" s="29" t="s">
        <v>1353</v>
      </c>
      <c r="B7" s="29" t="s">
        <v>32</v>
      </c>
      <c r="C7" s="29" t="s">
        <v>1354</v>
      </c>
      <c r="D7" s="30">
        <v>1</v>
      </c>
      <c r="E7" s="29" t="s">
        <v>1355</v>
      </c>
      <c r="F7" s="31">
        <v>45735</v>
      </c>
      <c r="G7" s="31">
        <v>45735</v>
      </c>
      <c r="H7" s="32" t="s">
        <v>444</v>
      </c>
      <c r="I7" s="29" t="s">
        <v>445</v>
      </c>
      <c r="J7" s="32" t="s">
        <v>41</v>
      </c>
      <c r="K7" s="29" t="s">
        <v>660</v>
      </c>
      <c r="L7" s="32" t="s">
        <v>41</v>
      </c>
      <c r="M7" s="29" t="s">
        <v>492</v>
      </c>
      <c r="N7" s="32" t="s">
        <v>41</v>
      </c>
      <c r="O7" s="29" t="s">
        <v>960</v>
      </c>
      <c r="P7" s="34">
        <v>0</v>
      </c>
      <c r="Q7" s="34">
        <v>295107.35</v>
      </c>
      <c r="R7" s="29" t="s">
        <v>961</v>
      </c>
      <c r="S7" s="29" t="s">
        <v>254</v>
      </c>
      <c r="T7" s="29" t="s">
        <v>36</v>
      </c>
      <c r="U7" s="29" t="s">
        <v>663</v>
      </c>
      <c r="V7" s="29" t="s">
        <v>1356</v>
      </c>
      <c r="W7" s="29" t="s">
        <v>665</v>
      </c>
    </row>
    <row r="8" s="22" customFormat="1" ht="16.5" customHeight="1" spans="1:23">
      <c r="A8" s="25" t="s">
        <v>1353</v>
      </c>
      <c r="B8" s="25" t="s">
        <v>32</v>
      </c>
      <c r="C8" s="25" t="s">
        <v>1354</v>
      </c>
      <c r="D8" s="26">
        <v>3</v>
      </c>
      <c r="E8" s="25" t="s">
        <v>1355</v>
      </c>
      <c r="F8" s="27">
        <v>45735</v>
      </c>
      <c r="G8" s="27">
        <v>45735</v>
      </c>
      <c r="H8" s="28" t="s">
        <v>444</v>
      </c>
      <c r="I8" s="25" t="s">
        <v>445</v>
      </c>
      <c r="J8" s="28" t="s">
        <v>41</v>
      </c>
      <c r="K8" s="25" t="s">
        <v>660</v>
      </c>
      <c r="L8" s="28" t="s">
        <v>41</v>
      </c>
      <c r="M8" s="25" t="s">
        <v>492</v>
      </c>
      <c r="N8" s="28" t="s">
        <v>41</v>
      </c>
      <c r="O8" s="25" t="s">
        <v>960</v>
      </c>
      <c r="P8" s="33">
        <v>29.68</v>
      </c>
      <c r="Q8" s="33">
        <v>0</v>
      </c>
      <c r="R8" s="25" t="s">
        <v>961</v>
      </c>
      <c r="S8" s="25" t="s">
        <v>254</v>
      </c>
      <c r="T8" s="25" t="s">
        <v>36</v>
      </c>
      <c r="U8" s="25" t="s">
        <v>663</v>
      </c>
      <c r="V8" s="25" t="s">
        <v>1356</v>
      </c>
      <c r="W8" s="25" t="s">
        <v>665</v>
      </c>
    </row>
    <row r="9" s="22" customFormat="1" ht="16.5" customHeight="1" spans="1:23">
      <c r="A9" s="29" t="s">
        <v>1357</v>
      </c>
      <c r="B9" s="29" t="s">
        <v>32</v>
      </c>
      <c r="C9" s="29" t="s">
        <v>1358</v>
      </c>
      <c r="D9" s="30">
        <v>1</v>
      </c>
      <c r="E9" s="29" t="s">
        <v>1359</v>
      </c>
      <c r="F9" s="31">
        <v>45735</v>
      </c>
      <c r="G9" s="31">
        <v>45735</v>
      </c>
      <c r="H9" s="32" t="s">
        <v>444</v>
      </c>
      <c r="I9" s="29" t="s">
        <v>445</v>
      </c>
      <c r="J9" s="32" t="s">
        <v>41</v>
      </c>
      <c r="K9" s="29" t="s">
        <v>660</v>
      </c>
      <c r="L9" s="32" t="s">
        <v>41</v>
      </c>
      <c r="M9" s="29" t="s">
        <v>492</v>
      </c>
      <c r="N9" s="32" t="s">
        <v>41</v>
      </c>
      <c r="O9" s="29" t="s">
        <v>797</v>
      </c>
      <c r="P9" s="34">
        <v>0</v>
      </c>
      <c r="Q9" s="34">
        <v>6000.3</v>
      </c>
      <c r="R9" s="29" t="s">
        <v>798</v>
      </c>
      <c r="S9" s="29" t="s">
        <v>267</v>
      </c>
      <c r="T9" s="29" t="s">
        <v>36</v>
      </c>
      <c r="U9" s="29" t="s">
        <v>663</v>
      </c>
      <c r="V9" s="29" t="s">
        <v>1360</v>
      </c>
      <c r="W9" s="29" t="s">
        <v>665</v>
      </c>
    </row>
    <row r="10" s="22" customFormat="1" ht="16.5" customHeight="1" spans="1:23">
      <c r="A10" s="25" t="s">
        <v>1361</v>
      </c>
      <c r="B10" s="25" t="s">
        <v>32</v>
      </c>
      <c r="C10" s="25" t="s">
        <v>1362</v>
      </c>
      <c r="D10" s="26">
        <v>1</v>
      </c>
      <c r="E10" s="25" t="s">
        <v>1363</v>
      </c>
      <c r="F10" s="27">
        <v>45735</v>
      </c>
      <c r="G10" s="27">
        <v>45735</v>
      </c>
      <c r="H10" s="28" t="s">
        <v>444</v>
      </c>
      <c r="I10" s="25" t="s">
        <v>445</v>
      </c>
      <c r="J10" s="28" t="s">
        <v>41</v>
      </c>
      <c r="K10" s="25" t="s">
        <v>660</v>
      </c>
      <c r="L10" s="28" t="s">
        <v>41</v>
      </c>
      <c r="M10" s="25" t="s">
        <v>492</v>
      </c>
      <c r="N10" s="28" t="s">
        <v>41</v>
      </c>
      <c r="O10" s="25" t="s">
        <v>1364</v>
      </c>
      <c r="P10" s="33">
        <v>0</v>
      </c>
      <c r="Q10" s="33">
        <v>41401.11</v>
      </c>
      <c r="R10" s="25" t="s">
        <v>1365</v>
      </c>
      <c r="S10" s="25" t="s">
        <v>320</v>
      </c>
      <c r="T10" s="25" t="s">
        <v>36</v>
      </c>
      <c r="U10" s="25" t="s">
        <v>663</v>
      </c>
      <c r="V10" s="25" t="s">
        <v>1366</v>
      </c>
      <c r="W10" s="25" t="s">
        <v>665</v>
      </c>
    </row>
    <row r="11" s="22" customFormat="1" ht="16.5" customHeight="1" spans="1:23">
      <c r="A11" s="29" t="s">
        <v>1361</v>
      </c>
      <c r="B11" s="29" t="s">
        <v>32</v>
      </c>
      <c r="C11" s="29" t="s">
        <v>1362</v>
      </c>
      <c r="D11" s="30">
        <v>3</v>
      </c>
      <c r="E11" s="29" t="s">
        <v>1363</v>
      </c>
      <c r="F11" s="31">
        <v>45735</v>
      </c>
      <c r="G11" s="31">
        <v>45735</v>
      </c>
      <c r="H11" s="32" t="s">
        <v>444</v>
      </c>
      <c r="I11" s="29" t="s">
        <v>445</v>
      </c>
      <c r="J11" s="32" t="s">
        <v>41</v>
      </c>
      <c r="K11" s="29" t="s">
        <v>660</v>
      </c>
      <c r="L11" s="32" t="s">
        <v>41</v>
      </c>
      <c r="M11" s="29" t="s">
        <v>492</v>
      </c>
      <c r="N11" s="32" t="s">
        <v>41</v>
      </c>
      <c r="O11" s="29" t="s">
        <v>1364</v>
      </c>
      <c r="P11" s="34">
        <v>26.7</v>
      </c>
      <c r="Q11" s="34">
        <v>0</v>
      </c>
      <c r="R11" s="29" t="s">
        <v>1365</v>
      </c>
      <c r="S11" s="29" t="s">
        <v>320</v>
      </c>
      <c r="T11" s="29" t="s">
        <v>36</v>
      </c>
      <c r="U11" s="29" t="s">
        <v>663</v>
      </c>
      <c r="V11" s="29" t="s">
        <v>1366</v>
      </c>
      <c r="W11" s="29" t="s">
        <v>665</v>
      </c>
    </row>
    <row r="12" s="22" customFormat="1" ht="16.5" customHeight="1" spans="1:23">
      <c r="A12" s="25" t="s">
        <v>1367</v>
      </c>
      <c r="B12" s="25" t="s">
        <v>32</v>
      </c>
      <c r="C12" s="25" t="s">
        <v>1368</v>
      </c>
      <c r="D12" s="26">
        <v>1</v>
      </c>
      <c r="E12" s="25" t="s">
        <v>1369</v>
      </c>
      <c r="F12" s="27">
        <v>45735</v>
      </c>
      <c r="G12" s="27">
        <v>45735</v>
      </c>
      <c r="H12" s="28" t="s">
        <v>444</v>
      </c>
      <c r="I12" s="25" t="s">
        <v>445</v>
      </c>
      <c r="J12" s="28" t="s">
        <v>41</v>
      </c>
      <c r="K12" s="25" t="s">
        <v>660</v>
      </c>
      <c r="L12" s="28" t="s">
        <v>41</v>
      </c>
      <c r="M12" s="25" t="s">
        <v>492</v>
      </c>
      <c r="N12" s="28" t="s">
        <v>41</v>
      </c>
      <c r="O12" s="25" t="s">
        <v>1370</v>
      </c>
      <c r="P12" s="33">
        <v>0.03</v>
      </c>
      <c r="Q12" s="33">
        <v>0</v>
      </c>
      <c r="R12" s="25" t="s">
        <v>1365</v>
      </c>
      <c r="S12" s="25" t="s">
        <v>320</v>
      </c>
      <c r="T12" s="25" t="s">
        <v>36</v>
      </c>
      <c r="U12" s="25" t="s">
        <v>663</v>
      </c>
      <c r="V12" s="25" t="s">
        <v>1371</v>
      </c>
      <c r="W12" s="25" t="s">
        <v>665</v>
      </c>
    </row>
    <row r="13" s="22" customFormat="1" ht="16.5" customHeight="1" spans="1:23">
      <c r="A13" s="29" t="s">
        <v>1372</v>
      </c>
      <c r="B13" s="29" t="s">
        <v>32</v>
      </c>
      <c r="C13" s="29" t="s">
        <v>1373</v>
      </c>
      <c r="D13" s="30">
        <v>1</v>
      </c>
      <c r="E13" s="29" t="s">
        <v>1374</v>
      </c>
      <c r="F13" s="31">
        <v>45735</v>
      </c>
      <c r="G13" s="31">
        <v>45735</v>
      </c>
      <c r="H13" s="32" t="s">
        <v>444</v>
      </c>
      <c r="I13" s="29" t="s">
        <v>445</v>
      </c>
      <c r="J13" s="32" t="s">
        <v>41</v>
      </c>
      <c r="K13" s="29" t="s">
        <v>660</v>
      </c>
      <c r="L13" s="32" t="s">
        <v>41</v>
      </c>
      <c r="M13" s="29" t="s">
        <v>492</v>
      </c>
      <c r="N13" s="32" t="s">
        <v>41</v>
      </c>
      <c r="O13" s="29" t="s">
        <v>1375</v>
      </c>
      <c r="P13" s="34">
        <v>0</v>
      </c>
      <c r="Q13" s="34">
        <v>20813.33</v>
      </c>
      <c r="R13" s="29" t="s">
        <v>1376</v>
      </c>
      <c r="S13" s="29" t="s">
        <v>310</v>
      </c>
      <c r="T13" s="29" t="s">
        <v>36</v>
      </c>
      <c r="U13" s="29" t="s">
        <v>663</v>
      </c>
      <c r="V13" s="29" t="s">
        <v>1377</v>
      </c>
      <c r="W13" s="29" t="s">
        <v>665</v>
      </c>
    </row>
    <row r="14" s="22" customFormat="1" ht="16.5" customHeight="1" spans="1:23">
      <c r="A14" s="25" t="s">
        <v>1372</v>
      </c>
      <c r="B14" s="25" t="s">
        <v>32</v>
      </c>
      <c r="C14" s="25" t="s">
        <v>1373</v>
      </c>
      <c r="D14" s="26">
        <v>3</v>
      </c>
      <c r="E14" s="25" t="s">
        <v>1374</v>
      </c>
      <c r="F14" s="27">
        <v>45735</v>
      </c>
      <c r="G14" s="27">
        <v>45735</v>
      </c>
      <c r="H14" s="28" t="s">
        <v>444</v>
      </c>
      <c r="I14" s="25" t="s">
        <v>445</v>
      </c>
      <c r="J14" s="28" t="s">
        <v>41</v>
      </c>
      <c r="K14" s="25" t="s">
        <v>660</v>
      </c>
      <c r="L14" s="28" t="s">
        <v>41</v>
      </c>
      <c r="M14" s="25" t="s">
        <v>492</v>
      </c>
      <c r="N14" s="28" t="s">
        <v>41</v>
      </c>
      <c r="O14" s="25" t="s">
        <v>1375</v>
      </c>
      <c r="P14" s="33">
        <v>489.6</v>
      </c>
      <c r="Q14" s="33">
        <v>0</v>
      </c>
      <c r="R14" s="25" t="s">
        <v>1376</v>
      </c>
      <c r="S14" s="25" t="s">
        <v>310</v>
      </c>
      <c r="T14" s="25" t="s">
        <v>36</v>
      </c>
      <c r="U14" s="25" t="s">
        <v>663</v>
      </c>
      <c r="V14" s="25" t="s">
        <v>1377</v>
      </c>
      <c r="W14" s="25" t="s">
        <v>665</v>
      </c>
    </row>
    <row r="15" s="22" customFormat="1" ht="16.5" customHeight="1" spans="1:23">
      <c r="A15" s="29" t="s">
        <v>1378</v>
      </c>
      <c r="B15" s="29" t="s">
        <v>32</v>
      </c>
      <c r="C15" s="29" t="s">
        <v>1379</v>
      </c>
      <c r="D15" s="30">
        <v>1</v>
      </c>
      <c r="E15" s="29" t="s">
        <v>1380</v>
      </c>
      <c r="F15" s="31">
        <v>45735</v>
      </c>
      <c r="G15" s="31">
        <v>45735</v>
      </c>
      <c r="H15" s="32" t="s">
        <v>444</v>
      </c>
      <c r="I15" s="29" t="s">
        <v>445</v>
      </c>
      <c r="J15" s="32" t="s">
        <v>41</v>
      </c>
      <c r="K15" s="29" t="s">
        <v>660</v>
      </c>
      <c r="L15" s="32" t="s">
        <v>41</v>
      </c>
      <c r="M15" s="29" t="s">
        <v>492</v>
      </c>
      <c r="N15" s="32" t="s">
        <v>41</v>
      </c>
      <c r="O15" s="29" t="s">
        <v>1375</v>
      </c>
      <c r="P15" s="34">
        <v>0</v>
      </c>
      <c r="Q15" s="34">
        <v>24282.22</v>
      </c>
      <c r="R15" s="29" t="s">
        <v>1376</v>
      </c>
      <c r="S15" s="29" t="s">
        <v>310</v>
      </c>
      <c r="T15" s="29" t="s">
        <v>36</v>
      </c>
      <c r="U15" s="29" t="s">
        <v>663</v>
      </c>
      <c r="V15" s="29" t="s">
        <v>1381</v>
      </c>
      <c r="W15" s="29" t="s">
        <v>665</v>
      </c>
    </row>
    <row r="16" s="22" customFormat="1" ht="16.5" customHeight="1" spans="1:23">
      <c r="A16" s="25" t="s">
        <v>1378</v>
      </c>
      <c r="B16" s="25" t="s">
        <v>32</v>
      </c>
      <c r="C16" s="25" t="s">
        <v>1379</v>
      </c>
      <c r="D16" s="26">
        <v>3</v>
      </c>
      <c r="E16" s="25" t="s">
        <v>1380</v>
      </c>
      <c r="F16" s="27">
        <v>45735</v>
      </c>
      <c r="G16" s="27">
        <v>45735</v>
      </c>
      <c r="H16" s="28" t="s">
        <v>444</v>
      </c>
      <c r="I16" s="25" t="s">
        <v>445</v>
      </c>
      <c r="J16" s="28" t="s">
        <v>41</v>
      </c>
      <c r="K16" s="25" t="s">
        <v>660</v>
      </c>
      <c r="L16" s="28" t="s">
        <v>41</v>
      </c>
      <c r="M16" s="25" t="s">
        <v>492</v>
      </c>
      <c r="N16" s="28" t="s">
        <v>41</v>
      </c>
      <c r="O16" s="25" t="s">
        <v>1375</v>
      </c>
      <c r="P16" s="33">
        <v>571.2</v>
      </c>
      <c r="Q16" s="33">
        <v>0</v>
      </c>
      <c r="R16" s="25" t="s">
        <v>1376</v>
      </c>
      <c r="S16" s="25" t="s">
        <v>310</v>
      </c>
      <c r="T16" s="25" t="s">
        <v>36</v>
      </c>
      <c r="U16" s="25" t="s">
        <v>663</v>
      </c>
      <c r="V16" s="25" t="s">
        <v>1381</v>
      </c>
      <c r="W16" s="25" t="s">
        <v>665</v>
      </c>
    </row>
    <row r="17" s="22" customFormat="1" ht="16.5" customHeight="1" spans="1:23">
      <c r="A17" s="29" t="s">
        <v>1382</v>
      </c>
      <c r="B17" s="29" t="s">
        <v>32</v>
      </c>
      <c r="C17" s="29" t="s">
        <v>1383</v>
      </c>
      <c r="D17" s="30">
        <v>1</v>
      </c>
      <c r="E17" s="29" t="s">
        <v>1384</v>
      </c>
      <c r="F17" s="31">
        <v>45735</v>
      </c>
      <c r="G17" s="31">
        <v>45735</v>
      </c>
      <c r="H17" s="32" t="s">
        <v>444</v>
      </c>
      <c r="I17" s="29" t="s">
        <v>445</v>
      </c>
      <c r="J17" s="32" t="s">
        <v>41</v>
      </c>
      <c r="K17" s="29" t="s">
        <v>660</v>
      </c>
      <c r="L17" s="32" t="s">
        <v>41</v>
      </c>
      <c r="M17" s="29" t="s">
        <v>492</v>
      </c>
      <c r="N17" s="32" t="s">
        <v>41</v>
      </c>
      <c r="O17" s="29" t="s">
        <v>889</v>
      </c>
      <c r="P17" s="34">
        <v>0</v>
      </c>
      <c r="Q17" s="34">
        <v>101272.94</v>
      </c>
      <c r="R17" s="29" t="s">
        <v>890</v>
      </c>
      <c r="S17" s="29" t="s">
        <v>263</v>
      </c>
      <c r="T17" s="29" t="s">
        <v>36</v>
      </c>
      <c r="U17" s="29" t="s">
        <v>663</v>
      </c>
      <c r="V17" s="29" t="s">
        <v>1385</v>
      </c>
      <c r="W17" s="29" t="s">
        <v>665</v>
      </c>
    </row>
    <row r="18" s="22" customFormat="1" ht="16.5" customHeight="1" spans="1:23">
      <c r="A18" s="25" t="s">
        <v>1382</v>
      </c>
      <c r="B18" s="25" t="s">
        <v>32</v>
      </c>
      <c r="C18" s="25" t="s">
        <v>1383</v>
      </c>
      <c r="D18" s="26">
        <v>4</v>
      </c>
      <c r="E18" s="25" t="s">
        <v>1384</v>
      </c>
      <c r="F18" s="27">
        <v>45735</v>
      </c>
      <c r="G18" s="27">
        <v>45735</v>
      </c>
      <c r="H18" s="28" t="s">
        <v>444</v>
      </c>
      <c r="I18" s="25" t="s">
        <v>445</v>
      </c>
      <c r="J18" s="28" t="s">
        <v>41</v>
      </c>
      <c r="K18" s="25" t="s">
        <v>660</v>
      </c>
      <c r="L18" s="28" t="s">
        <v>41</v>
      </c>
      <c r="M18" s="25" t="s">
        <v>492</v>
      </c>
      <c r="N18" s="28" t="s">
        <v>41</v>
      </c>
      <c r="O18" s="25" t="s">
        <v>889</v>
      </c>
      <c r="P18" s="33">
        <v>72.8</v>
      </c>
      <c r="Q18" s="33">
        <v>0</v>
      </c>
      <c r="R18" s="25" t="s">
        <v>890</v>
      </c>
      <c r="S18" s="25" t="s">
        <v>263</v>
      </c>
      <c r="T18" s="25" t="s">
        <v>36</v>
      </c>
      <c r="U18" s="25" t="s">
        <v>663</v>
      </c>
      <c r="V18" s="25" t="s">
        <v>1385</v>
      </c>
      <c r="W18" s="25" t="s">
        <v>665</v>
      </c>
    </row>
    <row r="19" s="22" customFormat="1" ht="16.5" customHeight="1" spans="1:23">
      <c r="A19" s="29" t="s">
        <v>1386</v>
      </c>
      <c r="B19" s="29" t="s">
        <v>32</v>
      </c>
      <c r="C19" s="29" t="s">
        <v>1387</v>
      </c>
      <c r="D19" s="30">
        <v>1</v>
      </c>
      <c r="E19" s="29" t="s">
        <v>1388</v>
      </c>
      <c r="F19" s="31">
        <v>45735</v>
      </c>
      <c r="G19" s="31">
        <v>45735</v>
      </c>
      <c r="H19" s="32" t="s">
        <v>444</v>
      </c>
      <c r="I19" s="29" t="s">
        <v>445</v>
      </c>
      <c r="J19" s="32" t="s">
        <v>41</v>
      </c>
      <c r="K19" s="29" t="s">
        <v>660</v>
      </c>
      <c r="L19" s="32" t="s">
        <v>41</v>
      </c>
      <c r="M19" s="29" t="s">
        <v>492</v>
      </c>
      <c r="N19" s="32" t="s">
        <v>41</v>
      </c>
      <c r="O19" s="29" t="s">
        <v>1022</v>
      </c>
      <c r="P19" s="34">
        <v>0</v>
      </c>
      <c r="Q19" s="34">
        <v>106878.23</v>
      </c>
      <c r="R19" s="29" t="s">
        <v>1023</v>
      </c>
      <c r="S19" s="29" t="s">
        <v>317</v>
      </c>
      <c r="T19" s="29" t="s">
        <v>36</v>
      </c>
      <c r="U19" s="29" t="s">
        <v>663</v>
      </c>
      <c r="V19" s="29" t="s">
        <v>1389</v>
      </c>
      <c r="W19" s="29" t="s">
        <v>665</v>
      </c>
    </row>
    <row r="20" s="22" customFormat="1" ht="16.5" customHeight="1" spans="1:23">
      <c r="A20" s="25" t="s">
        <v>1390</v>
      </c>
      <c r="B20" s="25" t="s">
        <v>32</v>
      </c>
      <c r="C20" s="25" t="s">
        <v>1391</v>
      </c>
      <c r="D20" s="26">
        <v>1</v>
      </c>
      <c r="E20" s="25" t="s">
        <v>1392</v>
      </c>
      <c r="F20" s="27">
        <v>45735</v>
      </c>
      <c r="G20" s="27">
        <v>45735</v>
      </c>
      <c r="H20" s="28" t="s">
        <v>444</v>
      </c>
      <c r="I20" s="25" t="s">
        <v>445</v>
      </c>
      <c r="J20" s="28" t="s">
        <v>41</v>
      </c>
      <c r="K20" s="25" t="s">
        <v>660</v>
      </c>
      <c r="L20" s="28" t="s">
        <v>41</v>
      </c>
      <c r="M20" s="25" t="s">
        <v>492</v>
      </c>
      <c r="N20" s="28" t="s">
        <v>41</v>
      </c>
      <c r="O20" s="25" t="s">
        <v>927</v>
      </c>
      <c r="P20" s="33">
        <v>0</v>
      </c>
      <c r="Q20" s="33">
        <v>12458.85</v>
      </c>
      <c r="R20" s="25" t="s">
        <v>928</v>
      </c>
      <c r="S20" s="25" t="s">
        <v>241</v>
      </c>
      <c r="T20" s="25" t="s">
        <v>36</v>
      </c>
      <c r="U20" s="25" t="s">
        <v>663</v>
      </c>
      <c r="V20" s="25" t="s">
        <v>1393</v>
      </c>
      <c r="W20" s="25" t="s">
        <v>665</v>
      </c>
    </row>
    <row r="21" s="22" customFormat="1" ht="16.5" customHeight="1" spans="1:23">
      <c r="A21" s="29" t="s">
        <v>1394</v>
      </c>
      <c r="B21" s="29" t="s">
        <v>32</v>
      </c>
      <c r="C21" s="29" t="s">
        <v>1395</v>
      </c>
      <c r="D21" s="30">
        <v>1</v>
      </c>
      <c r="E21" s="29" t="s">
        <v>1396</v>
      </c>
      <c r="F21" s="31">
        <v>45735</v>
      </c>
      <c r="G21" s="31">
        <v>45735</v>
      </c>
      <c r="H21" s="32" t="s">
        <v>444</v>
      </c>
      <c r="I21" s="29" t="s">
        <v>445</v>
      </c>
      <c r="J21" s="32" t="s">
        <v>41</v>
      </c>
      <c r="K21" s="29" t="s">
        <v>660</v>
      </c>
      <c r="L21" s="32" t="s">
        <v>41</v>
      </c>
      <c r="M21" s="29" t="s">
        <v>492</v>
      </c>
      <c r="N21" s="32" t="s">
        <v>41</v>
      </c>
      <c r="O21" s="29" t="s">
        <v>852</v>
      </c>
      <c r="P21" s="34">
        <v>0</v>
      </c>
      <c r="Q21" s="34">
        <v>775665.36</v>
      </c>
      <c r="R21" s="29" t="s">
        <v>853</v>
      </c>
      <c r="S21" s="29" t="s">
        <v>265</v>
      </c>
      <c r="T21" s="29" t="s">
        <v>36</v>
      </c>
      <c r="U21" s="29" t="s">
        <v>663</v>
      </c>
      <c r="V21" s="29" t="s">
        <v>1397</v>
      </c>
      <c r="W21" s="29" t="s">
        <v>665</v>
      </c>
    </row>
    <row r="22" s="22" customFormat="1" ht="16.5" customHeight="1" spans="1:23">
      <c r="A22" s="25" t="s">
        <v>1394</v>
      </c>
      <c r="B22" s="25" t="s">
        <v>32</v>
      </c>
      <c r="C22" s="25" t="s">
        <v>1395</v>
      </c>
      <c r="D22" s="26">
        <v>3</v>
      </c>
      <c r="E22" s="25" t="s">
        <v>1396</v>
      </c>
      <c r="F22" s="27">
        <v>45735</v>
      </c>
      <c r="G22" s="27">
        <v>45735</v>
      </c>
      <c r="H22" s="28" t="s">
        <v>444</v>
      </c>
      <c r="I22" s="25" t="s">
        <v>445</v>
      </c>
      <c r="J22" s="28" t="s">
        <v>41</v>
      </c>
      <c r="K22" s="25" t="s">
        <v>660</v>
      </c>
      <c r="L22" s="28" t="s">
        <v>41</v>
      </c>
      <c r="M22" s="25" t="s">
        <v>492</v>
      </c>
      <c r="N22" s="28" t="s">
        <v>41</v>
      </c>
      <c r="O22" s="25" t="s">
        <v>852</v>
      </c>
      <c r="P22" s="33">
        <v>414.24</v>
      </c>
      <c r="Q22" s="33">
        <v>0</v>
      </c>
      <c r="R22" s="25" t="s">
        <v>853</v>
      </c>
      <c r="S22" s="25" t="s">
        <v>265</v>
      </c>
      <c r="T22" s="25" t="s">
        <v>36</v>
      </c>
      <c r="U22" s="25" t="s">
        <v>663</v>
      </c>
      <c r="V22" s="25" t="s">
        <v>1397</v>
      </c>
      <c r="W22" s="25" t="s">
        <v>665</v>
      </c>
    </row>
    <row r="23" s="22" customFormat="1" ht="16.5" customHeight="1" spans="1:23">
      <c r="A23" s="29" t="s">
        <v>1398</v>
      </c>
      <c r="B23" s="29" t="s">
        <v>32</v>
      </c>
      <c r="C23" s="29" t="s">
        <v>1399</v>
      </c>
      <c r="D23" s="30">
        <v>1</v>
      </c>
      <c r="E23" s="29" t="s">
        <v>1400</v>
      </c>
      <c r="F23" s="31">
        <v>45735</v>
      </c>
      <c r="G23" s="31">
        <v>45735</v>
      </c>
      <c r="H23" s="32" t="s">
        <v>444</v>
      </c>
      <c r="I23" s="29" t="s">
        <v>445</v>
      </c>
      <c r="J23" s="32" t="s">
        <v>41</v>
      </c>
      <c r="K23" s="29" t="s">
        <v>660</v>
      </c>
      <c r="L23" s="32" t="s">
        <v>41</v>
      </c>
      <c r="M23" s="29" t="s">
        <v>492</v>
      </c>
      <c r="N23" s="32" t="s">
        <v>41</v>
      </c>
      <c r="O23" s="29" t="s">
        <v>1190</v>
      </c>
      <c r="P23" s="34">
        <v>0</v>
      </c>
      <c r="Q23" s="34">
        <v>33470.58</v>
      </c>
      <c r="R23" s="29" t="s">
        <v>1191</v>
      </c>
      <c r="S23" s="29" t="s">
        <v>255</v>
      </c>
      <c r="T23" s="29" t="s">
        <v>36</v>
      </c>
      <c r="U23" s="29" t="s">
        <v>663</v>
      </c>
      <c r="V23" s="29" t="s">
        <v>1401</v>
      </c>
      <c r="W23" s="29" t="s">
        <v>665</v>
      </c>
    </row>
    <row r="24" s="22" customFormat="1" ht="16.5" customHeight="1" spans="1:23">
      <c r="A24" s="25" t="s">
        <v>1398</v>
      </c>
      <c r="B24" s="25" t="s">
        <v>32</v>
      </c>
      <c r="C24" s="25" t="s">
        <v>1399</v>
      </c>
      <c r="D24" s="26">
        <v>3</v>
      </c>
      <c r="E24" s="25" t="s">
        <v>1400</v>
      </c>
      <c r="F24" s="27">
        <v>45735</v>
      </c>
      <c r="G24" s="27">
        <v>45735</v>
      </c>
      <c r="H24" s="28" t="s">
        <v>444</v>
      </c>
      <c r="I24" s="25" t="s">
        <v>445</v>
      </c>
      <c r="J24" s="28" t="s">
        <v>41</v>
      </c>
      <c r="K24" s="25" t="s">
        <v>660</v>
      </c>
      <c r="L24" s="28" t="s">
        <v>41</v>
      </c>
      <c r="M24" s="25" t="s">
        <v>492</v>
      </c>
      <c r="N24" s="28" t="s">
        <v>41</v>
      </c>
      <c r="O24" s="25" t="s">
        <v>1190</v>
      </c>
      <c r="P24" s="33">
        <v>1037.64</v>
      </c>
      <c r="Q24" s="33">
        <v>0</v>
      </c>
      <c r="R24" s="25" t="s">
        <v>1191</v>
      </c>
      <c r="S24" s="25" t="s">
        <v>255</v>
      </c>
      <c r="T24" s="25" t="s">
        <v>36</v>
      </c>
      <c r="U24" s="25" t="s">
        <v>663</v>
      </c>
      <c r="V24" s="25" t="s">
        <v>1401</v>
      </c>
      <c r="W24" s="25" t="s">
        <v>665</v>
      </c>
    </row>
    <row r="25" s="22" customFormat="1" ht="16.5" customHeight="1" spans="1:23">
      <c r="A25" s="29" t="s">
        <v>1402</v>
      </c>
      <c r="B25" s="29" t="s">
        <v>32</v>
      </c>
      <c r="C25" s="29" t="s">
        <v>1403</v>
      </c>
      <c r="D25" s="30">
        <v>1</v>
      </c>
      <c r="E25" s="29" t="s">
        <v>1404</v>
      </c>
      <c r="F25" s="31">
        <v>45735</v>
      </c>
      <c r="G25" s="31">
        <v>45735</v>
      </c>
      <c r="H25" s="32" t="s">
        <v>444</v>
      </c>
      <c r="I25" s="29" t="s">
        <v>445</v>
      </c>
      <c r="J25" s="32" t="s">
        <v>41</v>
      </c>
      <c r="K25" s="29" t="s">
        <v>660</v>
      </c>
      <c r="L25" s="32" t="s">
        <v>41</v>
      </c>
      <c r="M25" s="29" t="s">
        <v>492</v>
      </c>
      <c r="N25" s="32" t="s">
        <v>41</v>
      </c>
      <c r="O25" s="29" t="s">
        <v>865</v>
      </c>
      <c r="P25" s="34">
        <v>0</v>
      </c>
      <c r="Q25" s="34">
        <v>132130.2</v>
      </c>
      <c r="R25" s="29" t="s">
        <v>866</v>
      </c>
      <c r="S25" s="29" t="s">
        <v>250</v>
      </c>
      <c r="T25" s="29" t="s">
        <v>36</v>
      </c>
      <c r="U25" s="29" t="s">
        <v>663</v>
      </c>
      <c r="V25" s="29" t="s">
        <v>1405</v>
      </c>
      <c r="W25" s="29" t="s">
        <v>665</v>
      </c>
    </row>
    <row r="26" s="22" customFormat="1" ht="16.5" customHeight="1" spans="1:23">
      <c r="A26" s="25" t="s">
        <v>1402</v>
      </c>
      <c r="B26" s="25" t="s">
        <v>32</v>
      </c>
      <c r="C26" s="25" t="s">
        <v>1403</v>
      </c>
      <c r="D26" s="26">
        <v>3</v>
      </c>
      <c r="E26" s="25" t="s">
        <v>1404</v>
      </c>
      <c r="F26" s="27">
        <v>45735</v>
      </c>
      <c r="G26" s="27">
        <v>45735</v>
      </c>
      <c r="H26" s="28" t="s">
        <v>444</v>
      </c>
      <c r="I26" s="25" t="s">
        <v>445</v>
      </c>
      <c r="J26" s="28" t="s">
        <v>41</v>
      </c>
      <c r="K26" s="25" t="s">
        <v>660</v>
      </c>
      <c r="L26" s="28" t="s">
        <v>41</v>
      </c>
      <c r="M26" s="25" t="s">
        <v>492</v>
      </c>
      <c r="N26" s="28" t="s">
        <v>41</v>
      </c>
      <c r="O26" s="25" t="s">
        <v>865</v>
      </c>
      <c r="P26" s="33">
        <v>2609.51</v>
      </c>
      <c r="Q26" s="33">
        <v>0</v>
      </c>
      <c r="R26" s="25" t="s">
        <v>866</v>
      </c>
      <c r="S26" s="25" t="s">
        <v>250</v>
      </c>
      <c r="T26" s="25" t="s">
        <v>36</v>
      </c>
      <c r="U26" s="25" t="s">
        <v>663</v>
      </c>
      <c r="V26" s="25" t="s">
        <v>1405</v>
      </c>
      <c r="W26" s="25" t="s">
        <v>665</v>
      </c>
    </row>
    <row r="27" s="22" customFormat="1" ht="16.5" customHeight="1" spans="1:23">
      <c r="A27" s="29" t="s">
        <v>1406</v>
      </c>
      <c r="B27" s="29" t="s">
        <v>32</v>
      </c>
      <c r="C27" s="29" t="s">
        <v>1407</v>
      </c>
      <c r="D27" s="30">
        <v>1</v>
      </c>
      <c r="E27" s="29" t="s">
        <v>1408</v>
      </c>
      <c r="F27" s="31">
        <v>45735</v>
      </c>
      <c r="G27" s="31">
        <v>45735</v>
      </c>
      <c r="H27" s="32" t="s">
        <v>444</v>
      </c>
      <c r="I27" s="29" t="s">
        <v>445</v>
      </c>
      <c r="J27" s="32" t="s">
        <v>41</v>
      </c>
      <c r="K27" s="29" t="s">
        <v>660</v>
      </c>
      <c r="L27" s="32" t="s">
        <v>41</v>
      </c>
      <c r="M27" s="29" t="s">
        <v>492</v>
      </c>
      <c r="N27" s="32" t="s">
        <v>41</v>
      </c>
      <c r="O27" s="29" t="s">
        <v>918</v>
      </c>
      <c r="P27" s="34">
        <v>0</v>
      </c>
      <c r="Q27" s="34">
        <v>57560.7</v>
      </c>
      <c r="R27" s="29" t="s">
        <v>919</v>
      </c>
      <c r="S27" s="29" t="s">
        <v>260</v>
      </c>
      <c r="T27" s="29" t="s">
        <v>36</v>
      </c>
      <c r="U27" s="29" t="s">
        <v>663</v>
      </c>
      <c r="V27" s="29" t="s">
        <v>1409</v>
      </c>
      <c r="W27" s="29" t="s">
        <v>665</v>
      </c>
    </row>
    <row r="28" s="22" customFormat="1" ht="16.5" customHeight="1" spans="1:23">
      <c r="A28" s="25" t="s">
        <v>1406</v>
      </c>
      <c r="B28" s="25" t="s">
        <v>32</v>
      </c>
      <c r="C28" s="25" t="s">
        <v>1407</v>
      </c>
      <c r="D28" s="26">
        <v>3</v>
      </c>
      <c r="E28" s="25" t="s">
        <v>1408</v>
      </c>
      <c r="F28" s="27">
        <v>45735</v>
      </c>
      <c r="G28" s="27">
        <v>45735</v>
      </c>
      <c r="H28" s="28" t="s">
        <v>444</v>
      </c>
      <c r="I28" s="25" t="s">
        <v>445</v>
      </c>
      <c r="J28" s="28" t="s">
        <v>41</v>
      </c>
      <c r="K28" s="25" t="s">
        <v>660</v>
      </c>
      <c r="L28" s="28" t="s">
        <v>41</v>
      </c>
      <c r="M28" s="25" t="s">
        <v>492</v>
      </c>
      <c r="N28" s="28" t="s">
        <v>41</v>
      </c>
      <c r="O28" s="25" t="s">
        <v>918</v>
      </c>
      <c r="P28" s="33">
        <v>1928.12</v>
      </c>
      <c r="Q28" s="33">
        <v>0</v>
      </c>
      <c r="R28" s="25" t="s">
        <v>919</v>
      </c>
      <c r="S28" s="25" t="s">
        <v>260</v>
      </c>
      <c r="T28" s="25" t="s">
        <v>36</v>
      </c>
      <c r="U28" s="25" t="s">
        <v>663</v>
      </c>
      <c r="V28" s="25" t="s">
        <v>1409</v>
      </c>
      <c r="W28" s="25" t="s">
        <v>665</v>
      </c>
    </row>
    <row r="29" s="22" customFormat="1" ht="16.5" customHeight="1" spans="1:23">
      <c r="A29" s="29" t="s">
        <v>1410</v>
      </c>
      <c r="B29" s="29" t="s">
        <v>32</v>
      </c>
      <c r="C29" s="29" t="s">
        <v>1411</v>
      </c>
      <c r="D29" s="30">
        <v>1</v>
      </c>
      <c r="E29" s="29" t="s">
        <v>1412</v>
      </c>
      <c r="F29" s="31">
        <v>45735</v>
      </c>
      <c r="G29" s="31">
        <v>45735</v>
      </c>
      <c r="H29" s="32" t="s">
        <v>444</v>
      </c>
      <c r="I29" s="29" t="s">
        <v>445</v>
      </c>
      <c r="J29" s="32" t="s">
        <v>41</v>
      </c>
      <c r="K29" s="29" t="s">
        <v>660</v>
      </c>
      <c r="L29" s="32" t="s">
        <v>41</v>
      </c>
      <c r="M29" s="29" t="s">
        <v>492</v>
      </c>
      <c r="N29" s="32" t="s">
        <v>41</v>
      </c>
      <c r="O29" s="29" t="s">
        <v>1413</v>
      </c>
      <c r="P29" s="34">
        <v>0</v>
      </c>
      <c r="Q29" s="34">
        <v>22332.39</v>
      </c>
      <c r="R29" s="29" t="s">
        <v>881</v>
      </c>
      <c r="S29" s="29" t="s">
        <v>243</v>
      </c>
      <c r="T29" s="29" t="s">
        <v>36</v>
      </c>
      <c r="U29" s="29" t="s">
        <v>663</v>
      </c>
      <c r="V29" s="29" t="s">
        <v>1414</v>
      </c>
      <c r="W29" s="29" t="s">
        <v>665</v>
      </c>
    </row>
    <row r="30" s="22" customFormat="1" ht="16.5" customHeight="1" spans="1:23">
      <c r="A30" s="25" t="s">
        <v>1415</v>
      </c>
      <c r="B30" s="25" t="s">
        <v>32</v>
      </c>
      <c r="C30" s="25" t="s">
        <v>1416</v>
      </c>
      <c r="D30" s="26">
        <v>1</v>
      </c>
      <c r="E30" s="25" t="s">
        <v>1417</v>
      </c>
      <c r="F30" s="27">
        <v>45735</v>
      </c>
      <c r="G30" s="27">
        <v>45735</v>
      </c>
      <c r="H30" s="28" t="s">
        <v>444</v>
      </c>
      <c r="I30" s="25" t="s">
        <v>445</v>
      </c>
      <c r="J30" s="28" t="s">
        <v>41</v>
      </c>
      <c r="K30" s="25" t="s">
        <v>660</v>
      </c>
      <c r="L30" s="28" t="s">
        <v>41</v>
      </c>
      <c r="M30" s="25" t="s">
        <v>492</v>
      </c>
      <c r="N30" s="28" t="s">
        <v>41</v>
      </c>
      <c r="O30" s="25" t="s">
        <v>870</v>
      </c>
      <c r="P30" s="33">
        <v>0</v>
      </c>
      <c r="Q30" s="33">
        <v>26006.5</v>
      </c>
      <c r="R30" s="25" t="s">
        <v>871</v>
      </c>
      <c r="S30" s="25" t="s">
        <v>246</v>
      </c>
      <c r="T30" s="25" t="s">
        <v>36</v>
      </c>
      <c r="U30" s="25" t="s">
        <v>663</v>
      </c>
      <c r="V30" s="25" t="s">
        <v>1418</v>
      </c>
      <c r="W30" s="25" t="s">
        <v>665</v>
      </c>
    </row>
    <row r="31" s="22" customFormat="1" ht="16.5" customHeight="1" spans="1:23">
      <c r="A31" s="29" t="s">
        <v>1419</v>
      </c>
      <c r="B31" s="29" t="s">
        <v>32</v>
      </c>
      <c r="C31" s="29" t="s">
        <v>1420</v>
      </c>
      <c r="D31" s="30">
        <v>1</v>
      </c>
      <c r="E31" s="29" t="s">
        <v>1421</v>
      </c>
      <c r="F31" s="31">
        <v>45735</v>
      </c>
      <c r="G31" s="31">
        <v>45735</v>
      </c>
      <c r="H31" s="32" t="s">
        <v>444</v>
      </c>
      <c r="I31" s="29" t="s">
        <v>445</v>
      </c>
      <c r="J31" s="32" t="s">
        <v>41</v>
      </c>
      <c r="K31" s="29" t="s">
        <v>660</v>
      </c>
      <c r="L31" s="32" t="s">
        <v>41</v>
      </c>
      <c r="M31" s="29" t="s">
        <v>492</v>
      </c>
      <c r="N31" s="32" t="s">
        <v>41</v>
      </c>
      <c r="O31" s="29" t="s">
        <v>1422</v>
      </c>
      <c r="P31" s="34">
        <v>0</v>
      </c>
      <c r="Q31" s="34">
        <v>3478.14</v>
      </c>
      <c r="R31" s="29" t="s">
        <v>1005</v>
      </c>
      <c r="S31" s="29" t="s">
        <v>308</v>
      </c>
      <c r="T31" s="29" t="s">
        <v>36</v>
      </c>
      <c r="U31" s="29" t="s">
        <v>663</v>
      </c>
      <c r="V31" s="29" t="s">
        <v>1423</v>
      </c>
      <c r="W31" s="29" t="s">
        <v>665</v>
      </c>
    </row>
    <row r="32" s="22" customFormat="1" ht="16.5" customHeight="1" spans="1:23">
      <c r="A32" s="25" t="s">
        <v>1424</v>
      </c>
      <c r="B32" s="25" t="s">
        <v>32</v>
      </c>
      <c r="C32" s="25" t="s">
        <v>1425</v>
      </c>
      <c r="D32" s="26">
        <v>1</v>
      </c>
      <c r="E32" s="25" t="s">
        <v>1426</v>
      </c>
      <c r="F32" s="27">
        <v>45735</v>
      </c>
      <c r="G32" s="27">
        <v>45735</v>
      </c>
      <c r="H32" s="28" t="s">
        <v>444</v>
      </c>
      <c r="I32" s="25" t="s">
        <v>445</v>
      </c>
      <c r="J32" s="28" t="s">
        <v>41</v>
      </c>
      <c r="K32" s="25" t="s">
        <v>660</v>
      </c>
      <c r="L32" s="28" t="s">
        <v>41</v>
      </c>
      <c r="M32" s="25" t="s">
        <v>492</v>
      </c>
      <c r="N32" s="28" t="s">
        <v>41</v>
      </c>
      <c r="O32" s="25" t="s">
        <v>860</v>
      </c>
      <c r="P32" s="33">
        <v>0</v>
      </c>
      <c r="Q32" s="33">
        <v>19537.7</v>
      </c>
      <c r="R32" s="25" t="s">
        <v>861</v>
      </c>
      <c r="S32" s="25" t="s">
        <v>244</v>
      </c>
      <c r="T32" s="25" t="s">
        <v>36</v>
      </c>
      <c r="U32" s="25" t="s">
        <v>663</v>
      </c>
      <c r="V32" s="25" t="s">
        <v>1427</v>
      </c>
      <c r="W32" s="25" t="s">
        <v>665</v>
      </c>
    </row>
    <row r="33" s="22" customFormat="1" ht="16.5" customHeight="1" spans="1:23">
      <c r="A33" s="29" t="s">
        <v>1428</v>
      </c>
      <c r="B33" s="29" t="s">
        <v>32</v>
      </c>
      <c r="C33" s="29" t="s">
        <v>1429</v>
      </c>
      <c r="D33" s="30">
        <v>1</v>
      </c>
      <c r="E33" s="29" t="s">
        <v>1430</v>
      </c>
      <c r="F33" s="31">
        <v>45735</v>
      </c>
      <c r="G33" s="31">
        <v>45735</v>
      </c>
      <c r="H33" s="32" t="s">
        <v>444</v>
      </c>
      <c r="I33" s="29" t="s">
        <v>445</v>
      </c>
      <c r="J33" s="32" t="s">
        <v>41</v>
      </c>
      <c r="K33" s="29" t="s">
        <v>660</v>
      </c>
      <c r="L33" s="32" t="s">
        <v>41</v>
      </c>
      <c r="M33" s="29" t="s">
        <v>492</v>
      </c>
      <c r="N33" s="32" t="s">
        <v>41</v>
      </c>
      <c r="O33" s="29" t="s">
        <v>913</v>
      </c>
      <c r="P33" s="34">
        <v>0</v>
      </c>
      <c r="Q33" s="34">
        <v>4486.76</v>
      </c>
      <c r="R33" s="29" t="s">
        <v>914</v>
      </c>
      <c r="S33" s="29" t="s">
        <v>270</v>
      </c>
      <c r="T33" s="29" t="s">
        <v>36</v>
      </c>
      <c r="U33" s="29" t="s">
        <v>663</v>
      </c>
      <c r="V33" s="29" t="s">
        <v>1431</v>
      </c>
      <c r="W33" s="29" t="s">
        <v>665</v>
      </c>
    </row>
    <row r="34" s="22" customFormat="1" ht="16.5" customHeight="1" spans="1:23">
      <c r="A34" s="25" t="s">
        <v>1428</v>
      </c>
      <c r="B34" s="25" t="s">
        <v>32</v>
      </c>
      <c r="C34" s="25" t="s">
        <v>1429</v>
      </c>
      <c r="D34" s="26">
        <v>3</v>
      </c>
      <c r="E34" s="25" t="s">
        <v>1430</v>
      </c>
      <c r="F34" s="27">
        <v>45735</v>
      </c>
      <c r="G34" s="27">
        <v>45735</v>
      </c>
      <c r="H34" s="28" t="s">
        <v>444</v>
      </c>
      <c r="I34" s="25" t="s">
        <v>445</v>
      </c>
      <c r="J34" s="28" t="s">
        <v>41</v>
      </c>
      <c r="K34" s="25" t="s">
        <v>660</v>
      </c>
      <c r="L34" s="28" t="s">
        <v>41</v>
      </c>
      <c r="M34" s="25" t="s">
        <v>492</v>
      </c>
      <c r="N34" s="28" t="s">
        <v>41</v>
      </c>
      <c r="O34" s="25" t="s">
        <v>913</v>
      </c>
      <c r="P34" s="33">
        <v>461.96</v>
      </c>
      <c r="Q34" s="33">
        <v>0</v>
      </c>
      <c r="R34" s="25" t="s">
        <v>914</v>
      </c>
      <c r="S34" s="25" t="s">
        <v>270</v>
      </c>
      <c r="T34" s="25" t="s">
        <v>36</v>
      </c>
      <c r="U34" s="25" t="s">
        <v>663</v>
      </c>
      <c r="V34" s="25" t="s">
        <v>1431</v>
      </c>
      <c r="W34" s="25" t="s">
        <v>665</v>
      </c>
    </row>
    <row r="35" s="22" customFormat="1" ht="16.5" customHeight="1" spans="1:23">
      <c r="A35" s="29" t="s">
        <v>1432</v>
      </c>
      <c r="B35" s="29" t="s">
        <v>32</v>
      </c>
      <c r="C35" s="29" t="s">
        <v>1433</v>
      </c>
      <c r="D35" s="30">
        <v>1</v>
      </c>
      <c r="E35" s="29" t="s">
        <v>1434</v>
      </c>
      <c r="F35" s="31">
        <v>45735</v>
      </c>
      <c r="G35" s="31">
        <v>45735</v>
      </c>
      <c r="H35" s="32" t="s">
        <v>444</v>
      </c>
      <c r="I35" s="29" t="s">
        <v>445</v>
      </c>
      <c r="J35" s="32" t="s">
        <v>41</v>
      </c>
      <c r="K35" s="29" t="s">
        <v>660</v>
      </c>
      <c r="L35" s="32" t="s">
        <v>41</v>
      </c>
      <c r="M35" s="29" t="s">
        <v>492</v>
      </c>
      <c r="N35" s="32" t="s">
        <v>41</v>
      </c>
      <c r="O35" s="29" t="s">
        <v>1435</v>
      </c>
      <c r="P35" s="34">
        <v>0</v>
      </c>
      <c r="Q35" s="34">
        <v>1039.6</v>
      </c>
      <c r="R35" s="29" t="s">
        <v>1436</v>
      </c>
      <c r="S35" s="29" t="s">
        <v>597</v>
      </c>
      <c r="T35" s="29" t="s">
        <v>36</v>
      </c>
      <c r="U35" s="29" t="s">
        <v>663</v>
      </c>
      <c r="V35" s="29" t="s">
        <v>1437</v>
      </c>
      <c r="W35" s="29" t="s">
        <v>665</v>
      </c>
    </row>
    <row r="36" s="22" customFormat="1" ht="16.5" customHeight="1" spans="1:23">
      <c r="A36" s="25" t="s">
        <v>1438</v>
      </c>
      <c r="B36" s="25" t="s">
        <v>32</v>
      </c>
      <c r="C36" s="25" t="s">
        <v>1439</v>
      </c>
      <c r="D36" s="26">
        <v>1</v>
      </c>
      <c r="E36" s="25" t="s">
        <v>1440</v>
      </c>
      <c r="F36" s="27">
        <v>45735</v>
      </c>
      <c r="G36" s="27">
        <v>45735</v>
      </c>
      <c r="H36" s="28" t="s">
        <v>444</v>
      </c>
      <c r="I36" s="25" t="s">
        <v>445</v>
      </c>
      <c r="J36" s="28" t="s">
        <v>41</v>
      </c>
      <c r="K36" s="25" t="s">
        <v>660</v>
      </c>
      <c r="L36" s="28" t="s">
        <v>41</v>
      </c>
      <c r="M36" s="25" t="s">
        <v>492</v>
      </c>
      <c r="N36" s="28" t="s">
        <v>41</v>
      </c>
      <c r="O36" s="25" t="s">
        <v>802</v>
      </c>
      <c r="P36" s="33">
        <v>0</v>
      </c>
      <c r="Q36" s="33">
        <v>11517.66</v>
      </c>
      <c r="R36" s="25" t="s">
        <v>803</v>
      </c>
      <c r="S36" s="25" t="s">
        <v>281</v>
      </c>
      <c r="T36" s="25" t="s">
        <v>36</v>
      </c>
      <c r="U36" s="25" t="s">
        <v>663</v>
      </c>
      <c r="V36" s="25" t="s">
        <v>1441</v>
      </c>
      <c r="W36" s="25" t="s">
        <v>665</v>
      </c>
    </row>
    <row r="37" s="22" customFormat="1" ht="16.5" customHeight="1" spans="1:23">
      <c r="A37" s="29" t="s">
        <v>1438</v>
      </c>
      <c r="B37" s="29" t="s">
        <v>32</v>
      </c>
      <c r="C37" s="29" t="s">
        <v>1439</v>
      </c>
      <c r="D37" s="30">
        <v>3</v>
      </c>
      <c r="E37" s="29" t="s">
        <v>1440</v>
      </c>
      <c r="F37" s="31">
        <v>45735</v>
      </c>
      <c r="G37" s="31">
        <v>45735</v>
      </c>
      <c r="H37" s="32" t="s">
        <v>444</v>
      </c>
      <c r="I37" s="29" t="s">
        <v>445</v>
      </c>
      <c r="J37" s="32" t="s">
        <v>41</v>
      </c>
      <c r="K37" s="29" t="s">
        <v>660</v>
      </c>
      <c r="L37" s="32" t="s">
        <v>41</v>
      </c>
      <c r="M37" s="29" t="s">
        <v>492</v>
      </c>
      <c r="N37" s="32" t="s">
        <v>41</v>
      </c>
      <c r="O37" s="29" t="s">
        <v>802</v>
      </c>
      <c r="P37" s="34">
        <v>1941.66</v>
      </c>
      <c r="Q37" s="34">
        <v>0</v>
      </c>
      <c r="R37" s="29" t="s">
        <v>803</v>
      </c>
      <c r="S37" s="29" t="s">
        <v>281</v>
      </c>
      <c r="T37" s="29" t="s">
        <v>36</v>
      </c>
      <c r="U37" s="29" t="s">
        <v>663</v>
      </c>
      <c r="V37" s="29" t="s">
        <v>1441</v>
      </c>
      <c r="W37" s="29" t="s">
        <v>665</v>
      </c>
    </row>
    <row r="38" s="22" customFormat="1" ht="16.5" customHeight="1" spans="1:23">
      <c r="A38" s="25" t="s">
        <v>1442</v>
      </c>
      <c r="B38" s="25" t="s">
        <v>32</v>
      </c>
      <c r="C38" s="25" t="s">
        <v>1443</v>
      </c>
      <c r="D38" s="26">
        <v>1</v>
      </c>
      <c r="E38" s="25" t="s">
        <v>1444</v>
      </c>
      <c r="F38" s="27">
        <v>45735</v>
      </c>
      <c r="G38" s="27">
        <v>45735</v>
      </c>
      <c r="H38" s="28" t="s">
        <v>444</v>
      </c>
      <c r="I38" s="25" t="s">
        <v>445</v>
      </c>
      <c r="J38" s="28" t="s">
        <v>41</v>
      </c>
      <c r="K38" s="25" t="s">
        <v>660</v>
      </c>
      <c r="L38" s="28" t="s">
        <v>41</v>
      </c>
      <c r="M38" s="25" t="s">
        <v>492</v>
      </c>
      <c r="N38" s="28" t="s">
        <v>41</v>
      </c>
      <c r="O38" s="25" t="s">
        <v>807</v>
      </c>
      <c r="P38" s="33">
        <v>0</v>
      </c>
      <c r="Q38" s="33">
        <v>49171.55</v>
      </c>
      <c r="R38" s="25" t="s">
        <v>808</v>
      </c>
      <c r="S38" s="25" t="s">
        <v>269</v>
      </c>
      <c r="T38" s="25" t="s">
        <v>36</v>
      </c>
      <c r="U38" s="25" t="s">
        <v>663</v>
      </c>
      <c r="V38" s="25" t="s">
        <v>1445</v>
      </c>
      <c r="W38" s="25" t="s">
        <v>665</v>
      </c>
    </row>
    <row r="39" s="22" customFormat="1" ht="16.5" customHeight="1" spans="1:23">
      <c r="A39" s="29" t="s">
        <v>1442</v>
      </c>
      <c r="B39" s="29" t="s">
        <v>32</v>
      </c>
      <c r="C39" s="29" t="s">
        <v>1443</v>
      </c>
      <c r="D39" s="30">
        <v>3</v>
      </c>
      <c r="E39" s="29" t="s">
        <v>1444</v>
      </c>
      <c r="F39" s="31">
        <v>45735</v>
      </c>
      <c r="G39" s="31">
        <v>45735</v>
      </c>
      <c r="H39" s="32" t="s">
        <v>444</v>
      </c>
      <c r="I39" s="29" t="s">
        <v>445</v>
      </c>
      <c r="J39" s="32" t="s">
        <v>41</v>
      </c>
      <c r="K39" s="29" t="s">
        <v>660</v>
      </c>
      <c r="L39" s="32" t="s">
        <v>41</v>
      </c>
      <c r="M39" s="29" t="s">
        <v>492</v>
      </c>
      <c r="N39" s="32" t="s">
        <v>41</v>
      </c>
      <c r="O39" s="29" t="s">
        <v>807</v>
      </c>
      <c r="P39" s="34">
        <v>3554.75</v>
      </c>
      <c r="Q39" s="34">
        <v>0</v>
      </c>
      <c r="R39" s="29" t="s">
        <v>808</v>
      </c>
      <c r="S39" s="29" t="s">
        <v>269</v>
      </c>
      <c r="T39" s="29" t="s">
        <v>36</v>
      </c>
      <c r="U39" s="29" t="s">
        <v>663</v>
      </c>
      <c r="V39" s="29" t="s">
        <v>1445</v>
      </c>
      <c r="W39" s="29" t="s">
        <v>665</v>
      </c>
    </row>
    <row r="40" s="22" customFormat="1" ht="16.5" customHeight="1" spans="1:23">
      <c r="A40" s="25" t="s">
        <v>1446</v>
      </c>
      <c r="B40" s="25" t="s">
        <v>32</v>
      </c>
      <c r="C40" s="25" t="s">
        <v>1447</v>
      </c>
      <c r="D40" s="26">
        <v>1</v>
      </c>
      <c r="E40" s="25" t="s">
        <v>1448</v>
      </c>
      <c r="F40" s="27">
        <v>45735</v>
      </c>
      <c r="G40" s="27">
        <v>45735</v>
      </c>
      <c r="H40" s="28" t="s">
        <v>444</v>
      </c>
      <c r="I40" s="25" t="s">
        <v>445</v>
      </c>
      <c r="J40" s="28" t="s">
        <v>41</v>
      </c>
      <c r="K40" s="25" t="s">
        <v>660</v>
      </c>
      <c r="L40" s="28" t="s">
        <v>41</v>
      </c>
      <c r="M40" s="25" t="s">
        <v>492</v>
      </c>
      <c r="N40" s="28" t="s">
        <v>41</v>
      </c>
      <c r="O40" s="25" t="s">
        <v>1112</v>
      </c>
      <c r="P40" s="33">
        <v>0</v>
      </c>
      <c r="Q40" s="33">
        <v>57517.95</v>
      </c>
      <c r="R40" s="25" t="s">
        <v>686</v>
      </c>
      <c r="S40" s="25" t="s">
        <v>446</v>
      </c>
      <c r="T40" s="25" t="s">
        <v>36</v>
      </c>
      <c r="U40" s="25" t="s">
        <v>663</v>
      </c>
      <c r="V40" s="25" t="s">
        <v>1449</v>
      </c>
      <c r="W40" s="25" t="s">
        <v>665</v>
      </c>
    </row>
    <row r="41" s="22" customFormat="1" ht="16.5" customHeight="1" spans="1:23">
      <c r="A41" s="29" t="s">
        <v>1450</v>
      </c>
      <c r="B41" s="29" t="s">
        <v>32</v>
      </c>
      <c r="C41" s="29" t="s">
        <v>1451</v>
      </c>
      <c r="D41" s="30">
        <v>1</v>
      </c>
      <c r="E41" s="29" t="s">
        <v>1452</v>
      </c>
      <c r="F41" s="31">
        <v>45735</v>
      </c>
      <c r="G41" s="31">
        <v>45735</v>
      </c>
      <c r="H41" s="32" t="s">
        <v>444</v>
      </c>
      <c r="I41" s="29" t="s">
        <v>445</v>
      </c>
      <c r="J41" s="32" t="s">
        <v>41</v>
      </c>
      <c r="K41" s="29" t="s">
        <v>660</v>
      </c>
      <c r="L41" s="32" t="s">
        <v>41</v>
      </c>
      <c r="M41" s="29" t="s">
        <v>492</v>
      </c>
      <c r="N41" s="32" t="s">
        <v>41</v>
      </c>
      <c r="O41" s="29" t="s">
        <v>1453</v>
      </c>
      <c r="P41" s="34">
        <v>0</v>
      </c>
      <c r="Q41" s="34">
        <v>13262.36</v>
      </c>
      <c r="R41" s="29" t="s">
        <v>994</v>
      </c>
      <c r="S41" s="29" t="s">
        <v>316</v>
      </c>
      <c r="T41" s="29" t="s">
        <v>36</v>
      </c>
      <c r="U41" s="29" t="s">
        <v>663</v>
      </c>
      <c r="V41" s="29" t="s">
        <v>1454</v>
      </c>
      <c r="W41" s="29" t="s">
        <v>665</v>
      </c>
    </row>
    <row r="42" s="22" customFormat="1" ht="16.5" customHeight="1" spans="1:23">
      <c r="A42" s="25" t="s">
        <v>1455</v>
      </c>
      <c r="B42" s="25" t="s">
        <v>32</v>
      </c>
      <c r="C42" s="25" t="s">
        <v>1456</v>
      </c>
      <c r="D42" s="26">
        <v>1</v>
      </c>
      <c r="E42" s="25" t="s">
        <v>1457</v>
      </c>
      <c r="F42" s="27">
        <v>45735</v>
      </c>
      <c r="G42" s="27">
        <v>45735</v>
      </c>
      <c r="H42" s="28" t="s">
        <v>444</v>
      </c>
      <c r="I42" s="25" t="s">
        <v>445</v>
      </c>
      <c r="J42" s="28" t="s">
        <v>41</v>
      </c>
      <c r="K42" s="25" t="s">
        <v>660</v>
      </c>
      <c r="L42" s="28" t="s">
        <v>41</v>
      </c>
      <c r="M42" s="25" t="s">
        <v>492</v>
      </c>
      <c r="N42" s="28" t="s">
        <v>41</v>
      </c>
      <c r="O42" s="25" t="s">
        <v>1073</v>
      </c>
      <c r="P42" s="33">
        <v>0</v>
      </c>
      <c r="Q42" s="33">
        <v>11460.46</v>
      </c>
      <c r="R42" s="25" t="s">
        <v>1074</v>
      </c>
      <c r="S42" s="25" t="s">
        <v>288</v>
      </c>
      <c r="T42" s="25" t="s">
        <v>36</v>
      </c>
      <c r="U42" s="25" t="s">
        <v>663</v>
      </c>
      <c r="V42" s="25" t="s">
        <v>1458</v>
      </c>
      <c r="W42" s="25" t="s">
        <v>665</v>
      </c>
    </row>
    <row r="43" s="22" customFormat="1" ht="16.5" customHeight="1" spans="1:23">
      <c r="A43" s="29" t="s">
        <v>1459</v>
      </c>
      <c r="B43" s="29" t="s">
        <v>32</v>
      </c>
      <c r="C43" s="29" t="s">
        <v>1460</v>
      </c>
      <c r="D43" s="30">
        <v>1</v>
      </c>
      <c r="E43" s="29" t="s">
        <v>1461</v>
      </c>
      <c r="F43" s="31">
        <v>45735</v>
      </c>
      <c r="G43" s="31">
        <v>45735</v>
      </c>
      <c r="H43" s="32" t="s">
        <v>444</v>
      </c>
      <c r="I43" s="29" t="s">
        <v>445</v>
      </c>
      <c r="J43" s="32" t="s">
        <v>41</v>
      </c>
      <c r="K43" s="29" t="s">
        <v>660</v>
      </c>
      <c r="L43" s="32" t="s">
        <v>41</v>
      </c>
      <c r="M43" s="29" t="s">
        <v>492</v>
      </c>
      <c r="N43" s="32" t="s">
        <v>41</v>
      </c>
      <c r="O43" s="29" t="s">
        <v>1148</v>
      </c>
      <c r="P43" s="34">
        <v>0</v>
      </c>
      <c r="Q43" s="34">
        <v>34578</v>
      </c>
      <c r="R43" s="29" t="s">
        <v>1149</v>
      </c>
      <c r="S43" s="29" t="s">
        <v>282</v>
      </c>
      <c r="T43" s="29" t="s">
        <v>36</v>
      </c>
      <c r="U43" s="29" t="s">
        <v>663</v>
      </c>
      <c r="V43" s="29" t="s">
        <v>1462</v>
      </c>
      <c r="W43" s="29" t="s">
        <v>665</v>
      </c>
    </row>
    <row r="44" s="22" customFormat="1" ht="16.5" customHeight="1" spans="1:23">
      <c r="A44" s="25" t="s">
        <v>1463</v>
      </c>
      <c r="B44" s="25" t="s">
        <v>32</v>
      </c>
      <c r="C44" s="25" t="s">
        <v>1464</v>
      </c>
      <c r="D44" s="26">
        <v>1</v>
      </c>
      <c r="E44" s="25" t="s">
        <v>1465</v>
      </c>
      <c r="F44" s="27">
        <v>45735</v>
      </c>
      <c r="G44" s="27">
        <v>45735</v>
      </c>
      <c r="H44" s="28" t="s">
        <v>444</v>
      </c>
      <c r="I44" s="25" t="s">
        <v>445</v>
      </c>
      <c r="J44" s="28" t="s">
        <v>41</v>
      </c>
      <c r="K44" s="25" t="s">
        <v>660</v>
      </c>
      <c r="L44" s="28" t="s">
        <v>41</v>
      </c>
      <c r="M44" s="25" t="s">
        <v>492</v>
      </c>
      <c r="N44" s="28" t="s">
        <v>41</v>
      </c>
      <c r="O44" s="25" t="s">
        <v>1017</v>
      </c>
      <c r="P44" s="33">
        <v>0</v>
      </c>
      <c r="Q44" s="33">
        <v>31448.35</v>
      </c>
      <c r="R44" s="25" t="s">
        <v>748</v>
      </c>
      <c r="S44" s="25" t="s">
        <v>259</v>
      </c>
      <c r="T44" s="25" t="s">
        <v>36</v>
      </c>
      <c r="U44" s="25" t="s">
        <v>663</v>
      </c>
      <c r="V44" s="25" t="s">
        <v>1466</v>
      </c>
      <c r="W44" s="25" t="s">
        <v>665</v>
      </c>
    </row>
    <row r="45" s="22" customFormat="1" ht="16.5" customHeight="1" spans="1:23">
      <c r="A45" s="29" t="s">
        <v>1467</v>
      </c>
      <c r="B45" s="29" t="s">
        <v>32</v>
      </c>
      <c r="C45" s="29" t="s">
        <v>1468</v>
      </c>
      <c r="D45" s="30">
        <v>1</v>
      </c>
      <c r="E45" s="29" t="s">
        <v>1469</v>
      </c>
      <c r="F45" s="31">
        <v>45735</v>
      </c>
      <c r="G45" s="31">
        <v>45735</v>
      </c>
      <c r="H45" s="32" t="s">
        <v>444</v>
      </c>
      <c r="I45" s="29" t="s">
        <v>445</v>
      </c>
      <c r="J45" s="32" t="s">
        <v>41</v>
      </c>
      <c r="K45" s="29" t="s">
        <v>660</v>
      </c>
      <c r="L45" s="32" t="s">
        <v>41</v>
      </c>
      <c r="M45" s="29" t="s">
        <v>492</v>
      </c>
      <c r="N45" s="32" t="s">
        <v>41</v>
      </c>
      <c r="O45" s="29" t="s">
        <v>1307</v>
      </c>
      <c r="P45" s="34">
        <v>0</v>
      </c>
      <c r="Q45" s="34">
        <v>3670.46</v>
      </c>
      <c r="R45" s="29" t="s">
        <v>1308</v>
      </c>
      <c r="S45" s="29" t="s">
        <v>289</v>
      </c>
      <c r="T45" s="29" t="s">
        <v>36</v>
      </c>
      <c r="U45" s="29" t="s">
        <v>663</v>
      </c>
      <c r="V45" s="29" t="s">
        <v>1470</v>
      </c>
      <c r="W45" s="29" t="s">
        <v>665</v>
      </c>
    </row>
    <row r="46" s="22" customFormat="1" ht="16.5" customHeight="1" spans="1:23">
      <c r="A46" s="25" t="s">
        <v>1471</v>
      </c>
      <c r="B46" s="25" t="s">
        <v>32</v>
      </c>
      <c r="C46" s="25" t="s">
        <v>1472</v>
      </c>
      <c r="D46" s="26">
        <v>1</v>
      </c>
      <c r="E46" s="25" t="s">
        <v>1473</v>
      </c>
      <c r="F46" s="27">
        <v>45735</v>
      </c>
      <c r="G46" s="27">
        <v>45735</v>
      </c>
      <c r="H46" s="28" t="s">
        <v>444</v>
      </c>
      <c r="I46" s="25" t="s">
        <v>445</v>
      </c>
      <c r="J46" s="28" t="s">
        <v>41</v>
      </c>
      <c r="K46" s="25" t="s">
        <v>660</v>
      </c>
      <c r="L46" s="28" t="s">
        <v>41</v>
      </c>
      <c r="M46" s="25" t="s">
        <v>492</v>
      </c>
      <c r="N46" s="28" t="s">
        <v>41</v>
      </c>
      <c r="O46" s="25" t="s">
        <v>1107</v>
      </c>
      <c r="P46" s="33">
        <v>0</v>
      </c>
      <c r="Q46" s="33">
        <v>4169.7</v>
      </c>
      <c r="R46" s="25" t="s">
        <v>753</v>
      </c>
      <c r="S46" s="25" t="s">
        <v>252</v>
      </c>
      <c r="T46" s="25" t="s">
        <v>36</v>
      </c>
      <c r="U46" s="25" t="s">
        <v>663</v>
      </c>
      <c r="V46" s="25" t="s">
        <v>1474</v>
      </c>
      <c r="W46" s="25" t="s">
        <v>665</v>
      </c>
    </row>
    <row r="47" s="22" customFormat="1" ht="16.5" customHeight="1" spans="1:23">
      <c r="A47" s="29" t="s">
        <v>1475</v>
      </c>
      <c r="B47" s="29" t="s">
        <v>32</v>
      </c>
      <c r="C47" s="29" t="s">
        <v>1476</v>
      </c>
      <c r="D47" s="30">
        <v>1</v>
      </c>
      <c r="E47" s="29" t="s">
        <v>1477</v>
      </c>
      <c r="F47" s="31">
        <v>45735</v>
      </c>
      <c r="G47" s="31">
        <v>45735</v>
      </c>
      <c r="H47" s="32" t="s">
        <v>444</v>
      </c>
      <c r="I47" s="29" t="s">
        <v>445</v>
      </c>
      <c r="J47" s="32" t="s">
        <v>41</v>
      </c>
      <c r="K47" s="29" t="s">
        <v>660</v>
      </c>
      <c r="L47" s="32" t="s">
        <v>41</v>
      </c>
      <c r="M47" s="29" t="s">
        <v>492</v>
      </c>
      <c r="N47" s="32" t="s">
        <v>41</v>
      </c>
      <c r="O47" s="29" t="s">
        <v>1478</v>
      </c>
      <c r="P47" s="34">
        <v>0</v>
      </c>
      <c r="Q47" s="34">
        <v>218896.65</v>
      </c>
      <c r="R47" s="29" t="s">
        <v>793</v>
      </c>
      <c r="S47" s="29" t="s">
        <v>299</v>
      </c>
      <c r="T47" s="29" t="s">
        <v>36</v>
      </c>
      <c r="U47" s="29" t="s">
        <v>663</v>
      </c>
      <c r="V47" s="29" t="s">
        <v>1479</v>
      </c>
      <c r="W47" s="29" t="s">
        <v>665</v>
      </c>
    </row>
    <row r="48" s="22" customFormat="1" ht="16.5" customHeight="1" spans="1:23">
      <c r="A48" s="25" t="s">
        <v>1475</v>
      </c>
      <c r="B48" s="25" t="s">
        <v>32</v>
      </c>
      <c r="C48" s="25" t="s">
        <v>1476</v>
      </c>
      <c r="D48" s="26">
        <v>3</v>
      </c>
      <c r="E48" s="25" t="s">
        <v>1477</v>
      </c>
      <c r="F48" s="27">
        <v>45735</v>
      </c>
      <c r="G48" s="27">
        <v>45735</v>
      </c>
      <c r="H48" s="28" t="s">
        <v>444</v>
      </c>
      <c r="I48" s="25" t="s">
        <v>445</v>
      </c>
      <c r="J48" s="28" t="s">
        <v>41</v>
      </c>
      <c r="K48" s="25" t="s">
        <v>660</v>
      </c>
      <c r="L48" s="28" t="s">
        <v>41</v>
      </c>
      <c r="M48" s="25" t="s">
        <v>492</v>
      </c>
      <c r="N48" s="28" t="s">
        <v>41</v>
      </c>
      <c r="O48" s="25" t="s">
        <v>1478</v>
      </c>
      <c r="P48" s="33">
        <v>11244.8</v>
      </c>
      <c r="Q48" s="33">
        <v>0</v>
      </c>
      <c r="R48" s="25" t="s">
        <v>793</v>
      </c>
      <c r="S48" s="25" t="s">
        <v>299</v>
      </c>
      <c r="T48" s="25" t="s">
        <v>36</v>
      </c>
      <c r="U48" s="25" t="s">
        <v>663</v>
      </c>
      <c r="V48" s="25" t="s">
        <v>1479</v>
      </c>
      <c r="W48" s="25" t="s">
        <v>665</v>
      </c>
    </row>
    <row r="49" s="22" customFormat="1" ht="16.5" customHeight="1" spans="1:23">
      <c r="A49" s="29" t="s">
        <v>1480</v>
      </c>
      <c r="B49" s="29" t="s">
        <v>32</v>
      </c>
      <c r="C49" s="29" t="s">
        <v>1481</v>
      </c>
      <c r="D49" s="30">
        <v>1</v>
      </c>
      <c r="E49" s="29" t="s">
        <v>1482</v>
      </c>
      <c r="F49" s="31">
        <v>45736</v>
      </c>
      <c r="G49" s="31">
        <v>45736</v>
      </c>
      <c r="H49" s="32" t="s">
        <v>444</v>
      </c>
      <c r="I49" s="29" t="s">
        <v>445</v>
      </c>
      <c r="J49" s="32" t="s">
        <v>41</v>
      </c>
      <c r="K49" s="29" t="s">
        <v>660</v>
      </c>
      <c r="L49" s="32" t="s">
        <v>41</v>
      </c>
      <c r="M49" s="29" t="s">
        <v>492</v>
      </c>
      <c r="N49" s="32" t="s">
        <v>41</v>
      </c>
      <c r="O49" s="29" t="s">
        <v>1483</v>
      </c>
      <c r="P49" s="34">
        <v>0</v>
      </c>
      <c r="Q49" s="34">
        <v>27403.71</v>
      </c>
      <c r="R49" s="29" t="s">
        <v>1289</v>
      </c>
      <c r="S49" s="29" t="s">
        <v>284</v>
      </c>
      <c r="T49" s="29" t="s">
        <v>36</v>
      </c>
      <c r="U49" s="29" t="s">
        <v>663</v>
      </c>
      <c r="V49" s="29" t="s">
        <v>1484</v>
      </c>
      <c r="W49" s="29" t="s">
        <v>665</v>
      </c>
    </row>
    <row r="50" s="22" customFormat="1" ht="16.5" customHeight="1" spans="1:23">
      <c r="A50" s="25" t="s">
        <v>1485</v>
      </c>
      <c r="B50" s="25" t="s">
        <v>32</v>
      </c>
      <c r="C50" s="25" t="s">
        <v>1486</v>
      </c>
      <c r="D50" s="26">
        <v>1</v>
      </c>
      <c r="E50" s="25" t="s">
        <v>1487</v>
      </c>
      <c r="F50" s="27">
        <v>45736</v>
      </c>
      <c r="G50" s="27">
        <v>45736</v>
      </c>
      <c r="H50" s="28" t="s">
        <v>444</v>
      </c>
      <c r="I50" s="25" t="s">
        <v>445</v>
      </c>
      <c r="J50" s="28" t="s">
        <v>41</v>
      </c>
      <c r="K50" s="25" t="s">
        <v>660</v>
      </c>
      <c r="L50" s="28" t="s">
        <v>41</v>
      </c>
      <c r="M50" s="25" t="s">
        <v>492</v>
      </c>
      <c r="N50" s="28" t="s">
        <v>41</v>
      </c>
      <c r="O50" s="25" t="s">
        <v>1056</v>
      </c>
      <c r="P50" s="33">
        <v>0</v>
      </c>
      <c r="Q50" s="33">
        <v>65445.65</v>
      </c>
      <c r="R50" s="25" t="s">
        <v>1057</v>
      </c>
      <c r="S50" s="25" t="s">
        <v>286</v>
      </c>
      <c r="T50" s="25" t="s">
        <v>36</v>
      </c>
      <c r="U50" s="25" t="s">
        <v>663</v>
      </c>
      <c r="V50" s="25" t="s">
        <v>1488</v>
      </c>
      <c r="W50" s="25" t="s">
        <v>665</v>
      </c>
    </row>
    <row r="51" s="22" customFormat="1" ht="16.5" customHeight="1" spans="1:23">
      <c r="A51" s="29" t="s">
        <v>1489</v>
      </c>
      <c r="B51" s="29" t="s">
        <v>32</v>
      </c>
      <c r="C51" s="29" t="s">
        <v>1490</v>
      </c>
      <c r="D51" s="30">
        <v>1</v>
      </c>
      <c r="E51" s="29" t="s">
        <v>1491</v>
      </c>
      <c r="F51" s="31">
        <v>45736</v>
      </c>
      <c r="G51" s="31">
        <v>45736</v>
      </c>
      <c r="H51" s="32" t="s">
        <v>444</v>
      </c>
      <c r="I51" s="29" t="s">
        <v>445</v>
      </c>
      <c r="J51" s="32" t="s">
        <v>41</v>
      </c>
      <c r="K51" s="29" t="s">
        <v>660</v>
      </c>
      <c r="L51" s="32" t="s">
        <v>41</v>
      </c>
      <c r="M51" s="29" t="s">
        <v>492</v>
      </c>
      <c r="N51" s="32" t="s">
        <v>41</v>
      </c>
      <c r="O51" s="29" t="s">
        <v>946</v>
      </c>
      <c r="P51" s="34">
        <v>0</v>
      </c>
      <c r="Q51" s="34">
        <v>18852.92</v>
      </c>
      <c r="R51" s="29" t="s">
        <v>947</v>
      </c>
      <c r="S51" s="29" t="s">
        <v>300</v>
      </c>
      <c r="T51" s="29" t="s">
        <v>36</v>
      </c>
      <c r="U51" s="29" t="s">
        <v>663</v>
      </c>
      <c r="V51" s="29" t="s">
        <v>1492</v>
      </c>
      <c r="W51" s="29" t="s">
        <v>665</v>
      </c>
    </row>
    <row r="52" s="22" customFormat="1" ht="16.5" customHeight="1" spans="1:23">
      <c r="A52" s="25" t="s">
        <v>1493</v>
      </c>
      <c r="B52" s="25" t="s">
        <v>32</v>
      </c>
      <c r="C52" s="25" t="s">
        <v>1494</v>
      </c>
      <c r="D52" s="26">
        <v>1</v>
      </c>
      <c r="E52" s="25" t="s">
        <v>1495</v>
      </c>
      <c r="F52" s="27">
        <v>45736</v>
      </c>
      <c r="G52" s="27">
        <v>45736</v>
      </c>
      <c r="H52" s="28" t="s">
        <v>444</v>
      </c>
      <c r="I52" s="25" t="s">
        <v>445</v>
      </c>
      <c r="J52" s="28" t="s">
        <v>41</v>
      </c>
      <c r="K52" s="25" t="s">
        <v>660</v>
      </c>
      <c r="L52" s="28" t="s">
        <v>41</v>
      </c>
      <c r="M52" s="25" t="s">
        <v>492</v>
      </c>
      <c r="N52" s="28" t="s">
        <v>41</v>
      </c>
      <c r="O52" s="25" t="s">
        <v>1496</v>
      </c>
      <c r="P52" s="33">
        <v>0</v>
      </c>
      <c r="Q52" s="33">
        <v>3847.65</v>
      </c>
      <c r="R52" s="25" t="s">
        <v>1080</v>
      </c>
      <c r="S52" s="25" t="s">
        <v>305</v>
      </c>
      <c r="T52" s="25" t="s">
        <v>36</v>
      </c>
      <c r="U52" s="25" t="s">
        <v>663</v>
      </c>
      <c r="V52" s="25" t="s">
        <v>1497</v>
      </c>
      <c r="W52" s="25" t="s">
        <v>665</v>
      </c>
    </row>
    <row r="53" s="22" customFormat="1" ht="16.5" customHeight="1" spans="1:23">
      <c r="A53" s="29" t="s">
        <v>1498</v>
      </c>
      <c r="B53" s="29" t="s">
        <v>32</v>
      </c>
      <c r="C53" s="29" t="s">
        <v>1499</v>
      </c>
      <c r="D53" s="30">
        <v>1</v>
      </c>
      <c r="E53" s="29" t="s">
        <v>1500</v>
      </c>
      <c r="F53" s="31">
        <v>45736</v>
      </c>
      <c r="G53" s="31">
        <v>45736</v>
      </c>
      <c r="H53" s="32" t="s">
        <v>444</v>
      </c>
      <c r="I53" s="29" t="s">
        <v>445</v>
      </c>
      <c r="J53" s="32" t="s">
        <v>41</v>
      </c>
      <c r="K53" s="29" t="s">
        <v>660</v>
      </c>
      <c r="L53" s="32" t="s">
        <v>41</v>
      </c>
      <c r="M53" s="29" t="s">
        <v>492</v>
      </c>
      <c r="N53" s="32" t="s">
        <v>41</v>
      </c>
      <c r="O53" s="29" t="s">
        <v>999</v>
      </c>
      <c r="P53" s="34">
        <v>0</v>
      </c>
      <c r="Q53" s="34">
        <v>123779.07</v>
      </c>
      <c r="R53" s="29" t="s">
        <v>739</v>
      </c>
      <c r="S53" s="29" t="s">
        <v>249</v>
      </c>
      <c r="T53" s="29" t="s">
        <v>36</v>
      </c>
      <c r="U53" s="29" t="s">
        <v>663</v>
      </c>
      <c r="V53" s="29" t="s">
        <v>1501</v>
      </c>
      <c r="W53" s="29" t="s">
        <v>665</v>
      </c>
    </row>
    <row r="54" s="22" customFormat="1" ht="16.5" customHeight="1" spans="1:23">
      <c r="A54" s="25" t="s">
        <v>1502</v>
      </c>
      <c r="B54" s="25" t="s">
        <v>32</v>
      </c>
      <c r="C54" s="25" t="s">
        <v>1503</v>
      </c>
      <c r="D54" s="26">
        <v>1</v>
      </c>
      <c r="E54" s="25" t="s">
        <v>1504</v>
      </c>
      <c r="F54" s="27">
        <v>45736</v>
      </c>
      <c r="G54" s="27">
        <v>45736</v>
      </c>
      <c r="H54" s="28" t="s">
        <v>444</v>
      </c>
      <c r="I54" s="25" t="s">
        <v>445</v>
      </c>
      <c r="J54" s="28" t="s">
        <v>41</v>
      </c>
      <c r="K54" s="25" t="s">
        <v>660</v>
      </c>
      <c r="L54" s="28" t="s">
        <v>41</v>
      </c>
      <c r="M54" s="25" t="s">
        <v>492</v>
      </c>
      <c r="N54" s="28" t="s">
        <v>41</v>
      </c>
      <c r="O54" s="25" t="s">
        <v>1505</v>
      </c>
      <c r="P54" s="33">
        <v>0</v>
      </c>
      <c r="Q54" s="33">
        <v>1748.75</v>
      </c>
      <c r="R54" s="25" t="s">
        <v>1342</v>
      </c>
      <c r="S54" s="25" t="s">
        <v>321</v>
      </c>
      <c r="T54" s="25" t="s">
        <v>36</v>
      </c>
      <c r="U54" s="25" t="s">
        <v>663</v>
      </c>
      <c r="V54" s="25" t="s">
        <v>1506</v>
      </c>
      <c r="W54" s="25" t="s">
        <v>665</v>
      </c>
    </row>
    <row r="55" s="22" customFormat="1" ht="16.5" customHeight="1" spans="1:23">
      <c r="A55" s="29" t="s">
        <v>1507</v>
      </c>
      <c r="B55" s="29" t="s">
        <v>32</v>
      </c>
      <c r="C55" s="29" t="s">
        <v>1508</v>
      </c>
      <c r="D55" s="30">
        <v>1</v>
      </c>
      <c r="E55" s="29" t="s">
        <v>1509</v>
      </c>
      <c r="F55" s="31">
        <v>45736</v>
      </c>
      <c r="G55" s="31">
        <v>45736</v>
      </c>
      <c r="H55" s="32" t="s">
        <v>444</v>
      </c>
      <c r="I55" s="29" t="s">
        <v>445</v>
      </c>
      <c r="J55" s="32" t="s">
        <v>41</v>
      </c>
      <c r="K55" s="29" t="s">
        <v>660</v>
      </c>
      <c r="L55" s="32" t="s">
        <v>41</v>
      </c>
      <c r="M55" s="29" t="s">
        <v>492</v>
      </c>
      <c r="N55" s="32" t="s">
        <v>41</v>
      </c>
      <c r="O55" s="29" t="s">
        <v>1364</v>
      </c>
      <c r="P55" s="34">
        <v>0</v>
      </c>
      <c r="Q55" s="34">
        <v>35503.37</v>
      </c>
      <c r="R55" s="29" t="s">
        <v>1365</v>
      </c>
      <c r="S55" s="29" t="s">
        <v>320</v>
      </c>
      <c r="T55" s="29" t="s">
        <v>36</v>
      </c>
      <c r="U55" s="29" t="s">
        <v>663</v>
      </c>
      <c r="V55" s="29" t="s">
        <v>1510</v>
      </c>
      <c r="W55" s="29" t="s">
        <v>665</v>
      </c>
    </row>
    <row r="56" s="22" customFormat="1" ht="16.5" customHeight="1" spans="1:23">
      <c r="A56" s="25" t="s">
        <v>1511</v>
      </c>
      <c r="B56" s="25" t="s">
        <v>32</v>
      </c>
      <c r="C56" s="25" t="s">
        <v>1512</v>
      </c>
      <c r="D56" s="26">
        <v>1</v>
      </c>
      <c r="E56" s="25" t="s">
        <v>1513</v>
      </c>
      <c r="F56" s="27">
        <v>45736</v>
      </c>
      <c r="G56" s="27">
        <v>45736</v>
      </c>
      <c r="H56" s="28" t="s">
        <v>444</v>
      </c>
      <c r="I56" s="25" t="s">
        <v>445</v>
      </c>
      <c r="J56" s="28" t="s">
        <v>41</v>
      </c>
      <c r="K56" s="25" t="s">
        <v>660</v>
      </c>
      <c r="L56" s="28" t="s">
        <v>41</v>
      </c>
      <c r="M56" s="25" t="s">
        <v>492</v>
      </c>
      <c r="N56" s="28" t="s">
        <v>41</v>
      </c>
      <c r="O56" s="25" t="s">
        <v>690</v>
      </c>
      <c r="P56" s="33">
        <v>0</v>
      </c>
      <c r="Q56" s="33">
        <v>678</v>
      </c>
      <c r="R56" s="25" t="s">
        <v>691</v>
      </c>
      <c r="S56" s="25" t="s">
        <v>302</v>
      </c>
      <c r="T56" s="25" t="s">
        <v>36</v>
      </c>
      <c r="U56" s="25" t="s">
        <v>663</v>
      </c>
      <c r="V56" s="25" t="s">
        <v>1514</v>
      </c>
      <c r="W56" s="25" t="s">
        <v>665</v>
      </c>
    </row>
    <row r="57" s="22" customFormat="1" ht="16.5" customHeight="1" spans="1:23">
      <c r="A57" s="29" t="s">
        <v>1515</v>
      </c>
      <c r="B57" s="29" t="s">
        <v>32</v>
      </c>
      <c r="C57" s="29" t="s">
        <v>1516</v>
      </c>
      <c r="D57" s="30">
        <v>1</v>
      </c>
      <c r="E57" s="29" t="s">
        <v>1517</v>
      </c>
      <c r="F57" s="31">
        <v>45736</v>
      </c>
      <c r="G57" s="31">
        <v>45736</v>
      </c>
      <c r="H57" s="32" t="s">
        <v>444</v>
      </c>
      <c r="I57" s="29" t="s">
        <v>445</v>
      </c>
      <c r="J57" s="32" t="s">
        <v>41</v>
      </c>
      <c r="K57" s="29" t="s">
        <v>660</v>
      </c>
      <c r="L57" s="32" t="s">
        <v>41</v>
      </c>
      <c r="M57" s="29" t="s">
        <v>492</v>
      </c>
      <c r="N57" s="32" t="s">
        <v>41</v>
      </c>
      <c r="O57" s="29" t="s">
        <v>1518</v>
      </c>
      <c r="P57" s="34">
        <v>0</v>
      </c>
      <c r="Q57" s="34">
        <v>46646.4</v>
      </c>
      <c r="R57" s="29" t="s">
        <v>1519</v>
      </c>
      <c r="S57" s="29" t="s">
        <v>415</v>
      </c>
      <c r="T57" s="29" t="s">
        <v>36</v>
      </c>
      <c r="U57" s="29" t="s">
        <v>663</v>
      </c>
      <c r="V57" s="29" t="s">
        <v>1520</v>
      </c>
      <c r="W57" s="29" t="s">
        <v>665</v>
      </c>
    </row>
    <row r="58" s="22" customFormat="1" ht="16.5" customHeight="1" spans="1:23">
      <c r="A58" s="25" t="s">
        <v>1521</v>
      </c>
      <c r="B58" s="25" t="s">
        <v>32</v>
      </c>
      <c r="C58" s="25" t="s">
        <v>1522</v>
      </c>
      <c r="D58" s="26">
        <v>1</v>
      </c>
      <c r="E58" s="25" t="s">
        <v>1523</v>
      </c>
      <c r="F58" s="27">
        <v>45740</v>
      </c>
      <c r="G58" s="27">
        <v>45740</v>
      </c>
      <c r="H58" s="28" t="s">
        <v>444</v>
      </c>
      <c r="I58" s="25" t="s">
        <v>445</v>
      </c>
      <c r="J58" s="28" t="s">
        <v>41</v>
      </c>
      <c r="K58" s="25" t="s">
        <v>660</v>
      </c>
      <c r="L58" s="28" t="s">
        <v>41</v>
      </c>
      <c r="M58" s="25" t="s">
        <v>492</v>
      </c>
      <c r="N58" s="28" t="s">
        <v>41</v>
      </c>
      <c r="O58" s="25" t="s">
        <v>908</v>
      </c>
      <c r="P58" s="33">
        <v>0</v>
      </c>
      <c r="Q58" s="33">
        <v>59100.25</v>
      </c>
      <c r="R58" s="25" t="s">
        <v>876</v>
      </c>
      <c r="S58" s="25" t="s">
        <v>272</v>
      </c>
      <c r="T58" s="25" t="s">
        <v>36</v>
      </c>
      <c r="U58" s="25" t="s">
        <v>663</v>
      </c>
      <c r="V58" s="25" t="s">
        <v>1524</v>
      </c>
      <c r="W58" s="25" t="s">
        <v>665</v>
      </c>
    </row>
    <row r="59" s="22" customFormat="1" ht="16.5" customHeight="1" spans="1:23">
      <c r="A59" s="29" t="s">
        <v>1525</v>
      </c>
      <c r="B59" s="29" t="s">
        <v>32</v>
      </c>
      <c r="C59" s="29" t="s">
        <v>1526</v>
      </c>
      <c r="D59" s="30">
        <v>1</v>
      </c>
      <c r="E59" s="29" t="s">
        <v>1527</v>
      </c>
      <c r="F59" s="31">
        <v>45740</v>
      </c>
      <c r="G59" s="31">
        <v>45740</v>
      </c>
      <c r="H59" s="32" t="s">
        <v>444</v>
      </c>
      <c r="I59" s="29" t="s">
        <v>445</v>
      </c>
      <c r="J59" s="32" t="s">
        <v>41</v>
      </c>
      <c r="K59" s="29" t="s">
        <v>660</v>
      </c>
      <c r="L59" s="32" t="s">
        <v>41</v>
      </c>
      <c r="M59" s="29" t="s">
        <v>492</v>
      </c>
      <c r="N59" s="32" t="s">
        <v>41</v>
      </c>
      <c r="O59" s="29" t="s">
        <v>903</v>
      </c>
      <c r="P59" s="34">
        <v>0</v>
      </c>
      <c r="Q59" s="34">
        <v>142974.79</v>
      </c>
      <c r="R59" s="29" t="s">
        <v>904</v>
      </c>
      <c r="S59" s="29" t="s">
        <v>258</v>
      </c>
      <c r="T59" s="29" t="s">
        <v>36</v>
      </c>
      <c r="U59" s="29" t="s">
        <v>663</v>
      </c>
      <c r="V59" s="29" t="s">
        <v>1528</v>
      </c>
      <c r="W59" s="29" t="s">
        <v>665</v>
      </c>
    </row>
    <row r="60" s="22" customFormat="1" ht="16.5" customHeight="1" spans="1:23">
      <c r="A60" s="25" t="s">
        <v>1529</v>
      </c>
      <c r="B60" s="25" t="s">
        <v>32</v>
      </c>
      <c r="C60" s="25" t="s">
        <v>1530</v>
      </c>
      <c r="D60" s="26">
        <v>1</v>
      </c>
      <c r="E60" s="25" t="s">
        <v>1531</v>
      </c>
      <c r="F60" s="27">
        <v>45740</v>
      </c>
      <c r="G60" s="27">
        <v>45740</v>
      </c>
      <c r="H60" s="28" t="s">
        <v>444</v>
      </c>
      <c r="I60" s="25" t="s">
        <v>445</v>
      </c>
      <c r="J60" s="28" t="s">
        <v>41</v>
      </c>
      <c r="K60" s="25" t="s">
        <v>660</v>
      </c>
      <c r="L60" s="28" t="s">
        <v>41</v>
      </c>
      <c r="M60" s="25" t="s">
        <v>492</v>
      </c>
      <c r="N60" s="28" t="s">
        <v>41</v>
      </c>
      <c r="O60" s="25" t="s">
        <v>827</v>
      </c>
      <c r="P60" s="33">
        <v>0</v>
      </c>
      <c r="Q60" s="33">
        <v>22780.8</v>
      </c>
      <c r="R60" s="25" t="s">
        <v>828</v>
      </c>
      <c r="S60" s="25" t="s">
        <v>579</v>
      </c>
      <c r="T60" s="25" t="s">
        <v>36</v>
      </c>
      <c r="U60" s="25" t="s">
        <v>663</v>
      </c>
      <c r="V60" s="25" t="s">
        <v>1532</v>
      </c>
      <c r="W60" s="25" t="s">
        <v>665</v>
      </c>
    </row>
    <row r="61" s="22" customFormat="1" ht="16.5" customHeight="1" spans="1:23">
      <c r="A61" s="29" t="s">
        <v>1533</v>
      </c>
      <c r="B61" s="29" t="s">
        <v>32</v>
      </c>
      <c r="C61" s="29" t="s">
        <v>1534</v>
      </c>
      <c r="D61" s="30">
        <v>1</v>
      </c>
      <c r="E61" s="29" t="s">
        <v>1535</v>
      </c>
      <c r="F61" s="31">
        <v>45740</v>
      </c>
      <c r="G61" s="31">
        <v>45740</v>
      </c>
      <c r="H61" s="32" t="s">
        <v>444</v>
      </c>
      <c r="I61" s="29" t="s">
        <v>445</v>
      </c>
      <c r="J61" s="32" t="s">
        <v>41</v>
      </c>
      <c r="K61" s="29" t="s">
        <v>660</v>
      </c>
      <c r="L61" s="32" t="s">
        <v>41</v>
      </c>
      <c r="M61" s="29" t="s">
        <v>492</v>
      </c>
      <c r="N61" s="32" t="s">
        <v>41</v>
      </c>
      <c r="O61" s="29" t="s">
        <v>951</v>
      </c>
      <c r="P61" s="34">
        <v>0</v>
      </c>
      <c r="Q61" s="34">
        <v>374347.91</v>
      </c>
      <c r="R61" s="29" t="s">
        <v>952</v>
      </c>
      <c r="S61" s="29" t="s">
        <v>264</v>
      </c>
      <c r="T61" s="29" t="s">
        <v>36</v>
      </c>
      <c r="U61" s="29" t="s">
        <v>663</v>
      </c>
      <c r="V61" s="29" t="s">
        <v>1536</v>
      </c>
      <c r="W61" s="29" t="s">
        <v>665</v>
      </c>
    </row>
    <row r="62" s="22" customFormat="1" ht="16.5" customHeight="1" spans="1:23">
      <c r="A62" s="25" t="s">
        <v>1533</v>
      </c>
      <c r="B62" s="25" t="s">
        <v>32</v>
      </c>
      <c r="C62" s="25" t="s">
        <v>1534</v>
      </c>
      <c r="D62" s="26">
        <v>3</v>
      </c>
      <c r="E62" s="25" t="s">
        <v>1535</v>
      </c>
      <c r="F62" s="27">
        <v>45740</v>
      </c>
      <c r="G62" s="27">
        <v>45740</v>
      </c>
      <c r="H62" s="28" t="s">
        <v>444</v>
      </c>
      <c r="I62" s="25" t="s">
        <v>445</v>
      </c>
      <c r="J62" s="28" t="s">
        <v>41</v>
      </c>
      <c r="K62" s="25" t="s">
        <v>660</v>
      </c>
      <c r="L62" s="28" t="s">
        <v>41</v>
      </c>
      <c r="M62" s="25" t="s">
        <v>492</v>
      </c>
      <c r="N62" s="28" t="s">
        <v>41</v>
      </c>
      <c r="O62" s="25" t="s">
        <v>951</v>
      </c>
      <c r="P62" s="33">
        <v>1265.31</v>
      </c>
      <c r="Q62" s="33">
        <v>0</v>
      </c>
      <c r="R62" s="25" t="s">
        <v>952</v>
      </c>
      <c r="S62" s="25" t="s">
        <v>264</v>
      </c>
      <c r="T62" s="25" t="s">
        <v>36</v>
      </c>
      <c r="U62" s="25" t="s">
        <v>663</v>
      </c>
      <c r="V62" s="25" t="s">
        <v>1536</v>
      </c>
      <c r="W62" s="25" t="s">
        <v>665</v>
      </c>
    </row>
    <row r="63" s="22" customFormat="1" ht="16.5" customHeight="1" spans="1:23">
      <c r="A63" s="29" t="s">
        <v>1537</v>
      </c>
      <c r="B63" s="29" t="s">
        <v>32</v>
      </c>
      <c r="C63" s="29" t="s">
        <v>1538</v>
      </c>
      <c r="D63" s="30">
        <v>1</v>
      </c>
      <c r="E63" s="29" t="s">
        <v>1539</v>
      </c>
      <c r="F63" s="31">
        <v>45740</v>
      </c>
      <c r="G63" s="31">
        <v>45740</v>
      </c>
      <c r="H63" s="32" t="s">
        <v>444</v>
      </c>
      <c r="I63" s="29" t="s">
        <v>445</v>
      </c>
      <c r="J63" s="32" t="s">
        <v>41</v>
      </c>
      <c r="K63" s="29" t="s">
        <v>660</v>
      </c>
      <c r="L63" s="32" t="s">
        <v>41</v>
      </c>
      <c r="M63" s="29" t="s">
        <v>492</v>
      </c>
      <c r="N63" s="32" t="s">
        <v>41</v>
      </c>
      <c r="O63" s="29" t="s">
        <v>1540</v>
      </c>
      <c r="P63" s="34">
        <v>0.01</v>
      </c>
      <c r="Q63" s="34">
        <v>0</v>
      </c>
      <c r="R63" s="29" t="s">
        <v>952</v>
      </c>
      <c r="S63" s="29" t="s">
        <v>264</v>
      </c>
      <c r="T63" s="29" t="s">
        <v>36</v>
      </c>
      <c r="U63" s="29" t="s">
        <v>663</v>
      </c>
      <c r="V63" s="29" t="s">
        <v>1541</v>
      </c>
      <c r="W63" s="29" t="s">
        <v>665</v>
      </c>
    </row>
    <row r="64" s="22" customFormat="1" ht="16.5" customHeight="1" spans="1:23">
      <c r="A64" s="25" t="s">
        <v>1542</v>
      </c>
      <c r="B64" s="25" t="s">
        <v>32</v>
      </c>
      <c r="C64" s="25" t="s">
        <v>1543</v>
      </c>
      <c r="D64" s="26">
        <v>1</v>
      </c>
      <c r="E64" s="25" t="s">
        <v>1544</v>
      </c>
      <c r="F64" s="27">
        <v>45740</v>
      </c>
      <c r="G64" s="27">
        <v>45740</v>
      </c>
      <c r="H64" s="28" t="s">
        <v>444</v>
      </c>
      <c r="I64" s="25" t="s">
        <v>445</v>
      </c>
      <c r="J64" s="28" t="s">
        <v>41</v>
      </c>
      <c r="K64" s="25" t="s">
        <v>660</v>
      </c>
      <c r="L64" s="28" t="s">
        <v>41</v>
      </c>
      <c r="M64" s="25" t="s">
        <v>492</v>
      </c>
      <c r="N64" s="28" t="s">
        <v>41</v>
      </c>
      <c r="O64" s="25" t="s">
        <v>1545</v>
      </c>
      <c r="P64" s="33">
        <v>0</v>
      </c>
      <c r="Q64" s="33">
        <v>21652.61</v>
      </c>
      <c r="R64" s="25" t="s">
        <v>1546</v>
      </c>
      <c r="S64" s="25" t="s">
        <v>273</v>
      </c>
      <c r="T64" s="25" t="s">
        <v>36</v>
      </c>
      <c r="U64" s="25" t="s">
        <v>663</v>
      </c>
      <c r="V64" s="25" t="s">
        <v>1547</v>
      </c>
      <c r="W64" s="25" t="s">
        <v>665</v>
      </c>
    </row>
    <row r="65" s="22" customFormat="1" ht="16.5" customHeight="1" spans="1:23">
      <c r="A65" s="29" t="s">
        <v>1548</v>
      </c>
      <c r="B65" s="29" t="s">
        <v>32</v>
      </c>
      <c r="C65" s="29" t="s">
        <v>1549</v>
      </c>
      <c r="D65" s="30">
        <v>1</v>
      </c>
      <c r="E65" s="29" t="s">
        <v>1550</v>
      </c>
      <c r="F65" s="31">
        <v>45740</v>
      </c>
      <c r="G65" s="31">
        <v>45740</v>
      </c>
      <c r="H65" s="32" t="s">
        <v>444</v>
      </c>
      <c r="I65" s="29" t="s">
        <v>445</v>
      </c>
      <c r="J65" s="32" t="s">
        <v>41</v>
      </c>
      <c r="K65" s="29" t="s">
        <v>660</v>
      </c>
      <c r="L65" s="32" t="s">
        <v>41</v>
      </c>
      <c r="M65" s="29" t="s">
        <v>492</v>
      </c>
      <c r="N65" s="32" t="s">
        <v>41</v>
      </c>
      <c r="O65" s="29" t="s">
        <v>1551</v>
      </c>
      <c r="P65" s="34">
        <v>2532.79</v>
      </c>
      <c r="Q65" s="34">
        <v>0</v>
      </c>
      <c r="R65" s="29" t="s">
        <v>1552</v>
      </c>
      <c r="S65" s="29" t="s">
        <v>256</v>
      </c>
      <c r="T65" s="29" t="s">
        <v>36</v>
      </c>
      <c r="U65" s="29" t="s">
        <v>663</v>
      </c>
      <c r="V65" s="29" t="s">
        <v>1553</v>
      </c>
      <c r="W65" s="29" t="s">
        <v>665</v>
      </c>
    </row>
    <row r="66" s="22" customFormat="1" ht="16.5" customHeight="1" spans="1:23">
      <c r="A66" s="25" t="s">
        <v>1548</v>
      </c>
      <c r="B66" s="25" t="s">
        <v>32</v>
      </c>
      <c r="C66" s="25" t="s">
        <v>1549</v>
      </c>
      <c r="D66" s="26">
        <v>3</v>
      </c>
      <c r="E66" s="25" t="s">
        <v>1550</v>
      </c>
      <c r="F66" s="27">
        <v>45740</v>
      </c>
      <c r="G66" s="27">
        <v>45740</v>
      </c>
      <c r="H66" s="28" t="s">
        <v>444</v>
      </c>
      <c r="I66" s="25" t="s">
        <v>445</v>
      </c>
      <c r="J66" s="28" t="s">
        <v>41</v>
      </c>
      <c r="K66" s="25" t="s">
        <v>660</v>
      </c>
      <c r="L66" s="28" t="s">
        <v>41</v>
      </c>
      <c r="M66" s="25" t="s">
        <v>492</v>
      </c>
      <c r="N66" s="28" t="s">
        <v>41</v>
      </c>
      <c r="O66" s="25" t="s">
        <v>1551</v>
      </c>
      <c r="P66" s="33">
        <v>0</v>
      </c>
      <c r="Q66" s="33">
        <v>2053957.49</v>
      </c>
      <c r="R66" s="25" t="s">
        <v>1552</v>
      </c>
      <c r="S66" s="25" t="s">
        <v>256</v>
      </c>
      <c r="T66" s="25" t="s">
        <v>36</v>
      </c>
      <c r="U66" s="25" t="s">
        <v>663</v>
      </c>
      <c r="V66" s="25" t="s">
        <v>1553</v>
      </c>
      <c r="W66" s="25" t="s">
        <v>665</v>
      </c>
    </row>
    <row r="67" s="22" customFormat="1" ht="16.5" customHeight="1" spans="1:23">
      <c r="A67" s="29" t="s">
        <v>1554</v>
      </c>
      <c r="B67" s="29" t="s">
        <v>32</v>
      </c>
      <c r="C67" s="29" t="s">
        <v>1555</v>
      </c>
      <c r="D67" s="30">
        <v>1</v>
      </c>
      <c r="E67" s="29" t="s">
        <v>1556</v>
      </c>
      <c r="F67" s="31">
        <v>45740</v>
      </c>
      <c r="G67" s="31">
        <v>45740</v>
      </c>
      <c r="H67" s="32" t="s">
        <v>444</v>
      </c>
      <c r="I67" s="29" t="s">
        <v>445</v>
      </c>
      <c r="J67" s="32" t="s">
        <v>41</v>
      </c>
      <c r="K67" s="29" t="s">
        <v>660</v>
      </c>
      <c r="L67" s="32" t="s">
        <v>41</v>
      </c>
      <c r="M67" s="29" t="s">
        <v>492</v>
      </c>
      <c r="N67" s="32" t="s">
        <v>41</v>
      </c>
      <c r="O67" s="29" t="s">
        <v>1557</v>
      </c>
      <c r="P67" s="34">
        <v>0.13</v>
      </c>
      <c r="Q67" s="34">
        <v>0</v>
      </c>
      <c r="R67" s="29" t="s">
        <v>1552</v>
      </c>
      <c r="S67" s="29" t="s">
        <v>256</v>
      </c>
      <c r="T67" s="29" t="s">
        <v>36</v>
      </c>
      <c r="U67" s="29" t="s">
        <v>663</v>
      </c>
      <c r="V67" s="29" t="s">
        <v>1558</v>
      </c>
      <c r="W67" s="29" t="s">
        <v>665</v>
      </c>
    </row>
    <row r="68" s="22" customFormat="1" ht="16.5" customHeight="1" spans="1:23">
      <c r="A68" s="25" t="s">
        <v>1559</v>
      </c>
      <c r="B68" s="25" t="s">
        <v>32</v>
      </c>
      <c r="C68" s="25" t="s">
        <v>1560</v>
      </c>
      <c r="D68" s="26">
        <v>1</v>
      </c>
      <c r="E68" s="25" t="s">
        <v>1561</v>
      </c>
      <c r="F68" s="27">
        <v>45740</v>
      </c>
      <c r="G68" s="27">
        <v>45740</v>
      </c>
      <c r="H68" s="28" t="s">
        <v>444</v>
      </c>
      <c r="I68" s="25" t="s">
        <v>445</v>
      </c>
      <c r="J68" s="28" t="s">
        <v>41</v>
      </c>
      <c r="K68" s="25" t="s">
        <v>660</v>
      </c>
      <c r="L68" s="28" t="s">
        <v>41</v>
      </c>
      <c r="M68" s="25" t="s">
        <v>492</v>
      </c>
      <c r="N68" s="28" t="s">
        <v>41</v>
      </c>
      <c r="O68" s="25" t="s">
        <v>1562</v>
      </c>
      <c r="P68" s="33">
        <v>34976.62</v>
      </c>
      <c r="Q68" s="33">
        <v>0</v>
      </c>
      <c r="R68" s="25" t="s">
        <v>1552</v>
      </c>
      <c r="S68" s="25" t="s">
        <v>256</v>
      </c>
      <c r="T68" s="25" t="s">
        <v>36</v>
      </c>
      <c r="U68" s="25" t="s">
        <v>663</v>
      </c>
      <c r="V68" s="25" t="s">
        <v>1563</v>
      </c>
      <c r="W68" s="25" t="s">
        <v>665</v>
      </c>
    </row>
    <row r="69" s="22" customFormat="1" ht="16.5" customHeight="1" spans="1:23">
      <c r="A69" s="29" t="s">
        <v>1564</v>
      </c>
      <c r="B69" s="29" t="s">
        <v>32</v>
      </c>
      <c r="C69" s="29" t="s">
        <v>1565</v>
      </c>
      <c r="D69" s="30">
        <v>1</v>
      </c>
      <c r="E69" s="29" t="s">
        <v>1566</v>
      </c>
      <c r="F69" s="31">
        <v>45741</v>
      </c>
      <c r="G69" s="31">
        <v>45741</v>
      </c>
      <c r="H69" s="32" t="s">
        <v>444</v>
      </c>
      <c r="I69" s="29" t="s">
        <v>445</v>
      </c>
      <c r="J69" s="32" t="s">
        <v>41</v>
      </c>
      <c r="K69" s="29" t="s">
        <v>660</v>
      </c>
      <c r="L69" s="32" t="s">
        <v>41</v>
      </c>
      <c r="M69" s="29" t="s">
        <v>492</v>
      </c>
      <c r="N69" s="32" t="s">
        <v>41</v>
      </c>
      <c r="O69" s="29" t="s">
        <v>1567</v>
      </c>
      <c r="P69" s="34">
        <v>0</v>
      </c>
      <c r="Q69" s="34">
        <v>79798.72</v>
      </c>
      <c r="R69" s="29" t="s">
        <v>938</v>
      </c>
      <c r="S69" s="29" t="s">
        <v>253</v>
      </c>
      <c r="T69" s="29" t="s">
        <v>36</v>
      </c>
      <c r="U69" s="29" t="s">
        <v>663</v>
      </c>
      <c r="V69" s="29" t="s">
        <v>1568</v>
      </c>
      <c r="W69" s="29" t="s">
        <v>665</v>
      </c>
    </row>
    <row r="70" s="22" customFormat="1" ht="16.5" customHeight="1" spans="1:23">
      <c r="A70" s="25" t="s">
        <v>1564</v>
      </c>
      <c r="B70" s="25" t="s">
        <v>32</v>
      </c>
      <c r="C70" s="25" t="s">
        <v>1565</v>
      </c>
      <c r="D70" s="26">
        <v>3</v>
      </c>
      <c r="E70" s="25" t="s">
        <v>1566</v>
      </c>
      <c r="F70" s="27">
        <v>45741</v>
      </c>
      <c r="G70" s="27">
        <v>45741</v>
      </c>
      <c r="H70" s="28" t="s">
        <v>444</v>
      </c>
      <c r="I70" s="25" t="s">
        <v>445</v>
      </c>
      <c r="J70" s="28" t="s">
        <v>41</v>
      </c>
      <c r="K70" s="25" t="s">
        <v>660</v>
      </c>
      <c r="L70" s="28" t="s">
        <v>41</v>
      </c>
      <c r="M70" s="25" t="s">
        <v>492</v>
      </c>
      <c r="N70" s="28" t="s">
        <v>41</v>
      </c>
      <c r="O70" s="25" t="s">
        <v>1567</v>
      </c>
      <c r="P70" s="33">
        <v>80.73</v>
      </c>
      <c r="Q70" s="33">
        <v>0</v>
      </c>
      <c r="R70" s="25" t="s">
        <v>938</v>
      </c>
      <c r="S70" s="25" t="s">
        <v>253</v>
      </c>
      <c r="T70" s="25" t="s">
        <v>36</v>
      </c>
      <c r="U70" s="25" t="s">
        <v>663</v>
      </c>
      <c r="V70" s="25" t="s">
        <v>1568</v>
      </c>
      <c r="W70" s="25" t="s">
        <v>665</v>
      </c>
    </row>
    <row r="71" s="22" customFormat="1" ht="16.5" customHeight="1" spans="1:23">
      <c r="A71" s="29" t="s">
        <v>1569</v>
      </c>
      <c r="B71" s="29" t="s">
        <v>32</v>
      </c>
      <c r="C71" s="29" t="s">
        <v>1570</v>
      </c>
      <c r="D71" s="30">
        <v>1</v>
      </c>
      <c r="E71" s="29" t="s">
        <v>1571</v>
      </c>
      <c r="F71" s="31">
        <v>45741</v>
      </c>
      <c r="G71" s="31">
        <v>45741</v>
      </c>
      <c r="H71" s="32" t="s">
        <v>444</v>
      </c>
      <c r="I71" s="29" t="s">
        <v>445</v>
      </c>
      <c r="J71" s="32" t="s">
        <v>41</v>
      </c>
      <c r="K71" s="29" t="s">
        <v>660</v>
      </c>
      <c r="L71" s="32" t="s">
        <v>41</v>
      </c>
      <c r="M71" s="29" t="s">
        <v>492</v>
      </c>
      <c r="N71" s="32" t="s">
        <v>41</v>
      </c>
      <c r="O71" s="29" t="s">
        <v>1572</v>
      </c>
      <c r="P71" s="34">
        <v>0</v>
      </c>
      <c r="Q71" s="34">
        <v>0.01</v>
      </c>
      <c r="R71" s="29" t="s">
        <v>938</v>
      </c>
      <c r="S71" s="29" t="s">
        <v>253</v>
      </c>
      <c r="T71" s="29" t="s">
        <v>36</v>
      </c>
      <c r="U71" s="29" t="s">
        <v>663</v>
      </c>
      <c r="V71" s="29" t="s">
        <v>1573</v>
      </c>
      <c r="W71" s="29" t="s">
        <v>665</v>
      </c>
    </row>
    <row r="72" s="22" customFormat="1" ht="16.5" customHeight="1" spans="1:23">
      <c r="A72" s="25" t="s">
        <v>1574</v>
      </c>
      <c r="B72" s="25" t="s">
        <v>32</v>
      </c>
      <c r="C72" s="25" t="s">
        <v>1575</v>
      </c>
      <c r="D72" s="26">
        <v>1</v>
      </c>
      <c r="E72" s="25" t="s">
        <v>1576</v>
      </c>
      <c r="F72" s="27">
        <v>45741</v>
      </c>
      <c r="G72" s="27">
        <v>45741</v>
      </c>
      <c r="H72" s="28" t="s">
        <v>444</v>
      </c>
      <c r="I72" s="25" t="s">
        <v>445</v>
      </c>
      <c r="J72" s="28" t="s">
        <v>41</v>
      </c>
      <c r="K72" s="25" t="s">
        <v>660</v>
      </c>
      <c r="L72" s="28" t="s">
        <v>41</v>
      </c>
      <c r="M72" s="25" t="s">
        <v>492</v>
      </c>
      <c r="N72" s="28" t="s">
        <v>41</v>
      </c>
      <c r="O72" s="25" t="s">
        <v>1239</v>
      </c>
      <c r="P72" s="33">
        <v>0</v>
      </c>
      <c r="Q72" s="33">
        <v>28651.35</v>
      </c>
      <c r="R72" s="25" t="s">
        <v>899</v>
      </c>
      <c r="S72" s="25" t="s">
        <v>245</v>
      </c>
      <c r="T72" s="25" t="s">
        <v>36</v>
      </c>
      <c r="U72" s="25" t="s">
        <v>663</v>
      </c>
      <c r="V72" s="25" t="s">
        <v>1577</v>
      </c>
      <c r="W72" s="25" t="s">
        <v>665</v>
      </c>
    </row>
    <row r="73" s="22" customFormat="1" ht="16.5" customHeight="1" spans="1:23">
      <c r="A73" s="29" t="s">
        <v>1574</v>
      </c>
      <c r="B73" s="29" t="s">
        <v>32</v>
      </c>
      <c r="C73" s="29" t="s">
        <v>1575</v>
      </c>
      <c r="D73" s="30">
        <v>3</v>
      </c>
      <c r="E73" s="29" t="s">
        <v>1576</v>
      </c>
      <c r="F73" s="31">
        <v>45741</v>
      </c>
      <c r="G73" s="31">
        <v>45741</v>
      </c>
      <c r="H73" s="32" t="s">
        <v>444</v>
      </c>
      <c r="I73" s="29" t="s">
        <v>445</v>
      </c>
      <c r="J73" s="32" t="s">
        <v>41</v>
      </c>
      <c r="K73" s="29" t="s">
        <v>660</v>
      </c>
      <c r="L73" s="32" t="s">
        <v>41</v>
      </c>
      <c r="M73" s="29" t="s">
        <v>492</v>
      </c>
      <c r="N73" s="32" t="s">
        <v>41</v>
      </c>
      <c r="O73" s="29" t="s">
        <v>1239</v>
      </c>
      <c r="P73" s="34">
        <v>1.21</v>
      </c>
      <c r="Q73" s="34">
        <v>0</v>
      </c>
      <c r="R73" s="29" t="s">
        <v>899</v>
      </c>
      <c r="S73" s="29" t="s">
        <v>245</v>
      </c>
      <c r="T73" s="29" t="s">
        <v>36</v>
      </c>
      <c r="U73" s="29" t="s">
        <v>663</v>
      </c>
      <c r="V73" s="29" t="s">
        <v>1577</v>
      </c>
      <c r="W73" s="29" t="s">
        <v>665</v>
      </c>
    </row>
    <row r="74" s="22" customFormat="1" ht="16.5" customHeight="1" spans="1:23">
      <c r="A74" s="25" t="s">
        <v>1578</v>
      </c>
      <c r="B74" s="25" t="s">
        <v>32</v>
      </c>
      <c r="C74" s="25" t="s">
        <v>1579</v>
      </c>
      <c r="D74" s="26">
        <v>1</v>
      </c>
      <c r="E74" s="25" t="s">
        <v>1580</v>
      </c>
      <c r="F74" s="27">
        <v>45741</v>
      </c>
      <c r="G74" s="27">
        <v>45741</v>
      </c>
      <c r="H74" s="28" t="s">
        <v>444</v>
      </c>
      <c r="I74" s="25" t="s">
        <v>445</v>
      </c>
      <c r="J74" s="28" t="s">
        <v>41</v>
      </c>
      <c r="K74" s="25" t="s">
        <v>660</v>
      </c>
      <c r="L74" s="28" t="s">
        <v>41</v>
      </c>
      <c r="M74" s="25" t="s">
        <v>492</v>
      </c>
      <c r="N74" s="28" t="s">
        <v>41</v>
      </c>
      <c r="O74" s="25" t="s">
        <v>908</v>
      </c>
      <c r="P74" s="33">
        <v>0</v>
      </c>
      <c r="Q74" s="33">
        <v>19709.37</v>
      </c>
      <c r="R74" s="25" t="s">
        <v>909</v>
      </c>
      <c r="S74" s="25" t="s">
        <v>242</v>
      </c>
      <c r="T74" s="25" t="s">
        <v>36</v>
      </c>
      <c r="U74" s="25" t="s">
        <v>663</v>
      </c>
      <c r="V74" s="25" t="s">
        <v>1581</v>
      </c>
      <c r="W74" s="25" t="s">
        <v>665</v>
      </c>
    </row>
    <row r="75" s="22" customFormat="1" ht="16.5" customHeight="1" spans="1:23">
      <c r="A75" s="29" t="s">
        <v>1582</v>
      </c>
      <c r="B75" s="29" t="s">
        <v>32</v>
      </c>
      <c r="C75" s="29" t="s">
        <v>1583</v>
      </c>
      <c r="D75" s="30">
        <v>1</v>
      </c>
      <c r="E75" s="29" t="s">
        <v>1584</v>
      </c>
      <c r="F75" s="31">
        <v>45742</v>
      </c>
      <c r="G75" s="31">
        <v>45742</v>
      </c>
      <c r="H75" s="32" t="s">
        <v>444</v>
      </c>
      <c r="I75" s="29" t="s">
        <v>445</v>
      </c>
      <c r="J75" s="32" t="s">
        <v>41</v>
      </c>
      <c r="K75" s="29" t="s">
        <v>660</v>
      </c>
      <c r="L75" s="32" t="s">
        <v>41</v>
      </c>
      <c r="M75" s="29" t="s">
        <v>492</v>
      </c>
      <c r="N75" s="32" t="s">
        <v>41</v>
      </c>
      <c r="O75" s="29" t="s">
        <v>1585</v>
      </c>
      <c r="P75" s="34">
        <v>0</v>
      </c>
      <c r="Q75" s="34">
        <v>8877.02</v>
      </c>
      <c r="R75" s="29" t="s">
        <v>1586</v>
      </c>
      <c r="S75" s="29" t="s">
        <v>247</v>
      </c>
      <c r="T75" s="29" t="s">
        <v>36</v>
      </c>
      <c r="U75" s="29" t="s">
        <v>663</v>
      </c>
      <c r="V75" s="29" t="s">
        <v>1587</v>
      </c>
      <c r="W75" s="29" t="s">
        <v>665</v>
      </c>
    </row>
    <row r="76" s="22" customFormat="1" ht="16.5" customHeight="1" spans="1:23">
      <c r="A76" s="25" t="s">
        <v>1582</v>
      </c>
      <c r="B76" s="25" t="s">
        <v>32</v>
      </c>
      <c r="C76" s="25" t="s">
        <v>1583</v>
      </c>
      <c r="D76" s="26">
        <v>4</v>
      </c>
      <c r="E76" s="25" t="s">
        <v>1584</v>
      </c>
      <c r="F76" s="27">
        <v>45742</v>
      </c>
      <c r="G76" s="27">
        <v>45742</v>
      </c>
      <c r="H76" s="28" t="s">
        <v>444</v>
      </c>
      <c r="I76" s="25" t="s">
        <v>445</v>
      </c>
      <c r="J76" s="28" t="s">
        <v>41</v>
      </c>
      <c r="K76" s="25" t="s">
        <v>660</v>
      </c>
      <c r="L76" s="28" t="s">
        <v>41</v>
      </c>
      <c r="M76" s="25" t="s">
        <v>492</v>
      </c>
      <c r="N76" s="28" t="s">
        <v>41</v>
      </c>
      <c r="O76" s="25" t="s">
        <v>1585</v>
      </c>
      <c r="P76" s="33">
        <v>171.35</v>
      </c>
      <c r="Q76" s="33">
        <v>0</v>
      </c>
      <c r="R76" s="25" t="s">
        <v>1586</v>
      </c>
      <c r="S76" s="25" t="s">
        <v>247</v>
      </c>
      <c r="T76" s="25" t="s">
        <v>36</v>
      </c>
      <c r="U76" s="25" t="s">
        <v>663</v>
      </c>
      <c r="V76" s="25" t="s">
        <v>1587</v>
      </c>
      <c r="W76" s="25" t="s">
        <v>665</v>
      </c>
    </row>
    <row r="77" s="22" customFormat="1" ht="16.5" customHeight="1" spans="1:23">
      <c r="A77" s="29" t="s">
        <v>1588</v>
      </c>
      <c r="B77" s="29" t="s">
        <v>32</v>
      </c>
      <c r="C77" s="29" t="s">
        <v>1589</v>
      </c>
      <c r="D77" s="30">
        <v>1</v>
      </c>
      <c r="E77" s="29" t="s">
        <v>1590</v>
      </c>
      <c r="F77" s="31">
        <v>45742</v>
      </c>
      <c r="G77" s="31">
        <v>45742</v>
      </c>
      <c r="H77" s="32" t="s">
        <v>444</v>
      </c>
      <c r="I77" s="29" t="s">
        <v>445</v>
      </c>
      <c r="J77" s="32" t="s">
        <v>41</v>
      </c>
      <c r="K77" s="29" t="s">
        <v>660</v>
      </c>
      <c r="L77" s="32" t="s">
        <v>41</v>
      </c>
      <c r="M77" s="29" t="s">
        <v>492</v>
      </c>
      <c r="N77" s="32" t="s">
        <v>41</v>
      </c>
      <c r="O77" s="29" t="s">
        <v>1585</v>
      </c>
      <c r="P77" s="34">
        <v>0</v>
      </c>
      <c r="Q77" s="34">
        <v>13704.62</v>
      </c>
      <c r="R77" s="29" t="s">
        <v>1586</v>
      </c>
      <c r="S77" s="29" t="s">
        <v>247</v>
      </c>
      <c r="T77" s="29" t="s">
        <v>36</v>
      </c>
      <c r="U77" s="29" t="s">
        <v>663</v>
      </c>
      <c r="V77" s="29" t="s">
        <v>1591</v>
      </c>
      <c r="W77" s="29" t="s">
        <v>665</v>
      </c>
    </row>
    <row r="78" s="22" customFormat="1" ht="16.5" customHeight="1" spans="1:23">
      <c r="A78" s="25" t="s">
        <v>1588</v>
      </c>
      <c r="B78" s="25" t="s">
        <v>32</v>
      </c>
      <c r="C78" s="25" t="s">
        <v>1589</v>
      </c>
      <c r="D78" s="26">
        <v>3</v>
      </c>
      <c r="E78" s="25" t="s">
        <v>1590</v>
      </c>
      <c r="F78" s="27">
        <v>45742</v>
      </c>
      <c r="G78" s="27">
        <v>45742</v>
      </c>
      <c r="H78" s="28" t="s">
        <v>444</v>
      </c>
      <c r="I78" s="25" t="s">
        <v>445</v>
      </c>
      <c r="J78" s="28" t="s">
        <v>41</v>
      </c>
      <c r="K78" s="25" t="s">
        <v>660</v>
      </c>
      <c r="L78" s="28" t="s">
        <v>41</v>
      </c>
      <c r="M78" s="25" t="s">
        <v>492</v>
      </c>
      <c r="N78" s="28" t="s">
        <v>41</v>
      </c>
      <c r="O78" s="25" t="s">
        <v>1585</v>
      </c>
      <c r="P78" s="33">
        <v>656.08</v>
      </c>
      <c r="Q78" s="33">
        <v>0</v>
      </c>
      <c r="R78" s="25" t="s">
        <v>1586</v>
      </c>
      <c r="S78" s="25" t="s">
        <v>247</v>
      </c>
      <c r="T78" s="25" t="s">
        <v>36</v>
      </c>
      <c r="U78" s="25" t="s">
        <v>663</v>
      </c>
      <c r="V78" s="25" t="s">
        <v>1591</v>
      </c>
      <c r="W78" s="25" t="s">
        <v>665</v>
      </c>
    </row>
    <row r="79" s="22" customFormat="1" ht="16.5" customHeight="1" spans="1:23">
      <c r="A79" s="29" t="s">
        <v>1592</v>
      </c>
      <c r="B79" s="29" t="s">
        <v>32</v>
      </c>
      <c r="C79" s="29" t="s">
        <v>1593</v>
      </c>
      <c r="D79" s="30">
        <v>1</v>
      </c>
      <c r="E79" s="29" t="s">
        <v>1594</v>
      </c>
      <c r="F79" s="31">
        <v>45742</v>
      </c>
      <c r="G79" s="31">
        <v>45742</v>
      </c>
      <c r="H79" s="32" t="s">
        <v>444</v>
      </c>
      <c r="I79" s="29" t="s">
        <v>445</v>
      </c>
      <c r="J79" s="32" t="s">
        <v>41</v>
      </c>
      <c r="K79" s="29" t="s">
        <v>660</v>
      </c>
      <c r="L79" s="32" t="s">
        <v>41</v>
      </c>
      <c r="M79" s="29" t="s">
        <v>492</v>
      </c>
      <c r="N79" s="32" t="s">
        <v>41</v>
      </c>
      <c r="O79" s="29" t="s">
        <v>1595</v>
      </c>
      <c r="P79" s="34">
        <v>0.02</v>
      </c>
      <c r="Q79" s="34">
        <v>0</v>
      </c>
      <c r="R79" s="29" t="s">
        <v>1586</v>
      </c>
      <c r="S79" s="29" t="s">
        <v>247</v>
      </c>
      <c r="T79" s="29" t="s">
        <v>36</v>
      </c>
      <c r="U79" s="29" t="s">
        <v>663</v>
      </c>
      <c r="V79" s="29" t="s">
        <v>1596</v>
      </c>
      <c r="W79" s="29" t="s">
        <v>665</v>
      </c>
    </row>
    <row r="80" s="22" customFormat="1" ht="16.5" customHeight="1" spans="1:23">
      <c r="A80" s="25" t="s">
        <v>1597</v>
      </c>
      <c r="B80" s="25" t="s">
        <v>32</v>
      </c>
      <c r="C80" s="25" t="s">
        <v>1598</v>
      </c>
      <c r="D80" s="26">
        <v>1</v>
      </c>
      <c r="E80" s="25" t="s">
        <v>1599</v>
      </c>
      <c r="F80" s="27">
        <v>45742</v>
      </c>
      <c r="G80" s="27">
        <v>45742</v>
      </c>
      <c r="H80" s="28" t="s">
        <v>444</v>
      </c>
      <c r="I80" s="25" t="s">
        <v>445</v>
      </c>
      <c r="J80" s="28" t="s">
        <v>41</v>
      </c>
      <c r="K80" s="25" t="s">
        <v>660</v>
      </c>
      <c r="L80" s="28" t="s">
        <v>41</v>
      </c>
      <c r="M80" s="25" t="s">
        <v>492</v>
      </c>
      <c r="N80" s="28" t="s">
        <v>41</v>
      </c>
      <c r="O80" s="25" t="s">
        <v>1585</v>
      </c>
      <c r="P80" s="33">
        <v>0</v>
      </c>
      <c r="Q80" s="33">
        <v>8066.18</v>
      </c>
      <c r="R80" s="25" t="s">
        <v>1586</v>
      </c>
      <c r="S80" s="25" t="s">
        <v>247</v>
      </c>
      <c r="T80" s="25" t="s">
        <v>36</v>
      </c>
      <c r="U80" s="25" t="s">
        <v>663</v>
      </c>
      <c r="V80" s="25" t="s">
        <v>1600</v>
      </c>
      <c r="W80" s="25" t="s">
        <v>665</v>
      </c>
    </row>
    <row r="81" s="22" customFormat="1" ht="16.5" customHeight="1" spans="1:23">
      <c r="A81" s="29" t="s">
        <v>1597</v>
      </c>
      <c r="B81" s="29" t="s">
        <v>32</v>
      </c>
      <c r="C81" s="29" t="s">
        <v>1598</v>
      </c>
      <c r="D81" s="30">
        <v>3</v>
      </c>
      <c r="E81" s="29" t="s">
        <v>1599</v>
      </c>
      <c r="F81" s="31">
        <v>45742</v>
      </c>
      <c r="G81" s="31">
        <v>45742</v>
      </c>
      <c r="H81" s="32" t="s">
        <v>444</v>
      </c>
      <c r="I81" s="29" t="s">
        <v>445</v>
      </c>
      <c r="J81" s="32" t="s">
        <v>41</v>
      </c>
      <c r="K81" s="29" t="s">
        <v>660</v>
      </c>
      <c r="L81" s="32" t="s">
        <v>41</v>
      </c>
      <c r="M81" s="29" t="s">
        <v>492</v>
      </c>
      <c r="N81" s="32" t="s">
        <v>41</v>
      </c>
      <c r="O81" s="29" t="s">
        <v>1585</v>
      </c>
      <c r="P81" s="34">
        <v>384.79</v>
      </c>
      <c r="Q81" s="34">
        <v>0</v>
      </c>
      <c r="R81" s="29" t="s">
        <v>1586</v>
      </c>
      <c r="S81" s="29" t="s">
        <v>247</v>
      </c>
      <c r="T81" s="29" t="s">
        <v>36</v>
      </c>
      <c r="U81" s="29" t="s">
        <v>663</v>
      </c>
      <c r="V81" s="29" t="s">
        <v>1600</v>
      </c>
      <c r="W81" s="29" t="s">
        <v>665</v>
      </c>
    </row>
    <row r="82" s="22" customFormat="1" ht="16.5" customHeight="1" spans="1:23">
      <c r="A82" s="25" t="s">
        <v>1601</v>
      </c>
      <c r="B82" s="25" t="s">
        <v>32</v>
      </c>
      <c r="C82" s="25" t="s">
        <v>1602</v>
      </c>
      <c r="D82" s="26">
        <v>1</v>
      </c>
      <c r="E82" s="25" t="s">
        <v>1603</v>
      </c>
      <c r="F82" s="27">
        <v>45742</v>
      </c>
      <c r="G82" s="27">
        <v>45742</v>
      </c>
      <c r="H82" s="28" t="s">
        <v>444</v>
      </c>
      <c r="I82" s="25" t="s">
        <v>445</v>
      </c>
      <c r="J82" s="28" t="s">
        <v>41</v>
      </c>
      <c r="K82" s="25" t="s">
        <v>660</v>
      </c>
      <c r="L82" s="28" t="s">
        <v>41</v>
      </c>
      <c r="M82" s="25" t="s">
        <v>492</v>
      </c>
      <c r="N82" s="28" t="s">
        <v>41</v>
      </c>
      <c r="O82" s="25" t="s">
        <v>1604</v>
      </c>
      <c r="P82" s="33">
        <v>0</v>
      </c>
      <c r="Q82" s="33">
        <v>0.01</v>
      </c>
      <c r="R82" s="25" t="s">
        <v>1586</v>
      </c>
      <c r="S82" s="25" t="s">
        <v>247</v>
      </c>
      <c r="T82" s="25" t="s">
        <v>36</v>
      </c>
      <c r="U82" s="25" t="s">
        <v>663</v>
      </c>
      <c r="V82" s="25" t="s">
        <v>1605</v>
      </c>
      <c r="W82" s="25" t="s">
        <v>665</v>
      </c>
    </row>
    <row r="83" s="22" customFormat="1" ht="16.5" customHeight="1" spans="1:23">
      <c r="A83" s="29" t="s">
        <v>1606</v>
      </c>
      <c r="B83" s="29" t="s">
        <v>32</v>
      </c>
      <c r="C83" s="29" t="s">
        <v>1607</v>
      </c>
      <c r="D83" s="30">
        <v>1</v>
      </c>
      <c r="E83" s="29" t="s">
        <v>1608</v>
      </c>
      <c r="F83" s="31">
        <v>45745</v>
      </c>
      <c r="G83" s="31">
        <v>45745</v>
      </c>
      <c r="H83" s="32" t="s">
        <v>444</v>
      </c>
      <c r="I83" s="29" t="s">
        <v>445</v>
      </c>
      <c r="J83" s="32" t="s">
        <v>41</v>
      </c>
      <c r="K83" s="29" t="s">
        <v>660</v>
      </c>
      <c r="L83" s="32" t="s">
        <v>41</v>
      </c>
      <c r="M83" s="29" t="s">
        <v>492</v>
      </c>
      <c r="N83" s="32" t="s">
        <v>41</v>
      </c>
      <c r="O83" s="29" t="s">
        <v>1609</v>
      </c>
      <c r="P83" s="34">
        <v>0</v>
      </c>
      <c r="Q83" s="34">
        <v>11270.6</v>
      </c>
      <c r="R83" s="29" t="s">
        <v>1610</v>
      </c>
      <c r="S83" s="29" t="s">
        <v>290</v>
      </c>
      <c r="T83" s="29" t="s">
        <v>36</v>
      </c>
      <c r="U83" s="29" t="s">
        <v>663</v>
      </c>
      <c r="V83" s="29" t="s">
        <v>1611</v>
      </c>
      <c r="W83" s="29" t="s">
        <v>665</v>
      </c>
    </row>
    <row r="84" s="22" customFormat="1" ht="16.5" customHeight="1" spans="1:23">
      <c r="A84" s="25" t="s">
        <v>1612</v>
      </c>
      <c r="B84" s="25" t="s">
        <v>32</v>
      </c>
      <c r="C84" s="25" t="s">
        <v>1613</v>
      </c>
      <c r="D84" s="26">
        <v>1</v>
      </c>
      <c r="E84" s="25" t="s">
        <v>1614</v>
      </c>
      <c r="F84" s="27">
        <v>45745</v>
      </c>
      <c r="G84" s="27">
        <v>45745</v>
      </c>
      <c r="H84" s="28" t="s">
        <v>444</v>
      </c>
      <c r="I84" s="25" t="s">
        <v>445</v>
      </c>
      <c r="J84" s="28" t="s">
        <v>41</v>
      </c>
      <c r="K84" s="25" t="s">
        <v>660</v>
      </c>
      <c r="L84" s="28" t="s">
        <v>41</v>
      </c>
      <c r="M84" s="25" t="s">
        <v>492</v>
      </c>
      <c r="N84" s="28" t="s">
        <v>41</v>
      </c>
      <c r="O84" s="25" t="s">
        <v>812</v>
      </c>
      <c r="P84" s="33">
        <v>0</v>
      </c>
      <c r="Q84" s="33">
        <v>425970.86</v>
      </c>
      <c r="R84" s="25" t="s">
        <v>149</v>
      </c>
      <c r="S84" s="25" t="s">
        <v>251</v>
      </c>
      <c r="T84" s="25" t="s">
        <v>36</v>
      </c>
      <c r="U84" s="25" t="s">
        <v>663</v>
      </c>
      <c r="V84" s="25" t="s">
        <v>173</v>
      </c>
      <c r="W84" s="25" t="s">
        <v>665</v>
      </c>
    </row>
    <row r="85" s="22" customFormat="1" ht="16.5" customHeight="1" spans="1:23">
      <c r="A85" s="29" t="s">
        <v>1612</v>
      </c>
      <c r="B85" s="29" t="s">
        <v>32</v>
      </c>
      <c r="C85" s="29" t="s">
        <v>1613</v>
      </c>
      <c r="D85" s="30">
        <v>3</v>
      </c>
      <c r="E85" s="29" t="s">
        <v>1614</v>
      </c>
      <c r="F85" s="31">
        <v>45745</v>
      </c>
      <c r="G85" s="31">
        <v>45745</v>
      </c>
      <c r="H85" s="32" t="s">
        <v>444</v>
      </c>
      <c r="I85" s="29" t="s">
        <v>445</v>
      </c>
      <c r="J85" s="32" t="s">
        <v>41</v>
      </c>
      <c r="K85" s="29" t="s">
        <v>660</v>
      </c>
      <c r="L85" s="32" t="s">
        <v>41</v>
      </c>
      <c r="M85" s="29" t="s">
        <v>492</v>
      </c>
      <c r="N85" s="32" t="s">
        <v>41</v>
      </c>
      <c r="O85" s="29" t="s">
        <v>812</v>
      </c>
      <c r="P85" s="34">
        <v>122532.86</v>
      </c>
      <c r="Q85" s="34">
        <v>0</v>
      </c>
      <c r="R85" s="29" t="s">
        <v>149</v>
      </c>
      <c r="S85" s="29" t="s">
        <v>251</v>
      </c>
      <c r="T85" s="29" t="s">
        <v>36</v>
      </c>
      <c r="U85" s="29" t="s">
        <v>663</v>
      </c>
      <c r="V85" s="29" t="s">
        <v>173</v>
      </c>
      <c r="W85" s="29" t="s">
        <v>665</v>
      </c>
    </row>
    <row r="86" s="22" customFormat="1" ht="16.5" customHeight="1" spans="1:23">
      <c r="A86" s="25" t="s">
        <v>1615</v>
      </c>
      <c r="B86" s="25" t="s">
        <v>32</v>
      </c>
      <c r="C86" s="25" t="s">
        <v>1616</v>
      </c>
      <c r="D86" s="26">
        <v>1</v>
      </c>
      <c r="E86" s="25" t="s">
        <v>1617</v>
      </c>
      <c r="F86" s="27">
        <v>45745</v>
      </c>
      <c r="G86" s="27">
        <v>45745</v>
      </c>
      <c r="H86" s="28" t="s">
        <v>444</v>
      </c>
      <c r="I86" s="25" t="s">
        <v>445</v>
      </c>
      <c r="J86" s="28" t="s">
        <v>41</v>
      </c>
      <c r="K86" s="25" t="s">
        <v>660</v>
      </c>
      <c r="L86" s="28" t="s">
        <v>41</v>
      </c>
      <c r="M86" s="25" t="s">
        <v>492</v>
      </c>
      <c r="N86" s="28" t="s">
        <v>41</v>
      </c>
      <c r="O86" s="25" t="s">
        <v>672</v>
      </c>
      <c r="P86" s="33">
        <v>0</v>
      </c>
      <c r="Q86" s="33">
        <v>1571158.62</v>
      </c>
      <c r="R86" s="25" t="s">
        <v>673</v>
      </c>
      <c r="S86" s="25" t="s">
        <v>451</v>
      </c>
      <c r="T86" s="25" t="s">
        <v>36</v>
      </c>
      <c r="U86" s="25" t="s">
        <v>663</v>
      </c>
      <c r="V86" s="25" t="s">
        <v>1618</v>
      </c>
      <c r="W86" s="25" t="s">
        <v>665</v>
      </c>
    </row>
    <row r="87" s="22" customFormat="1" ht="16.5" customHeight="1" spans="1:23">
      <c r="A87" s="29" t="s">
        <v>1615</v>
      </c>
      <c r="B87" s="29" t="s">
        <v>32</v>
      </c>
      <c r="C87" s="29" t="s">
        <v>1616</v>
      </c>
      <c r="D87" s="30">
        <v>4</v>
      </c>
      <c r="E87" s="29" t="s">
        <v>1617</v>
      </c>
      <c r="F87" s="31">
        <v>45745</v>
      </c>
      <c r="G87" s="31">
        <v>45745</v>
      </c>
      <c r="H87" s="32" t="s">
        <v>444</v>
      </c>
      <c r="I87" s="29" t="s">
        <v>445</v>
      </c>
      <c r="J87" s="32" t="s">
        <v>41</v>
      </c>
      <c r="K87" s="29" t="s">
        <v>660</v>
      </c>
      <c r="L87" s="32" t="s">
        <v>41</v>
      </c>
      <c r="M87" s="29" t="s">
        <v>492</v>
      </c>
      <c r="N87" s="32" t="s">
        <v>41</v>
      </c>
      <c r="O87" s="29" t="s">
        <v>672</v>
      </c>
      <c r="P87" s="34">
        <v>11463.16</v>
      </c>
      <c r="Q87" s="34">
        <v>0</v>
      </c>
      <c r="R87" s="29" t="s">
        <v>673</v>
      </c>
      <c r="S87" s="29" t="s">
        <v>451</v>
      </c>
      <c r="T87" s="29" t="s">
        <v>36</v>
      </c>
      <c r="U87" s="29" t="s">
        <v>663</v>
      </c>
      <c r="V87" s="29" t="s">
        <v>1618</v>
      </c>
      <c r="W87" s="29" t="s">
        <v>665</v>
      </c>
    </row>
    <row r="88" s="22" customFormat="1" ht="16.5" customHeight="1" spans="1:23">
      <c r="A88" s="25" t="s">
        <v>1619</v>
      </c>
      <c r="B88" s="25" t="s">
        <v>32</v>
      </c>
      <c r="C88" s="25" t="s">
        <v>1620</v>
      </c>
      <c r="D88" s="26">
        <v>1</v>
      </c>
      <c r="E88" s="25" t="s">
        <v>1621</v>
      </c>
      <c r="F88" s="27">
        <v>45745</v>
      </c>
      <c r="G88" s="27">
        <v>45745</v>
      </c>
      <c r="H88" s="28" t="s">
        <v>444</v>
      </c>
      <c r="I88" s="25" t="s">
        <v>445</v>
      </c>
      <c r="J88" s="28" t="s">
        <v>41</v>
      </c>
      <c r="K88" s="25" t="s">
        <v>660</v>
      </c>
      <c r="L88" s="28" t="s">
        <v>41</v>
      </c>
      <c r="M88" s="25" t="s">
        <v>492</v>
      </c>
      <c r="N88" s="28" t="s">
        <v>41</v>
      </c>
      <c r="O88" s="25" t="s">
        <v>1622</v>
      </c>
      <c r="P88" s="33">
        <v>0.01</v>
      </c>
      <c r="Q88" s="33">
        <v>0</v>
      </c>
      <c r="R88" s="25" t="s">
        <v>673</v>
      </c>
      <c r="S88" s="25" t="s">
        <v>451</v>
      </c>
      <c r="T88" s="25" t="s">
        <v>36</v>
      </c>
      <c r="U88" s="25" t="s">
        <v>663</v>
      </c>
      <c r="V88" s="25" t="s">
        <v>1623</v>
      </c>
      <c r="W88" s="25" t="s">
        <v>665</v>
      </c>
    </row>
    <row r="89" s="22" customFormat="1" ht="16.5" customHeight="1" spans="1:23">
      <c r="A89" s="29" t="s">
        <v>1624</v>
      </c>
      <c r="B89" s="29" t="s">
        <v>32</v>
      </c>
      <c r="C89" s="29" t="s">
        <v>1625</v>
      </c>
      <c r="D89" s="30">
        <v>1</v>
      </c>
      <c r="E89" s="29" t="s">
        <v>1626</v>
      </c>
      <c r="F89" s="31">
        <v>45745</v>
      </c>
      <c r="G89" s="31">
        <v>45745</v>
      </c>
      <c r="H89" s="32" t="s">
        <v>444</v>
      </c>
      <c r="I89" s="29" t="s">
        <v>445</v>
      </c>
      <c r="J89" s="32" t="s">
        <v>41</v>
      </c>
      <c r="K89" s="29" t="s">
        <v>660</v>
      </c>
      <c r="L89" s="32" t="s">
        <v>41</v>
      </c>
      <c r="M89" s="29" t="s">
        <v>492</v>
      </c>
      <c r="N89" s="32" t="s">
        <v>41</v>
      </c>
      <c r="O89" s="29" t="s">
        <v>1627</v>
      </c>
      <c r="P89" s="34">
        <v>0</v>
      </c>
      <c r="Q89" s="34">
        <v>1559695.45</v>
      </c>
      <c r="R89" s="29" t="s">
        <v>686</v>
      </c>
      <c r="S89" s="29" t="s">
        <v>446</v>
      </c>
      <c r="T89" s="29" t="s">
        <v>36</v>
      </c>
      <c r="U89" s="29" t="s">
        <v>663</v>
      </c>
      <c r="V89" s="29" t="s">
        <v>1628</v>
      </c>
      <c r="W89" s="29" t="s">
        <v>665</v>
      </c>
    </row>
    <row r="90" s="22" customFormat="1" ht="16.5" customHeight="1" spans="1:23">
      <c r="A90" s="25" t="s">
        <v>1629</v>
      </c>
      <c r="B90" s="25" t="s">
        <v>32</v>
      </c>
      <c r="C90" s="25" t="s">
        <v>1630</v>
      </c>
      <c r="D90" s="26">
        <v>1</v>
      </c>
      <c r="E90" s="25" t="s">
        <v>1631</v>
      </c>
      <c r="F90" s="27">
        <v>45745</v>
      </c>
      <c r="G90" s="27">
        <v>45745</v>
      </c>
      <c r="H90" s="28" t="s">
        <v>444</v>
      </c>
      <c r="I90" s="25" t="s">
        <v>445</v>
      </c>
      <c r="J90" s="28" t="s">
        <v>41</v>
      </c>
      <c r="K90" s="25" t="s">
        <v>660</v>
      </c>
      <c r="L90" s="28" t="s">
        <v>41</v>
      </c>
      <c r="M90" s="25" t="s">
        <v>492</v>
      </c>
      <c r="N90" s="28" t="s">
        <v>41</v>
      </c>
      <c r="O90" s="25" t="s">
        <v>685</v>
      </c>
      <c r="P90" s="33">
        <v>1559695.45</v>
      </c>
      <c r="Q90" s="33">
        <v>0</v>
      </c>
      <c r="R90" s="25" t="s">
        <v>673</v>
      </c>
      <c r="S90" s="25" t="s">
        <v>451</v>
      </c>
      <c r="T90" s="25" t="s">
        <v>36</v>
      </c>
      <c r="U90" s="25" t="s">
        <v>663</v>
      </c>
      <c r="V90" s="25" t="s">
        <v>1632</v>
      </c>
      <c r="W90" s="25" t="s">
        <v>665</v>
      </c>
    </row>
    <row r="91" s="22" customFormat="1" ht="16.5" customHeight="1" spans="1:23">
      <c r="A91" s="29" t="s">
        <v>1633</v>
      </c>
      <c r="B91" s="29" t="s">
        <v>32</v>
      </c>
      <c r="C91" s="29" t="s">
        <v>1634</v>
      </c>
      <c r="D91" s="30">
        <v>1</v>
      </c>
      <c r="E91" s="29" t="s">
        <v>1635</v>
      </c>
      <c r="F91" s="31">
        <v>45745</v>
      </c>
      <c r="G91" s="31">
        <v>45745</v>
      </c>
      <c r="H91" s="32" t="s">
        <v>444</v>
      </c>
      <c r="I91" s="29" t="s">
        <v>445</v>
      </c>
      <c r="J91" s="32" t="s">
        <v>41</v>
      </c>
      <c r="K91" s="29" t="s">
        <v>660</v>
      </c>
      <c r="L91" s="32" t="s">
        <v>41</v>
      </c>
      <c r="M91" s="29" t="s">
        <v>492</v>
      </c>
      <c r="N91" s="32" t="s">
        <v>41</v>
      </c>
      <c r="O91" s="29" t="s">
        <v>1268</v>
      </c>
      <c r="P91" s="34">
        <v>0</v>
      </c>
      <c r="Q91" s="34">
        <v>7503.2</v>
      </c>
      <c r="R91" s="29" t="s">
        <v>1269</v>
      </c>
      <c r="S91" s="29" t="s">
        <v>285</v>
      </c>
      <c r="T91" s="29" t="s">
        <v>36</v>
      </c>
      <c r="U91" s="29" t="s">
        <v>663</v>
      </c>
      <c r="V91" s="29" t="s">
        <v>1636</v>
      </c>
      <c r="W91" s="29" t="s">
        <v>665</v>
      </c>
    </row>
    <row r="92" s="22" customFormat="1" ht="16.5" customHeight="1" spans="1:23">
      <c r="A92" s="25" t="s">
        <v>1637</v>
      </c>
      <c r="B92" s="25" t="s">
        <v>32</v>
      </c>
      <c r="C92" s="25" t="s">
        <v>1638</v>
      </c>
      <c r="D92" s="26">
        <v>1</v>
      </c>
      <c r="E92" s="25" t="s">
        <v>1639</v>
      </c>
      <c r="F92" s="27">
        <v>45745</v>
      </c>
      <c r="G92" s="27">
        <v>45745</v>
      </c>
      <c r="H92" s="28" t="s">
        <v>444</v>
      </c>
      <c r="I92" s="25" t="s">
        <v>445</v>
      </c>
      <c r="J92" s="28" t="s">
        <v>41</v>
      </c>
      <c r="K92" s="25" t="s">
        <v>660</v>
      </c>
      <c r="L92" s="28" t="s">
        <v>41</v>
      </c>
      <c r="M92" s="25" t="s">
        <v>492</v>
      </c>
      <c r="N92" s="28" t="s">
        <v>41</v>
      </c>
      <c r="O92" s="25" t="s">
        <v>815</v>
      </c>
      <c r="P92" s="33">
        <v>0</v>
      </c>
      <c r="Q92" s="33">
        <v>3368.22</v>
      </c>
      <c r="R92" s="25" t="s">
        <v>816</v>
      </c>
      <c r="S92" s="25" t="s">
        <v>301</v>
      </c>
      <c r="T92" s="25" t="s">
        <v>36</v>
      </c>
      <c r="U92" s="25" t="s">
        <v>663</v>
      </c>
      <c r="V92" s="25" t="s">
        <v>1640</v>
      </c>
      <c r="W92" s="25" t="s">
        <v>665</v>
      </c>
    </row>
    <row r="93" s="22" customFormat="1" ht="16.5" customHeight="1" spans="1:23">
      <c r="A93" s="29" t="s">
        <v>1641</v>
      </c>
      <c r="B93" s="29" t="s">
        <v>32</v>
      </c>
      <c r="C93" s="29" t="s">
        <v>1642</v>
      </c>
      <c r="D93" s="30">
        <v>1</v>
      </c>
      <c r="E93" s="29" t="s">
        <v>1643</v>
      </c>
      <c r="F93" s="31">
        <v>45745</v>
      </c>
      <c r="G93" s="31">
        <v>45745</v>
      </c>
      <c r="H93" s="32" t="s">
        <v>444</v>
      </c>
      <c r="I93" s="29" t="s">
        <v>445</v>
      </c>
      <c r="J93" s="32" t="s">
        <v>41</v>
      </c>
      <c r="K93" s="29" t="s">
        <v>660</v>
      </c>
      <c r="L93" s="35" t="s">
        <v>41</v>
      </c>
      <c r="M93" s="29" t="s">
        <v>492</v>
      </c>
      <c r="N93" s="32" t="s">
        <v>41</v>
      </c>
      <c r="O93" s="29" t="s">
        <v>728</v>
      </c>
      <c r="P93" s="34">
        <v>0</v>
      </c>
      <c r="Q93" s="34">
        <v>5763</v>
      </c>
      <c r="R93" s="29" t="s">
        <v>729</v>
      </c>
      <c r="S93" s="29" t="s">
        <v>283</v>
      </c>
      <c r="T93" s="29" t="s">
        <v>36</v>
      </c>
      <c r="U93" s="29" t="s">
        <v>663</v>
      </c>
      <c r="V93" s="29" t="s">
        <v>1644</v>
      </c>
      <c r="W93" s="29" t="s">
        <v>665</v>
      </c>
    </row>
  </sheetData>
  <autoFilter xmlns:etc="http://www.wps.cn/officeDocument/2017/etCustomData" ref="A1:W93" etc:filterBottomFollowUsedRange="0">
    <extLst/>
  </autoFilter>
  <pageMargins left="0.75" right="0.75" top="1" bottom="1" header="0.5" footer="0.5"/>
  <pageSetup paperSize="9" orientation="portrait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/>
  <dimension ref="A1:W109"/>
  <sheetViews>
    <sheetView topLeftCell="D1" workbookViewId="0">
      <selection activeCell="S1" sqref="S$1:S$1048576"/>
    </sheetView>
  </sheetViews>
  <sheetFormatPr defaultColWidth="8" defaultRowHeight="12.75"/>
  <cols>
    <col min="1" max="1" width="12.625" style="22" customWidth="1"/>
    <col min="2" max="2" width="10.875" style="22" customWidth="1"/>
    <col min="3" max="3" width="15.5" style="22" customWidth="1"/>
    <col min="4" max="4" width="6.25" style="22" customWidth="1"/>
    <col min="5" max="5" width="9.375" style="22" customWidth="1"/>
    <col min="6" max="7" width="10.875" style="22" customWidth="1"/>
    <col min="8" max="8" width="7.75" style="22" customWidth="1"/>
    <col min="9" max="10" width="10.875" style="22" customWidth="1"/>
    <col min="11" max="11" width="12.375" style="22" customWidth="1"/>
    <col min="12" max="12" width="10.875" style="22" customWidth="1"/>
    <col min="13" max="13" width="14" style="22" customWidth="1"/>
    <col min="14" max="14" width="7.75" style="22" customWidth="1"/>
    <col min="15" max="15" width="16.875" style="22" customWidth="1"/>
    <col min="16" max="17" width="10.875" style="22" customWidth="1"/>
    <col min="18" max="18" width="7.75" style="22" customWidth="1"/>
    <col min="19" max="19" width="23.125" style="22" customWidth="1"/>
    <col min="20" max="21" width="10.875" style="22" customWidth="1"/>
    <col min="22" max="22" width="7.75" style="22" customWidth="1"/>
    <col min="23" max="23" width="9.5" style="22" customWidth="1"/>
    <col min="24" max="16384" width="8" style="22"/>
  </cols>
  <sheetData>
    <row r="1" s="22" customFormat="1" spans="1:23">
      <c r="A1" s="23" t="s">
        <v>640</v>
      </c>
      <c r="B1" s="23" t="s">
        <v>0</v>
      </c>
      <c r="C1" s="23" t="s">
        <v>980</v>
      </c>
      <c r="D1" s="24" t="s">
        <v>12</v>
      </c>
      <c r="E1" s="23" t="s">
        <v>641</v>
      </c>
      <c r="F1" s="24" t="s">
        <v>642</v>
      </c>
      <c r="G1" s="24" t="s">
        <v>2</v>
      </c>
      <c r="H1" s="23" t="s">
        <v>429</v>
      </c>
      <c r="I1" s="23" t="s">
        <v>643</v>
      </c>
      <c r="J1" s="23" t="s">
        <v>644</v>
      </c>
      <c r="K1" s="23" t="s">
        <v>645</v>
      </c>
      <c r="L1" s="23" t="s">
        <v>646</v>
      </c>
      <c r="M1" s="23" t="s">
        <v>647</v>
      </c>
      <c r="N1" s="23" t="s">
        <v>648</v>
      </c>
      <c r="O1" s="23" t="s">
        <v>649</v>
      </c>
      <c r="P1" s="24" t="s">
        <v>650</v>
      </c>
      <c r="Q1" s="24" t="s">
        <v>651</v>
      </c>
      <c r="R1" s="23" t="s">
        <v>652</v>
      </c>
      <c r="S1" s="23" t="s">
        <v>653</v>
      </c>
      <c r="T1" s="23" t="s">
        <v>654</v>
      </c>
      <c r="U1" s="23" t="s">
        <v>655</v>
      </c>
      <c r="V1" s="23" t="s">
        <v>656</v>
      </c>
      <c r="W1" s="23" t="s">
        <v>657</v>
      </c>
    </row>
    <row r="2" s="22" customFormat="1" ht="16.5" customHeight="1" spans="1:23">
      <c r="A2" s="25" t="s">
        <v>1645</v>
      </c>
      <c r="B2" s="25" t="s">
        <v>32</v>
      </c>
      <c r="C2" s="25" t="s">
        <v>1646</v>
      </c>
      <c r="D2" s="26">
        <v>1</v>
      </c>
      <c r="E2" s="25" t="s">
        <v>1647</v>
      </c>
      <c r="F2" s="27">
        <v>45764</v>
      </c>
      <c r="G2" s="27">
        <v>45764</v>
      </c>
      <c r="H2" s="28" t="s">
        <v>444</v>
      </c>
      <c r="I2" s="25" t="s">
        <v>445</v>
      </c>
      <c r="J2" s="28" t="s">
        <v>41</v>
      </c>
      <c r="K2" s="25" t="s">
        <v>660</v>
      </c>
      <c r="L2" s="28" t="s">
        <v>41</v>
      </c>
      <c r="M2" s="25" t="s">
        <v>492</v>
      </c>
      <c r="N2" s="28" t="s">
        <v>41</v>
      </c>
      <c r="O2" s="25" t="s">
        <v>1017</v>
      </c>
      <c r="P2" s="33">
        <v>0</v>
      </c>
      <c r="Q2" s="33">
        <v>395.5</v>
      </c>
      <c r="R2" s="25" t="s">
        <v>748</v>
      </c>
      <c r="S2" s="25" t="s">
        <v>259</v>
      </c>
      <c r="T2" s="25" t="s">
        <v>36</v>
      </c>
      <c r="U2" s="25" t="s">
        <v>663</v>
      </c>
      <c r="V2" s="25" t="s">
        <v>1648</v>
      </c>
      <c r="W2" s="25" t="s">
        <v>665</v>
      </c>
    </row>
    <row r="3" s="22" customFormat="1" ht="16.5" customHeight="1" spans="1:23">
      <c r="A3" s="29" t="s">
        <v>1649</v>
      </c>
      <c r="B3" s="29" t="s">
        <v>32</v>
      </c>
      <c r="C3" s="29" t="s">
        <v>1650</v>
      </c>
      <c r="D3" s="30">
        <v>1</v>
      </c>
      <c r="E3" s="29" t="s">
        <v>1651</v>
      </c>
      <c r="F3" s="31">
        <v>45764</v>
      </c>
      <c r="G3" s="31">
        <v>45764</v>
      </c>
      <c r="H3" s="32" t="s">
        <v>444</v>
      </c>
      <c r="I3" s="29" t="s">
        <v>445</v>
      </c>
      <c r="J3" s="32" t="s">
        <v>41</v>
      </c>
      <c r="K3" s="29" t="s">
        <v>660</v>
      </c>
      <c r="L3" s="32" t="s">
        <v>41</v>
      </c>
      <c r="M3" s="29" t="s">
        <v>492</v>
      </c>
      <c r="N3" s="32" t="s">
        <v>41</v>
      </c>
      <c r="O3" s="29" t="s">
        <v>1017</v>
      </c>
      <c r="P3" s="34">
        <v>0</v>
      </c>
      <c r="Q3" s="34">
        <v>1546.97</v>
      </c>
      <c r="R3" s="29" t="s">
        <v>748</v>
      </c>
      <c r="S3" s="29" t="s">
        <v>259</v>
      </c>
      <c r="T3" s="29" t="s">
        <v>36</v>
      </c>
      <c r="U3" s="29" t="s">
        <v>663</v>
      </c>
      <c r="V3" s="29" t="s">
        <v>1652</v>
      </c>
      <c r="W3" s="29" t="s">
        <v>665</v>
      </c>
    </row>
    <row r="4" s="22" customFormat="1" ht="16.5" customHeight="1" spans="1:23">
      <c r="A4" s="25" t="s">
        <v>1653</v>
      </c>
      <c r="B4" s="25" t="s">
        <v>32</v>
      </c>
      <c r="C4" s="25" t="s">
        <v>1654</v>
      </c>
      <c r="D4" s="26">
        <v>1</v>
      </c>
      <c r="E4" s="25" t="s">
        <v>1655</v>
      </c>
      <c r="F4" s="27">
        <v>45764</v>
      </c>
      <c r="G4" s="27">
        <v>45764</v>
      </c>
      <c r="H4" s="28" t="s">
        <v>444</v>
      </c>
      <c r="I4" s="25" t="s">
        <v>445</v>
      </c>
      <c r="J4" s="28" t="s">
        <v>41</v>
      </c>
      <c r="K4" s="25" t="s">
        <v>660</v>
      </c>
      <c r="L4" s="28" t="s">
        <v>41</v>
      </c>
      <c r="M4" s="25" t="s">
        <v>492</v>
      </c>
      <c r="N4" s="28" t="s">
        <v>41</v>
      </c>
      <c r="O4" s="25" t="s">
        <v>1017</v>
      </c>
      <c r="P4" s="33">
        <v>0</v>
      </c>
      <c r="Q4" s="33">
        <v>6047.76</v>
      </c>
      <c r="R4" s="25" t="s">
        <v>748</v>
      </c>
      <c r="S4" s="25" t="s">
        <v>259</v>
      </c>
      <c r="T4" s="25" t="s">
        <v>36</v>
      </c>
      <c r="U4" s="25" t="s">
        <v>663</v>
      </c>
      <c r="V4" s="25" t="s">
        <v>1656</v>
      </c>
      <c r="W4" s="25" t="s">
        <v>665</v>
      </c>
    </row>
    <row r="5" s="22" customFormat="1" ht="16.5" customHeight="1" spans="1:23">
      <c r="A5" s="29" t="s">
        <v>1657</v>
      </c>
      <c r="B5" s="29" t="s">
        <v>32</v>
      </c>
      <c r="C5" s="29" t="s">
        <v>1658</v>
      </c>
      <c r="D5" s="30">
        <v>1</v>
      </c>
      <c r="E5" s="29" t="s">
        <v>1659</v>
      </c>
      <c r="F5" s="31">
        <v>45764</v>
      </c>
      <c r="G5" s="31">
        <v>45764</v>
      </c>
      <c r="H5" s="32" t="s">
        <v>444</v>
      </c>
      <c r="I5" s="29" t="s">
        <v>445</v>
      </c>
      <c r="J5" s="32" t="s">
        <v>41</v>
      </c>
      <c r="K5" s="29" t="s">
        <v>660</v>
      </c>
      <c r="L5" s="32" t="s">
        <v>41</v>
      </c>
      <c r="M5" s="29" t="s">
        <v>492</v>
      </c>
      <c r="N5" s="32" t="s">
        <v>41</v>
      </c>
      <c r="O5" s="29" t="s">
        <v>1017</v>
      </c>
      <c r="P5" s="34">
        <v>0</v>
      </c>
      <c r="Q5" s="34">
        <v>179711.78</v>
      </c>
      <c r="R5" s="29" t="s">
        <v>748</v>
      </c>
      <c r="S5" s="29" t="s">
        <v>259</v>
      </c>
      <c r="T5" s="29" t="s">
        <v>36</v>
      </c>
      <c r="U5" s="29" t="s">
        <v>663</v>
      </c>
      <c r="V5" s="29" t="s">
        <v>1660</v>
      </c>
      <c r="W5" s="29" t="s">
        <v>665</v>
      </c>
    </row>
    <row r="6" s="22" customFormat="1" ht="16.5" customHeight="1" spans="1:23">
      <c r="A6" s="25" t="s">
        <v>1657</v>
      </c>
      <c r="B6" s="25" t="s">
        <v>32</v>
      </c>
      <c r="C6" s="25" t="s">
        <v>1658</v>
      </c>
      <c r="D6" s="26">
        <v>3</v>
      </c>
      <c r="E6" s="25" t="s">
        <v>1659</v>
      </c>
      <c r="F6" s="27">
        <v>45764</v>
      </c>
      <c r="G6" s="27">
        <v>45764</v>
      </c>
      <c r="H6" s="28" t="s">
        <v>444</v>
      </c>
      <c r="I6" s="25" t="s">
        <v>445</v>
      </c>
      <c r="J6" s="28" t="s">
        <v>41</v>
      </c>
      <c r="K6" s="25" t="s">
        <v>660</v>
      </c>
      <c r="L6" s="28" t="s">
        <v>41</v>
      </c>
      <c r="M6" s="25" t="s">
        <v>492</v>
      </c>
      <c r="N6" s="28" t="s">
        <v>41</v>
      </c>
      <c r="O6" s="25" t="s">
        <v>1017</v>
      </c>
      <c r="P6" s="33">
        <v>6118.18</v>
      </c>
      <c r="Q6" s="33">
        <v>0</v>
      </c>
      <c r="R6" s="25" t="s">
        <v>748</v>
      </c>
      <c r="S6" s="25" t="s">
        <v>259</v>
      </c>
      <c r="T6" s="25" t="s">
        <v>36</v>
      </c>
      <c r="U6" s="25" t="s">
        <v>663</v>
      </c>
      <c r="V6" s="25" t="s">
        <v>1660</v>
      </c>
      <c r="W6" s="25" t="s">
        <v>665</v>
      </c>
    </row>
    <row r="7" s="22" customFormat="1" ht="16.5" customHeight="1" spans="1:23">
      <c r="A7" s="29" t="s">
        <v>1661</v>
      </c>
      <c r="B7" s="29" t="s">
        <v>32</v>
      </c>
      <c r="C7" s="29" t="s">
        <v>1662</v>
      </c>
      <c r="D7" s="30">
        <v>1</v>
      </c>
      <c r="E7" s="29" t="s">
        <v>1663</v>
      </c>
      <c r="F7" s="31">
        <v>45764</v>
      </c>
      <c r="G7" s="31">
        <v>45764</v>
      </c>
      <c r="H7" s="32" t="s">
        <v>444</v>
      </c>
      <c r="I7" s="29" t="s">
        <v>445</v>
      </c>
      <c r="J7" s="32" t="s">
        <v>41</v>
      </c>
      <c r="K7" s="29" t="s">
        <v>660</v>
      </c>
      <c r="L7" s="32" t="s">
        <v>41</v>
      </c>
      <c r="M7" s="29" t="s">
        <v>492</v>
      </c>
      <c r="N7" s="32" t="s">
        <v>41</v>
      </c>
      <c r="O7" s="29" t="s">
        <v>1017</v>
      </c>
      <c r="P7" s="34">
        <v>0</v>
      </c>
      <c r="Q7" s="34">
        <v>7910</v>
      </c>
      <c r="R7" s="29" t="s">
        <v>748</v>
      </c>
      <c r="S7" s="29" t="s">
        <v>259</v>
      </c>
      <c r="T7" s="29" t="s">
        <v>36</v>
      </c>
      <c r="U7" s="29" t="s">
        <v>663</v>
      </c>
      <c r="V7" s="29" t="s">
        <v>1664</v>
      </c>
      <c r="W7" s="29" t="s">
        <v>665</v>
      </c>
    </row>
    <row r="8" s="22" customFormat="1" ht="16.5" customHeight="1" spans="1:23">
      <c r="A8" s="25" t="s">
        <v>1665</v>
      </c>
      <c r="B8" s="25" t="s">
        <v>32</v>
      </c>
      <c r="C8" s="25" t="s">
        <v>1666</v>
      </c>
      <c r="D8" s="26">
        <v>1</v>
      </c>
      <c r="E8" s="25" t="s">
        <v>1667</v>
      </c>
      <c r="F8" s="27">
        <v>45764</v>
      </c>
      <c r="G8" s="27">
        <v>45764</v>
      </c>
      <c r="H8" s="28" t="s">
        <v>444</v>
      </c>
      <c r="I8" s="25" t="s">
        <v>445</v>
      </c>
      <c r="J8" s="28" t="s">
        <v>41</v>
      </c>
      <c r="K8" s="25" t="s">
        <v>660</v>
      </c>
      <c r="L8" s="28" t="s">
        <v>41</v>
      </c>
      <c r="M8" s="25" t="s">
        <v>492</v>
      </c>
      <c r="N8" s="28" t="s">
        <v>41</v>
      </c>
      <c r="O8" s="25" t="s">
        <v>1017</v>
      </c>
      <c r="P8" s="33">
        <v>0</v>
      </c>
      <c r="Q8" s="33">
        <v>1977.5</v>
      </c>
      <c r="R8" s="25" t="s">
        <v>748</v>
      </c>
      <c r="S8" s="25" t="s">
        <v>259</v>
      </c>
      <c r="T8" s="25" t="s">
        <v>36</v>
      </c>
      <c r="U8" s="25" t="s">
        <v>663</v>
      </c>
      <c r="V8" s="25" t="s">
        <v>1668</v>
      </c>
      <c r="W8" s="25" t="s">
        <v>665</v>
      </c>
    </row>
    <row r="9" s="22" customFormat="1" ht="16.5" customHeight="1" spans="1:23">
      <c r="A9" s="29" t="s">
        <v>1669</v>
      </c>
      <c r="B9" s="29" t="s">
        <v>32</v>
      </c>
      <c r="C9" s="29" t="s">
        <v>1670</v>
      </c>
      <c r="D9" s="30">
        <v>1</v>
      </c>
      <c r="E9" s="29" t="s">
        <v>1671</v>
      </c>
      <c r="F9" s="31">
        <v>45764</v>
      </c>
      <c r="G9" s="31">
        <v>45764</v>
      </c>
      <c r="H9" s="32" t="s">
        <v>444</v>
      </c>
      <c r="I9" s="29" t="s">
        <v>445</v>
      </c>
      <c r="J9" s="32" t="s">
        <v>41</v>
      </c>
      <c r="K9" s="29" t="s">
        <v>660</v>
      </c>
      <c r="L9" s="32" t="s">
        <v>41</v>
      </c>
      <c r="M9" s="29" t="s">
        <v>492</v>
      </c>
      <c r="N9" s="32" t="s">
        <v>41</v>
      </c>
      <c r="O9" s="29" t="s">
        <v>1017</v>
      </c>
      <c r="P9" s="34">
        <v>0</v>
      </c>
      <c r="Q9" s="34">
        <v>1977.5</v>
      </c>
      <c r="R9" s="29" t="s">
        <v>748</v>
      </c>
      <c r="S9" s="29" t="s">
        <v>259</v>
      </c>
      <c r="T9" s="29" t="s">
        <v>36</v>
      </c>
      <c r="U9" s="29" t="s">
        <v>663</v>
      </c>
      <c r="V9" s="29" t="s">
        <v>1672</v>
      </c>
      <c r="W9" s="29" t="s">
        <v>665</v>
      </c>
    </row>
    <row r="10" s="22" customFormat="1" ht="16.5" customHeight="1" spans="1:23">
      <c r="A10" s="25" t="s">
        <v>1673</v>
      </c>
      <c r="B10" s="25" t="s">
        <v>32</v>
      </c>
      <c r="C10" s="25" t="s">
        <v>1674</v>
      </c>
      <c r="D10" s="26">
        <v>1</v>
      </c>
      <c r="E10" s="25" t="s">
        <v>1675</v>
      </c>
      <c r="F10" s="27">
        <v>45768</v>
      </c>
      <c r="G10" s="27">
        <v>45768</v>
      </c>
      <c r="H10" s="28" t="s">
        <v>444</v>
      </c>
      <c r="I10" s="25" t="s">
        <v>445</v>
      </c>
      <c r="J10" s="28" t="s">
        <v>41</v>
      </c>
      <c r="K10" s="25" t="s">
        <v>660</v>
      </c>
      <c r="L10" s="28" t="s">
        <v>41</v>
      </c>
      <c r="M10" s="25" t="s">
        <v>492</v>
      </c>
      <c r="N10" s="28" t="s">
        <v>41</v>
      </c>
      <c r="O10" s="25" t="s">
        <v>1676</v>
      </c>
      <c r="P10" s="33">
        <v>0</v>
      </c>
      <c r="Q10" s="33">
        <v>738887.26</v>
      </c>
      <c r="R10" s="25" t="s">
        <v>1552</v>
      </c>
      <c r="S10" s="25" t="s">
        <v>256</v>
      </c>
      <c r="T10" s="25" t="s">
        <v>36</v>
      </c>
      <c r="U10" s="25" t="s">
        <v>663</v>
      </c>
      <c r="V10" s="25" t="s">
        <v>1677</v>
      </c>
      <c r="W10" s="25" t="s">
        <v>665</v>
      </c>
    </row>
    <row r="11" s="22" customFormat="1" ht="16.5" customHeight="1" spans="1:23">
      <c r="A11" s="29" t="s">
        <v>1673</v>
      </c>
      <c r="B11" s="29" t="s">
        <v>32</v>
      </c>
      <c r="C11" s="29" t="s">
        <v>1674</v>
      </c>
      <c r="D11" s="30">
        <v>3</v>
      </c>
      <c r="E11" s="29" t="s">
        <v>1675</v>
      </c>
      <c r="F11" s="31">
        <v>45768</v>
      </c>
      <c r="G11" s="31">
        <v>45768</v>
      </c>
      <c r="H11" s="32" t="s">
        <v>444</v>
      </c>
      <c r="I11" s="29" t="s">
        <v>445</v>
      </c>
      <c r="J11" s="32" t="s">
        <v>41</v>
      </c>
      <c r="K11" s="29" t="s">
        <v>660</v>
      </c>
      <c r="L11" s="32" t="s">
        <v>41</v>
      </c>
      <c r="M11" s="29" t="s">
        <v>492</v>
      </c>
      <c r="N11" s="32" t="s">
        <v>41</v>
      </c>
      <c r="O11" s="29" t="s">
        <v>1676</v>
      </c>
      <c r="P11" s="34">
        <v>995</v>
      </c>
      <c r="Q11" s="34">
        <v>0</v>
      </c>
      <c r="R11" s="29" t="s">
        <v>1552</v>
      </c>
      <c r="S11" s="29" t="s">
        <v>256</v>
      </c>
      <c r="T11" s="29" t="s">
        <v>36</v>
      </c>
      <c r="U11" s="29" t="s">
        <v>663</v>
      </c>
      <c r="V11" s="29" t="s">
        <v>1677</v>
      </c>
      <c r="W11" s="29" t="s">
        <v>665</v>
      </c>
    </row>
    <row r="12" s="22" customFormat="1" ht="16.5" customHeight="1" spans="1:23">
      <c r="A12" s="25" t="s">
        <v>1678</v>
      </c>
      <c r="B12" s="25" t="s">
        <v>32</v>
      </c>
      <c r="C12" s="25" t="s">
        <v>1679</v>
      </c>
      <c r="D12" s="26">
        <v>1</v>
      </c>
      <c r="E12" s="25" t="s">
        <v>1680</v>
      </c>
      <c r="F12" s="27">
        <v>45768</v>
      </c>
      <c r="G12" s="27">
        <v>45768</v>
      </c>
      <c r="H12" s="28" t="s">
        <v>444</v>
      </c>
      <c r="I12" s="25" t="s">
        <v>445</v>
      </c>
      <c r="J12" s="28" t="s">
        <v>41</v>
      </c>
      <c r="K12" s="25" t="s">
        <v>660</v>
      </c>
      <c r="L12" s="28" t="s">
        <v>41</v>
      </c>
      <c r="M12" s="25" t="s">
        <v>492</v>
      </c>
      <c r="N12" s="28" t="s">
        <v>41</v>
      </c>
      <c r="O12" s="25" t="s">
        <v>1681</v>
      </c>
      <c r="P12" s="33">
        <v>0.03</v>
      </c>
      <c r="Q12" s="33">
        <v>0</v>
      </c>
      <c r="R12" s="25" t="s">
        <v>1552</v>
      </c>
      <c r="S12" s="25" t="s">
        <v>256</v>
      </c>
      <c r="T12" s="25" t="s">
        <v>36</v>
      </c>
      <c r="U12" s="25" t="s">
        <v>663</v>
      </c>
      <c r="V12" s="25" t="s">
        <v>1682</v>
      </c>
      <c r="W12" s="25" t="s">
        <v>665</v>
      </c>
    </row>
    <row r="13" s="22" customFormat="1" ht="16.5" customHeight="1" spans="1:23">
      <c r="A13" s="29" t="s">
        <v>1683</v>
      </c>
      <c r="B13" s="29" t="s">
        <v>32</v>
      </c>
      <c r="C13" s="29" t="s">
        <v>1684</v>
      </c>
      <c r="D13" s="30">
        <v>1</v>
      </c>
      <c r="E13" s="29" t="s">
        <v>1685</v>
      </c>
      <c r="F13" s="31">
        <v>45768</v>
      </c>
      <c r="G13" s="31">
        <v>45768</v>
      </c>
      <c r="H13" s="32" t="s">
        <v>444</v>
      </c>
      <c r="I13" s="29" t="s">
        <v>445</v>
      </c>
      <c r="J13" s="32" t="s">
        <v>41</v>
      </c>
      <c r="K13" s="29" t="s">
        <v>660</v>
      </c>
      <c r="L13" s="32" t="s">
        <v>41</v>
      </c>
      <c r="M13" s="29" t="s">
        <v>492</v>
      </c>
      <c r="N13" s="32" t="s">
        <v>41</v>
      </c>
      <c r="O13" s="29" t="s">
        <v>1686</v>
      </c>
      <c r="P13" s="34">
        <v>0</v>
      </c>
      <c r="Q13" s="34">
        <v>900895.53</v>
      </c>
      <c r="R13" s="29" t="s">
        <v>1552</v>
      </c>
      <c r="S13" s="29" t="s">
        <v>256</v>
      </c>
      <c r="T13" s="29" t="s">
        <v>36</v>
      </c>
      <c r="U13" s="29" t="s">
        <v>663</v>
      </c>
      <c r="V13" s="29" t="s">
        <v>1687</v>
      </c>
      <c r="W13" s="29" t="s">
        <v>665</v>
      </c>
    </row>
    <row r="14" s="22" customFormat="1" ht="16.5" customHeight="1" spans="1:23">
      <c r="A14" s="25" t="s">
        <v>1688</v>
      </c>
      <c r="B14" s="25" t="s">
        <v>32</v>
      </c>
      <c r="C14" s="25" t="s">
        <v>1689</v>
      </c>
      <c r="D14" s="26">
        <v>1</v>
      </c>
      <c r="E14" s="25" t="s">
        <v>1690</v>
      </c>
      <c r="F14" s="27">
        <v>45768</v>
      </c>
      <c r="G14" s="27">
        <v>45768</v>
      </c>
      <c r="H14" s="28" t="s">
        <v>444</v>
      </c>
      <c r="I14" s="25" t="s">
        <v>445</v>
      </c>
      <c r="J14" s="28" t="s">
        <v>41</v>
      </c>
      <c r="K14" s="25" t="s">
        <v>660</v>
      </c>
      <c r="L14" s="28" t="s">
        <v>41</v>
      </c>
      <c r="M14" s="25" t="s">
        <v>492</v>
      </c>
      <c r="N14" s="28" t="s">
        <v>41</v>
      </c>
      <c r="O14" s="25" t="s">
        <v>1691</v>
      </c>
      <c r="P14" s="33">
        <v>0</v>
      </c>
      <c r="Q14" s="33">
        <v>0.05</v>
      </c>
      <c r="R14" s="25" t="s">
        <v>1552</v>
      </c>
      <c r="S14" s="25" t="s">
        <v>256</v>
      </c>
      <c r="T14" s="25" t="s">
        <v>36</v>
      </c>
      <c r="U14" s="25" t="s">
        <v>663</v>
      </c>
      <c r="V14" s="25" t="s">
        <v>1692</v>
      </c>
      <c r="W14" s="25" t="s">
        <v>665</v>
      </c>
    </row>
    <row r="15" s="22" customFormat="1" ht="16.5" customHeight="1" spans="1:23">
      <c r="A15" s="29" t="s">
        <v>1693</v>
      </c>
      <c r="B15" s="29" t="s">
        <v>32</v>
      </c>
      <c r="C15" s="29" t="s">
        <v>1694</v>
      </c>
      <c r="D15" s="30">
        <v>1</v>
      </c>
      <c r="E15" s="29" t="s">
        <v>1695</v>
      </c>
      <c r="F15" s="31">
        <v>45768</v>
      </c>
      <c r="G15" s="31">
        <v>45768</v>
      </c>
      <c r="H15" s="32" t="s">
        <v>444</v>
      </c>
      <c r="I15" s="29" t="s">
        <v>445</v>
      </c>
      <c r="J15" s="32" t="s">
        <v>41</v>
      </c>
      <c r="K15" s="29" t="s">
        <v>660</v>
      </c>
      <c r="L15" s="32" t="s">
        <v>41</v>
      </c>
      <c r="M15" s="29" t="s">
        <v>492</v>
      </c>
      <c r="N15" s="32" t="s">
        <v>41</v>
      </c>
      <c r="O15" s="29" t="s">
        <v>710</v>
      </c>
      <c r="P15" s="34">
        <v>0</v>
      </c>
      <c r="Q15" s="34">
        <v>57765.6</v>
      </c>
      <c r="R15" s="29" t="s">
        <v>711</v>
      </c>
      <c r="S15" s="29" t="s">
        <v>311</v>
      </c>
      <c r="T15" s="29" t="s">
        <v>36</v>
      </c>
      <c r="U15" s="29" t="s">
        <v>663</v>
      </c>
      <c r="V15" s="29" t="s">
        <v>1696</v>
      </c>
      <c r="W15" s="29" t="s">
        <v>665</v>
      </c>
    </row>
    <row r="16" s="22" customFormat="1" ht="16.5" customHeight="1" spans="1:23">
      <c r="A16" s="25" t="s">
        <v>1697</v>
      </c>
      <c r="B16" s="25" t="s">
        <v>32</v>
      </c>
      <c r="C16" s="25" t="s">
        <v>1698</v>
      </c>
      <c r="D16" s="26">
        <v>1</v>
      </c>
      <c r="E16" s="25" t="s">
        <v>1699</v>
      </c>
      <c r="F16" s="27">
        <v>45770</v>
      </c>
      <c r="G16" s="27">
        <v>45770</v>
      </c>
      <c r="H16" s="28" t="s">
        <v>444</v>
      </c>
      <c r="I16" s="25" t="s">
        <v>445</v>
      </c>
      <c r="J16" s="28" t="s">
        <v>41</v>
      </c>
      <c r="K16" s="25" t="s">
        <v>660</v>
      </c>
      <c r="L16" s="28" t="s">
        <v>41</v>
      </c>
      <c r="M16" s="25" t="s">
        <v>492</v>
      </c>
      <c r="N16" s="28" t="s">
        <v>41</v>
      </c>
      <c r="O16" s="25" t="s">
        <v>1132</v>
      </c>
      <c r="P16" s="33">
        <v>0</v>
      </c>
      <c r="Q16" s="33">
        <v>297960.15</v>
      </c>
      <c r="R16" s="25" t="s">
        <v>793</v>
      </c>
      <c r="S16" s="25" t="s">
        <v>299</v>
      </c>
      <c r="T16" s="25" t="s">
        <v>36</v>
      </c>
      <c r="U16" s="25" t="s">
        <v>663</v>
      </c>
      <c r="V16" s="25" t="s">
        <v>1700</v>
      </c>
      <c r="W16" s="25" t="s">
        <v>665</v>
      </c>
    </row>
    <row r="17" s="22" customFormat="1" ht="16.5" customHeight="1" spans="1:23">
      <c r="A17" s="29" t="s">
        <v>1701</v>
      </c>
      <c r="B17" s="29" t="s">
        <v>32</v>
      </c>
      <c r="C17" s="29" t="s">
        <v>1702</v>
      </c>
      <c r="D17" s="30">
        <v>1</v>
      </c>
      <c r="E17" s="29" t="s">
        <v>1703</v>
      </c>
      <c r="F17" s="31">
        <v>45770</v>
      </c>
      <c r="G17" s="31">
        <v>45770</v>
      </c>
      <c r="H17" s="32" t="s">
        <v>444</v>
      </c>
      <c r="I17" s="29" t="s">
        <v>445</v>
      </c>
      <c r="J17" s="32" t="s">
        <v>41</v>
      </c>
      <c r="K17" s="29" t="s">
        <v>660</v>
      </c>
      <c r="L17" s="32" t="s">
        <v>41</v>
      </c>
      <c r="M17" s="29" t="s">
        <v>492</v>
      </c>
      <c r="N17" s="32" t="s">
        <v>41</v>
      </c>
      <c r="O17" s="29" t="s">
        <v>747</v>
      </c>
      <c r="P17" s="34">
        <v>0</v>
      </c>
      <c r="Q17" s="34">
        <v>415675.18</v>
      </c>
      <c r="R17" s="29" t="s">
        <v>748</v>
      </c>
      <c r="S17" s="29" t="s">
        <v>259</v>
      </c>
      <c r="T17" s="29" t="s">
        <v>36</v>
      </c>
      <c r="U17" s="29" t="s">
        <v>663</v>
      </c>
      <c r="V17" s="29" t="s">
        <v>1704</v>
      </c>
      <c r="W17" s="29" t="s">
        <v>665</v>
      </c>
    </row>
    <row r="18" s="22" customFormat="1" ht="16.5" customHeight="1" spans="1:23">
      <c r="A18" s="25" t="s">
        <v>1701</v>
      </c>
      <c r="B18" s="25" t="s">
        <v>32</v>
      </c>
      <c r="C18" s="25" t="s">
        <v>1702</v>
      </c>
      <c r="D18" s="26">
        <v>3</v>
      </c>
      <c r="E18" s="25" t="s">
        <v>1703</v>
      </c>
      <c r="F18" s="27">
        <v>45770</v>
      </c>
      <c r="G18" s="27">
        <v>45770</v>
      </c>
      <c r="H18" s="28" t="s">
        <v>444</v>
      </c>
      <c r="I18" s="25" t="s">
        <v>445</v>
      </c>
      <c r="J18" s="28" t="s">
        <v>41</v>
      </c>
      <c r="K18" s="25" t="s">
        <v>660</v>
      </c>
      <c r="L18" s="28" t="s">
        <v>41</v>
      </c>
      <c r="M18" s="25" t="s">
        <v>492</v>
      </c>
      <c r="N18" s="28" t="s">
        <v>41</v>
      </c>
      <c r="O18" s="25" t="s">
        <v>747</v>
      </c>
      <c r="P18" s="33">
        <v>7493.42</v>
      </c>
      <c r="Q18" s="33">
        <v>0</v>
      </c>
      <c r="R18" s="25" t="s">
        <v>748</v>
      </c>
      <c r="S18" s="25" t="s">
        <v>259</v>
      </c>
      <c r="T18" s="25" t="s">
        <v>36</v>
      </c>
      <c r="U18" s="25" t="s">
        <v>663</v>
      </c>
      <c r="V18" s="25" t="s">
        <v>1704</v>
      </c>
      <c r="W18" s="25" t="s">
        <v>665</v>
      </c>
    </row>
    <row r="19" s="22" customFormat="1" ht="16.5" customHeight="1" spans="1:23">
      <c r="A19" s="29" t="s">
        <v>1705</v>
      </c>
      <c r="B19" s="29" t="s">
        <v>32</v>
      </c>
      <c r="C19" s="29" t="s">
        <v>1706</v>
      </c>
      <c r="D19" s="30">
        <v>1</v>
      </c>
      <c r="E19" s="29" t="s">
        <v>1707</v>
      </c>
      <c r="F19" s="31">
        <v>45770</v>
      </c>
      <c r="G19" s="31">
        <v>45770</v>
      </c>
      <c r="H19" s="32" t="s">
        <v>444</v>
      </c>
      <c r="I19" s="29" t="s">
        <v>445</v>
      </c>
      <c r="J19" s="32" t="s">
        <v>41</v>
      </c>
      <c r="K19" s="29" t="s">
        <v>660</v>
      </c>
      <c r="L19" s="32" t="s">
        <v>41</v>
      </c>
      <c r="M19" s="29" t="s">
        <v>492</v>
      </c>
      <c r="N19" s="32" t="s">
        <v>41</v>
      </c>
      <c r="O19" s="29" t="s">
        <v>797</v>
      </c>
      <c r="P19" s="34">
        <v>0</v>
      </c>
      <c r="Q19" s="34">
        <v>6960.35</v>
      </c>
      <c r="R19" s="29" t="s">
        <v>798</v>
      </c>
      <c r="S19" s="29" t="s">
        <v>267</v>
      </c>
      <c r="T19" s="29" t="s">
        <v>36</v>
      </c>
      <c r="U19" s="29" t="s">
        <v>663</v>
      </c>
      <c r="V19" s="29" t="s">
        <v>1708</v>
      </c>
      <c r="W19" s="29" t="s">
        <v>665</v>
      </c>
    </row>
    <row r="20" s="22" customFormat="1" ht="16.5" customHeight="1" spans="1:23">
      <c r="A20" s="25" t="s">
        <v>1709</v>
      </c>
      <c r="B20" s="25" t="s">
        <v>32</v>
      </c>
      <c r="C20" s="25" t="s">
        <v>1710</v>
      </c>
      <c r="D20" s="26">
        <v>1</v>
      </c>
      <c r="E20" s="25" t="s">
        <v>1711</v>
      </c>
      <c r="F20" s="27">
        <v>45770</v>
      </c>
      <c r="G20" s="27">
        <v>45770</v>
      </c>
      <c r="H20" s="28" t="s">
        <v>444</v>
      </c>
      <c r="I20" s="25" t="s">
        <v>445</v>
      </c>
      <c r="J20" s="28" t="s">
        <v>41</v>
      </c>
      <c r="K20" s="25" t="s">
        <v>660</v>
      </c>
      <c r="L20" s="28" t="s">
        <v>41</v>
      </c>
      <c r="M20" s="25" t="s">
        <v>492</v>
      </c>
      <c r="N20" s="28" t="s">
        <v>41</v>
      </c>
      <c r="O20" s="25" t="s">
        <v>1148</v>
      </c>
      <c r="P20" s="33">
        <v>0</v>
      </c>
      <c r="Q20" s="33">
        <v>69156</v>
      </c>
      <c r="R20" s="25" t="s">
        <v>1149</v>
      </c>
      <c r="S20" s="25" t="s">
        <v>282</v>
      </c>
      <c r="T20" s="25" t="s">
        <v>36</v>
      </c>
      <c r="U20" s="25" t="s">
        <v>663</v>
      </c>
      <c r="V20" s="25" t="s">
        <v>1712</v>
      </c>
      <c r="W20" s="25" t="s">
        <v>665</v>
      </c>
    </row>
    <row r="21" s="22" customFormat="1" ht="16.5" customHeight="1" spans="1:23">
      <c r="A21" s="29" t="s">
        <v>1713</v>
      </c>
      <c r="B21" s="29" t="s">
        <v>32</v>
      </c>
      <c r="C21" s="29" t="s">
        <v>1714</v>
      </c>
      <c r="D21" s="30">
        <v>1</v>
      </c>
      <c r="E21" s="29" t="s">
        <v>1715</v>
      </c>
      <c r="F21" s="31">
        <v>45770</v>
      </c>
      <c r="G21" s="31">
        <v>45770</v>
      </c>
      <c r="H21" s="32" t="s">
        <v>444</v>
      </c>
      <c r="I21" s="29" t="s">
        <v>445</v>
      </c>
      <c r="J21" s="32" t="s">
        <v>41</v>
      </c>
      <c r="K21" s="29" t="s">
        <v>660</v>
      </c>
      <c r="L21" s="32" t="s">
        <v>41</v>
      </c>
      <c r="M21" s="29" t="s">
        <v>492</v>
      </c>
      <c r="N21" s="32" t="s">
        <v>41</v>
      </c>
      <c r="O21" s="29" t="s">
        <v>1716</v>
      </c>
      <c r="P21" s="34">
        <v>0</v>
      </c>
      <c r="Q21" s="34">
        <v>38159.7</v>
      </c>
      <c r="R21" s="29" t="s">
        <v>758</v>
      </c>
      <c r="S21" s="29" t="s">
        <v>314</v>
      </c>
      <c r="T21" s="29" t="s">
        <v>36</v>
      </c>
      <c r="U21" s="29" t="s">
        <v>663</v>
      </c>
      <c r="V21" s="29" t="s">
        <v>1717</v>
      </c>
      <c r="W21" s="29" t="s">
        <v>665</v>
      </c>
    </row>
    <row r="22" s="22" customFormat="1" ht="16.5" customHeight="1" spans="1:23">
      <c r="A22" s="25" t="s">
        <v>1718</v>
      </c>
      <c r="B22" s="25" t="s">
        <v>32</v>
      </c>
      <c r="C22" s="25" t="s">
        <v>1719</v>
      </c>
      <c r="D22" s="26">
        <v>1</v>
      </c>
      <c r="E22" s="25" t="s">
        <v>1720</v>
      </c>
      <c r="F22" s="27">
        <v>45770</v>
      </c>
      <c r="G22" s="27">
        <v>45770</v>
      </c>
      <c r="H22" s="28" t="s">
        <v>444</v>
      </c>
      <c r="I22" s="25" t="s">
        <v>445</v>
      </c>
      <c r="J22" s="28" t="s">
        <v>41</v>
      </c>
      <c r="K22" s="25" t="s">
        <v>660</v>
      </c>
      <c r="L22" s="28" t="s">
        <v>41</v>
      </c>
      <c r="M22" s="25" t="s">
        <v>492</v>
      </c>
      <c r="N22" s="28" t="s">
        <v>41</v>
      </c>
      <c r="O22" s="25" t="s">
        <v>1721</v>
      </c>
      <c r="P22" s="33">
        <v>0</v>
      </c>
      <c r="Q22" s="33">
        <v>19210</v>
      </c>
      <c r="R22" s="25" t="s">
        <v>724</v>
      </c>
      <c r="S22" s="25" t="s">
        <v>306</v>
      </c>
      <c r="T22" s="25" t="s">
        <v>36</v>
      </c>
      <c r="U22" s="25" t="s">
        <v>663</v>
      </c>
      <c r="V22" s="25" t="s">
        <v>1722</v>
      </c>
      <c r="W22" s="25" t="s">
        <v>665</v>
      </c>
    </row>
    <row r="23" s="22" customFormat="1" ht="16.5" customHeight="1" spans="1:23">
      <c r="A23" s="29" t="s">
        <v>1723</v>
      </c>
      <c r="B23" s="29" t="s">
        <v>32</v>
      </c>
      <c r="C23" s="29" t="s">
        <v>1724</v>
      </c>
      <c r="D23" s="30">
        <v>1</v>
      </c>
      <c r="E23" s="29" t="s">
        <v>1725</v>
      </c>
      <c r="F23" s="31">
        <v>45770</v>
      </c>
      <c r="G23" s="31">
        <v>45770</v>
      </c>
      <c r="H23" s="32" t="s">
        <v>444</v>
      </c>
      <c r="I23" s="29" t="s">
        <v>445</v>
      </c>
      <c r="J23" s="32" t="s">
        <v>41</v>
      </c>
      <c r="K23" s="29" t="s">
        <v>660</v>
      </c>
      <c r="L23" s="32" t="s">
        <v>41</v>
      </c>
      <c r="M23" s="29" t="s">
        <v>492</v>
      </c>
      <c r="N23" s="32" t="s">
        <v>41</v>
      </c>
      <c r="O23" s="29" t="s">
        <v>1726</v>
      </c>
      <c r="P23" s="34">
        <v>0</v>
      </c>
      <c r="Q23" s="34">
        <v>158863.09</v>
      </c>
      <c r="R23" s="29" t="s">
        <v>890</v>
      </c>
      <c r="S23" s="29" t="s">
        <v>263</v>
      </c>
      <c r="T23" s="29" t="s">
        <v>36</v>
      </c>
      <c r="U23" s="29" t="s">
        <v>663</v>
      </c>
      <c r="V23" s="29" t="s">
        <v>1727</v>
      </c>
      <c r="W23" s="29" t="s">
        <v>665</v>
      </c>
    </row>
    <row r="24" s="22" customFormat="1" ht="16.5" customHeight="1" spans="1:23">
      <c r="A24" s="25" t="s">
        <v>1723</v>
      </c>
      <c r="B24" s="25" t="s">
        <v>32</v>
      </c>
      <c r="C24" s="25" t="s">
        <v>1724</v>
      </c>
      <c r="D24" s="26">
        <v>3</v>
      </c>
      <c r="E24" s="25" t="s">
        <v>1725</v>
      </c>
      <c r="F24" s="27">
        <v>45770</v>
      </c>
      <c r="G24" s="27">
        <v>45770</v>
      </c>
      <c r="H24" s="28" t="s">
        <v>444</v>
      </c>
      <c r="I24" s="25" t="s">
        <v>445</v>
      </c>
      <c r="J24" s="28" t="s">
        <v>41</v>
      </c>
      <c r="K24" s="25" t="s">
        <v>660</v>
      </c>
      <c r="L24" s="28" t="s">
        <v>41</v>
      </c>
      <c r="M24" s="25" t="s">
        <v>492</v>
      </c>
      <c r="N24" s="28" t="s">
        <v>41</v>
      </c>
      <c r="O24" s="25" t="s">
        <v>1726</v>
      </c>
      <c r="P24" s="33">
        <v>120</v>
      </c>
      <c r="Q24" s="33">
        <v>0</v>
      </c>
      <c r="R24" s="25" t="s">
        <v>890</v>
      </c>
      <c r="S24" s="25" t="s">
        <v>263</v>
      </c>
      <c r="T24" s="25" t="s">
        <v>36</v>
      </c>
      <c r="U24" s="25" t="s">
        <v>663</v>
      </c>
      <c r="V24" s="25" t="s">
        <v>1727</v>
      </c>
      <c r="W24" s="25" t="s">
        <v>665</v>
      </c>
    </row>
    <row r="25" s="22" customFormat="1" ht="16.5" customHeight="1" spans="1:23">
      <c r="A25" s="29" t="s">
        <v>1728</v>
      </c>
      <c r="B25" s="29" t="s">
        <v>32</v>
      </c>
      <c r="C25" s="29" t="s">
        <v>1729</v>
      </c>
      <c r="D25" s="30">
        <v>1</v>
      </c>
      <c r="E25" s="29" t="s">
        <v>1730</v>
      </c>
      <c r="F25" s="31">
        <v>45770</v>
      </c>
      <c r="G25" s="31">
        <v>45770</v>
      </c>
      <c r="H25" s="32" t="s">
        <v>444</v>
      </c>
      <c r="I25" s="29" t="s">
        <v>445</v>
      </c>
      <c r="J25" s="32" t="s">
        <v>41</v>
      </c>
      <c r="K25" s="29" t="s">
        <v>660</v>
      </c>
      <c r="L25" s="32" t="s">
        <v>41</v>
      </c>
      <c r="M25" s="29" t="s">
        <v>492</v>
      </c>
      <c r="N25" s="32" t="s">
        <v>41</v>
      </c>
      <c r="O25" s="29" t="s">
        <v>1137</v>
      </c>
      <c r="P25" s="34">
        <v>0</v>
      </c>
      <c r="Q25" s="34">
        <v>18204.87</v>
      </c>
      <c r="R25" s="29" t="s">
        <v>783</v>
      </c>
      <c r="S25" s="29" t="s">
        <v>280</v>
      </c>
      <c r="T25" s="29" t="s">
        <v>36</v>
      </c>
      <c r="U25" s="29" t="s">
        <v>663</v>
      </c>
      <c r="V25" s="29" t="s">
        <v>1731</v>
      </c>
      <c r="W25" s="29" t="s">
        <v>665</v>
      </c>
    </row>
    <row r="26" s="22" customFormat="1" ht="16.5" customHeight="1" spans="1:23">
      <c r="A26" s="25" t="s">
        <v>1732</v>
      </c>
      <c r="B26" s="25" t="s">
        <v>32</v>
      </c>
      <c r="C26" s="25" t="s">
        <v>1733</v>
      </c>
      <c r="D26" s="26">
        <v>1</v>
      </c>
      <c r="E26" s="25" t="s">
        <v>1734</v>
      </c>
      <c r="F26" s="27">
        <v>45770</v>
      </c>
      <c r="G26" s="27">
        <v>45770</v>
      </c>
      <c r="H26" s="28" t="s">
        <v>444</v>
      </c>
      <c r="I26" s="25" t="s">
        <v>445</v>
      </c>
      <c r="J26" s="28" t="s">
        <v>41</v>
      </c>
      <c r="K26" s="25" t="s">
        <v>660</v>
      </c>
      <c r="L26" s="28" t="s">
        <v>41</v>
      </c>
      <c r="M26" s="25" t="s">
        <v>492</v>
      </c>
      <c r="N26" s="28" t="s">
        <v>41</v>
      </c>
      <c r="O26" s="25" t="s">
        <v>1107</v>
      </c>
      <c r="P26" s="33">
        <v>0</v>
      </c>
      <c r="Q26" s="33">
        <v>43897.08</v>
      </c>
      <c r="R26" s="25" t="s">
        <v>753</v>
      </c>
      <c r="S26" s="25" t="s">
        <v>252</v>
      </c>
      <c r="T26" s="25" t="s">
        <v>36</v>
      </c>
      <c r="U26" s="25" t="s">
        <v>663</v>
      </c>
      <c r="V26" s="25" t="s">
        <v>1735</v>
      </c>
      <c r="W26" s="25" t="s">
        <v>665</v>
      </c>
    </row>
    <row r="27" s="22" customFormat="1" ht="16.5" customHeight="1" spans="1:23">
      <c r="A27" s="29" t="s">
        <v>1732</v>
      </c>
      <c r="B27" s="29" t="s">
        <v>32</v>
      </c>
      <c r="C27" s="29" t="s">
        <v>1733</v>
      </c>
      <c r="D27" s="30">
        <v>3</v>
      </c>
      <c r="E27" s="29" t="s">
        <v>1734</v>
      </c>
      <c r="F27" s="31">
        <v>45770</v>
      </c>
      <c r="G27" s="31">
        <v>45770</v>
      </c>
      <c r="H27" s="32" t="s">
        <v>444</v>
      </c>
      <c r="I27" s="29" t="s">
        <v>445</v>
      </c>
      <c r="J27" s="32" t="s">
        <v>41</v>
      </c>
      <c r="K27" s="29" t="s">
        <v>660</v>
      </c>
      <c r="L27" s="32" t="s">
        <v>41</v>
      </c>
      <c r="M27" s="29" t="s">
        <v>492</v>
      </c>
      <c r="N27" s="32" t="s">
        <v>41</v>
      </c>
      <c r="O27" s="29" t="s">
        <v>1107</v>
      </c>
      <c r="P27" s="34">
        <v>0.75</v>
      </c>
      <c r="Q27" s="34">
        <v>0</v>
      </c>
      <c r="R27" s="29" t="s">
        <v>753</v>
      </c>
      <c r="S27" s="29" t="s">
        <v>252</v>
      </c>
      <c r="T27" s="29" t="s">
        <v>36</v>
      </c>
      <c r="U27" s="29" t="s">
        <v>663</v>
      </c>
      <c r="V27" s="29" t="s">
        <v>1735</v>
      </c>
      <c r="W27" s="29" t="s">
        <v>665</v>
      </c>
    </row>
    <row r="28" s="22" customFormat="1" ht="16.5" customHeight="1" spans="1:23">
      <c r="A28" s="25" t="s">
        <v>1736</v>
      </c>
      <c r="B28" s="25" t="s">
        <v>32</v>
      </c>
      <c r="C28" s="25" t="s">
        <v>1737</v>
      </c>
      <c r="D28" s="26">
        <v>1</v>
      </c>
      <c r="E28" s="25" t="s">
        <v>1738</v>
      </c>
      <c r="F28" s="27">
        <v>45770</v>
      </c>
      <c r="G28" s="27">
        <v>45770</v>
      </c>
      <c r="H28" s="28" t="s">
        <v>444</v>
      </c>
      <c r="I28" s="25" t="s">
        <v>445</v>
      </c>
      <c r="J28" s="28" t="s">
        <v>41</v>
      </c>
      <c r="K28" s="25" t="s">
        <v>660</v>
      </c>
      <c r="L28" s="28" t="s">
        <v>41</v>
      </c>
      <c r="M28" s="25" t="s">
        <v>492</v>
      </c>
      <c r="N28" s="28" t="s">
        <v>41</v>
      </c>
      <c r="O28" s="25" t="s">
        <v>898</v>
      </c>
      <c r="P28" s="33">
        <v>0</v>
      </c>
      <c r="Q28" s="33">
        <v>38601.01</v>
      </c>
      <c r="R28" s="25" t="s">
        <v>899</v>
      </c>
      <c r="S28" s="25" t="s">
        <v>245</v>
      </c>
      <c r="T28" s="25" t="s">
        <v>36</v>
      </c>
      <c r="U28" s="25" t="s">
        <v>663</v>
      </c>
      <c r="V28" s="25" t="s">
        <v>1739</v>
      </c>
      <c r="W28" s="25" t="s">
        <v>665</v>
      </c>
    </row>
    <row r="29" s="22" customFormat="1" ht="16.5" customHeight="1" spans="1:23">
      <c r="A29" s="29" t="s">
        <v>1736</v>
      </c>
      <c r="B29" s="29" t="s">
        <v>32</v>
      </c>
      <c r="C29" s="29" t="s">
        <v>1737</v>
      </c>
      <c r="D29" s="30">
        <v>3</v>
      </c>
      <c r="E29" s="29" t="s">
        <v>1738</v>
      </c>
      <c r="F29" s="31">
        <v>45770</v>
      </c>
      <c r="G29" s="31">
        <v>45770</v>
      </c>
      <c r="H29" s="32" t="s">
        <v>444</v>
      </c>
      <c r="I29" s="29" t="s">
        <v>445</v>
      </c>
      <c r="J29" s="32" t="s">
        <v>41</v>
      </c>
      <c r="K29" s="29" t="s">
        <v>660</v>
      </c>
      <c r="L29" s="32" t="s">
        <v>41</v>
      </c>
      <c r="M29" s="29" t="s">
        <v>492</v>
      </c>
      <c r="N29" s="32" t="s">
        <v>41</v>
      </c>
      <c r="O29" s="29" t="s">
        <v>898</v>
      </c>
      <c r="P29" s="34">
        <v>1.28</v>
      </c>
      <c r="Q29" s="34">
        <v>0</v>
      </c>
      <c r="R29" s="29" t="s">
        <v>899</v>
      </c>
      <c r="S29" s="29" t="s">
        <v>245</v>
      </c>
      <c r="T29" s="29" t="s">
        <v>36</v>
      </c>
      <c r="U29" s="29" t="s">
        <v>663</v>
      </c>
      <c r="V29" s="29" t="s">
        <v>1739</v>
      </c>
      <c r="W29" s="29" t="s">
        <v>665</v>
      </c>
    </row>
    <row r="30" s="22" customFormat="1" ht="16.5" customHeight="1" spans="1:23">
      <c r="A30" s="25" t="s">
        <v>1740</v>
      </c>
      <c r="B30" s="25" t="s">
        <v>32</v>
      </c>
      <c r="C30" s="25" t="s">
        <v>1741</v>
      </c>
      <c r="D30" s="26">
        <v>1</v>
      </c>
      <c r="E30" s="25" t="s">
        <v>1742</v>
      </c>
      <c r="F30" s="27">
        <v>45770</v>
      </c>
      <c r="G30" s="27">
        <v>45770</v>
      </c>
      <c r="H30" s="28" t="s">
        <v>444</v>
      </c>
      <c r="I30" s="25" t="s">
        <v>445</v>
      </c>
      <c r="J30" s="28" t="s">
        <v>41</v>
      </c>
      <c r="K30" s="25" t="s">
        <v>660</v>
      </c>
      <c r="L30" s="28" t="s">
        <v>41</v>
      </c>
      <c r="M30" s="25" t="s">
        <v>492</v>
      </c>
      <c r="N30" s="28" t="s">
        <v>41</v>
      </c>
      <c r="O30" s="25" t="s">
        <v>1743</v>
      </c>
      <c r="P30" s="33">
        <v>0.01</v>
      </c>
      <c r="Q30" s="33">
        <v>0</v>
      </c>
      <c r="R30" s="25" t="s">
        <v>899</v>
      </c>
      <c r="S30" s="25" t="s">
        <v>245</v>
      </c>
      <c r="T30" s="25" t="s">
        <v>36</v>
      </c>
      <c r="U30" s="25" t="s">
        <v>663</v>
      </c>
      <c r="V30" s="25" t="s">
        <v>1744</v>
      </c>
      <c r="W30" s="25" t="s">
        <v>665</v>
      </c>
    </row>
    <row r="31" s="22" customFormat="1" ht="16.5" customHeight="1" spans="1:23">
      <c r="A31" s="29" t="s">
        <v>1745</v>
      </c>
      <c r="B31" s="29" t="s">
        <v>32</v>
      </c>
      <c r="C31" s="29" t="s">
        <v>1746</v>
      </c>
      <c r="D31" s="30">
        <v>1</v>
      </c>
      <c r="E31" s="29" t="s">
        <v>1747</v>
      </c>
      <c r="F31" s="31">
        <v>45770</v>
      </c>
      <c r="G31" s="31">
        <v>45770</v>
      </c>
      <c r="H31" s="32" t="s">
        <v>444</v>
      </c>
      <c r="I31" s="29" t="s">
        <v>445</v>
      </c>
      <c r="J31" s="32" t="s">
        <v>41</v>
      </c>
      <c r="K31" s="29" t="s">
        <v>660</v>
      </c>
      <c r="L31" s="32" t="s">
        <v>41</v>
      </c>
      <c r="M31" s="29" t="s">
        <v>492</v>
      </c>
      <c r="N31" s="32" t="s">
        <v>41</v>
      </c>
      <c r="O31" s="29" t="s">
        <v>903</v>
      </c>
      <c r="P31" s="34">
        <v>0</v>
      </c>
      <c r="Q31" s="34">
        <v>151737.12</v>
      </c>
      <c r="R31" s="29" t="s">
        <v>904</v>
      </c>
      <c r="S31" s="29" t="s">
        <v>258</v>
      </c>
      <c r="T31" s="29" t="s">
        <v>36</v>
      </c>
      <c r="U31" s="29" t="s">
        <v>663</v>
      </c>
      <c r="V31" s="29" t="s">
        <v>1748</v>
      </c>
      <c r="W31" s="29" t="s">
        <v>665</v>
      </c>
    </row>
    <row r="32" s="22" customFormat="1" ht="16.5" customHeight="1" spans="1:23">
      <c r="A32" s="25" t="s">
        <v>1749</v>
      </c>
      <c r="B32" s="25" t="s">
        <v>32</v>
      </c>
      <c r="C32" s="25" t="s">
        <v>1750</v>
      </c>
      <c r="D32" s="26">
        <v>1</v>
      </c>
      <c r="E32" s="25" t="s">
        <v>1751</v>
      </c>
      <c r="F32" s="27">
        <v>45770</v>
      </c>
      <c r="G32" s="27">
        <v>45770</v>
      </c>
      <c r="H32" s="28" t="s">
        <v>444</v>
      </c>
      <c r="I32" s="25" t="s">
        <v>445</v>
      </c>
      <c r="J32" s="28" t="s">
        <v>41</v>
      </c>
      <c r="K32" s="25" t="s">
        <v>660</v>
      </c>
      <c r="L32" s="28" t="s">
        <v>41</v>
      </c>
      <c r="M32" s="25" t="s">
        <v>492</v>
      </c>
      <c r="N32" s="28" t="s">
        <v>41</v>
      </c>
      <c r="O32" s="25" t="s">
        <v>1294</v>
      </c>
      <c r="P32" s="33">
        <v>0</v>
      </c>
      <c r="Q32" s="33">
        <v>78490.84</v>
      </c>
      <c r="R32" s="25" t="s">
        <v>938</v>
      </c>
      <c r="S32" s="25" t="s">
        <v>253</v>
      </c>
      <c r="T32" s="25" t="s">
        <v>36</v>
      </c>
      <c r="U32" s="25" t="s">
        <v>663</v>
      </c>
      <c r="V32" s="25" t="s">
        <v>1752</v>
      </c>
      <c r="W32" s="25" t="s">
        <v>665</v>
      </c>
    </row>
    <row r="33" s="22" customFormat="1" ht="16.5" customHeight="1" spans="1:23">
      <c r="A33" s="29" t="s">
        <v>1749</v>
      </c>
      <c r="B33" s="29" t="s">
        <v>32</v>
      </c>
      <c r="C33" s="29" t="s">
        <v>1750</v>
      </c>
      <c r="D33" s="30">
        <v>3</v>
      </c>
      <c r="E33" s="29" t="s">
        <v>1751</v>
      </c>
      <c r="F33" s="31">
        <v>45770</v>
      </c>
      <c r="G33" s="31">
        <v>45770</v>
      </c>
      <c r="H33" s="32" t="s">
        <v>444</v>
      </c>
      <c r="I33" s="29" t="s">
        <v>445</v>
      </c>
      <c r="J33" s="32" t="s">
        <v>41</v>
      </c>
      <c r="K33" s="29" t="s">
        <v>660</v>
      </c>
      <c r="L33" s="32" t="s">
        <v>41</v>
      </c>
      <c r="M33" s="29" t="s">
        <v>492</v>
      </c>
      <c r="N33" s="32" t="s">
        <v>41</v>
      </c>
      <c r="O33" s="29" t="s">
        <v>1294</v>
      </c>
      <c r="P33" s="34">
        <v>118.27</v>
      </c>
      <c r="Q33" s="34">
        <v>0</v>
      </c>
      <c r="R33" s="29" t="s">
        <v>938</v>
      </c>
      <c r="S33" s="29" t="s">
        <v>253</v>
      </c>
      <c r="T33" s="29" t="s">
        <v>36</v>
      </c>
      <c r="U33" s="29" t="s">
        <v>663</v>
      </c>
      <c r="V33" s="29" t="s">
        <v>1752</v>
      </c>
      <c r="W33" s="29" t="s">
        <v>665</v>
      </c>
    </row>
    <row r="34" s="22" customFormat="1" ht="16.5" customHeight="1" spans="1:23">
      <c r="A34" s="25" t="s">
        <v>1753</v>
      </c>
      <c r="B34" s="25" t="s">
        <v>32</v>
      </c>
      <c r="C34" s="25" t="s">
        <v>1754</v>
      </c>
      <c r="D34" s="26">
        <v>1</v>
      </c>
      <c r="E34" s="25" t="s">
        <v>1755</v>
      </c>
      <c r="F34" s="27">
        <v>45770</v>
      </c>
      <c r="G34" s="27">
        <v>45770</v>
      </c>
      <c r="H34" s="28" t="s">
        <v>444</v>
      </c>
      <c r="I34" s="25" t="s">
        <v>445</v>
      </c>
      <c r="J34" s="28" t="s">
        <v>41</v>
      </c>
      <c r="K34" s="25" t="s">
        <v>660</v>
      </c>
      <c r="L34" s="28" t="s">
        <v>41</v>
      </c>
      <c r="M34" s="25" t="s">
        <v>492</v>
      </c>
      <c r="N34" s="28" t="s">
        <v>41</v>
      </c>
      <c r="O34" s="25" t="s">
        <v>1756</v>
      </c>
      <c r="P34" s="33">
        <v>0.02</v>
      </c>
      <c r="Q34" s="33">
        <v>0</v>
      </c>
      <c r="R34" s="25" t="s">
        <v>938</v>
      </c>
      <c r="S34" s="25" t="s">
        <v>253</v>
      </c>
      <c r="T34" s="25" t="s">
        <v>36</v>
      </c>
      <c r="U34" s="25" t="s">
        <v>663</v>
      </c>
      <c r="V34" s="25" t="s">
        <v>1757</v>
      </c>
      <c r="W34" s="25" t="s">
        <v>665</v>
      </c>
    </row>
    <row r="35" s="22" customFormat="1" ht="16.5" customHeight="1" spans="1:23">
      <c r="A35" s="29" t="s">
        <v>1758</v>
      </c>
      <c r="B35" s="29" t="s">
        <v>32</v>
      </c>
      <c r="C35" s="29" t="s">
        <v>1759</v>
      </c>
      <c r="D35" s="30">
        <v>1</v>
      </c>
      <c r="E35" s="29" t="s">
        <v>1760</v>
      </c>
      <c r="F35" s="31">
        <v>45770</v>
      </c>
      <c r="G35" s="31">
        <v>45770</v>
      </c>
      <c r="H35" s="32" t="s">
        <v>444</v>
      </c>
      <c r="I35" s="29" t="s">
        <v>445</v>
      </c>
      <c r="J35" s="32" t="s">
        <v>41</v>
      </c>
      <c r="K35" s="29" t="s">
        <v>660</v>
      </c>
      <c r="L35" s="32" t="s">
        <v>41</v>
      </c>
      <c r="M35" s="29" t="s">
        <v>492</v>
      </c>
      <c r="N35" s="32" t="s">
        <v>41</v>
      </c>
      <c r="O35" s="29" t="s">
        <v>913</v>
      </c>
      <c r="P35" s="34">
        <v>0</v>
      </c>
      <c r="Q35" s="34">
        <v>6790.3</v>
      </c>
      <c r="R35" s="29" t="s">
        <v>914</v>
      </c>
      <c r="S35" s="29" t="s">
        <v>270</v>
      </c>
      <c r="T35" s="29" t="s">
        <v>36</v>
      </c>
      <c r="U35" s="29" t="s">
        <v>663</v>
      </c>
      <c r="V35" s="29" t="s">
        <v>1761</v>
      </c>
      <c r="W35" s="29" t="s">
        <v>665</v>
      </c>
    </row>
    <row r="36" s="22" customFormat="1" ht="16.5" customHeight="1" spans="1:23">
      <c r="A36" s="25" t="s">
        <v>1762</v>
      </c>
      <c r="B36" s="25" t="s">
        <v>32</v>
      </c>
      <c r="C36" s="25" t="s">
        <v>1763</v>
      </c>
      <c r="D36" s="26">
        <v>1</v>
      </c>
      <c r="E36" s="25" t="s">
        <v>1764</v>
      </c>
      <c r="F36" s="27">
        <v>45770</v>
      </c>
      <c r="G36" s="27">
        <v>45770</v>
      </c>
      <c r="H36" s="28" t="s">
        <v>444</v>
      </c>
      <c r="I36" s="25" t="s">
        <v>445</v>
      </c>
      <c r="J36" s="28" t="s">
        <v>41</v>
      </c>
      <c r="K36" s="25" t="s">
        <v>660</v>
      </c>
      <c r="L36" s="28" t="s">
        <v>41</v>
      </c>
      <c r="M36" s="25" t="s">
        <v>492</v>
      </c>
      <c r="N36" s="28" t="s">
        <v>41</v>
      </c>
      <c r="O36" s="25" t="s">
        <v>1341</v>
      </c>
      <c r="P36" s="33">
        <v>0</v>
      </c>
      <c r="Q36" s="33">
        <v>874.37</v>
      </c>
      <c r="R36" s="25" t="s">
        <v>1342</v>
      </c>
      <c r="S36" s="25" t="s">
        <v>321</v>
      </c>
      <c r="T36" s="25" t="s">
        <v>36</v>
      </c>
      <c r="U36" s="25" t="s">
        <v>663</v>
      </c>
      <c r="V36" s="25" t="s">
        <v>1765</v>
      </c>
      <c r="W36" s="25" t="s">
        <v>665</v>
      </c>
    </row>
    <row r="37" s="22" customFormat="1" ht="16.5" customHeight="1" spans="1:23">
      <c r="A37" s="29" t="s">
        <v>1766</v>
      </c>
      <c r="B37" s="29" t="s">
        <v>32</v>
      </c>
      <c r="C37" s="29" t="s">
        <v>1767</v>
      </c>
      <c r="D37" s="30">
        <v>1</v>
      </c>
      <c r="E37" s="29" t="s">
        <v>1768</v>
      </c>
      <c r="F37" s="31">
        <v>45770</v>
      </c>
      <c r="G37" s="31">
        <v>45770</v>
      </c>
      <c r="H37" s="32" t="s">
        <v>444</v>
      </c>
      <c r="I37" s="29" t="s">
        <v>445</v>
      </c>
      <c r="J37" s="32" t="s">
        <v>41</v>
      </c>
      <c r="K37" s="29" t="s">
        <v>660</v>
      </c>
      <c r="L37" s="32" t="s">
        <v>41</v>
      </c>
      <c r="M37" s="29" t="s">
        <v>492</v>
      </c>
      <c r="N37" s="32" t="s">
        <v>41</v>
      </c>
      <c r="O37" s="29" t="s">
        <v>733</v>
      </c>
      <c r="P37" s="34">
        <v>0</v>
      </c>
      <c r="Q37" s="34">
        <v>5279.36</v>
      </c>
      <c r="R37" s="29" t="s">
        <v>734</v>
      </c>
      <c r="S37" s="29" t="s">
        <v>278</v>
      </c>
      <c r="T37" s="29" t="s">
        <v>36</v>
      </c>
      <c r="U37" s="29" t="s">
        <v>663</v>
      </c>
      <c r="V37" s="29" t="s">
        <v>1769</v>
      </c>
      <c r="W37" s="29" t="s">
        <v>665</v>
      </c>
    </row>
    <row r="38" s="22" customFormat="1" ht="16.5" customHeight="1" spans="1:23">
      <c r="A38" s="25" t="s">
        <v>1770</v>
      </c>
      <c r="B38" s="25" t="s">
        <v>32</v>
      </c>
      <c r="C38" s="25" t="s">
        <v>1771</v>
      </c>
      <c r="D38" s="26">
        <v>1</v>
      </c>
      <c r="E38" s="25" t="s">
        <v>1772</v>
      </c>
      <c r="F38" s="27">
        <v>45770</v>
      </c>
      <c r="G38" s="27">
        <v>45770</v>
      </c>
      <c r="H38" s="28" t="s">
        <v>444</v>
      </c>
      <c r="I38" s="25" t="s">
        <v>445</v>
      </c>
      <c r="J38" s="28" t="s">
        <v>41</v>
      </c>
      <c r="K38" s="25" t="s">
        <v>660</v>
      </c>
      <c r="L38" s="28" t="s">
        <v>41</v>
      </c>
      <c r="M38" s="25" t="s">
        <v>492</v>
      </c>
      <c r="N38" s="28" t="s">
        <v>41</v>
      </c>
      <c r="O38" s="25" t="s">
        <v>767</v>
      </c>
      <c r="P38" s="33">
        <v>0</v>
      </c>
      <c r="Q38" s="33">
        <v>7275.67</v>
      </c>
      <c r="R38" s="25" t="s">
        <v>768</v>
      </c>
      <c r="S38" s="25" t="s">
        <v>307</v>
      </c>
      <c r="T38" s="25" t="s">
        <v>36</v>
      </c>
      <c r="U38" s="25" t="s">
        <v>663</v>
      </c>
      <c r="V38" s="25" t="s">
        <v>1773</v>
      </c>
      <c r="W38" s="25" t="s">
        <v>665</v>
      </c>
    </row>
    <row r="39" s="22" customFormat="1" ht="16.5" customHeight="1" spans="1:23">
      <c r="A39" s="29" t="s">
        <v>1774</v>
      </c>
      <c r="B39" s="29" t="s">
        <v>32</v>
      </c>
      <c r="C39" s="29" t="s">
        <v>1775</v>
      </c>
      <c r="D39" s="30">
        <v>1</v>
      </c>
      <c r="E39" s="29" t="s">
        <v>1776</v>
      </c>
      <c r="F39" s="31">
        <v>45770</v>
      </c>
      <c r="G39" s="31">
        <v>45770</v>
      </c>
      <c r="H39" s="32" t="s">
        <v>444</v>
      </c>
      <c r="I39" s="29" t="s">
        <v>445</v>
      </c>
      <c r="J39" s="32" t="s">
        <v>41</v>
      </c>
      <c r="K39" s="29" t="s">
        <v>660</v>
      </c>
      <c r="L39" s="32" t="s">
        <v>41</v>
      </c>
      <c r="M39" s="29" t="s">
        <v>492</v>
      </c>
      <c r="N39" s="32" t="s">
        <v>41</v>
      </c>
      <c r="O39" s="29" t="s">
        <v>1422</v>
      </c>
      <c r="P39" s="34">
        <v>0</v>
      </c>
      <c r="Q39" s="34">
        <v>21944.6</v>
      </c>
      <c r="R39" s="29" t="s">
        <v>1005</v>
      </c>
      <c r="S39" s="29" t="s">
        <v>308</v>
      </c>
      <c r="T39" s="29" t="s">
        <v>36</v>
      </c>
      <c r="U39" s="29" t="s">
        <v>663</v>
      </c>
      <c r="V39" s="29" t="s">
        <v>1777</v>
      </c>
      <c r="W39" s="29" t="s">
        <v>665</v>
      </c>
    </row>
    <row r="40" s="22" customFormat="1" ht="16.5" customHeight="1" spans="1:23">
      <c r="A40" s="25" t="s">
        <v>1778</v>
      </c>
      <c r="B40" s="25" t="s">
        <v>32</v>
      </c>
      <c r="C40" s="25" t="s">
        <v>1779</v>
      </c>
      <c r="D40" s="26">
        <v>1</v>
      </c>
      <c r="E40" s="25" t="s">
        <v>1780</v>
      </c>
      <c r="F40" s="27">
        <v>45770</v>
      </c>
      <c r="G40" s="27">
        <v>45770</v>
      </c>
      <c r="H40" s="28" t="s">
        <v>444</v>
      </c>
      <c r="I40" s="25" t="s">
        <v>445</v>
      </c>
      <c r="J40" s="28" t="s">
        <v>41</v>
      </c>
      <c r="K40" s="25" t="s">
        <v>660</v>
      </c>
      <c r="L40" s="28" t="s">
        <v>41</v>
      </c>
      <c r="M40" s="25" t="s">
        <v>492</v>
      </c>
      <c r="N40" s="28" t="s">
        <v>41</v>
      </c>
      <c r="O40" s="25" t="s">
        <v>908</v>
      </c>
      <c r="P40" s="33">
        <v>0</v>
      </c>
      <c r="Q40" s="33">
        <v>24472.28</v>
      </c>
      <c r="R40" s="25" t="s">
        <v>909</v>
      </c>
      <c r="S40" s="25" t="s">
        <v>242</v>
      </c>
      <c r="T40" s="25" t="s">
        <v>36</v>
      </c>
      <c r="U40" s="25" t="s">
        <v>663</v>
      </c>
      <c r="V40" s="25" t="s">
        <v>1781</v>
      </c>
      <c r="W40" s="25" t="s">
        <v>665</v>
      </c>
    </row>
    <row r="41" s="22" customFormat="1" ht="16.5" customHeight="1" spans="1:23">
      <c r="A41" s="29" t="s">
        <v>1782</v>
      </c>
      <c r="B41" s="29" t="s">
        <v>32</v>
      </c>
      <c r="C41" s="29" t="s">
        <v>1783</v>
      </c>
      <c r="D41" s="30">
        <v>1</v>
      </c>
      <c r="E41" s="29" t="s">
        <v>1784</v>
      </c>
      <c r="F41" s="31">
        <v>45770</v>
      </c>
      <c r="G41" s="31">
        <v>45770</v>
      </c>
      <c r="H41" s="32" t="s">
        <v>444</v>
      </c>
      <c r="I41" s="29" t="s">
        <v>445</v>
      </c>
      <c r="J41" s="32" t="s">
        <v>41</v>
      </c>
      <c r="K41" s="29" t="s">
        <v>660</v>
      </c>
      <c r="L41" s="32" t="s">
        <v>41</v>
      </c>
      <c r="M41" s="29" t="s">
        <v>492</v>
      </c>
      <c r="N41" s="32" t="s">
        <v>41</v>
      </c>
      <c r="O41" s="29" t="s">
        <v>1609</v>
      </c>
      <c r="P41" s="34">
        <v>0</v>
      </c>
      <c r="Q41" s="34">
        <v>26506.41</v>
      </c>
      <c r="R41" s="29" t="s">
        <v>1610</v>
      </c>
      <c r="S41" s="29" t="s">
        <v>290</v>
      </c>
      <c r="T41" s="29" t="s">
        <v>36</v>
      </c>
      <c r="U41" s="29" t="s">
        <v>663</v>
      </c>
      <c r="V41" s="29" t="s">
        <v>1785</v>
      </c>
      <c r="W41" s="29" t="s">
        <v>665</v>
      </c>
    </row>
    <row r="42" s="22" customFormat="1" ht="16.5" customHeight="1" spans="1:23">
      <c r="A42" s="25" t="s">
        <v>1786</v>
      </c>
      <c r="B42" s="25" t="s">
        <v>32</v>
      </c>
      <c r="C42" s="25" t="s">
        <v>1787</v>
      </c>
      <c r="D42" s="26">
        <v>1</v>
      </c>
      <c r="E42" s="25" t="s">
        <v>1788</v>
      </c>
      <c r="F42" s="27">
        <v>45770</v>
      </c>
      <c r="G42" s="27">
        <v>45770</v>
      </c>
      <c r="H42" s="28" t="s">
        <v>444</v>
      </c>
      <c r="I42" s="25" t="s">
        <v>445</v>
      </c>
      <c r="J42" s="28" t="s">
        <v>41</v>
      </c>
      <c r="K42" s="25" t="s">
        <v>660</v>
      </c>
      <c r="L42" s="28" t="s">
        <v>41</v>
      </c>
      <c r="M42" s="25" t="s">
        <v>492</v>
      </c>
      <c r="N42" s="28" t="s">
        <v>41</v>
      </c>
      <c r="O42" s="25" t="s">
        <v>880</v>
      </c>
      <c r="P42" s="33">
        <v>0</v>
      </c>
      <c r="Q42" s="33">
        <v>27519.65</v>
      </c>
      <c r="R42" s="25" t="s">
        <v>881</v>
      </c>
      <c r="S42" s="25" t="s">
        <v>243</v>
      </c>
      <c r="T42" s="25" t="s">
        <v>36</v>
      </c>
      <c r="U42" s="25" t="s">
        <v>663</v>
      </c>
      <c r="V42" s="25" t="s">
        <v>1789</v>
      </c>
      <c r="W42" s="25" t="s">
        <v>665</v>
      </c>
    </row>
    <row r="43" s="22" customFormat="1" ht="16.5" customHeight="1" spans="1:23">
      <c r="A43" s="29" t="s">
        <v>1790</v>
      </c>
      <c r="B43" s="29" t="s">
        <v>32</v>
      </c>
      <c r="C43" s="29" t="s">
        <v>1791</v>
      </c>
      <c r="D43" s="30">
        <v>1</v>
      </c>
      <c r="E43" s="29" t="s">
        <v>1792</v>
      </c>
      <c r="F43" s="31">
        <v>45770</v>
      </c>
      <c r="G43" s="31">
        <v>45770</v>
      </c>
      <c r="H43" s="32" t="s">
        <v>444</v>
      </c>
      <c r="I43" s="29" t="s">
        <v>445</v>
      </c>
      <c r="J43" s="32" t="s">
        <v>41</v>
      </c>
      <c r="K43" s="29" t="s">
        <v>660</v>
      </c>
      <c r="L43" s="32" t="s">
        <v>41</v>
      </c>
      <c r="M43" s="29" t="s">
        <v>492</v>
      </c>
      <c r="N43" s="32" t="s">
        <v>41</v>
      </c>
      <c r="O43" s="29" t="s">
        <v>1793</v>
      </c>
      <c r="P43" s="34">
        <v>0</v>
      </c>
      <c r="Q43" s="34">
        <v>0.01</v>
      </c>
      <c r="R43" s="29" t="s">
        <v>881</v>
      </c>
      <c r="S43" s="29" t="s">
        <v>243</v>
      </c>
      <c r="T43" s="29" t="s">
        <v>36</v>
      </c>
      <c r="U43" s="29" t="s">
        <v>663</v>
      </c>
      <c r="V43" s="29" t="s">
        <v>1794</v>
      </c>
      <c r="W43" s="29" t="s">
        <v>665</v>
      </c>
    </row>
    <row r="44" s="22" customFormat="1" ht="16.5" customHeight="1" spans="1:23">
      <c r="A44" s="25" t="s">
        <v>1795</v>
      </c>
      <c r="B44" s="25" t="s">
        <v>32</v>
      </c>
      <c r="C44" s="25" t="s">
        <v>1796</v>
      </c>
      <c r="D44" s="26">
        <v>1</v>
      </c>
      <c r="E44" s="25" t="s">
        <v>1797</v>
      </c>
      <c r="F44" s="27">
        <v>45770</v>
      </c>
      <c r="G44" s="27">
        <v>45770</v>
      </c>
      <c r="H44" s="28" t="s">
        <v>444</v>
      </c>
      <c r="I44" s="25" t="s">
        <v>445</v>
      </c>
      <c r="J44" s="28" t="s">
        <v>41</v>
      </c>
      <c r="K44" s="25" t="s">
        <v>660</v>
      </c>
      <c r="L44" s="28" t="s">
        <v>41</v>
      </c>
      <c r="M44" s="25" t="s">
        <v>492</v>
      </c>
      <c r="N44" s="28" t="s">
        <v>41</v>
      </c>
      <c r="O44" s="25" t="s">
        <v>1127</v>
      </c>
      <c r="P44" s="33">
        <v>0</v>
      </c>
      <c r="Q44" s="33">
        <v>130033.62</v>
      </c>
      <c r="R44" s="25" t="s">
        <v>696</v>
      </c>
      <c r="S44" s="25" t="s">
        <v>248</v>
      </c>
      <c r="T44" s="25" t="s">
        <v>36</v>
      </c>
      <c r="U44" s="25" t="s">
        <v>663</v>
      </c>
      <c r="V44" s="25" t="s">
        <v>1798</v>
      </c>
      <c r="W44" s="25" t="s">
        <v>665</v>
      </c>
    </row>
    <row r="45" s="22" customFormat="1" ht="16.5" customHeight="1" spans="1:23">
      <c r="A45" s="29" t="s">
        <v>1799</v>
      </c>
      <c r="B45" s="29" t="s">
        <v>32</v>
      </c>
      <c r="C45" s="29" t="s">
        <v>1800</v>
      </c>
      <c r="D45" s="30">
        <v>1</v>
      </c>
      <c r="E45" s="29" t="s">
        <v>1801</v>
      </c>
      <c r="F45" s="31">
        <v>45770</v>
      </c>
      <c r="G45" s="31">
        <v>45770</v>
      </c>
      <c r="H45" s="32" t="s">
        <v>444</v>
      </c>
      <c r="I45" s="29" t="s">
        <v>445</v>
      </c>
      <c r="J45" s="32" t="s">
        <v>41</v>
      </c>
      <c r="K45" s="29" t="s">
        <v>660</v>
      </c>
      <c r="L45" s="32" t="s">
        <v>41</v>
      </c>
      <c r="M45" s="29" t="s">
        <v>492</v>
      </c>
      <c r="N45" s="32" t="s">
        <v>41</v>
      </c>
      <c r="O45" s="29" t="s">
        <v>1190</v>
      </c>
      <c r="P45" s="34">
        <v>0</v>
      </c>
      <c r="Q45" s="34">
        <v>27209.43</v>
      </c>
      <c r="R45" s="29" t="s">
        <v>1191</v>
      </c>
      <c r="S45" s="29" t="s">
        <v>255</v>
      </c>
      <c r="T45" s="29" t="s">
        <v>36</v>
      </c>
      <c r="U45" s="29" t="s">
        <v>663</v>
      </c>
      <c r="V45" s="29" t="s">
        <v>1802</v>
      </c>
      <c r="W45" s="29" t="s">
        <v>665</v>
      </c>
    </row>
    <row r="46" s="22" customFormat="1" ht="16.5" customHeight="1" spans="1:23">
      <c r="A46" s="25" t="s">
        <v>1799</v>
      </c>
      <c r="B46" s="25" t="s">
        <v>32</v>
      </c>
      <c r="C46" s="25" t="s">
        <v>1800</v>
      </c>
      <c r="D46" s="26">
        <v>3</v>
      </c>
      <c r="E46" s="25" t="s">
        <v>1801</v>
      </c>
      <c r="F46" s="27">
        <v>45770</v>
      </c>
      <c r="G46" s="27">
        <v>45770</v>
      </c>
      <c r="H46" s="28" t="s">
        <v>444</v>
      </c>
      <c r="I46" s="25" t="s">
        <v>445</v>
      </c>
      <c r="J46" s="28" t="s">
        <v>41</v>
      </c>
      <c r="K46" s="25" t="s">
        <v>660</v>
      </c>
      <c r="L46" s="28" t="s">
        <v>41</v>
      </c>
      <c r="M46" s="25" t="s">
        <v>492</v>
      </c>
      <c r="N46" s="28" t="s">
        <v>41</v>
      </c>
      <c r="O46" s="25" t="s">
        <v>1190</v>
      </c>
      <c r="P46" s="33">
        <v>838.76</v>
      </c>
      <c r="Q46" s="33">
        <v>0</v>
      </c>
      <c r="R46" s="25" t="s">
        <v>1191</v>
      </c>
      <c r="S46" s="25" t="s">
        <v>255</v>
      </c>
      <c r="T46" s="25" t="s">
        <v>36</v>
      </c>
      <c r="U46" s="25" t="s">
        <v>663</v>
      </c>
      <c r="V46" s="25" t="s">
        <v>1802</v>
      </c>
      <c r="W46" s="25" t="s">
        <v>665</v>
      </c>
    </row>
    <row r="47" s="22" customFormat="1" ht="16.5" customHeight="1" spans="1:23">
      <c r="A47" s="29" t="s">
        <v>1803</v>
      </c>
      <c r="B47" s="29" t="s">
        <v>32</v>
      </c>
      <c r="C47" s="29" t="s">
        <v>1804</v>
      </c>
      <c r="D47" s="30">
        <v>1</v>
      </c>
      <c r="E47" s="29" t="s">
        <v>1805</v>
      </c>
      <c r="F47" s="31">
        <v>45770</v>
      </c>
      <c r="G47" s="31">
        <v>45770</v>
      </c>
      <c r="H47" s="32" t="s">
        <v>444</v>
      </c>
      <c r="I47" s="29" t="s">
        <v>445</v>
      </c>
      <c r="J47" s="32" t="s">
        <v>41</v>
      </c>
      <c r="K47" s="29" t="s">
        <v>660</v>
      </c>
      <c r="L47" s="32" t="s">
        <v>41</v>
      </c>
      <c r="M47" s="29" t="s">
        <v>492</v>
      </c>
      <c r="N47" s="32" t="s">
        <v>41</v>
      </c>
      <c r="O47" s="29" t="s">
        <v>865</v>
      </c>
      <c r="P47" s="34">
        <v>0</v>
      </c>
      <c r="Q47" s="34">
        <v>153089.07</v>
      </c>
      <c r="R47" s="29" t="s">
        <v>866</v>
      </c>
      <c r="S47" s="29" t="s">
        <v>250</v>
      </c>
      <c r="T47" s="29" t="s">
        <v>36</v>
      </c>
      <c r="U47" s="29" t="s">
        <v>663</v>
      </c>
      <c r="V47" s="29" t="s">
        <v>1806</v>
      </c>
      <c r="W47" s="29" t="s">
        <v>665</v>
      </c>
    </row>
    <row r="48" s="22" customFormat="1" ht="16.5" customHeight="1" spans="1:23">
      <c r="A48" s="25" t="s">
        <v>1803</v>
      </c>
      <c r="B48" s="25" t="s">
        <v>32</v>
      </c>
      <c r="C48" s="25" t="s">
        <v>1804</v>
      </c>
      <c r="D48" s="26">
        <v>3</v>
      </c>
      <c r="E48" s="25" t="s">
        <v>1805</v>
      </c>
      <c r="F48" s="27">
        <v>45770</v>
      </c>
      <c r="G48" s="27">
        <v>45770</v>
      </c>
      <c r="H48" s="28" t="s">
        <v>444</v>
      </c>
      <c r="I48" s="25" t="s">
        <v>445</v>
      </c>
      <c r="J48" s="28" t="s">
        <v>41</v>
      </c>
      <c r="K48" s="25" t="s">
        <v>660</v>
      </c>
      <c r="L48" s="28" t="s">
        <v>41</v>
      </c>
      <c r="M48" s="25" t="s">
        <v>492</v>
      </c>
      <c r="N48" s="28" t="s">
        <v>41</v>
      </c>
      <c r="O48" s="25" t="s">
        <v>865</v>
      </c>
      <c r="P48" s="33">
        <v>1.92</v>
      </c>
      <c r="Q48" s="33">
        <v>0</v>
      </c>
      <c r="R48" s="25" t="s">
        <v>866</v>
      </c>
      <c r="S48" s="25" t="s">
        <v>250</v>
      </c>
      <c r="T48" s="25" t="s">
        <v>36</v>
      </c>
      <c r="U48" s="25" t="s">
        <v>663</v>
      </c>
      <c r="V48" s="25" t="s">
        <v>1806</v>
      </c>
      <c r="W48" s="25" t="s">
        <v>665</v>
      </c>
    </row>
    <row r="49" s="22" customFormat="1" ht="16.5" customHeight="1" spans="1:23">
      <c r="A49" s="29" t="s">
        <v>1807</v>
      </c>
      <c r="B49" s="29" t="s">
        <v>32</v>
      </c>
      <c r="C49" s="29" t="s">
        <v>1808</v>
      </c>
      <c r="D49" s="30">
        <v>1</v>
      </c>
      <c r="E49" s="29" t="s">
        <v>1809</v>
      </c>
      <c r="F49" s="31">
        <v>45770</v>
      </c>
      <c r="G49" s="31">
        <v>45770</v>
      </c>
      <c r="H49" s="32" t="s">
        <v>444</v>
      </c>
      <c r="I49" s="29" t="s">
        <v>445</v>
      </c>
      <c r="J49" s="32" t="s">
        <v>41</v>
      </c>
      <c r="K49" s="29" t="s">
        <v>660</v>
      </c>
      <c r="L49" s="32" t="s">
        <v>41</v>
      </c>
      <c r="M49" s="29" t="s">
        <v>492</v>
      </c>
      <c r="N49" s="32" t="s">
        <v>41</v>
      </c>
      <c r="O49" s="29" t="s">
        <v>710</v>
      </c>
      <c r="P49" s="34">
        <v>0</v>
      </c>
      <c r="Q49" s="34">
        <v>88818</v>
      </c>
      <c r="R49" s="29" t="s">
        <v>711</v>
      </c>
      <c r="S49" s="29" t="s">
        <v>311</v>
      </c>
      <c r="T49" s="29" t="s">
        <v>36</v>
      </c>
      <c r="U49" s="29" t="s">
        <v>663</v>
      </c>
      <c r="V49" s="29" t="s">
        <v>1810</v>
      </c>
      <c r="W49" s="29" t="s">
        <v>665</v>
      </c>
    </row>
    <row r="50" s="22" customFormat="1" ht="16.5" customHeight="1" spans="1:23">
      <c r="A50" s="25" t="s">
        <v>1811</v>
      </c>
      <c r="B50" s="25" t="s">
        <v>32</v>
      </c>
      <c r="C50" s="25" t="s">
        <v>1812</v>
      </c>
      <c r="D50" s="26">
        <v>1</v>
      </c>
      <c r="E50" s="25" t="s">
        <v>1813</v>
      </c>
      <c r="F50" s="27">
        <v>45770</v>
      </c>
      <c r="G50" s="27">
        <v>45770</v>
      </c>
      <c r="H50" s="28" t="s">
        <v>444</v>
      </c>
      <c r="I50" s="25" t="s">
        <v>445</v>
      </c>
      <c r="J50" s="28" t="s">
        <v>41</v>
      </c>
      <c r="K50" s="25" t="s">
        <v>660</v>
      </c>
      <c r="L50" s="28" t="s">
        <v>41</v>
      </c>
      <c r="M50" s="25" t="s">
        <v>492</v>
      </c>
      <c r="N50" s="28" t="s">
        <v>41</v>
      </c>
      <c r="O50" s="25" t="s">
        <v>1814</v>
      </c>
      <c r="P50" s="33">
        <v>0</v>
      </c>
      <c r="Q50" s="33">
        <v>18088.35</v>
      </c>
      <c r="R50" s="25" t="s">
        <v>1815</v>
      </c>
      <c r="S50" s="25" t="s">
        <v>297</v>
      </c>
      <c r="T50" s="25" t="s">
        <v>36</v>
      </c>
      <c r="U50" s="25" t="s">
        <v>663</v>
      </c>
      <c r="V50" s="25" t="s">
        <v>1816</v>
      </c>
      <c r="W50" s="25" t="s">
        <v>665</v>
      </c>
    </row>
    <row r="51" s="22" customFormat="1" ht="16.5" customHeight="1" spans="1:23">
      <c r="A51" s="29" t="s">
        <v>1811</v>
      </c>
      <c r="B51" s="29" t="s">
        <v>32</v>
      </c>
      <c r="C51" s="29" t="s">
        <v>1812</v>
      </c>
      <c r="D51" s="30">
        <v>3</v>
      </c>
      <c r="E51" s="29" t="s">
        <v>1813</v>
      </c>
      <c r="F51" s="31">
        <v>45770</v>
      </c>
      <c r="G51" s="31">
        <v>45770</v>
      </c>
      <c r="H51" s="32" t="s">
        <v>444</v>
      </c>
      <c r="I51" s="29" t="s">
        <v>445</v>
      </c>
      <c r="J51" s="32" t="s">
        <v>41</v>
      </c>
      <c r="K51" s="29" t="s">
        <v>660</v>
      </c>
      <c r="L51" s="32" t="s">
        <v>41</v>
      </c>
      <c r="M51" s="29" t="s">
        <v>492</v>
      </c>
      <c r="N51" s="32" t="s">
        <v>41</v>
      </c>
      <c r="O51" s="29" t="s">
        <v>1814</v>
      </c>
      <c r="P51" s="34">
        <v>805</v>
      </c>
      <c r="Q51" s="34">
        <v>0</v>
      </c>
      <c r="R51" s="29" t="s">
        <v>1815</v>
      </c>
      <c r="S51" s="29" t="s">
        <v>297</v>
      </c>
      <c r="T51" s="29" t="s">
        <v>36</v>
      </c>
      <c r="U51" s="29" t="s">
        <v>663</v>
      </c>
      <c r="V51" s="29" t="s">
        <v>1816</v>
      </c>
      <c r="W51" s="29" t="s">
        <v>665</v>
      </c>
    </row>
    <row r="52" s="22" customFormat="1" ht="16.5" customHeight="1" spans="1:23">
      <c r="A52" s="25" t="s">
        <v>1817</v>
      </c>
      <c r="B52" s="25" t="s">
        <v>32</v>
      </c>
      <c r="C52" s="25" t="s">
        <v>1818</v>
      </c>
      <c r="D52" s="26">
        <v>1</v>
      </c>
      <c r="E52" s="25" t="s">
        <v>1819</v>
      </c>
      <c r="F52" s="27">
        <v>45770</v>
      </c>
      <c r="G52" s="27">
        <v>45770</v>
      </c>
      <c r="H52" s="28" t="s">
        <v>444</v>
      </c>
      <c r="I52" s="25" t="s">
        <v>445</v>
      </c>
      <c r="J52" s="28" t="s">
        <v>41</v>
      </c>
      <c r="K52" s="25" t="s">
        <v>660</v>
      </c>
      <c r="L52" s="28" t="s">
        <v>41</v>
      </c>
      <c r="M52" s="25" t="s">
        <v>492</v>
      </c>
      <c r="N52" s="28" t="s">
        <v>41</v>
      </c>
      <c r="O52" s="25" t="s">
        <v>860</v>
      </c>
      <c r="P52" s="33">
        <v>0</v>
      </c>
      <c r="Q52" s="33">
        <v>31410.61</v>
      </c>
      <c r="R52" s="25" t="s">
        <v>861</v>
      </c>
      <c r="S52" s="25" t="s">
        <v>244</v>
      </c>
      <c r="T52" s="25" t="s">
        <v>36</v>
      </c>
      <c r="U52" s="25" t="s">
        <v>663</v>
      </c>
      <c r="V52" s="25" t="s">
        <v>1820</v>
      </c>
      <c r="W52" s="25" t="s">
        <v>665</v>
      </c>
    </row>
    <row r="53" s="22" customFormat="1" ht="16.5" customHeight="1" spans="1:23">
      <c r="A53" s="29" t="s">
        <v>1821</v>
      </c>
      <c r="B53" s="29" t="s">
        <v>32</v>
      </c>
      <c r="C53" s="29" t="s">
        <v>1822</v>
      </c>
      <c r="D53" s="30">
        <v>1</v>
      </c>
      <c r="E53" s="29" t="s">
        <v>1823</v>
      </c>
      <c r="F53" s="31">
        <v>45770</v>
      </c>
      <c r="G53" s="31">
        <v>45770</v>
      </c>
      <c r="H53" s="32" t="s">
        <v>444</v>
      </c>
      <c r="I53" s="29" t="s">
        <v>445</v>
      </c>
      <c r="J53" s="32" t="s">
        <v>41</v>
      </c>
      <c r="K53" s="29" t="s">
        <v>660</v>
      </c>
      <c r="L53" s="32" t="s">
        <v>41</v>
      </c>
      <c r="M53" s="29" t="s">
        <v>492</v>
      </c>
      <c r="N53" s="32" t="s">
        <v>41</v>
      </c>
      <c r="O53" s="29" t="s">
        <v>852</v>
      </c>
      <c r="P53" s="34">
        <v>0</v>
      </c>
      <c r="Q53" s="34">
        <v>1104890.07</v>
      </c>
      <c r="R53" s="29" t="s">
        <v>853</v>
      </c>
      <c r="S53" s="29" t="s">
        <v>265</v>
      </c>
      <c r="T53" s="29" t="s">
        <v>36</v>
      </c>
      <c r="U53" s="29" t="s">
        <v>663</v>
      </c>
      <c r="V53" s="29" t="s">
        <v>1824</v>
      </c>
      <c r="W53" s="29" t="s">
        <v>665</v>
      </c>
    </row>
    <row r="54" s="22" customFormat="1" ht="16.5" customHeight="1" spans="1:23">
      <c r="A54" s="25" t="s">
        <v>1821</v>
      </c>
      <c r="B54" s="25" t="s">
        <v>32</v>
      </c>
      <c r="C54" s="25" t="s">
        <v>1822</v>
      </c>
      <c r="D54" s="26">
        <v>3</v>
      </c>
      <c r="E54" s="25" t="s">
        <v>1823</v>
      </c>
      <c r="F54" s="27">
        <v>45770</v>
      </c>
      <c r="G54" s="27">
        <v>45770</v>
      </c>
      <c r="H54" s="28" t="s">
        <v>444</v>
      </c>
      <c r="I54" s="25" t="s">
        <v>445</v>
      </c>
      <c r="J54" s="28" t="s">
        <v>41</v>
      </c>
      <c r="K54" s="25" t="s">
        <v>660</v>
      </c>
      <c r="L54" s="28" t="s">
        <v>41</v>
      </c>
      <c r="M54" s="25" t="s">
        <v>492</v>
      </c>
      <c r="N54" s="28" t="s">
        <v>41</v>
      </c>
      <c r="O54" s="25" t="s">
        <v>852</v>
      </c>
      <c r="P54" s="33">
        <v>3.85</v>
      </c>
      <c r="Q54" s="33">
        <v>0</v>
      </c>
      <c r="R54" s="25" t="s">
        <v>853</v>
      </c>
      <c r="S54" s="25" t="s">
        <v>265</v>
      </c>
      <c r="T54" s="25" t="s">
        <v>36</v>
      </c>
      <c r="U54" s="25" t="s">
        <v>663</v>
      </c>
      <c r="V54" s="25" t="s">
        <v>1824</v>
      </c>
      <c r="W54" s="25" t="s">
        <v>665</v>
      </c>
    </row>
    <row r="55" s="22" customFormat="1" ht="16.5" customHeight="1" spans="1:23">
      <c r="A55" s="29" t="s">
        <v>1825</v>
      </c>
      <c r="B55" s="29" t="s">
        <v>32</v>
      </c>
      <c r="C55" s="29" t="s">
        <v>1826</v>
      </c>
      <c r="D55" s="30">
        <v>1</v>
      </c>
      <c r="E55" s="29" t="s">
        <v>1827</v>
      </c>
      <c r="F55" s="31">
        <v>45770</v>
      </c>
      <c r="G55" s="31">
        <v>45770</v>
      </c>
      <c r="H55" s="32" t="s">
        <v>444</v>
      </c>
      <c r="I55" s="29" t="s">
        <v>445</v>
      </c>
      <c r="J55" s="32" t="s">
        <v>41</v>
      </c>
      <c r="K55" s="29" t="s">
        <v>660</v>
      </c>
      <c r="L55" s="32" t="s">
        <v>41</v>
      </c>
      <c r="M55" s="29" t="s">
        <v>492</v>
      </c>
      <c r="N55" s="32" t="s">
        <v>41</v>
      </c>
      <c r="O55" s="29" t="s">
        <v>960</v>
      </c>
      <c r="P55" s="34">
        <v>0</v>
      </c>
      <c r="Q55" s="34">
        <v>459915.96</v>
      </c>
      <c r="R55" s="29" t="s">
        <v>961</v>
      </c>
      <c r="S55" s="29" t="s">
        <v>254</v>
      </c>
      <c r="T55" s="29" t="s">
        <v>36</v>
      </c>
      <c r="U55" s="29" t="s">
        <v>663</v>
      </c>
      <c r="V55" s="29" t="s">
        <v>1828</v>
      </c>
      <c r="W55" s="29" t="s">
        <v>665</v>
      </c>
    </row>
    <row r="56" s="22" customFormat="1" ht="16.5" customHeight="1" spans="1:23">
      <c r="A56" s="25" t="s">
        <v>1825</v>
      </c>
      <c r="B56" s="25" t="s">
        <v>32</v>
      </c>
      <c r="C56" s="25" t="s">
        <v>1826</v>
      </c>
      <c r="D56" s="26">
        <v>3</v>
      </c>
      <c r="E56" s="25" t="s">
        <v>1827</v>
      </c>
      <c r="F56" s="27">
        <v>45770</v>
      </c>
      <c r="G56" s="27">
        <v>45770</v>
      </c>
      <c r="H56" s="28" t="s">
        <v>444</v>
      </c>
      <c r="I56" s="25" t="s">
        <v>445</v>
      </c>
      <c r="J56" s="28" t="s">
        <v>41</v>
      </c>
      <c r="K56" s="25" t="s">
        <v>660</v>
      </c>
      <c r="L56" s="28" t="s">
        <v>41</v>
      </c>
      <c r="M56" s="25" t="s">
        <v>492</v>
      </c>
      <c r="N56" s="28" t="s">
        <v>41</v>
      </c>
      <c r="O56" s="25" t="s">
        <v>960</v>
      </c>
      <c r="P56" s="33">
        <v>44.65</v>
      </c>
      <c r="Q56" s="33">
        <v>0</v>
      </c>
      <c r="R56" s="25" t="s">
        <v>961</v>
      </c>
      <c r="S56" s="25" t="s">
        <v>254</v>
      </c>
      <c r="T56" s="25" t="s">
        <v>36</v>
      </c>
      <c r="U56" s="25" t="s">
        <v>663</v>
      </c>
      <c r="V56" s="25" t="s">
        <v>1828</v>
      </c>
      <c r="W56" s="25" t="s">
        <v>665</v>
      </c>
    </row>
    <row r="57" s="22" customFormat="1" ht="16.5" customHeight="1" spans="1:23">
      <c r="A57" s="29" t="s">
        <v>1829</v>
      </c>
      <c r="B57" s="29" t="s">
        <v>32</v>
      </c>
      <c r="C57" s="29" t="s">
        <v>1830</v>
      </c>
      <c r="D57" s="30">
        <v>1</v>
      </c>
      <c r="E57" s="29" t="s">
        <v>1831</v>
      </c>
      <c r="F57" s="31">
        <v>45770</v>
      </c>
      <c r="G57" s="31">
        <v>45770</v>
      </c>
      <c r="H57" s="32" t="s">
        <v>444</v>
      </c>
      <c r="I57" s="29" t="s">
        <v>445</v>
      </c>
      <c r="J57" s="32" t="s">
        <v>41</v>
      </c>
      <c r="K57" s="29" t="s">
        <v>660</v>
      </c>
      <c r="L57" s="32" t="s">
        <v>41</v>
      </c>
      <c r="M57" s="29" t="s">
        <v>492</v>
      </c>
      <c r="N57" s="32" t="s">
        <v>41</v>
      </c>
      <c r="O57" s="29" t="s">
        <v>1832</v>
      </c>
      <c r="P57" s="34">
        <v>0.01</v>
      </c>
      <c r="Q57" s="34">
        <v>0</v>
      </c>
      <c r="R57" s="29" t="s">
        <v>961</v>
      </c>
      <c r="S57" s="29" t="s">
        <v>254</v>
      </c>
      <c r="T57" s="29" t="s">
        <v>36</v>
      </c>
      <c r="U57" s="29" t="s">
        <v>663</v>
      </c>
      <c r="V57" s="29" t="s">
        <v>1833</v>
      </c>
      <c r="W57" s="29" t="s">
        <v>665</v>
      </c>
    </row>
    <row r="58" s="22" customFormat="1" ht="16.5" customHeight="1" spans="1:23">
      <c r="A58" s="25" t="s">
        <v>1834</v>
      </c>
      <c r="B58" s="25" t="s">
        <v>32</v>
      </c>
      <c r="C58" s="25" t="s">
        <v>1835</v>
      </c>
      <c r="D58" s="26">
        <v>1</v>
      </c>
      <c r="E58" s="25" t="s">
        <v>1836</v>
      </c>
      <c r="F58" s="27">
        <v>45770</v>
      </c>
      <c r="G58" s="27">
        <v>45770</v>
      </c>
      <c r="H58" s="28" t="s">
        <v>444</v>
      </c>
      <c r="I58" s="25" t="s">
        <v>445</v>
      </c>
      <c r="J58" s="28" t="s">
        <v>41</v>
      </c>
      <c r="K58" s="25" t="s">
        <v>660</v>
      </c>
      <c r="L58" s="28" t="s">
        <v>41</v>
      </c>
      <c r="M58" s="25" t="s">
        <v>492</v>
      </c>
      <c r="N58" s="28" t="s">
        <v>41</v>
      </c>
      <c r="O58" s="25" t="s">
        <v>1022</v>
      </c>
      <c r="P58" s="33">
        <v>0</v>
      </c>
      <c r="Q58" s="33">
        <v>21198.8</v>
      </c>
      <c r="R58" s="25" t="s">
        <v>1023</v>
      </c>
      <c r="S58" s="25" t="s">
        <v>317</v>
      </c>
      <c r="T58" s="25" t="s">
        <v>36</v>
      </c>
      <c r="U58" s="25" t="s">
        <v>663</v>
      </c>
      <c r="V58" s="25" t="s">
        <v>1837</v>
      </c>
      <c r="W58" s="25" t="s">
        <v>665</v>
      </c>
    </row>
    <row r="59" s="22" customFormat="1" ht="16.5" customHeight="1" spans="1:23">
      <c r="A59" s="29" t="s">
        <v>1838</v>
      </c>
      <c r="B59" s="29" t="s">
        <v>32</v>
      </c>
      <c r="C59" s="29" t="s">
        <v>1839</v>
      </c>
      <c r="D59" s="30">
        <v>1</v>
      </c>
      <c r="E59" s="29" t="s">
        <v>1840</v>
      </c>
      <c r="F59" s="31">
        <v>45770</v>
      </c>
      <c r="G59" s="31">
        <v>45770</v>
      </c>
      <c r="H59" s="32" t="s">
        <v>444</v>
      </c>
      <c r="I59" s="29" t="s">
        <v>445</v>
      </c>
      <c r="J59" s="32" t="s">
        <v>41</v>
      </c>
      <c r="K59" s="29" t="s">
        <v>660</v>
      </c>
      <c r="L59" s="32" t="s">
        <v>41</v>
      </c>
      <c r="M59" s="29" t="s">
        <v>492</v>
      </c>
      <c r="N59" s="32" t="s">
        <v>41</v>
      </c>
      <c r="O59" s="29" t="s">
        <v>847</v>
      </c>
      <c r="P59" s="34">
        <v>0</v>
      </c>
      <c r="Q59" s="34">
        <v>43392</v>
      </c>
      <c r="R59" s="29" t="s">
        <v>848</v>
      </c>
      <c r="S59" s="29" t="s">
        <v>298</v>
      </c>
      <c r="T59" s="29" t="s">
        <v>36</v>
      </c>
      <c r="U59" s="29" t="s">
        <v>663</v>
      </c>
      <c r="V59" s="29" t="s">
        <v>1841</v>
      </c>
      <c r="W59" s="29" t="s">
        <v>665</v>
      </c>
    </row>
    <row r="60" s="22" customFormat="1" ht="16.5" customHeight="1" spans="1:23">
      <c r="A60" s="25" t="s">
        <v>1842</v>
      </c>
      <c r="B60" s="25" t="s">
        <v>32</v>
      </c>
      <c r="C60" s="25" t="s">
        <v>1843</v>
      </c>
      <c r="D60" s="26">
        <v>1</v>
      </c>
      <c r="E60" s="25" t="s">
        <v>1844</v>
      </c>
      <c r="F60" s="27">
        <v>45771</v>
      </c>
      <c r="G60" s="27">
        <v>45771</v>
      </c>
      <c r="H60" s="28" t="s">
        <v>444</v>
      </c>
      <c r="I60" s="25" t="s">
        <v>445</v>
      </c>
      <c r="J60" s="28" t="s">
        <v>41</v>
      </c>
      <c r="K60" s="25" t="s">
        <v>660</v>
      </c>
      <c r="L60" s="28" t="s">
        <v>41</v>
      </c>
      <c r="M60" s="25" t="s">
        <v>492</v>
      </c>
      <c r="N60" s="28" t="s">
        <v>41</v>
      </c>
      <c r="O60" s="25" t="s">
        <v>1845</v>
      </c>
      <c r="P60" s="33">
        <v>0</v>
      </c>
      <c r="Q60" s="33">
        <v>474967.84</v>
      </c>
      <c r="R60" s="25" t="s">
        <v>952</v>
      </c>
      <c r="S60" s="25" t="s">
        <v>264</v>
      </c>
      <c r="T60" s="25" t="s">
        <v>36</v>
      </c>
      <c r="U60" s="25" t="s">
        <v>663</v>
      </c>
      <c r="V60" s="25" t="s">
        <v>1846</v>
      </c>
      <c r="W60" s="25" t="s">
        <v>665</v>
      </c>
    </row>
    <row r="61" s="22" customFormat="1" ht="16.5" customHeight="1" spans="1:23">
      <c r="A61" s="29" t="s">
        <v>1842</v>
      </c>
      <c r="B61" s="29" t="s">
        <v>32</v>
      </c>
      <c r="C61" s="29" t="s">
        <v>1843</v>
      </c>
      <c r="D61" s="30">
        <v>4</v>
      </c>
      <c r="E61" s="29" t="s">
        <v>1844</v>
      </c>
      <c r="F61" s="31">
        <v>45771</v>
      </c>
      <c r="G61" s="31">
        <v>45771</v>
      </c>
      <c r="H61" s="32" t="s">
        <v>444</v>
      </c>
      <c r="I61" s="29" t="s">
        <v>445</v>
      </c>
      <c r="J61" s="32" t="s">
        <v>41</v>
      </c>
      <c r="K61" s="29" t="s">
        <v>660</v>
      </c>
      <c r="L61" s="32" t="s">
        <v>41</v>
      </c>
      <c r="M61" s="29" t="s">
        <v>492</v>
      </c>
      <c r="N61" s="32" t="s">
        <v>41</v>
      </c>
      <c r="O61" s="29" t="s">
        <v>1845</v>
      </c>
      <c r="P61" s="34">
        <v>1259.63</v>
      </c>
      <c r="Q61" s="34">
        <v>0</v>
      </c>
      <c r="R61" s="29" t="s">
        <v>952</v>
      </c>
      <c r="S61" s="29" t="s">
        <v>264</v>
      </c>
      <c r="T61" s="29" t="s">
        <v>36</v>
      </c>
      <c r="U61" s="29" t="s">
        <v>663</v>
      </c>
      <c r="V61" s="29" t="s">
        <v>1846</v>
      </c>
      <c r="W61" s="29" t="s">
        <v>665</v>
      </c>
    </row>
    <row r="62" s="22" customFormat="1" ht="16.5" customHeight="1" spans="1:23">
      <c r="A62" s="25" t="s">
        <v>1847</v>
      </c>
      <c r="B62" s="25" t="s">
        <v>32</v>
      </c>
      <c r="C62" s="25" t="s">
        <v>1848</v>
      </c>
      <c r="D62" s="26">
        <v>1</v>
      </c>
      <c r="E62" s="25" t="s">
        <v>1849</v>
      </c>
      <c r="F62" s="27">
        <v>45771</v>
      </c>
      <c r="G62" s="27">
        <v>45771</v>
      </c>
      <c r="H62" s="28" t="s">
        <v>444</v>
      </c>
      <c r="I62" s="25" t="s">
        <v>445</v>
      </c>
      <c r="J62" s="28" t="s">
        <v>41</v>
      </c>
      <c r="K62" s="25" t="s">
        <v>660</v>
      </c>
      <c r="L62" s="28" t="s">
        <v>41</v>
      </c>
      <c r="M62" s="25" t="s">
        <v>492</v>
      </c>
      <c r="N62" s="28" t="s">
        <v>41</v>
      </c>
      <c r="O62" s="25" t="s">
        <v>1850</v>
      </c>
      <c r="P62" s="33">
        <v>0.09</v>
      </c>
      <c r="Q62" s="33">
        <v>0</v>
      </c>
      <c r="R62" s="25" t="s">
        <v>952</v>
      </c>
      <c r="S62" s="25" t="s">
        <v>264</v>
      </c>
      <c r="T62" s="25" t="s">
        <v>36</v>
      </c>
      <c r="U62" s="25" t="s">
        <v>663</v>
      </c>
      <c r="V62" s="25" t="s">
        <v>1851</v>
      </c>
      <c r="W62" s="25" t="s">
        <v>665</v>
      </c>
    </row>
    <row r="63" s="22" customFormat="1" ht="16.5" customHeight="1" spans="1:23">
      <c r="A63" s="29" t="s">
        <v>1852</v>
      </c>
      <c r="B63" s="29" t="s">
        <v>32</v>
      </c>
      <c r="C63" s="29" t="s">
        <v>1853</v>
      </c>
      <c r="D63" s="30">
        <v>1</v>
      </c>
      <c r="E63" s="29" t="s">
        <v>1854</v>
      </c>
      <c r="F63" s="31">
        <v>45771</v>
      </c>
      <c r="G63" s="31">
        <v>45771</v>
      </c>
      <c r="H63" s="32" t="s">
        <v>444</v>
      </c>
      <c r="I63" s="29" t="s">
        <v>445</v>
      </c>
      <c r="J63" s="32" t="s">
        <v>41</v>
      </c>
      <c r="K63" s="29" t="s">
        <v>660</v>
      </c>
      <c r="L63" s="32" t="s">
        <v>41</v>
      </c>
      <c r="M63" s="29" t="s">
        <v>492</v>
      </c>
      <c r="N63" s="32" t="s">
        <v>41</v>
      </c>
      <c r="O63" s="29" t="s">
        <v>705</v>
      </c>
      <c r="P63" s="34">
        <v>0</v>
      </c>
      <c r="Q63" s="34">
        <v>92081.49</v>
      </c>
      <c r="R63" s="29" t="s">
        <v>706</v>
      </c>
      <c r="S63" s="29" t="s">
        <v>240</v>
      </c>
      <c r="T63" s="29" t="s">
        <v>36</v>
      </c>
      <c r="U63" s="29" t="s">
        <v>663</v>
      </c>
      <c r="V63" s="29" t="s">
        <v>1855</v>
      </c>
      <c r="W63" s="29" t="s">
        <v>665</v>
      </c>
    </row>
    <row r="64" s="22" customFormat="1" ht="16.5" customHeight="1" spans="1:23">
      <c r="A64" s="25" t="s">
        <v>1852</v>
      </c>
      <c r="B64" s="25" t="s">
        <v>32</v>
      </c>
      <c r="C64" s="25" t="s">
        <v>1853</v>
      </c>
      <c r="D64" s="26">
        <v>3</v>
      </c>
      <c r="E64" s="25" t="s">
        <v>1854</v>
      </c>
      <c r="F64" s="27">
        <v>45771</v>
      </c>
      <c r="G64" s="27">
        <v>45771</v>
      </c>
      <c r="H64" s="28" t="s">
        <v>444</v>
      </c>
      <c r="I64" s="25" t="s">
        <v>445</v>
      </c>
      <c r="J64" s="28" t="s">
        <v>41</v>
      </c>
      <c r="K64" s="25" t="s">
        <v>660</v>
      </c>
      <c r="L64" s="28" t="s">
        <v>41</v>
      </c>
      <c r="M64" s="25" t="s">
        <v>492</v>
      </c>
      <c r="N64" s="28" t="s">
        <v>41</v>
      </c>
      <c r="O64" s="25" t="s">
        <v>705</v>
      </c>
      <c r="P64" s="33">
        <v>4137.2</v>
      </c>
      <c r="Q64" s="33">
        <v>0</v>
      </c>
      <c r="R64" s="25" t="s">
        <v>706</v>
      </c>
      <c r="S64" s="25" t="s">
        <v>240</v>
      </c>
      <c r="T64" s="25" t="s">
        <v>36</v>
      </c>
      <c r="U64" s="25" t="s">
        <v>663</v>
      </c>
      <c r="V64" s="25" t="s">
        <v>1855</v>
      </c>
      <c r="W64" s="25" t="s">
        <v>665</v>
      </c>
    </row>
    <row r="65" s="22" customFormat="1" ht="16.5" customHeight="1" spans="1:23">
      <c r="A65" s="29" t="s">
        <v>1856</v>
      </c>
      <c r="B65" s="29" t="s">
        <v>32</v>
      </c>
      <c r="C65" s="29" t="s">
        <v>1857</v>
      </c>
      <c r="D65" s="30">
        <v>1</v>
      </c>
      <c r="E65" s="29" t="s">
        <v>1858</v>
      </c>
      <c r="F65" s="31">
        <v>45771</v>
      </c>
      <c r="G65" s="31">
        <v>45771</v>
      </c>
      <c r="H65" s="32" t="s">
        <v>444</v>
      </c>
      <c r="I65" s="29" t="s">
        <v>445</v>
      </c>
      <c r="J65" s="32" t="s">
        <v>41</v>
      </c>
      <c r="K65" s="29" t="s">
        <v>660</v>
      </c>
      <c r="L65" s="32" t="s">
        <v>41</v>
      </c>
      <c r="M65" s="29" t="s">
        <v>492</v>
      </c>
      <c r="N65" s="32" t="s">
        <v>41</v>
      </c>
      <c r="O65" s="29" t="s">
        <v>1859</v>
      </c>
      <c r="P65" s="34">
        <v>0.01</v>
      </c>
      <c r="Q65" s="34">
        <v>0</v>
      </c>
      <c r="R65" s="29" t="s">
        <v>706</v>
      </c>
      <c r="S65" s="29" t="s">
        <v>240</v>
      </c>
      <c r="T65" s="29" t="s">
        <v>36</v>
      </c>
      <c r="U65" s="29" t="s">
        <v>663</v>
      </c>
      <c r="V65" s="29" t="s">
        <v>1860</v>
      </c>
      <c r="W65" s="29" t="s">
        <v>665</v>
      </c>
    </row>
    <row r="66" s="22" customFormat="1" ht="16.5" customHeight="1" spans="1:23">
      <c r="A66" s="25" t="s">
        <v>1861</v>
      </c>
      <c r="B66" s="25" t="s">
        <v>32</v>
      </c>
      <c r="C66" s="25" t="s">
        <v>1862</v>
      </c>
      <c r="D66" s="26">
        <v>1</v>
      </c>
      <c r="E66" s="25" t="s">
        <v>1863</v>
      </c>
      <c r="F66" s="27">
        <v>45771</v>
      </c>
      <c r="G66" s="27">
        <v>45771</v>
      </c>
      <c r="H66" s="28" t="s">
        <v>444</v>
      </c>
      <c r="I66" s="25" t="s">
        <v>445</v>
      </c>
      <c r="J66" s="28" t="s">
        <v>41</v>
      </c>
      <c r="K66" s="25" t="s">
        <v>660</v>
      </c>
      <c r="L66" s="28" t="s">
        <v>41</v>
      </c>
      <c r="M66" s="25" t="s">
        <v>492</v>
      </c>
      <c r="N66" s="28" t="s">
        <v>41</v>
      </c>
      <c r="O66" s="25" t="s">
        <v>946</v>
      </c>
      <c r="P66" s="33">
        <v>0</v>
      </c>
      <c r="Q66" s="33">
        <v>97214.9</v>
      </c>
      <c r="R66" s="25" t="s">
        <v>947</v>
      </c>
      <c r="S66" s="25" t="s">
        <v>300</v>
      </c>
      <c r="T66" s="25" t="s">
        <v>36</v>
      </c>
      <c r="U66" s="25" t="s">
        <v>663</v>
      </c>
      <c r="V66" s="25" t="s">
        <v>1864</v>
      </c>
      <c r="W66" s="25" t="s">
        <v>665</v>
      </c>
    </row>
    <row r="67" s="22" customFormat="1" ht="16.5" customHeight="1" spans="1:23">
      <c r="A67" s="29" t="s">
        <v>1861</v>
      </c>
      <c r="B67" s="29" t="s">
        <v>32</v>
      </c>
      <c r="C67" s="29" t="s">
        <v>1862</v>
      </c>
      <c r="D67" s="30">
        <v>3</v>
      </c>
      <c r="E67" s="29" t="s">
        <v>1863</v>
      </c>
      <c r="F67" s="31">
        <v>45771</v>
      </c>
      <c r="G67" s="31">
        <v>45771</v>
      </c>
      <c r="H67" s="32" t="s">
        <v>444</v>
      </c>
      <c r="I67" s="29" t="s">
        <v>445</v>
      </c>
      <c r="J67" s="32" t="s">
        <v>41</v>
      </c>
      <c r="K67" s="29" t="s">
        <v>660</v>
      </c>
      <c r="L67" s="32" t="s">
        <v>41</v>
      </c>
      <c r="M67" s="29" t="s">
        <v>492</v>
      </c>
      <c r="N67" s="32" t="s">
        <v>41</v>
      </c>
      <c r="O67" s="29" t="s">
        <v>946</v>
      </c>
      <c r="P67" s="34">
        <v>2600</v>
      </c>
      <c r="Q67" s="34">
        <v>0</v>
      </c>
      <c r="R67" s="29" t="s">
        <v>947</v>
      </c>
      <c r="S67" s="29" t="s">
        <v>300</v>
      </c>
      <c r="T67" s="29" t="s">
        <v>36</v>
      </c>
      <c r="U67" s="29" t="s">
        <v>663</v>
      </c>
      <c r="V67" s="29" t="s">
        <v>1864</v>
      </c>
      <c r="W67" s="29" t="s">
        <v>665</v>
      </c>
    </row>
    <row r="68" s="22" customFormat="1" ht="16.5" customHeight="1" spans="1:23">
      <c r="A68" s="25" t="s">
        <v>1865</v>
      </c>
      <c r="B68" s="25" t="s">
        <v>32</v>
      </c>
      <c r="C68" s="25" t="s">
        <v>1866</v>
      </c>
      <c r="D68" s="26">
        <v>1</v>
      </c>
      <c r="E68" s="25" t="s">
        <v>1867</v>
      </c>
      <c r="F68" s="27">
        <v>45771</v>
      </c>
      <c r="G68" s="27">
        <v>45771</v>
      </c>
      <c r="H68" s="28" t="s">
        <v>444</v>
      </c>
      <c r="I68" s="25" t="s">
        <v>445</v>
      </c>
      <c r="J68" s="28" t="s">
        <v>41</v>
      </c>
      <c r="K68" s="25" t="s">
        <v>660</v>
      </c>
      <c r="L68" s="28" t="s">
        <v>41</v>
      </c>
      <c r="M68" s="25" t="s">
        <v>492</v>
      </c>
      <c r="N68" s="28" t="s">
        <v>41</v>
      </c>
      <c r="O68" s="25" t="s">
        <v>1483</v>
      </c>
      <c r="P68" s="33">
        <v>0</v>
      </c>
      <c r="Q68" s="33">
        <v>37957.36</v>
      </c>
      <c r="R68" s="25" t="s">
        <v>1289</v>
      </c>
      <c r="S68" s="25" t="s">
        <v>284</v>
      </c>
      <c r="T68" s="25" t="s">
        <v>36</v>
      </c>
      <c r="U68" s="25" t="s">
        <v>663</v>
      </c>
      <c r="V68" s="25" t="s">
        <v>1868</v>
      </c>
      <c r="W68" s="25" t="s">
        <v>665</v>
      </c>
    </row>
    <row r="69" s="22" customFormat="1" ht="16.5" customHeight="1" spans="1:23">
      <c r="A69" s="29" t="s">
        <v>1869</v>
      </c>
      <c r="B69" s="29" t="s">
        <v>32</v>
      </c>
      <c r="C69" s="29" t="s">
        <v>1870</v>
      </c>
      <c r="D69" s="30">
        <v>1</v>
      </c>
      <c r="E69" s="29" t="s">
        <v>1871</v>
      </c>
      <c r="F69" s="31">
        <v>45771</v>
      </c>
      <c r="G69" s="31">
        <v>45771</v>
      </c>
      <c r="H69" s="32" t="s">
        <v>444</v>
      </c>
      <c r="I69" s="29" t="s">
        <v>445</v>
      </c>
      <c r="J69" s="32" t="s">
        <v>41</v>
      </c>
      <c r="K69" s="29" t="s">
        <v>660</v>
      </c>
      <c r="L69" s="32" t="s">
        <v>41</v>
      </c>
      <c r="M69" s="29" t="s">
        <v>492</v>
      </c>
      <c r="N69" s="32" t="s">
        <v>41</v>
      </c>
      <c r="O69" s="29" t="s">
        <v>1872</v>
      </c>
      <c r="P69" s="34">
        <v>0.07</v>
      </c>
      <c r="Q69" s="34">
        <v>0</v>
      </c>
      <c r="R69" s="29" t="s">
        <v>1289</v>
      </c>
      <c r="S69" s="29" t="s">
        <v>284</v>
      </c>
      <c r="T69" s="29" t="s">
        <v>36</v>
      </c>
      <c r="U69" s="29" t="s">
        <v>663</v>
      </c>
      <c r="V69" s="29" t="s">
        <v>1873</v>
      </c>
      <c r="W69" s="29" t="s">
        <v>665</v>
      </c>
    </row>
    <row r="70" s="22" customFormat="1" ht="16.5" customHeight="1" spans="1:23">
      <c r="A70" s="25" t="s">
        <v>1874</v>
      </c>
      <c r="B70" s="25" t="s">
        <v>32</v>
      </c>
      <c r="C70" s="25" t="s">
        <v>1875</v>
      </c>
      <c r="D70" s="26">
        <v>1</v>
      </c>
      <c r="E70" s="25" t="s">
        <v>1876</v>
      </c>
      <c r="F70" s="27">
        <v>45771</v>
      </c>
      <c r="G70" s="27">
        <v>45771</v>
      </c>
      <c r="H70" s="28" t="s">
        <v>444</v>
      </c>
      <c r="I70" s="25" t="s">
        <v>445</v>
      </c>
      <c r="J70" s="28" t="s">
        <v>41</v>
      </c>
      <c r="K70" s="25" t="s">
        <v>660</v>
      </c>
      <c r="L70" s="28" t="s">
        <v>41</v>
      </c>
      <c r="M70" s="25" t="s">
        <v>492</v>
      </c>
      <c r="N70" s="28" t="s">
        <v>41</v>
      </c>
      <c r="O70" s="25" t="s">
        <v>1877</v>
      </c>
      <c r="P70" s="33">
        <v>0</v>
      </c>
      <c r="Q70" s="33">
        <v>23413.6</v>
      </c>
      <c r="R70" s="25" t="s">
        <v>1878</v>
      </c>
      <c r="S70" s="25" t="s">
        <v>291</v>
      </c>
      <c r="T70" s="25" t="s">
        <v>36</v>
      </c>
      <c r="U70" s="25" t="s">
        <v>663</v>
      </c>
      <c r="V70" s="25" t="s">
        <v>1879</v>
      </c>
      <c r="W70" s="25" t="s">
        <v>665</v>
      </c>
    </row>
    <row r="71" s="22" customFormat="1" ht="16.5" customHeight="1" spans="1:23">
      <c r="A71" s="29" t="s">
        <v>1880</v>
      </c>
      <c r="B71" s="29" t="s">
        <v>32</v>
      </c>
      <c r="C71" s="29" t="s">
        <v>1881</v>
      </c>
      <c r="D71" s="30">
        <v>1</v>
      </c>
      <c r="E71" s="29" t="s">
        <v>1882</v>
      </c>
      <c r="F71" s="31">
        <v>45771</v>
      </c>
      <c r="G71" s="31">
        <v>45771</v>
      </c>
      <c r="H71" s="32" t="s">
        <v>444</v>
      </c>
      <c r="I71" s="29" t="s">
        <v>445</v>
      </c>
      <c r="J71" s="32" t="s">
        <v>41</v>
      </c>
      <c r="K71" s="29" t="s">
        <v>660</v>
      </c>
      <c r="L71" s="32" t="s">
        <v>41</v>
      </c>
      <c r="M71" s="29" t="s">
        <v>492</v>
      </c>
      <c r="N71" s="32" t="s">
        <v>41</v>
      </c>
      <c r="O71" s="29" t="s">
        <v>1877</v>
      </c>
      <c r="P71" s="34">
        <v>0</v>
      </c>
      <c r="Q71" s="34">
        <v>40804.28</v>
      </c>
      <c r="R71" s="29" t="s">
        <v>1878</v>
      </c>
      <c r="S71" s="29" t="s">
        <v>291</v>
      </c>
      <c r="T71" s="29" t="s">
        <v>36</v>
      </c>
      <c r="U71" s="29" t="s">
        <v>663</v>
      </c>
      <c r="V71" s="29" t="s">
        <v>1883</v>
      </c>
      <c r="W71" s="29" t="s">
        <v>665</v>
      </c>
    </row>
    <row r="72" s="22" customFormat="1" ht="16.5" customHeight="1" spans="1:23">
      <c r="A72" s="25" t="s">
        <v>1880</v>
      </c>
      <c r="B72" s="25" t="s">
        <v>32</v>
      </c>
      <c r="C72" s="25" t="s">
        <v>1881</v>
      </c>
      <c r="D72" s="26">
        <v>3</v>
      </c>
      <c r="E72" s="25" t="s">
        <v>1882</v>
      </c>
      <c r="F72" s="27">
        <v>45771</v>
      </c>
      <c r="G72" s="27">
        <v>45771</v>
      </c>
      <c r="H72" s="28" t="s">
        <v>444</v>
      </c>
      <c r="I72" s="25" t="s">
        <v>445</v>
      </c>
      <c r="J72" s="28" t="s">
        <v>41</v>
      </c>
      <c r="K72" s="25" t="s">
        <v>660</v>
      </c>
      <c r="L72" s="28" t="s">
        <v>41</v>
      </c>
      <c r="M72" s="25" t="s">
        <v>492</v>
      </c>
      <c r="N72" s="28" t="s">
        <v>41</v>
      </c>
      <c r="O72" s="25" t="s">
        <v>1877</v>
      </c>
      <c r="P72" s="33">
        <v>17.54</v>
      </c>
      <c r="Q72" s="33">
        <v>0</v>
      </c>
      <c r="R72" s="25" t="s">
        <v>1878</v>
      </c>
      <c r="S72" s="25" t="s">
        <v>291</v>
      </c>
      <c r="T72" s="25" t="s">
        <v>36</v>
      </c>
      <c r="U72" s="25" t="s">
        <v>663</v>
      </c>
      <c r="V72" s="25" t="s">
        <v>1883</v>
      </c>
      <c r="W72" s="25" t="s">
        <v>665</v>
      </c>
    </row>
    <row r="73" s="22" customFormat="1" ht="16.5" customHeight="1" spans="1:23">
      <c r="A73" s="29" t="s">
        <v>1884</v>
      </c>
      <c r="B73" s="29" t="s">
        <v>32</v>
      </c>
      <c r="C73" s="29" t="s">
        <v>1885</v>
      </c>
      <c r="D73" s="30">
        <v>1</v>
      </c>
      <c r="E73" s="29" t="s">
        <v>1886</v>
      </c>
      <c r="F73" s="31">
        <v>45771</v>
      </c>
      <c r="G73" s="31">
        <v>45771</v>
      </c>
      <c r="H73" s="32" t="s">
        <v>444</v>
      </c>
      <c r="I73" s="29" t="s">
        <v>445</v>
      </c>
      <c r="J73" s="32" t="s">
        <v>41</v>
      </c>
      <c r="K73" s="29" t="s">
        <v>660</v>
      </c>
      <c r="L73" s="32" t="s">
        <v>41</v>
      </c>
      <c r="M73" s="29" t="s">
        <v>492</v>
      </c>
      <c r="N73" s="32" t="s">
        <v>41</v>
      </c>
      <c r="O73" s="29" t="s">
        <v>1887</v>
      </c>
      <c r="P73" s="34">
        <v>0</v>
      </c>
      <c r="Q73" s="34">
        <v>8079.5</v>
      </c>
      <c r="R73" s="29" t="s">
        <v>1878</v>
      </c>
      <c r="S73" s="29" t="s">
        <v>291</v>
      </c>
      <c r="T73" s="29" t="s">
        <v>36</v>
      </c>
      <c r="U73" s="29" t="s">
        <v>663</v>
      </c>
      <c r="V73" s="29" t="s">
        <v>1888</v>
      </c>
      <c r="W73" s="29" t="s">
        <v>665</v>
      </c>
    </row>
    <row r="74" s="22" customFormat="1" ht="16.5" customHeight="1" spans="1:23">
      <c r="A74" s="25" t="s">
        <v>1889</v>
      </c>
      <c r="B74" s="25" t="s">
        <v>32</v>
      </c>
      <c r="C74" s="25" t="s">
        <v>1890</v>
      </c>
      <c r="D74" s="26">
        <v>1</v>
      </c>
      <c r="E74" s="25" t="s">
        <v>1891</v>
      </c>
      <c r="F74" s="27">
        <v>45771</v>
      </c>
      <c r="G74" s="27">
        <v>45771</v>
      </c>
      <c r="H74" s="28" t="s">
        <v>444</v>
      </c>
      <c r="I74" s="25" t="s">
        <v>445</v>
      </c>
      <c r="J74" s="28" t="s">
        <v>41</v>
      </c>
      <c r="K74" s="25" t="s">
        <v>660</v>
      </c>
      <c r="L74" s="28" t="s">
        <v>41</v>
      </c>
      <c r="M74" s="25" t="s">
        <v>492</v>
      </c>
      <c r="N74" s="28" t="s">
        <v>41</v>
      </c>
      <c r="O74" s="25" t="s">
        <v>1892</v>
      </c>
      <c r="P74" s="33">
        <v>0</v>
      </c>
      <c r="Q74" s="33">
        <v>1746.68</v>
      </c>
      <c r="R74" s="25" t="s">
        <v>1893</v>
      </c>
      <c r="S74" s="25" t="s">
        <v>309</v>
      </c>
      <c r="T74" s="25" t="s">
        <v>36</v>
      </c>
      <c r="U74" s="25" t="s">
        <v>663</v>
      </c>
      <c r="V74" s="25" t="s">
        <v>1894</v>
      </c>
      <c r="W74" s="25" t="s">
        <v>665</v>
      </c>
    </row>
    <row r="75" s="22" customFormat="1" ht="16.5" customHeight="1" spans="1:23">
      <c r="A75" s="29" t="s">
        <v>1889</v>
      </c>
      <c r="B75" s="29" t="s">
        <v>32</v>
      </c>
      <c r="C75" s="29" t="s">
        <v>1890</v>
      </c>
      <c r="D75" s="30">
        <v>3</v>
      </c>
      <c r="E75" s="29" t="s">
        <v>1891</v>
      </c>
      <c r="F75" s="31">
        <v>45771</v>
      </c>
      <c r="G75" s="31">
        <v>45771</v>
      </c>
      <c r="H75" s="32" t="s">
        <v>444</v>
      </c>
      <c r="I75" s="29" t="s">
        <v>445</v>
      </c>
      <c r="J75" s="32" t="s">
        <v>41</v>
      </c>
      <c r="K75" s="29" t="s">
        <v>660</v>
      </c>
      <c r="L75" s="32" t="s">
        <v>41</v>
      </c>
      <c r="M75" s="29" t="s">
        <v>492</v>
      </c>
      <c r="N75" s="32" t="s">
        <v>41</v>
      </c>
      <c r="O75" s="29" t="s">
        <v>1892</v>
      </c>
      <c r="P75" s="34">
        <v>124</v>
      </c>
      <c r="Q75" s="34">
        <v>0</v>
      </c>
      <c r="R75" s="29" t="s">
        <v>1893</v>
      </c>
      <c r="S75" s="29" t="s">
        <v>309</v>
      </c>
      <c r="T75" s="29" t="s">
        <v>36</v>
      </c>
      <c r="U75" s="29" t="s">
        <v>663</v>
      </c>
      <c r="V75" s="29" t="s">
        <v>1894</v>
      </c>
      <c r="W75" s="29" t="s">
        <v>665</v>
      </c>
    </row>
    <row r="76" s="22" customFormat="1" ht="16.5" customHeight="1" spans="1:23">
      <c r="A76" s="25" t="s">
        <v>1895</v>
      </c>
      <c r="B76" s="25" t="s">
        <v>32</v>
      </c>
      <c r="C76" s="25" t="s">
        <v>1896</v>
      </c>
      <c r="D76" s="26">
        <v>1</v>
      </c>
      <c r="E76" s="25" t="s">
        <v>1897</v>
      </c>
      <c r="F76" s="27">
        <v>45771</v>
      </c>
      <c r="G76" s="27">
        <v>45771</v>
      </c>
      <c r="H76" s="28" t="s">
        <v>444</v>
      </c>
      <c r="I76" s="25" t="s">
        <v>445</v>
      </c>
      <c r="J76" s="28" t="s">
        <v>41</v>
      </c>
      <c r="K76" s="25" t="s">
        <v>660</v>
      </c>
      <c r="L76" s="28" t="s">
        <v>41</v>
      </c>
      <c r="M76" s="25" t="s">
        <v>492</v>
      </c>
      <c r="N76" s="28" t="s">
        <v>41</v>
      </c>
      <c r="O76" s="25" t="s">
        <v>802</v>
      </c>
      <c r="P76" s="33">
        <v>0</v>
      </c>
      <c r="Q76" s="33">
        <v>11517.66</v>
      </c>
      <c r="R76" s="25" t="s">
        <v>803</v>
      </c>
      <c r="S76" s="25" t="s">
        <v>281</v>
      </c>
      <c r="T76" s="25" t="s">
        <v>36</v>
      </c>
      <c r="U76" s="25" t="s">
        <v>663</v>
      </c>
      <c r="V76" s="25" t="s">
        <v>1898</v>
      </c>
      <c r="W76" s="25" t="s">
        <v>665</v>
      </c>
    </row>
    <row r="77" s="22" customFormat="1" ht="16.5" customHeight="1" spans="1:23">
      <c r="A77" s="29" t="s">
        <v>1895</v>
      </c>
      <c r="B77" s="29" t="s">
        <v>32</v>
      </c>
      <c r="C77" s="29" t="s">
        <v>1896</v>
      </c>
      <c r="D77" s="30">
        <v>3</v>
      </c>
      <c r="E77" s="29" t="s">
        <v>1897</v>
      </c>
      <c r="F77" s="31">
        <v>45771</v>
      </c>
      <c r="G77" s="31">
        <v>45771</v>
      </c>
      <c r="H77" s="32" t="s">
        <v>444</v>
      </c>
      <c r="I77" s="29" t="s">
        <v>445</v>
      </c>
      <c r="J77" s="32" t="s">
        <v>41</v>
      </c>
      <c r="K77" s="29" t="s">
        <v>660</v>
      </c>
      <c r="L77" s="32" t="s">
        <v>41</v>
      </c>
      <c r="M77" s="29" t="s">
        <v>492</v>
      </c>
      <c r="N77" s="32" t="s">
        <v>41</v>
      </c>
      <c r="O77" s="29" t="s">
        <v>802</v>
      </c>
      <c r="P77" s="34">
        <v>1941.66</v>
      </c>
      <c r="Q77" s="34">
        <v>0</v>
      </c>
      <c r="R77" s="29" t="s">
        <v>803</v>
      </c>
      <c r="S77" s="29" t="s">
        <v>281</v>
      </c>
      <c r="T77" s="29" t="s">
        <v>36</v>
      </c>
      <c r="U77" s="29" t="s">
        <v>663</v>
      </c>
      <c r="V77" s="29" t="s">
        <v>1898</v>
      </c>
      <c r="W77" s="29" t="s">
        <v>665</v>
      </c>
    </row>
    <row r="78" s="22" customFormat="1" ht="16.5" customHeight="1" spans="1:23">
      <c r="A78" s="25" t="s">
        <v>1899</v>
      </c>
      <c r="B78" s="25" t="s">
        <v>32</v>
      </c>
      <c r="C78" s="25" t="s">
        <v>1900</v>
      </c>
      <c r="D78" s="26">
        <v>1</v>
      </c>
      <c r="E78" s="25" t="s">
        <v>1901</v>
      </c>
      <c r="F78" s="27">
        <v>45771</v>
      </c>
      <c r="G78" s="27">
        <v>45771</v>
      </c>
      <c r="H78" s="28" t="s">
        <v>444</v>
      </c>
      <c r="I78" s="25" t="s">
        <v>445</v>
      </c>
      <c r="J78" s="28" t="s">
        <v>41</v>
      </c>
      <c r="K78" s="25" t="s">
        <v>660</v>
      </c>
      <c r="L78" s="28" t="s">
        <v>41</v>
      </c>
      <c r="M78" s="25" t="s">
        <v>492</v>
      </c>
      <c r="N78" s="28" t="s">
        <v>41</v>
      </c>
      <c r="O78" s="25" t="s">
        <v>1274</v>
      </c>
      <c r="P78" s="33">
        <v>0</v>
      </c>
      <c r="Q78" s="33">
        <v>529032.64</v>
      </c>
      <c r="R78" s="25" t="s">
        <v>34</v>
      </c>
      <c r="S78" s="25" t="s">
        <v>277</v>
      </c>
      <c r="T78" s="25" t="s">
        <v>36</v>
      </c>
      <c r="U78" s="25" t="s">
        <v>663</v>
      </c>
      <c r="V78" s="25" t="s">
        <v>67</v>
      </c>
      <c r="W78" s="25" t="s">
        <v>665</v>
      </c>
    </row>
    <row r="79" s="22" customFormat="1" ht="16.5" customHeight="1" spans="1:23">
      <c r="A79" s="29" t="s">
        <v>1899</v>
      </c>
      <c r="B79" s="29" t="s">
        <v>32</v>
      </c>
      <c r="C79" s="29" t="s">
        <v>1900</v>
      </c>
      <c r="D79" s="30">
        <v>3</v>
      </c>
      <c r="E79" s="29" t="s">
        <v>1901</v>
      </c>
      <c r="F79" s="31">
        <v>45771</v>
      </c>
      <c r="G79" s="31">
        <v>45771</v>
      </c>
      <c r="H79" s="32" t="s">
        <v>444</v>
      </c>
      <c r="I79" s="29" t="s">
        <v>445</v>
      </c>
      <c r="J79" s="32" t="s">
        <v>41</v>
      </c>
      <c r="K79" s="29" t="s">
        <v>660</v>
      </c>
      <c r="L79" s="32" t="s">
        <v>41</v>
      </c>
      <c r="M79" s="29" t="s">
        <v>492</v>
      </c>
      <c r="N79" s="32" t="s">
        <v>41</v>
      </c>
      <c r="O79" s="29" t="s">
        <v>1274</v>
      </c>
      <c r="P79" s="34">
        <v>72576.64</v>
      </c>
      <c r="Q79" s="34">
        <v>0</v>
      </c>
      <c r="R79" s="29" t="s">
        <v>34</v>
      </c>
      <c r="S79" s="29" t="s">
        <v>277</v>
      </c>
      <c r="T79" s="29" t="s">
        <v>36</v>
      </c>
      <c r="U79" s="29" t="s">
        <v>663</v>
      </c>
      <c r="V79" s="29" t="s">
        <v>67</v>
      </c>
      <c r="W79" s="29" t="s">
        <v>665</v>
      </c>
    </row>
    <row r="80" s="22" customFormat="1" ht="16.5" customHeight="1" spans="1:23">
      <c r="A80" s="25" t="s">
        <v>1902</v>
      </c>
      <c r="B80" s="25" t="s">
        <v>32</v>
      </c>
      <c r="C80" s="25" t="s">
        <v>1903</v>
      </c>
      <c r="D80" s="26">
        <v>1</v>
      </c>
      <c r="E80" s="25" t="s">
        <v>1904</v>
      </c>
      <c r="F80" s="27">
        <v>45772</v>
      </c>
      <c r="G80" s="27">
        <v>45772</v>
      </c>
      <c r="H80" s="28" t="s">
        <v>444</v>
      </c>
      <c r="I80" s="25" t="s">
        <v>445</v>
      </c>
      <c r="J80" s="28" t="s">
        <v>41</v>
      </c>
      <c r="K80" s="25" t="s">
        <v>660</v>
      </c>
      <c r="L80" s="28" t="s">
        <v>41</v>
      </c>
      <c r="M80" s="25" t="s">
        <v>492</v>
      </c>
      <c r="N80" s="28" t="s">
        <v>41</v>
      </c>
      <c r="O80" s="25" t="s">
        <v>700</v>
      </c>
      <c r="P80" s="33">
        <v>0</v>
      </c>
      <c r="Q80" s="33">
        <v>6855.85</v>
      </c>
      <c r="R80" s="25" t="s">
        <v>701</v>
      </c>
      <c r="S80" s="25" t="s">
        <v>315</v>
      </c>
      <c r="T80" s="25" t="s">
        <v>36</v>
      </c>
      <c r="U80" s="25" t="s">
        <v>663</v>
      </c>
      <c r="V80" s="25" t="s">
        <v>1905</v>
      </c>
      <c r="W80" s="25" t="s">
        <v>665</v>
      </c>
    </row>
    <row r="81" s="22" customFormat="1" ht="16.5" customHeight="1" spans="1:23">
      <c r="A81" s="29" t="s">
        <v>1902</v>
      </c>
      <c r="B81" s="29" t="s">
        <v>32</v>
      </c>
      <c r="C81" s="29" t="s">
        <v>1903</v>
      </c>
      <c r="D81" s="30">
        <v>3</v>
      </c>
      <c r="E81" s="29" t="s">
        <v>1904</v>
      </c>
      <c r="F81" s="31">
        <v>45772</v>
      </c>
      <c r="G81" s="31">
        <v>45772</v>
      </c>
      <c r="H81" s="32" t="s">
        <v>444</v>
      </c>
      <c r="I81" s="29" t="s">
        <v>445</v>
      </c>
      <c r="J81" s="32" t="s">
        <v>41</v>
      </c>
      <c r="K81" s="29" t="s">
        <v>660</v>
      </c>
      <c r="L81" s="32" t="s">
        <v>41</v>
      </c>
      <c r="M81" s="29" t="s">
        <v>492</v>
      </c>
      <c r="N81" s="32" t="s">
        <v>41</v>
      </c>
      <c r="O81" s="29" t="s">
        <v>700</v>
      </c>
      <c r="P81" s="34">
        <v>25</v>
      </c>
      <c r="Q81" s="34">
        <v>0</v>
      </c>
      <c r="R81" s="29" t="s">
        <v>701</v>
      </c>
      <c r="S81" s="29" t="s">
        <v>315</v>
      </c>
      <c r="T81" s="29" t="s">
        <v>36</v>
      </c>
      <c r="U81" s="29" t="s">
        <v>663</v>
      </c>
      <c r="V81" s="29" t="s">
        <v>1905</v>
      </c>
      <c r="W81" s="29" t="s">
        <v>665</v>
      </c>
    </row>
    <row r="82" s="22" customFormat="1" ht="16.5" customHeight="1" spans="1:23">
      <c r="A82" s="25" t="s">
        <v>1906</v>
      </c>
      <c r="B82" s="25" t="s">
        <v>32</v>
      </c>
      <c r="C82" s="25" t="s">
        <v>1907</v>
      </c>
      <c r="D82" s="26">
        <v>1</v>
      </c>
      <c r="E82" s="25" t="s">
        <v>1908</v>
      </c>
      <c r="F82" s="27">
        <v>45772</v>
      </c>
      <c r="G82" s="27">
        <v>45772</v>
      </c>
      <c r="H82" s="28" t="s">
        <v>444</v>
      </c>
      <c r="I82" s="25" t="s">
        <v>445</v>
      </c>
      <c r="J82" s="28" t="s">
        <v>41</v>
      </c>
      <c r="K82" s="25" t="s">
        <v>660</v>
      </c>
      <c r="L82" s="28" t="s">
        <v>41</v>
      </c>
      <c r="M82" s="25" t="s">
        <v>492</v>
      </c>
      <c r="N82" s="28" t="s">
        <v>41</v>
      </c>
      <c r="O82" s="25" t="s">
        <v>700</v>
      </c>
      <c r="P82" s="33">
        <v>0</v>
      </c>
      <c r="Q82" s="33">
        <v>7737.25</v>
      </c>
      <c r="R82" s="25" t="s">
        <v>701</v>
      </c>
      <c r="S82" s="25" t="s">
        <v>315</v>
      </c>
      <c r="T82" s="25" t="s">
        <v>36</v>
      </c>
      <c r="U82" s="25" t="s">
        <v>663</v>
      </c>
      <c r="V82" s="25" t="s">
        <v>1909</v>
      </c>
      <c r="W82" s="25" t="s">
        <v>665</v>
      </c>
    </row>
    <row r="83" s="22" customFormat="1" ht="16.5" customHeight="1" spans="1:23">
      <c r="A83" s="29" t="s">
        <v>1906</v>
      </c>
      <c r="B83" s="29" t="s">
        <v>32</v>
      </c>
      <c r="C83" s="29" t="s">
        <v>1907</v>
      </c>
      <c r="D83" s="30">
        <v>4</v>
      </c>
      <c r="E83" s="29" t="s">
        <v>1908</v>
      </c>
      <c r="F83" s="31">
        <v>45772</v>
      </c>
      <c r="G83" s="31">
        <v>45772</v>
      </c>
      <c r="H83" s="32" t="s">
        <v>444</v>
      </c>
      <c r="I83" s="29" t="s">
        <v>445</v>
      </c>
      <c r="J83" s="32" t="s">
        <v>41</v>
      </c>
      <c r="K83" s="29" t="s">
        <v>660</v>
      </c>
      <c r="L83" s="32" t="s">
        <v>41</v>
      </c>
      <c r="M83" s="29" t="s">
        <v>492</v>
      </c>
      <c r="N83" s="32" t="s">
        <v>41</v>
      </c>
      <c r="O83" s="29" t="s">
        <v>700</v>
      </c>
      <c r="P83" s="34">
        <v>25</v>
      </c>
      <c r="Q83" s="34">
        <v>0</v>
      </c>
      <c r="R83" s="29" t="s">
        <v>701</v>
      </c>
      <c r="S83" s="29" t="s">
        <v>315</v>
      </c>
      <c r="T83" s="29" t="s">
        <v>36</v>
      </c>
      <c r="U83" s="29" t="s">
        <v>663</v>
      </c>
      <c r="V83" s="29" t="s">
        <v>1909</v>
      </c>
      <c r="W83" s="29" t="s">
        <v>665</v>
      </c>
    </row>
    <row r="84" s="22" customFormat="1" ht="16.5" customHeight="1" spans="1:23">
      <c r="A84" s="25" t="s">
        <v>1910</v>
      </c>
      <c r="B84" s="25" t="s">
        <v>32</v>
      </c>
      <c r="C84" s="25" t="s">
        <v>1911</v>
      </c>
      <c r="D84" s="26">
        <v>1</v>
      </c>
      <c r="E84" s="25" t="s">
        <v>1912</v>
      </c>
      <c r="F84" s="27">
        <v>45772</v>
      </c>
      <c r="G84" s="27">
        <v>45772</v>
      </c>
      <c r="H84" s="28" t="s">
        <v>444</v>
      </c>
      <c r="I84" s="25" t="s">
        <v>445</v>
      </c>
      <c r="J84" s="28" t="s">
        <v>41</v>
      </c>
      <c r="K84" s="25" t="s">
        <v>660</v>
      </c>
      <c r="L84" s="28" t="s">
        <v>41</v>
      </c>
      <c r="M84" s="25" t="s">
        <v>492</v>
      </c>
      <c r="N84" s="28" t="s">
        <v>41</v>
      </c>
      <c r="O84" s="25" t="s">
        <v>1913</v>
      </c>
      <c r="P84" s="33">
        <v>0</v>
      </c>
      <c r="Q84" s="33">
        <v>237747.12</v>
      </c>
      <c r="R84" s="25" t="s">
        <v>1029</v>
      </c>
      <c r="S84" s="25" t="s">
        <v>318</v>
      </c>
      <c r="T84" s="25" t="s">
        <v>36</v>
      </c>
      <c r="U84" s="25" t="s">
        <v>663</v>
      </c>
      <c r="V84" s="25" t="s">
        <v>1914</v>
      </c>
      <c r="W84" s="25" t="s">
        <v>665</v>
      </c>
    </row>
    <row r="85" s="22" customFormat="1" ht="16.5" customHeight="1" spans="1:23">
      <c r="A85" s="29" t="s">
        <v>1915</v>
      </c>
      <c r="B85" s="29" t="s">
        <v>32</v>
      </c>
      <c r="C85" s="29" t="s">
        <v>1916</v>
      </c>
      <c r="D85" s="30">
        <v>1</v>
      </c>
      <c r="E85" s="29" t="s">
        <v>1917</v>
      </c>
      <c r="F85" s="31">
        <v>45772</v>
      </c>
      <c r="G85" s="31">
        <v>45772</v>
      </c>
      <c r="H85" s="32" t="s">
        <v>444</v>
      </c>
      <c r="I85" s="29" t="s">
        <v>445</v>
      </c>
      <c r="J85" s="32" t="s">
        <v>41</v>
      </c>
      <c r="K85" s="29" t="s">
        <v>660</v>
      </c>
      <c r="L85" s="32" t="s">
        <v>41</v>
      </c>
      <c r="M85" s="29" t="s">
        <v>492</v>
      </c>
      <c r="N85" s="32" t="s">
        <v>41</v>
      </c>
      <c r="O85" s="29" t="s">
        <v>1918</v>
      </c>
      <c r="P85" s="34">
        <v>0.01</v>
      </c>
      <c r="Q85" s="34">
        <v>0</v>
      </c>
      <c r="R85" s="29" t="s">
        <v>1029</v>
      </c>
      <c r="S85" s="29" t="s">
        <v>318</v>
      </c>
      <c r="T85" s="29" t="s">
        <v>36</v>
      </c>
      <c r="U85" s="29" t="s">
        <v>663</v>
      </c>
      <c r="V85" s="29" t="s">
        <v>1919</v>
      </c>
      <c r="W85" s="29" t="s">
        <v>665</v>
      </c>
    </row>
    <row r="86" s="22" customFormat="1" ht="16.5" customHeight="1" spans="1:23">
      <c r="A86" s="25" t="s">
        <v>1920</v>
      </c>
      <c r="B86" s="25" t="s">
        <v>32</v>
      </c>
      <c r="C86" s="25" t="s">
        <v>1921</v>
      </c>
      <c r="D86" s="26">
        <v>1</v>
      </c>
      <c r="E86" s="25" t="s">
        <v>1922</v>
      </c>
      <c r="F86" s="27">
        <v>45772</v>
      </c>
      <c r="G86" s="27">
        <v>45772</v>
      </c>
      <c r="H86" s="28" t="s">
        <v>444</v>
      </c>
      <c r="I86" s="25" t="s">
        <v>445</v>
      </c>
      <c r="J86" s="28" t="s">
        <v>41</v>
      </c>
      <c r="K86" s="25" t="s">
        <v>660</v>
      </c>
      <c r="L86" s="28" t="s">
        <v>41</v>
      </c>
      <c r="M86" s="25" t="s">
        <v>492</v>
      </c>
      <c r="N86" s="28" t="s">
        <v>41</v>
      </c>
      <c r="O86" s="25" t="s">
        <v>840</v>
      </c>
      <c r="P86" s="33">
        <v>0</v>
      </c>
      <c r="Q86" s="33">
        <v>558957.81</v>
      </c>
      <c r="R86" s="25" t="s">
        <v>841</v>
      </c>
      <c r="S86" s="25" t="s">
        <v>303</v>
      </c>
      <c r="T86" s="25" t="s">
        <v>36</v>
      </c>
      <c r="U86" s="25" t="s">
        <v>663</v>
      </c>
      <c r="V86" s="25" t="s">
        <v>1923</v>
      </c>
      <c r="W86" s="25" t="s">
        <v>665</v>
      </c>
    </row>
    <row r="87" s="22" customFormat="1" ht="16.5" customHeight="1" spans="1:23">
      <c r="A87" s="29" t="s">
        <v>1920</v>
      </c>
      <c r="B87" s="29" t="s">
        <v>32</v>
      </c>
      <c r="C87" s="29" t="s">
        <v>1921</v>
      </c>
      <c r="D87" s="30">
        <v>3</v>
      </c>
      <c r="E87" s="29" t="s">
        <v>1922</v>
      </c>
      <c r="F87" s="31">
        <v>45772</v>
      </c>
      <c r="G87" s="31">
        <v>45772</v>
      </c>
      <c r="H87" s="32" t="s">
        <v>444</v>
      </c>
      <c r="I87" s="29" t="s">
        <v>445</v>
      </c>
      <c r="J87" s="32" t="s">
        <v>41</v>
      </c>
      <c r="K87" s="29" t="s">
        <v>660</v>
      </c>
      <c r="L87" s="32" t="s">
        <v>41</v>
      </c>
      <c r="M87" s="29" t="s">
        <v>492</v>
      </c>
      <c r="N87" s="32" t="s">
        <v>41</v>
      </c>
      <c r="O87" s="29" t="s">
        <v>840</v>
      </c>
      <c r="P87" s="34">
        <v>167405.81</v>
      </c>
      <c r="Q87" s="34">
        <v>0</v>
      </c>
      <c r="R87" s="29" t="s">
        <v>841</v>
      </c>
      <c r="S87" s="29" t="s">
        <v>303</v>
      </c>
      <c r="T87" s="29" t="s">
        <v>36</v>
      </c>
      <c r="U87" s="29" t="s">
        <v>663</v>
      </c>
      <c r="V87" s="29" t="s">
        <v>1923</v>
      </c>
      <c r="W87" s="29" t="s">
        <v>665</v>
      </c>
    </row>
    <row r="88" s="22" customFormat="1" ht="16.5" customHeight="1" spans="1:23">
      <c r="A88" s="25" t="s">
        <v>1924</v>
      </c>
      <c r="B88" s="25" t="s">
        <v>32</v>
      </c>
      <c r="C88" s="25" t="s">
        <v>1925</v>
      </c>
      <c r="D88" s="26">
        <v>1</v>
      </c>
      <c r="E88" s="25" t="s">
        <v>1926</v>
      </c>
      <c r="F88" s="27">
        <v>45772</v>
      </c>
      <c r="G88" s="27">
        <v>45772</v>
      </c>
      <c r="H88" s="28" t="s">
        <v>444</v>
      </c>
      <c r="I88" s="25" t="s">
        <v>445</v>
      </c>
      <c r="J88" s="28" t="s">
        <v>41</v>
      </c>
      <c r="K88" s="25" t="s">
        <v>660</v>
      </c>
      <c r="L88" s="28" t="s">
        <v>41</v>
      </c>
      <c r="M88" s="25" t="s">
        <v>492</v>
      </c>
      <c r="N88" s="28" t="s">
        <v>41</v>
      </c>
      <c r="O88" s="25" t="s">
        <v>812</v>
      </c>
      <c r="P88" s="33">
        <v>0</v>
      </c>
      <c r="Q88" s="33">
        <v>851941.7</v>
      </c>
      <c r="R88" s="25" t="s">
        <v>149</v>
      </c>
      <c r="S88" s="25" t="s">
        <v>251</v>
      </c>
      <c r="T88" s="25" t="s">
        <v>36</v>
      </c>
      <c r="U88" s="25" t="s">
        <v>663</v>
      </c>
      <c r="V88" s="25" t="s">
        <v>176</v>
      </c>
      <c r="W88" s="25" t="s">
        <v>665</v>
      </c>
    </row>
    <row r="89" s="22" customFormat="1" ht="16.5" customHeight="1" spans="1:23">
      <c r="A89" s="29" t="s">
        <v>1924</v>
      </c>
      <c r="B89" s="29" t="s">
        <v>32</v>
      </c>
      <c r="C89" s="29" t="s">
        <v>1925</v>
      </c>
      <c r="D89" s="30">
        <v>3</v>
      </c>
      <c r="E89" s="29" t="s">
        <v>1926</v>
      </c>
      <c r="F89" s="31">
        <v>45772</v>
      </c>
      <c r="G89" s="31">
        <v>45772</v>
      </c>
      <c r="H89" s="32" t="s">
        <v>444</v>
      </c>
      <c r="I89" s="29" t="s">
        <v>445</v>
      </c>
      <c r="J89" s="32" t="s">
        <v>41</v>
      </c>
      <c r="K89" s="29" t="s">
        <v>660</v>
      </c>
      <c r="L89" s="32" t="s">
        <v>41</v>
      </c>
      <c r="M89" s="29" t="s">
        <v>492</v>
      </c>
      <c r="N89" s="32" t="s">
        <v>41</v>
      </c>
      <c r="O89" s="29" t="s">
        <v>812</v>
      </c>
      <c r="P89" s="34">
        <v>245065.7</v>
      </c>
      <c r="Q89" s="34">
        <v>0</v>
      </c>
      <c r="R89" s="29" t="s">
        <v>149</v>
      </c>
      <c r="S89" s="29" t="s">
        <v>251</v>
      </c>
      <c r="T89" s="29" t="s">
        <v>36</v>
      </c>
      <c r="U89" s="29" t="s">
        <v>663</v>
      </c>
      <c r="V89" s="29" t="s">
        <v>176</v>
      </c>
      <c r="W89" s="29" t="s">
        <v>665</v>
      </c>
    </row>
    <row r="90" s="22" customFormat="1" ht="16.5" customHeight="1" spans="1:23">
      <c r="A90" s="25" t="s">
        <v>1927</v>
      </c>
      <c r="B90" s="25" t="s">
        <v>32</v>
      </c>
      <c r="C90" s="25" t="s">
        <v>1928</v>
      </c>
      <c r="D90" s="26">
        <v>1</v>
      </c>
      <c r="E90" s="25" t="s">
        <v>1929</v>
      </c>
      <c r="F90" s="27">
        <v>45772</v>
      </c>
      <c r="G90" s="27">
        <v>45772</v>
      </c>
      <c r="H90" s="28" t="s">
        <v>444</v>
      </c>
      <c r="I90" s="25" t="s">
        <v>445</v>
      </c>
      <c r="J90" s="28" t="s">
        <v>41</v>
      </c>
      <c r="K90" s="25" t="s">
        <v>660</v>
      </c>
      <c r="L90" s="28" t="s">
        <v>41</v>
      </c>
      <c r="M90" s="25" t="s">
        <v>492</v>
      </c>
      <c r="N90" s="28" t="s">
        <v>41</v>
      </c>
      <c r="O90" s="25" t="s">
        <v>1551</v>
      </c>
      <c r="P90" s="33">
        <v>0</v>
      </c>
      <c r="Q90" s="33">
        <v>760907.24</v>
      </c>
      <c r="R90" s="25" t="s">
        <v>1552</v>
      </c>
      <c r="S90" s="25" t="s">
        <v>256</v>
      </c>
      <c r="T90" s="25" t="s">
        <v>36</v>
      </c>
      <c r="U90" s="25" t="s">
        <v>663</v>
      </c>
      <c r="V90" s="25" t="s">
        <v>1930</v>
      </c>
      <c r="W90" s="25" t="s">
        <v>665</v>
      </c>
    </row>
    <row r="91" s="22" customFormat="1" ht="16.5" customHeight="1" spans="1:23">
      <c r="A91" s="29" t="s">
        <v>1927</v>
      </c>
      <c r="B91" s="29" t="s">
        <v>32</v>
      </c>
      <c r="C91" s="29" t="s">
        <v>1928</v>
      </c>
      <c r="D91" s="30">
        <v>3</v>
      </c>
      <c r="E91" s="29" t="s">
        <v>1929</v>
      </c>
      <c r="F91" s="31">
        <v>45772</v>
      </c>
      <c r="G91" s="31">
        <v>45772</v>
      </c>
      <c r="H91" s="32" t="s">
        <v>444</v>
      </c>
      <c r="I91" s="29" t="s">
        <v>445</v>
      </c>
      <c r="J91" s="32" t="s">
        <v>41</v>
      </c>
      <c r="K91" s="29" t="s">
        <v>660</v>
      </c>
      <c r="L91" s="32" t="s">
        <v>41</v>
      </c>
      <c r="M91" s="29" t="s">
        <v>492</v>
      </c>
      <c r="N91" s="32" t="s">
        <v>41</v>
      </c>
      <c r="O91" s="29" t="s">
        <v>1551</v>
      </c>
      <c r="P91" s="34">
        <v>519.6</v>
      </c>
      <c r="Q91" s="34">
        <v>0</v>
      </c>
      <c r="R91" s="29" t="s">
        <v>1552</v>
      </c>
      <c r="S91" s="29" t="s">
        <v>256</v>
      </c>
      <c r="T91" s="29" t="s">
        <v>36</v>
      </c>
      <c r="U91" s="29" t="s">
        <v>663</v>
      </c>
      <c r="V91" s="29" t="s">
        <v>1930</v>
      </c>
      <c r="W91" s="29" t="s">
        <v>665</v>
      </c>
    </row>
    <row r="92" s="22" customFormat="1" ht="16.5" customHeight="1" spans="1:23">
      <c r="A92" s="25" t="s">
        <v>1931</v>
      </c>
      <c r="B92" s="25" t="s">
        <v>32</v>
      </c>
      <c r="C92" s="25" t="s">
        <v>1932</v>
      </c>
      <c r="D92" s="26">
        <v>1</v>
      </c>
      <c r="E92" s="25" t="s">
        <v>1933</v>
      </c>
      <c r="F92" s="27">
        <v>45772</v>
      </c>
      <c r="G92" s="27">
        <v>45772</v>
      </c>
      <c r="H92" s="28" t="s">
        <v>444</v>
      </c>
      <c r="I92" s="25" t="s">
        <v>445</v>
      </c>
      <c r="J92" s="28" t="s">
        <v>41</v>
      </c>
      <c r="K92" s="25" t="s">
        <v>660</v>
      </c>
      <c r="L92" s="28" t="s">
        <v>41</v>
      </c>
      <c r="M92" s="25" t="s">
        <v>492</v>
      </c>
      <c r="N92" s="28" t="s">
        <v>41</v>
      </c>
      <c r="O92" s="25" t="s">
        <v>1934</v>
      </c>
      <c r="P92" s="33">
        <v>0.01</v>
      </c>
      <c r="Q92" s="33">
        <v>0</v>
      </c>
      <c r="R92" s="25" t="s">
        <v>1552</v>
      </c>
      <c r="S92" s="25" t="s">
        <v>256</v>
      </c>
      <c r="T92" s="25" t="s">
        <v>36</v>
      </c>
      <c r="U92" s="25" t="s">
        <v>663</v>
      </c>
      <c r="V92" s="25" t="s">
        <v>1935</v>
      </c>
      <c r="W92" s="25" t="s">
        <v>665</v>
      </c>
    </row>
    <row r="93" s="22" customFormat="1" ht="16.5" customHeight="1" spans="1:23">
      <c r="A93" s="29" t="s">
        <v>1936</v>
      </c>
      <c r="B93" s="29" t="s">
        <v>32</v>
      </c>
      <c r="C93" s="29" t="s">
        <v>1937</v>
      </c>
      <c r="D93" s="30">
        <v>1</v>
      </c>
      <c r="E93" s="29" t="s">
        <v>1938</v>
      </c>
      <c r="F93" s="31">
        <v>45772</v>
      </c>
      <c r="G93" s="31">
        <v>45772</v>
      </c>
      <c r="H93" s="32" t="s">
        <v>444</v>
      </c>
      <c r="I93" s="29" t="s">
        <v>445</v>
      </c>
      <c r="J93" s="32" t="s">
        <v>41</v>
      </c>
      <c r="K93" s="29" t="s">
        <v>660</v>
      </c>
      <c r="L93" s="32" t="s">
        <v>41</v>
      </c>
      <c r="M93" s="29" t="s">
        <v>492</v>
      </c>
      <c r="N93" s="32" t="s">
        <v>41</v>
      </c>
      <c r="O93" s="29" t="s">
        <v>1939</v>
      </c>
      <c r="P93" s="34">
        <v>1604.92</v>
      </c>
      <c r="Q93" s="34">
        <v>0</v>
      </c>
      <c r="R93" s="29" t="s">
        <v>1552</v>
      </c>
      <c r="S93" s="29" t="s">
        <v>256</v>
      </c>
      <c r="T93" s="29" t="s">
        <v>36</v>
      </c>
      <c r="U93" s="29" t="s">
        <v>663</v>
      </c>
      <c r="V93" s="29" t="s">
        <v>1940</v>
      </c>
      <c r="W93" s="29" t="s">
        <v>665</v>
      </c>
    </row>
    <row r="94" s="22" customFormat="1" ht="16.5" customHeight="1" spans="1:23">
      <c r="A94" s="25" t="s">
        <v>1941</v>
      </c>
      <c r="B94" s="25" t="s">
        <v>32</v>
      </c>
      <c r="C94" s="25" t="s">
        <v>1942</v>
      </c>
      <c r="D94" s="26">
        <v>1</v>
      </c>
      <c r="E94" s="25" t="s">
        <v>1943</v>
      </c>
      <c r="F94" s="27">
        <v>45775</v>
      </c>
      <c r="G94" s="27">
        <v>45775</v>
      </c>
      <c r="H94" s="28" t="s">
        <v>444</v>
      </c>
      <c r="I94" s="25" t="s">
        <v>445</v>
      </c>
      <c r="J94" s="28" t="s">
        <v>41</v>
      </c>
      <c r="K94" s="25" t="s">
        <v>660</v>
      </c>
      <c r="L94" s="28" t="s">
        <v>41</v>
      </c>
      <c r="M94" s="25" t="s">
        <v>492</v>
      </c>
      <c r="N94" s="28" t="s">
        <v>41</v>
      </c>
      <c r="O94" s="25" t="s">
        <v>1017</v>
      </c>
      <c r="P94" s="33">
        <v>0</v>
      </c>
      <c r="Q94" s="33">
        <v>409.42</v>
      </c>
      <c r="R94" s="25" t="s">
        <v>748</v>
      </c>
      <c r="S94" s="25" t="s">
        <v>259</v>
      </c>
      <c r="T94" s="25" t="s">
        <v>36</v>
      </c>
      <c r="U94" s="25" t="s">
        <v>663</v>
      </c>
      <c r="V94" s="25" t="s">
        <v>1944</v>
      </c>
      <c r="W94" s="25" t="s">
        <v>665</v>
      </c>
    </row>
    <row r="95" s="22" customFormat="1" ht="16.5" customHeight="1" spans="1:23">
      <c r="A95" s="29" t="s">
        <v>1945</v>
      </c>
      <c r="B95" s="29" t="s">
        <v>32</v>
      </c>
      <c r="C95" s="29" t="s">
        <v>1946</v>
      </c>
      <c r="D95" s="30">
        <v>1</v>
      </c>
      <c r="E95" s="29" t="s">
        <v>1947</v>
      </c>
      <c r="F95" s="31">
        <v>45775</v>
      </c>
      <c r="G95" s="31">
        <v>45775</v>
      </c>
      <c r="H95" s="32" t="s">
        <v>444</v>
      </c>
      <c r="I95" s="29" t="s">
        <v>445</v>
      </c>
      <c r="J95" s="32" t="s">
        <v>41</v>
      </c>
      <c r="K95" s="29" t="s">
        <v>660</v>
      </c>
      <c r="L95" s="32" t="s">
        <v>41</v>
      </c>
      <c r="M95" s="29" t="s">
        <v>492</v>
      </c>
      <c r="N95" s="32" t="s">
        <v>41</v>
      </c>
      <c r="O95" s="29" t="s">
        <v>812</v>
      </c>
      <c r="P95" s="34">
        <v>0</v>
      </c>
      <c r="Q95" s="34">
        <v>353674.38</v>
      </c>
      <c r="R95" s="29" t="s">
        <v>149</v>
      </c>
      <c r="S95" s="29" t="s">
        <v>251</v>
      </c>
      <c r="T95" s="29" t="s">
        <v>36</v>
      </c>
      <c r="U95" s="29" t="s">
        <v>663</v>
      </c>
      <c r="V95" s="29" t="s">
        <v>180</v>
      </c>
      <c r="W95" s="29" t="s">
        <v>665</v>
      </c>
    </row>
    <row r="96" s="22" customFormat="1" ht="16.5" customHeight="1" spans="1:23">
      <c r="A96" s="25" t="s">
        <v>1945</v>
      </c>
      <c r="B96" s="25" t="s">
        <v>32</v>
      </c>
      <c r="C96" s="25" t="s">
        <v>1946</v>
      </c>
      <c r="D96" s="26">
        <v>3</v>
      </c>
      <c r="E96" s="25" t="s">
        <v>1947</v>
      </c>
      <c r="F96" s="27">
        <v>45775</v>
      </c>
      <c r="G96" s="27">
        <v>45775</v>
      </c>
      <c r="H96" s="28" t="s">
        <v>444</v>
      </c>
      <c r="I96" s="25" t="s">
        <v>445</v>
      </c>
      <c r="J96" s="28" t="s">
        <v>41</v>
      </c>
      <c r="K96" s="25" t="s">
        <v>660</v>
      </c>
      <c r="L96" s="28" t="s">
        <v>41</v>
      </c>
      <c r="M96" s="25" t="s">
        <v>492</v>
      </c>
      <c r="N96" s="28" t="s">
        <v>41</v>
      </c>
      <c r="O96" s="25" t="s">
        <v>812</v>
      </c>
      <c r="P96" s="33">
        <v>101736.38</v>
      </c>
      <c r="Q96" s="33">
        <v>0</v>
      </c>
      <c r="R96" s="25" t="s">
        <v>149</v>
      </c>
      <c r="S96" s="25" t="s">
        <v>251</v>
      </c>
      <c r="T96" s="25" t="s">
        <v>36</v>
      </c>
      <c r="U96" s="25" t="s">
        <v>663</v>
      </c>
      <c r="V96" s="25" t="s">
        <v>180</v>
      </c>
      <c r="W96" s="25" t="s">
        <v>665</v>
      </c>
    </row>
    <row r="97" s="22" customFormat="1" ht="16.5" customHeight="1" spans="1:23">
      <c r="A97" s="29" t="s">
        <v>1948</v>
      </c>
      <c r="B97" s="29" t="s">
        <v>32</v>
      </c>
      <c r="C97" s="29" t="s">
        <v>1949</v>
      </c>
      <c r="D97" s="30">
        <v>1</v>
      </c>
      <c r="E97" s="29" t="s">
        <v>1950</v>
      </c>
      <c r="F97" s="31">
        <v>45775</v>
      </c>
      <c r="G97" s="31">
        <v>45775</v>
      </c>
      <c r="H97" s="32" t="s">
        <v>444</v>
      </c>
      <c r="I97" s="29" t="s">
        <v>445</v>
      </c>
      <c r="J97" s="32" t="s">
        <v>41</v>
      </c>
      <c r="K97" s="29" t="s">
        <v>660</v>
      </c>
      <c r="L97" s="32" t="s">
        <v>41</v>
      </c>
      <c r="M97" s="29" t="s">
        <v>492</v>
      </c>
      <c r="N97" s="32" t="s">
        <v>41</v>
      </c>
      <c r="O97" s="29" t="s">
        <v>870</v>
      </c>
      <c r="P97" s="34">
        <v>0</v>
      </c>
      <c r="Q97" s="34">
        <v>36215.25</v>
      </c>
      <c r="R97" s="29" t="s">
        <v>871</v>
      </c>
      <c r="S97" s="29" t="s">
        <v>246</v>
      </c>
      <c r="T97" s="29" t="s">
        <v>36</v>
      </c>
      <c r="U97" s="29" t="s">
        <v>663</v>
      </c>
      <c r="V97" s="29" t="s">
        <v>1951</v>
      </c>
      <c r="W97" s="29" t="s">
        <v>665</v>
      </c>
    </row>
    <row r="98" s="22" customFormat="1" ht="16.5" customHeight="1" spans="1:23">
      <c r="A98" s="25" t="s">
        <v>1952</v>
      </c>
      <c r="B98" s="25" t="s">
        <v>32</v>
      </c>
      <c r="C98" s="25" t="s">
        <v>1953</v>
      </c>
      <c r="D98" s="26">
        <v>1</v>
      </c>
      <c r="E98" s="25" t="s">
        <v>1954</v>
      </c>
      <c r="F98" s="27">
        <v>45775</v>
      </c>
      <c r="G98" s="27">
        <v>45775</v>
      </c>
      <c r="H98" s="28" t="s">
        <v>444</v>
      </c>
      <c r="I98" s="25" t="s">
        <v>445</v>
      </c>
      <c r="J98" s="28" t="s">
        <v>41</v>
      </c>
      <c r="K98" s="25" t="s">
        <v>660</v>
      </c>
      <c r="L98" s="28" t="s">
        <v>41</v>
      </c>
      <c r="M98" s="25" t="s">
        <v>492</v>
      </c>
      <c r="N98" s="28" t="s">
        <v>41</v>
      </c>
      <c r="O98" s="25" t="s">
        <v>1268</v>
      </c>
      <c r="P98" s="33">
        <v>0</v>
      </c>
      <c r="Q98" s="33">
        <v>70601.27</v>
      </c>
      <c r="R98" s="25" t="s">
        <v>1269</v>
      </c>
      <c r="S98" s="25" t="s">
        <v>285</v>
      </c>
      <c r="T98" s="25" t="s">
        <v>36</v>
      </c>
      <c r="U98" s="25" t="s">
        <v>663</v>
      </c>
      <c r="V98" s="25" t="s">
        <v>1955</v>
      </c>
      <c r="W98" s="25" t="s">
        <v>665</v>
      </c>
    </row>
    <row r="99" s="22" customFormat="1" ht="16.5" customHeight="1" spans="1:23">
      <c r="A99" s="29" t="s">
        <v>1956</v>
      </c>
      <c r="B99" s="29" t="s">
        <v>32</v>
      </c>
      <c r="C99" s="29" t="s">
        <v>1957</v>
      </c>
      <c r="D99" s="30">
        <v>1</v>
      </c>
      <c r="E99" s="29" t="s">
        <v>1958</v>
      </c>
      <c r="F99" s="31">
        <v>45775</v>
      </c>
      <c r="G99" s="31">
        <v>45775</v>
      </c>
      <c r="H99" s="32" t="s">
        <v>444</v>
      </c>
      <c r="I99" s="29" t="s">
        <v>445</v>
      </c>
      <c r="J99" s="32" t="s">
        <v>41</v>
      </c>
      <c r="K99" s="29" t="s">
        <v>660</v>
      </c>
      <c r="L99" s="32" t="s">
        <v>41</v>
      </c>
      <c r="M99" s="29" t="s">
        <v>492</v>
      </c>
      <c r="N99" s="32" t="s">
        <v>41</v>
      </c>
      <c r="O99" s="29" t="s">
        <v>715</v>
      </c>
      <c r="P99" s="34">
        <v>0</v>
      </c>
      <c r="Q99" s="34">
        <v>529032.64</v>
      </c>
      <c r="R99" s="29" t="s">
        <v>34</v>
      </c>
      <c r="S99" s="29" t="s">
        <v>277</v>
      </c>
      <c r="T99" s="29" t="s">
        <v>36</v>
      </c>
      <c r="U99" s="29" t="s">
        <v>663</v>
      </c>
      <c r="V99" s="29" t="s">
        <v>70</v>
      </c>
      <c r="W99" s="29" t="s">
        <v>665</v>
      </c>
    </row>
    <row r="100" s="22" customFormat="1" ht="16.5" customHeight="1" spans="1:23">
      <c r="A100" s="25" t="s">
        <v>1956</v>
      </c>
      <c r="B100" s="25" t="s">
        <v>32</v>
      </c>
      <c r="C100" s="25" t="s">
        <v>1957</v>
      </c>
      <c r="D100" s="26">
        <v>3</v>
      </c>
      <c r="E100" s="25" t="s">
        <v>1958</v>
      </c>
      <c r="F100" s="27">
        <v>45775</v>
      </c>
      <c r="G100" s="27">
        <v>45775</v>
      </c>
      <c r="H100" s="28" t="s">
        <v>444</v>
      </c>
      <c r="I100" s="25" t="s">
        <v>445</v>
      </c>
      <c r="J100" s="28" t="s">
        <v>41</v>
      </c>
      <c r="K100" s="25" t="s">
        <v>660</v>
      </c>
      <c r="L100" s="28" t="s">
        <v>41</v>
      </c>
      <c r="M100" s="25" t="s">
        <v>492</v>
      </c>
      <c r="N100" s="28" t="s">
        <v>41</v>
      </c>
      <c r="O100" s="25" t="s">
        <v>715</v>
      </c>
      <c r="P100" s="33">
        <v>72576.64</v>
      </c>
      <c r="Q100" s="33">
        <v>0</v>
      </c>
      <c r="R100" s="25" t="s">
        <v>34</v>
      </c>
      <c r="S100" s="25" t="s">
        <v>277</v>
      </c>
      <c r="T100" s="25" t="s">
        <v>36</v>
      </c>
      <c r="U100" s="25" t="s">
        <v>663</v>
      </c>
      <c r="V100" s="25" t="s">
        <v>70</v>
      </c>
      <c r="W100" s="25" t="s">
        <v>665</v>
      </c>
    </row>
    <row r="101" s="22" customFormat="1" ht="16.5" customHeight="1" spans="1:23">
      <c r="A101" s="29" t="s">
        <v>1959</v>
      </c>
      <c r="B101" s="29" t="s">
        <v>32</v>
      </c>
      <c r="C101" s="29" t="s">
        <v>1960</v>
      </c>
      <c r="D101" s="30">
        <v>1</v>
      </c>
      <c r="E101" s="29" t="s">
        <v>1961</v>
      </c>
      <c r="F101" s="31">
        <v>45776</v>
      </c>
      <c r="G101" s="31">
        <v>45776</v>
      </c>
      <c r="H101" s="32" t="s">
        <v>444</v>
      </c>
      <c r="I101" s="29" t="s">
        <v>445</v>
      </c>
      <c r="J101" s="32" t="s">
        <v>41</v>
      </c>
      <c r="K101" s="29" t="s">
        <v>660</v>
      </c>
      <c r="L101" s="32" t="s">
        <v>41</v>
      </c>
      <c r="M101" s="29" t="s">
        <v>492</v>
      </c>
      <c r="N101" s="32" t="s">
        <v>41</v>
      </c>
      <c r="O101" s="29" t="s">
        <v>1962</v>
      </c>
      <c r="P101" s="34">
        <v>0</v>
      </c>
      <c r="Q101" s="34">
        <v>2184991.17</v>
      </c>
      <c r="R101" s="29" t="s">
        <v>673</v>
      </c>
      <c r="S101" s="29" t="s">
        <v>451</v>
      </c>
      <c r="T101" s="29" t="s">
        <v>36</v>
      </c>
      <c r="U101" s="29" t="s">
        <v>663</v>
      </c>
      <c r="V101" s="29" t="s">
        <v>1963</v>
      </c>
      <c r="W101" s="29" t="s">
        <v>665</v>
      </c>
    </row>
    <row r="102" s="22" customFormat="1" ht="16.5" customHeight="1" spans="1:23">
      <c r="A102" s="25" t="s">
        <v>1959</v>
      </c>
      <c r="B102" s="25" t="s">
        <v>32</v>
      </c>
      <c r="C102" s="25" t="s">
        <v>1960</v>
      </c>
      <c r="D102" s="26">
        <v>3</v>
      </c>
      <c r="E102" s="25" t="s">
        <v>1961</v>
      </c>
      <c r="F102" s="27">
        <v>45776</v>
      </c>
      <c r="G102" s="27">
        <v>45776</v>
      </c>
      <c r="H102" s="28" t="s">
        <v>444</v>
      </c>
      <c r="I102" s="25" t="s">
        <v>445</v>
      </c>
      <c r="J102" s="28" t="s">
        <v>41</v>
      </c>
      <c r="K102" s="25" t="s">
        <v>660</v>
      </c>
      <c r="L102" s="28" t="s">
        <v>41</v>
      </c>
      <c r="M102" s="25" t="s">
        <v>492</v>
      </c>
      <c r="N102" s="28" t="s">
        <v>41</v>
      </c>
      <c r="O102" s="25" t="s">
        <v>1962</v>
      </c>
      <c r="P102" s="33">
        <v>22552.09</v>
      </c>
      <c r="Q102" s="33">
        <v>0</v>
      </c>
      <c r="R102" s="25" t="s">
        <v>673</v>
      </c>
      <c r="S102" s="25" t="s">
        <v>451</v>
      </c>
      <c r="T102" s="25" t="s">
        <v>36</v>
      </c>
      <c r="U102" s="25" t="s">
        <v>663</v>
      </c>
      <c r="V102" s="25" t="s">
        <v>1963</v>
      </c>
      <c r="W102" s="25" t="s">
        <v>665</v>
      </c>
    </row>
    <row r="103" s="22" customFormat="1" ht="16.5" customHeight="1" spans="1:23">
      <c r="A103" s="29" t="s">
        <v>1964</v>
      </c>
      <c r="B103" s="29" t="s">
        <v>32</v>
      </c>
      <c r="C103" s="29" t="s">
        <v>1965</v>
      </c>
      <c r="D103" s="30">
        <v>1</v>
      </c>
      <c r="E103" s="29" t="s">
        <v>1966</v>
      </c>
      <c r="F103" s="31">
        <v>45776</v>
      </c>
      <c r="G103" s="31">
        <v>45776</v>
      </c>
      <c r="H103" s="32" t="s">
        <v>444</v>
      </c>
      <c r="I103" s="29" t="s">
        <v>445</v>
      </c>
      <c r="J103" s="32" t="s">
        <v>41</v>
      </c>
      <c r="K103" s="29" t="s">
        <v>660</v>
      </c>
      <c r="L103" s="32" t="s">
        <v>41</v>
      </c>
      <c r="M103" s="29" t="s">
        <v>492</v>
      </c>
      <c r="N103" s="32" t="s">
        <v>41</v>
      </c>
      <c r="O103" s="29" t="s">
        <v>1967</v>
      </c>
      <c r="P103" s="34">
        <v>0.01</v>
      </c>
      <c r="Q103" s="34">
        <v>0</v>
      </c>
      <c r="R103" s="29" t="s">
        <v>673</v>
      </c>
      <c r="S103" s="29" t="s">
        <v>451</v>
      </c>
      <c r="T103" s="29" t="s">
        <v>36</v>
      </c>
      <c r="U103" s="29" t="s">
        <v>663</v>
      </c>
      <c r="V103" s="29" t="s">
        <v>1968</v>
      </c>
      <c r="W103" s="29" t="s">
        <v>665</v>
      </c>
    </row>
    <row r="104" s="22" customFormat="1" ht="16.5" customHeight="1" spans="1:23">
      <c r="A104" s="25" t="s">
        <v>1969</v>
      </c>
      <c r="B104" s="25" t="s">
        <v>32</v>
      </c>
      <c r="C104" s="25" t="s">
        <v>1970</v>
      </c>
      <c r="D104" s="26">
        <v>1</v>
      </c>
      <c r="E104" s="25" t="s">
        <v>1971</v>
      </c>
      <c r="F104" s="27">
        <v>45776</v>
      </c>
      <c r="G104" s="27">
        <v>45776</v>
      </c>
      <c r="H104" s="28" t="s">
        <v>444</v>
      </c>
      <c r="I104" s="25" t="s">
        <v>445</v>
      </c>
      <c r="J104" s="28" t="s">
        <v>41</v>
      </c>
      <c r="K104" s="25" t="s">
        <v>660</v>
      </c>
      <c r="L104" s="28" t="s">
        <v>41</v>
      </c>
      <c r="M104" s="25" t="s">
        <v>492</v>
      </c>
      <c r="N104" s="28" t="s">
        <v>41</v>
      </c>
      <c r="O104" s="25" t="s">
        <v>1972</v>
      </c>
      <c r="P104" s="33">
        <v>2162439.07</v>
      </c>
      <c r="Q104" s="33">
        <v>0</v>
      </c>
      <c r="R104" s="25" t="s">
        <v>673</v>
      </c>
      <c r="S104" s="25" t="s">
        <v>451</v>
      </c>
      <c r="T104" s="25" t="s">
        <v>36</v>
      </c>
      <c r="U104" s="25" t="s">
        <v>663</v>
      </c>
      <c r="V104" s="25" t="s">
        <v>1973</v>
      </c>
      <c r="W104" s="25" t="s">
        <v>665</v>
      </c>
    </row>
    <row r="105" s="22" customFormat="1" ht="16.5" customHeight="1" spans="1:23">
      <c r="A105" s="29" t="s">
        <v>1974</v>
      </c>
      <c r="B105" s="29" t="s">
        <v>32</v>
      </c>
      <c r="C105" s="29" t="s">
        <v>1975</v>
      </c>
      <c r="D105" s="30">
        <v>1</v>
      </c>
      <c r="E105" s="29" t="s">
        <v>1976</v>
      </c>
      <c r="F105" s="31">
        <v>45776</v>
      </c>
      <c r="G105" s="31">
        <v>45776</v>
      </c>
      <c r="H105" s="32" t="s">
        <v>444</v>
      </c>
      <c r="I105" s="29" t="s">
        <v>445</v>
      </c>
      <c r="J105" s="32" t="s">
        <v>41</v>
      </c>
      <c r="K105" s="29" t="s">
        <v>660</v>
      </c>
      <c r="L105" s="32" t="s">
        <v>41</v>
      </c>
      <c r="M105" s="29" t="s">
        <v>492</v>
      </c>
      <c r="N105" s="32" t="s">
        <v>41</v>
      </c>
      <c r="O105" s="29" t="s">
        <v>1977</v>
      </c>
      <c r="P105" s="34">
        <v>0</v>
      </c>
      <c r="Q105" s="34">
        <v>2162439.07</v>
      </c>
      <c r="R105" s="29" t="s">
        <v>686</v>
      </c>
      <c r="S105" s="29" t="s">
        <v>446</v>
      </c>
      <c r="T105" s="29" t="s">
        <v>36</v>
      </c>
      <c r="U105" s="29" t="s">
        <v>663</v>
      </c>
      <c r="V105" s="29" t="s">
        <v>1978</v>
      </c>
      <c r="W105" s="29" t="s">
        <v>665</v>
      </c>
    </row>
    <row r="106" s="22" customFormat="1" ht="16.5" customHeight="1" spans="1:23">
      <c r="A106" s="25" t="s">
        <v>1979</v>
      </c>
      <c r="B106" s="25" t="s">
        <v>32</v>
      </c>
      <c r="C106" s="25" t="s">
        <v>1980</v>
      </c>
      <c r="D106" s="26">
        <v>1</v>
      </c>
      <c r="E106" s="25" t="s">
        <v>1981</v>
      </c>
      <c r="F106" s="27">
        <v>45776</v>
      </c>
      <c r="G106" s="27">
        <v>45776</v>
      </c>
      <c r="H106" s="28" t="s">
        <v>444</v>
      </c>
      <c r="I106" s="25" t="s">
        <v>445</v>
      </c>
      <c r="J106" s="28" t="s">
        <v>41</v>
      </c>
      <c r="K106" s="25" t="s">
        <v>660</v>
      </c>
      <c r="L106" s="28" t="s">
        <v>41</v>
      </c>
      <c r="M106" s="25" t="s">
        <v>492</v>
      </c>
      <c r="N106" s="28" t="s">
        <v>41</v>
      </c>
      <c r="O106" s="25" t="s">
        <v>1982</v>
      </c>
      <c r="P106" s="33">
        <v>0</v>
      </c>
      <c r="Q106" s="33">
        <v>72665.79</v>
      </c>
      <c r="R106" s="25" t="s">
        <v>686</v>
      </c>
      <c r="S106" s="25" t="s">
        <v>446</v>
      </c>
      <c r="T106" s="25" t="s">
        <v>36</v>
      </c>
      <c r="U106" s="25" t="s">
        <v>663</v>
      </c>
      <c r="V106" s="25" t="s">
        <v>1983</v>
      </c>
      <c r="W106" s="25" t="s">
        <v>665</v>
      </c>
    </row>
    <row r="107" s="22" customFormat="1" ht="16.5" customHeight="1" spans="1:23">
      <c r="A107" s="29" t="s">
        <v>1979</v>
      </c>
      <c r="B107" s="29" t="s">
        <v>32</v>
      </c>
      <c r="C107" s="29" t="s">
        <v>1980</v>
      </c>
      <c r="D107" s="30">
        <v>3</v>
      </c>
      <c r="E107" s="29" t="s">
        <v>1981</v>
      </c>
      <c r="F107" s="31">
        <v>45776</v>
      </c>
      <c r="G107" s="31">
        <v>45776</v>
      </c>
      <c r="H107" s="32" t="s">
        <v>444</v>
      </c>
      <c r="I107" s="29" t="s">
        <v>445</v>
      </c>
      <c r="J107" s="32" t="s">
        <v>41</v>
      </c>
      <c r="K107" s="29" t="s">
        <v>660</v>
      </c>
      <c r="L107" s="32" t="s">
        <v>41</v>
      </c>
      <c r="M107" s="29" t="s">
        <v>492</v>
      </c>
      <c r="N107" s="32" t="s">
        <v>41</v>
      </c>
      <c r="O107" s="29" t="s">
        <v>1982</v>
      </c>
      <c r="P107" s="34">
        <v>1421.6</v>
      </c>
      <c r="Q107" s="34">
        <v>0</v>
      </c>
      <c r="R107" s="29" t="s">
        <v>686</v>
      </c>
      <c r="S107" s="29" t="s">
        <v>446</v>
      </c>
      <c r="T107" s="29" t="s">
        <v>36</v>
      </c>
      <c r="U107" s="29" t="s">
        <v>663</v>
      </c>
      <c r="V107" s="29" t="s">
        <v>1983</v>
      </c>
      <c r="W107" s="29" t="s">
        <v>665</v>
      </c>
    </row>
    <row r="109" s="22" customFormat="1" ht="16.5" customHeight="1" spans="1:23">
      <c r="A109" s="29" t="s">
        <v>1984</v>
      </c>
      <c r="B109" s="29" t="s">
        <v>32</v>
      </c>
      <c r="C109" s="29" t="s">
        <v>1985</v>
      </c>
      <c r="D109" s="30">
        <v>1</v>
      </c>
      <c r="E109" s="29" t="s">
        <v>1986</v>
      </c>
      <c r="F109" s="31">
        <v>45777</v>
      </c>
      <c r="G109" s="31">
        <v>45777</v>
      </c>
      <c r="H109" s="32" t="s">
        <v>444</v>
      </c>
      <c r="I109" s="29" t="s">
        <v>445</v>
      </c>
      <c r="J109" s="32" t="s">
        <v>41</v>
      </c>
      <c r="K109" s="29" t="s">
        <v>660</v>
      </c>
      <c r="L109" s="32" t="s">
        <v>41</v>
      </c>
      <c r="M109" s="29" t="s">
        <v>492</v>
      </c>
      <c r="N109" s="32" t="s">
        <v>41</v>
      </c>
      <c r="O109" s="29" t="s">
        <v>1987</v>
      </c>
      <c r="P109" s="34">
        <v>0</v>
      </c>
      <c r="Q109" s="34">
        <v>144500</v>
      </c>
      <c r="R109" s="29" t="s">
        <v>1988</v>
      </c>
      <c r="S109" s="29" t="s">
        <v>456</v>
      </c>
      <c r="T109" s="29" t="s">
        <v>36</v>
      </c>
      <c r="U109" s="29" t="s">
        <v>663</v>
      </c>
      <c r="V109" s="29" t="s">
        <v>1989</v>
      </c>
      <c r="W109" s="29" t="s">
        <v>1990</v>
      </c>
    </row>
  </sheetData>
  <autoFilter xmlns:etc="http://www.wps.cn/officeDocument/2017/etCustomData" ref="A1:W107" etc:filterBottomFollowUsedRange="0">
    <extLst/>
  </autoFilter>
  <pageMargins left="0.75" right="0.75" top="1" bottom="1" header="0.5" footer="0.5"/>
  <pageSetup paperSize="9" orientation="portrait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/>
  <dimension ref="A1:W109"/>
  <sheetViews>
    <sheetView topLeftCell="G1" workbookViewId="0">
      <selection activeCell="S1" sqref="S$1:S$1048576"/>
    </sheetView>
  </sheetViews>
  <sheetFormatPr defaultColWidth="8" defaultRowHeight="12.75"/>
  <cols>
    <col min="1" max="1" width="12.625" style="22" customWidth="1"/>
    <col min="2" max="2" width="10.875" style="22" customWidth="1"/>
    <col min="3" max="3" width="15.5" style="22" customWidth="1"/>
    <col min="4" max="4" width="6.25" style="22" customWidth="1"/>
    <col min="5" max="5" width="9.375" style="22" customWidth="1"/>
    <col min="6" max="7" width="10.875" style="22" customWidth="1"/>
    <col min="8" max="8" width="7.75" style="22" customWidth="1"/>
    <col min="9" max="10" width="10.875" style="22" customWidth="1"/>
    <col min="11" max="11" width="12.375" style="22" customWidth="1"/>
    <col min="12" max="12" width="10.875" style="22" customWidth="1"/>
    <col min="13" max="13" width="14" style="22" customWidth="1"/>
    <col min="14" max="14" width="7.75" style="22" customWidth="1"/>
    <col min="15" max="15" width="16.875" style="22" customWidth="1"/>
    <col min="16" max="17" width="10.875" style="22" customWidth="1"/>
    <col min="18" max="18" width="7.75" style="22" customWidth="1"/>
    <col min="19" max="19" width="23.125" style="22" customWidth="1"/>
    <col min="20" max="21" width="10.875" style="22" customWidth="1"/>
    <col min="22" max="22" width="7.75" style="22" customWidth="1"/>
    <col min="23" max="23" width="9.5" style="22" customWidth="1"/>
    <col min="24" max="16384" width="8" style="22"/>
  </cols>
  <sheetData>
    <row r="1" s="22" customFormat="1" spans="1:23">
      <c r="A1" s="23" t="s">
        <v>640</v>
      </c>
      <c r="B1" s="23" t="s">
        <v>0</v>
      </c>
      <c r="C1" s="23" t="s">
        <v>980</v>
      </c>
      <c r="D1" s="24" t="s">
        <v>12</v>
      </c>
      <c r="E1" s="23" t="s">
        <v>641</v>
      </c>
      <c r="F1" s="24" t="s">
        <v>642</v>
      </c>
      <c r="G1" s="24" t="s">
        <v>2</v>
      </c>
      <c r="H1" s="23" t="s">
        <v>429</v>
      </c>
      <c r="I1" s="23" t="s">
        <v>643</v>
      </c>
      <c r="J1" s="23" t="s">
        <v>644</v>
      </c>
      <c r="K1" s="23" t="s">
        <v>645</v>
      </c>
      <c r="L1" s="23" t="s">
        <v>646</v>
      </c>
      <c r="M1" s="23" t="s">
        <v>647</v>
      </c>
      <c r="N1" s="23" t="s">
        <v>648</v>
      </c>
      <c r="O1" s="23" t="s">
        <v>649</v>
      </c>
      <c r="P1" s="24" t="s">
        <v>650</v>
      </c>
      <c r="Q1" s="24" t="s">
        <v>651</v>
      </c>
      <c r="R1" s="23" t="s">
        <v>652</v>
      </c>
      <c r="S1" s="23" t="s">
        <v>653</v>
      </c>
      <c r="T1" s="23" t="s">
        <v>654</v>
      </c>
      <c r="U1" s="23" t="s">
        <v>655</v>
      </c>
      <c r="V1" s="23" t="s">
        <v>656</v>
      </c>
      <c r="W1" s="23" t="s">
        <v>657</v>
      </c>
    </row>
    <row r="2" s="22" customFormat="1" ht="16.5" customHeight="1" spans="1:23">
      <c r="A2" s="25" t="s">
        <v>1991</v>
      </c>
      <c r="B2" s="25" t="s">
        <v>32</v>
      </c>
      <c r="C2" s="25" t="s">
        <v>1992</v>
      </c>
      <c r="D2" s="26">
        <v>1</v>
      </c>
      <c r="E2" s="25" t="s">
        <v>1993</v>
      </c>
      <c r="F2" s="27">
        <v>45799</v>
      </c>
      <c r="G2" s="27">
        <v>45799</v>
      </c>
      <c r="H2" s="28" t="s">
        <v>444</v>
      </c>
      <c r="I2" s="25" t="s">
        <v>445</v>
      </c>
      <c r="J2" s="28" t="s">
        <v>41</v>
      </c>
      <c r="K2" s="25" t="s">
        <v>660</v>
      </c>
      <c r="L2" s="28" t="s">
        <v>41</v>
      </c>
      <c r="M2" s="25" t="s">
        <v>492</v>
      </c>
      <c r="N2" s="28" t="s">
        <v>41</v>
      </c>
      <c r="O2" s="25" t="s">
        <v>1994</v>
      </c>
      <c r="P2" s="33">
        <v>0</v>
      </c>
      <c r="Q2" s="33">
        <v>529032.64</v>
      </c>
      <c r="R2" s="25" t="s">
        <v>34</v>
      </c>
      <c r="S2" s="25" t="s">
        <v>277</v>
      </c>
      <c r="T2" s="25" t="s">
        <v>36</v>
      </c>
      <c r="U2" s="25" t="s">
        <v>663</v>
      </c>
      <c r="V2" s="25" t="s">
        <v>73</v>
      </c>
      <c r="W2" s="25" t="s">
        <v>665</v>
      </c>
    </row>
    <row r="3" s="22" customFormat="1" ht="16.5" customHeight="1" spans="1:23">
      <c r="A3" s="29" t="s">
        <v>1991</v>
      </c>
      <c r="B3" s="29" t="s">
        <v>32</v>
      </c>
      <c r="C3" s="29" t="s">
        <v>1992</v>
      </c>
      <c r="D3" s="30">
        <v>3</v>
      </c>
      <c r="E3" s="29" t="s">
        <v>1993</v>
      </c>
      <c r="F3" s="31">
        <v>45799</v>
      </c>
      <c r="G3" s="31">
        <v>45799</v>
      </c>
      <c r="H3" s="32" t="s">
        <v>444</v>
      </c>
      <c r="I3" s="29" t="s">
        <v>445</v>
      </c>
      <c r="J3" s="32" t="s">
        <v>41</v>
      </c>
      <c r="K3" s="29" t="s">
        <v>660</v>
      </c>
      <c r="L3" s="32" t="s">
        <v>41</v>
      </c>
      <c r="M3" s="29" t="s">
        <v>492</v>
      </c>
      <c r="N3" s="32" t="s">
        <v>41</v>
      </c>
      <c r="O3" s="29" t="s">
        <v>715</v>
      </c>
      <c r="P3" s="34">
        <v>72576.64</v>
      </c>
      <c r="Q3" s="34">
        <v>0</v>
      </c>
      <c r="R3" s="29" t="s">
        <v>34</v>
      </c>
      <c r="S3" s="29" t="s">
        <v>277</v>
      </c>
      <c r="T3" s="29" t="s">
        <v>36</v>
      </c>
      <c r="U3" s="29" t="s">
        <v>663</v>
      </c>
      <c r="V3" s="29" t="s">
        <v>73</v>
      </c>
      <c r="W3" s="29" t="s">
        <v>665</v>
      </c>
    </row>
    <row r="4" s="22" customFormat="1" ht="16.5" customHeight="1" spans="1:23">
      <c r="A4" s="25" t="s">
        <v>1995</v>
      </c>
      <c r="B4" s="25" t="s">
        <v>32</v>
      </c>
      <c r="C4" s="25" t="s">
        <v>1996</v>
      </c>
      <c r="D4" s="26">
        <v>1</v>
      </c>
      <c r="E4" s="25" t="s">
        <v>1997</v>
      </c>
      <c r="F4" s="27">
        <v>45799</v>
      </c>
      <c r="G4" s="27">
        <v>45799</v>
      </c>
      <c r="H4" s="28" t="s">
        <v>444</v>
      </c>
      <c r="I4" s="25" t="s">
        <v>445</v>
      </c>
      <c r="J4" s="28" t="s">
        <v>41</v>
      </c>
      <c r="K4" s="25" t="s">
        <v>660</v>
      </c>
      <c r="L4" s="28" t="s">
        <v>41</v>
      </c>
      <c r="M4" s="25" t="s">
        <v>492</v>
      </c>
      <c r="N4" s="28" t="s">
        <v>41</v>
      </c>
      <c r="O4" s="25" t="s">
        <v>1998</v>
      </c>
      <c r="P4" s="33">
        <v>0</v>
      </c>
      <c r="Q4" s="33">
        <v>10137.12</v>
      </c>
      <c r="R4" s="25" t="s">
        <v>729</v>
      </c>
      <c r="S4" s="25" t="s">
        <v>283</v>
      </c>
      <c r="T4" s="25" t="s">
        <v>36</v>
      </c>
      <c r="U4" s="25" t="s">
        <v>663</v>
      </c>
      <c r="V4" s="25" t="s">
        <v>1999</v>
      </c>
      <c r="W4" s="25" t="s">
        <v>665</v>
      </c>
    </row>
    <row r="5" s="22" customFormat="1" ht="16.5" customHeight="1" spans="1:23">
      <c r="A5" s="29" t="s">
        <v>2000</v>
      </c>
      <c r="B5" s="29" t="s">
        <v>32</v>
      </c>
      <c r="C5" s="29" t="s">
        <v>2001</v>
      </c>
      <c r="D5" s="30">
        <v>1</v>
      </c>
      <c r="E5" s="29" t="s">
        <v>2002</v>
      </c>
      <c r="F5" s="31">
        <v>45799</v>
      </c>
      <c r="G5" s="31">
        <v>45799</v>
      </c>
      <c r="H5" s="32" t="s">
        <v>444</v>
      </c>
      <c r="I5" s="29" t="s">
        <v>445</v>
      </c>
      <c r="J5" s="32" t="s">
        <v>41</v>
      </c>
      <c r="K5" s="29" t="s">
        <v>660</v>
      </c>
      <c r="L5" s="32" t="s">
        <v>41</v>
      </c>
      <c r="M5" s="29" t="s">
        <v>492</v>
      </c>
      <c r="N5" s="32" t="s">
        <v>41</v>
      </c>
      <c r="O5" s="29" t="s">
        <v>1994</v>
      </c>
      <c r="P5" s="34">
        <v>0</v>
      </c>
      <c r="Q5" s="34">
        <v>416040.85</v>
      </c>
      <c r="R5" s="29" t="s">
        <v>841</v>
      </c>
      <c r="S5" s="29" t="s">
        <v>303</v>
      </c>
      <c r="T5" s="29" t="s">
        <v>36</v>
      </c>
      <c r="U5" s="29" t="s">
        <v>663</v>
      </c>
      <c r="V5" s="29" t="s">
        <v>2003</v>
      </c>
      <c r="W5" s="29" t="s">
        <v>665</v>
      </c>
    </row>
    <row r="6" s="22" customFormat="1" ht="16.5" customHeight="1" spans="1:23">
      <c r="A6" s="25" t="s">
        <v>2000</v>
      </c>
      <c r="B6" s="25" t="s">
        <v>32</v>
      </c>
      <c r="C6" s="25" t="s">
        <v>2001</v>
      </c>
      <c r="D6" s="26">
        <v>3</v>
      </c>
      <c r="E6" s="25" t="s">
        <v>2002</v>
      </c>
      <c r="F6" s="27">
        <v>45799</v>
      </c>
      <c r="G6" s="27">
        <v>45799</v>
      </c>
      <c r="H6" s="28" t="s">
        <v>444</v>
      </c>
      <c r="I6" s="25" t="s">
        <v>445</v>
      </c>
      <c r="J6" s="28" t="s">
        <v>41</v>
      </c>
      <c r="K6" s="25" t="s">
        <v>660</v>
      </c>
      <c r="L6" s="28" t="s">
        <v>41</v>
      </c>
      <c r="M6" s="25" t="s">
        <v>492</v>
      </c>
      <c r="N6" s="28" t="s">
        <v>41</v>
      </c>
      <c r="O6" s="25" t="s">
        <v>840</v>
      </c>
      <c r="P6" s="33">
        <v>126996.85</v>
      </c>
      <c r="Q6" s="33">
        <v>0</v>
      </c>
      <c r="R6" s="25" t="s">
        <v>841</v>
      </c>
      <c r="S6" s="25" t="s">
        <v>303</v>
      </c>
      <c r="T6" s="25" t="s">
        <v>36</v>
      </c>
      <c r="U6" s="25" t="s">
        <v>663</v>
      </c>
      <c r="V6" s="25" t="s">
        <v>2003</v>
      </c>
      <c r="W6" s="25" t="s">
        <v>665</v>
      </c>
    </row>
    <row r="7" s="22" customFormat="1" ht="16.5" customHeight="1" spans="1:23">
      <c r="A7" s="29" t="s">
        <v>2004</v>
      </c>
      <c r="B7" s="29" t="s">
        <v>32</v>
      </c>
      <c r="C7" s="29" t="s">
        <v>2005</v>
      </c>
      <c r="D7" s="30">
        <v>1</v>
      </c>
      <c r="E7" s="29" t="s">
        <v>2006</v>
      </c>
      <c r="F7" s="31">
        <v>45800</v>
      </c>
      <c r="G7" s="31">
        <v>45800</v>
      </c>
      <c r="H7" s="32" t="s">
        <v>444</v>
      </c>
      <c r="I7" s="29" t="s">
        <v>445</v>
      </c>
      <c r="J7" s="32" t="s">
        <v>41</v>
      </c>
      <c r="K7" s="29" t="s">
        <v>660</v>
      </c>
      <c r="L7" s="32" t="s">
        <v>41</v>
      </c>
      <c r="M7" s="29" t="s">
        <v>492</v>
      </c>
      <c r="N7" s="32" t="s">
        <v>41</v>
      </c>
      <c r="O7" s="29" t="s">
        <v>1994</v>
      </c>
      <c r="P7" s="34">
        <v>0</v>
      </c>
      <c r="Q7" s="34">
        <v>22399.84</v>
      </c>
      <c r="R7" s="29" t="s">
        <v>1289</v>
      </c>
      <c r="S7" s="29" t="s">
        <v>284</v>
      </c>
      <c r="T7" s="29" t="s">
        <v>36</v>
      </c>
      <c r="U7" s="29" t="s">
        <v>663</v>
      </c>
      <c r="V7" s="29" t="s">
        <v>2007</v>
      </c>
      <c r="W7" s="29" t="s">
        <v>665</v>
      </c>
    </row>
    <row r="8" s="22" customFormat="1" ht="16.5" customHeight="1" spans="1:23">
      <c r="A8" s="25" t="s">
        <v>2008</v>
      </c>
      <c r="B8" s="25" t="s">
        <v>32</v>
      </c>
      <c r="C8" s="25" t="s">
        <v>2009</v>
      </c>
      <c r="D8" s="26">
        <v>1</v>
      </c>
      <c r="E8" s="25" t="s">
        <v>2010</v>
      </c>
      <c r="F8" s="27">
        <v>45800</v>
      </c>
      <c r="G8" s="27">
        <v>45800</v>
      </c>
      <c r="H8" s="28" t="s">
        <v>444</v>
      </c>
      <c r="I8" s="25" t="s">
        <v>445</v>
      </c>
      <c r="J8" s="28" t="s">
        <v>41</v>
      </c>
      <c r="K8" s="25" t="s">
        <v>660</v>
      </c>
      <c r="L8" s="28" t="s">
        <v>41</v>
      </c>
      <c r="M8" s="25" t="s">
        <v>492</v>
      </c>
      <c r="N8" s="28" t="s">
        <v>41</v>
      </c>
      <c r="O8" s="25" t="s">
        <v>1994</v>
      </c>
      <c r="P8" s="33">
        <v>0</v>
      </c>
      <c r="Q8" s="33">
        <v>40459.22</v>
      </c>
      <c r="R8" s="25" t="s">
        <v>919</v>
      </c>
      <c r="S8" s="25" t="s">
        <v>260</v>
      </c>
      <c r="T8" s="25" t="s">
        <v>36</v>
      </c>
      <c r="U8" s="25" t="s">
        <v>663</v>
      </c>
      <c r="V8" s="25" t="s">
        <v>2011</v>
      </c>
      <c r="W8" s="25" t="s">
        <v>665</v>
      </c>
    </row>
    <row r="9" s="22" customFormat="1" ht="16.5" customHeight="1" spans="1:23">
      <c r="A9" s="29" t="s">
        <v>2008</v>
      </c>
      <c r="B9" s="29" t="s">
        <v>32</v>
      </c>
      <c r="C9" s="29" t="s">
        <v>2009</v>
      </c>
      <c r="D9" s="30">
        <v>3</v>
      </c>
      <c r="E9" s="29" t="s">
        <v>2010</v>
      </c>
      <c r="F9" s="31">
        <v>45800</v>
      </c>
      <c r="G9" s="31">
        <v>45800</v>
      </c>
      <c r="H9" s="32" t="s">
        <v>444</v>
      </c>
      <c r="I9" s="29" t="s">
        <v>445</v>
      </c>
      <c r="J9" s="32" t="s">
        <v>41</v>
      </c>
      <c r="K9" s="29" t="s">
        <v>660</v>
      </c>
      <c r="L9" s="32" t="s">
        <v>41</v>
      </c>
      <c r="M9" s="29" t="s">
        <v>492</v>
      </c>
      <c r="N9" s="32" t="s">
        <v>41</v>
      </c>
      <c r="O9" s="29" t="s">
        <v>918</v>
      </c>
      <c r="P9" s="34">
        <v>741.46</v>
      </c>
      <c r="Q9" s="34">
        <v>0</v>
      </c>
      <c r="R9" s="29" t="s">
        <v>919</v>
      </c>
      <c r="S9" s="29" t="s">
        <v>260</v>
      </c>
      <c r="T9" s="29" t="s">
        <v>36</v>
      </c>
      <c r="U9" s="29" t="s">
        <v>663</v>
      </c>
      <c r="V9" s="29" t="s">
        <v>2011</v>
      </c>
      <c r="W9" s="29" t="s">
        <v>665</v>
      </c>
    </row>
    <row r="10" s="22" customFormat="1" ht="16.5" customHeight="1" spans="1:23">
      <c r="A10" s="25" t="s">
        <v>2012</v>
      </c>
      <c r="B10" s="25" t="s">
        <v>32</v>
      </c>
      <c r="C10" s="25" t="s">
        <v>2013</v>
      </c>
      <c r="D10" s="26">
        <v>1</v>
      </c>
      <c r="E10" s="25" t="s">
        <v>2014</v>
      </c>
      <c r="F10" s="27">
        <v>45800</v>
      </c>
      <c r="G10" s="27">
        <v>45800</v>
      </c>
      <c r="H10" s="28" t="s">
        <v>444</v>
      </c>
      <c r="I10" s="25" t="s">
        <v>445</v>
      </c>
      <c r="J10" s="28" t="s">
        <v>41</v>
      </c>
      <c r="K10" s="25" t="s">
        <v>660</v>
      </c>
      <c r="L10" s="28" t="s">
        <v>41</v>
      </c>
      <c r="M10" s="25" t="s">
        <v>492</v>
      </c>
      <c r="N10" s="28" t="s">
        <v>41</v>
      </c>
      <c r="O10" s="25" t="s">
        <v>2015</v>
      </c>
      <c r="P10" s="33">
        <v>0</v>
      </c>
      <c r="Q10" s="33">
        <v>0.03</v>
      </c>
      <c r="R10" s="25" t="s">
        <v>919</v>
      </c>
      <c r="S10" s="25" t="s">
        <v>260</v>
      </c>
      <c r="T10" s="25" t="s">
        <v>36</v>
      </c>
      <c r="U10" s="25" t="s">
        <v>663</v>
      </c>
      <c r="V10" s="25" t="s">
        <v>2016</v>
      </c>
      <c r="W10" s="25" t="s">
        <v>665</v>
      </c>
    </row>
    <row r="11" s="22" customFormat="1" ht="16.5" customHeight="1" spans="1:23">
      <c r="A11" s="29" t="s">
        <v>2017</v>
      </c>
      <c r="B11" s="29" t="s">
        <v>32</v>
      </c>
      <c r="C11" s="29" t="s">
        <v>2018</v>
      </c>
      <c r="D11" s="30">
        <v>1</v>
      </c>
      <c r="E11" s="29" t="s">
        <v>2019</v>
      </c>
      <c r="F11" s="31">
        <v>45800</v>
      </c>
      <c r="G11" s="31">
        <v>45800</v>
      </c>
      <c r="H11" s="32" t="s">
        <v>444</v>
      </c>
      <c r="I11" s="29" t="s">
        <v>445</v>
      </c>
      <c r="J11" s="32" t="s">
        <v>41</v>
      </c>
      <c r="K11" s="29" t="s">
        <v>660</v>
      </c>
      <c r="L11" s="32" t="s">
        <v>41</v>
      </c>
      <c r="M11" s="29" t="s">
        <v>492</v>
      </c>
      <c r="N11" s="32" t="s">
        <v>41</v>
      </c>
      <c r="O11" s="29" t="s">
        <v>1994</v>
      </c>
      <c r="P11" s="34">
        <v>0</v>
      </c>
      <c r="Q11" s="34">
        <v>27409.21</v>
      </c>
      <c r="R11" s="29" t="s">
        <v>871</v>
      </c>
      <c r="S11" s="29" t="s">
        <v>246</v>
      </c>
      <c r="T11" s="29" t="s">
        <v>36</v>
      </c>
      <c r="U11" s="29" t="s">
        <v>663</v>
      </c>
      <c r="V11" s="29" t="s">
        <v>2020</v>
      </c>
      <c r="W11" s="29" t="s">
        <v>665</v>
      </c>
    </row>
    <row r="12" s="22" customFormat="1" ht="16.5" customHeight="1" spans="1:23">
      <c r="A12" s="25" t="s">
        <v>2021</v>
      </c>
      <c r="B12" s="25" t="s">
        <v>32</v>
      </c>
      <c r="C12" s="25" t="s">
        <v>2022</v>
      </c>
      <c r="D12" s="26">
        <v>1</v>
      </c>
      <c r="E12" s="25" t="s">
        <v>2023</v>
      </c>
      <c r="F12" s="27">
        <v>45800</v>
      </c>
      <c r="G12" s="27">
        <v>45800</v>
      </c>
      <c r="H12" s="28" t="s">
        <v>444</v>
      </c>
      <c r="I12" s="25" t="s">
        <v>445</v>
      </c>
      <c r="J12" s="28" t="s">
        <v>41</v>
      </c>
      <c r="K12" s="25" t="s">
        <v>660</v>
      </c>
      <c r="L12" s="28" t="s">
        <v>41</v>
      </c>
      <c r="M12" s="25" t="s">
        <v>492</v>
      </c>
      <c r="N12" s="28" t="s">
        <v>41</v>
      </c>
      <c r="O12" s="25" t="s">
        <v>1994</v>
      </c>
      <c r="P12" s="33">
        <v>0</v>
      </c>
      <c r="Q12" s="33">
        <v>121175.55</v>
      </c>
      <c r="R12" s="25" t="s">
        <v>1546</v>
      </c>
      <c r="S12" s="25" t="s">
        <v>273</v>
      </c>
      <c r="T12" s="25" t="s">
        <v>36</v>
      </c>
      <c r="U12" s="25" t="s">
        <v>663</v>
      </c>
      <c r="V12" s="25" t="s">
        <v>2024</v>
      </c>
      <c r="W12" s="25" t="s">
        <v>665</v>
      </c>
    </row>
    <row r="13" s="22" customFormat="1" ht="16.5" customHeight="1" spans="1:23">
      <c r="A13" s="29" t="s">
        <v>2025</v>
      </c>
      <c r="B13" s="29" t="s">
        <v>32</v>
      </c>
      <c r="C13" s="29" t="s">
        <v>2026</v>
      </c>
      <c r="D13" s="30">
        <v>1</v>
      </c>
      <c r="E13" s="29" t="s">
        <v>2027</v>
      </c>
      <c r="F13" s="31">
        <v>45800</v>
      </c>
      <c r="G13" s="31">
        <v>45800</v>
      </c>
      <c r="H13" s="32" t="s">
        <v>444</v>
      </c>
      <c r="I13" s="29" t="s">
        <v>445</v>
      </c>
      <c r="J13" s="32" t="s">
        <v>41</v>
      </c>
      <c r="K13" s="29" t="s">
        <v>660</v>
      </c>
      <c r="L13" s="32" t="s">
        <v>41</v>
      </c>
      <c r="M13" s="29" t="s">
        <v>492</v>
      </c>
      <c r="N13" s="32" t="s">
        <v>41</v>
      </c>
      <c r="O13" s="29" t="s">
        <v>2028</v>
      </c>
      <c r="P13" s="34">
        <v>0</v>
      </c>
      <c r="Q13" s="34">
        <v>45602.28</v>
      </c>
      <c r="R13" s="29" t="s">
        <v>1610</v>
      </c>
      <c r="S13" s="29" t="s">
        <v>290</v>
      </c>
      <c r="T13" s="29" t="s">
        <v>36</v>
      </c>
      <c r="U13" s="29" t="s">
        <v>663</v>
      </c>
      <c r="V13" s="29" t="s">
        <v>2029</v>
      </c>
      <c r="W13" s="29" t="s">
        <v>665</v>
      </c>
    </row>
    <row r="14" s="22" customFormat="1" ht="16.5" customHeight="1" spans="1:23">
      <c r="A14" s="25" t="s">
        <v>2030</v>
      </c>
      <c r="B14" s="25" t="s">
        <v>32</v>
      </c>
      <c r="C14" s="25" t="s">
        <v>2031</v>
      </c>
      <c r="D14" s="26">
        <v>1</v>
      </c>
      <c r="E14" s="25" t="s">
        <v>2032</v>
      </c>
      <c r="F14" s="27">
        <v>45800</v>
      </c>
      <c r="G14" s="27">
        <v>45800</v>
      </c>
      <c r="H14" s="28" t="s">
        <v>444</v>
      </c>
      <c r="I14" s="25" t="s">
        <v>445</v>
      </c>
      <c r="J14" s="28" t="s">
        <v>41</v>
      </c>
      <c r="K14" s="25" t="s">
        <v>660</v>
      </c>
      <c r="L14" s="28" t="s">
        <v>41</v>
      </c>
      <c r="M14" s="25" t="s">
        <v>492</v>
      </c>
      <c r="N14" s="28" t="s">
        <v>41</v>
      </c>
      <c r="O14" s="25" t="s">
        <v>1994</v>
      </c>
      <c r="P14" s="33">
        <v>0</v>
      </c>
      <c r="Q14" s="33">
        <v>2034</v>
      </c>
      <c r="R14" s="25" t="s">
        <v>1878</v>
      </c>
      <c r="S14" s="25" t="s">
        <v>291</v>
      </c>
      <c r="T14" s="25" t="s">
        <v>36</v>
      </c>
      <c r="U14" s="25" t="s">
        <v>663</v>
      </c>
      <c r="V14" s="25" t="s">
        <v>2033</v>
      </c>
      <c r="W14" s="25" t="s">
        <v>665</v>
      </c>
    </row>
    <row r="15" s="22" customFormat="1" ht="16.5" customHeight="1" spans="1:23">
      <c r="A15" s="29" t="s">
        <v>2034</v>
      </c>
      <c r="B15" s="29" t="s">
        <v>32</v>
      </c>
      <c r="C15" s="29" t="s">
        <v>2035</v>
      </c>
      <c r="D15" s="30">
        <v>1</v>
      </c>
      <c r="E15" s="29" t="s">
        <v>2036</v>
      </c>
      <c r="F15" s="31">
        <v>45800</v>
      </c>
      <c r="G15" s="31">
        <v>45800</v>
      </c>
      <c r="H15" s="32" t="s">
        <v>444</v>
      </c>
      <c r="I15" s="29" t="s">
        <v>445</v>
      </c>
      <c r="J15" s="32" t="s">
        <v>41</v>
      </c>
      <c r="K15" s="29" t="s">
        <v>660</v>
      </c>
      <c r="L15" s="32" t="s">
        <v>41</v>
      </c>
      <c r="M15" s="29" t="s">
        <v>492</v>
      </c>
      <c r="N15" s="32" t="s">
        <v>41</v>
      </c>
      <c r="O15" s="29" t="s">
        <v>1998</v>
      </c>
      <c r="P15" s="34">
        <v>0</v>
      </c>
      <c r="Q15" s="34">
        <v>10509</v>
      </c>
      <c r="R15" s="29" t="s">
        <v>1074</v>
      </c>
      <c r="S15" s="29" t="s">
        <v>288</v>
      </c>
      <c r="T15" s="29" t="s">
        <v>36</v>
      </c>
      <c r="U15" s="29" t="s">
        <v>663</v>
      </c>
      <c r="V15" s="29" t="s">
        <v>2037</v>
      </c>
      <c r="W15" s="29" t="s">
        <v>665</v>
      </c>
    </row>
    <row r="16" s="22" customFormat="1" ht="16.5" customHeight="1" spans="1:23">
      <c r="A16" s="25" t="s">
        <v>2038</v>
      </c>
      <c r="B16" s="25" t="s">
        <v>32</v>
      </c>
      <c r="C16" s="25" t="s">
        <v>2039</v>
      </c>
      <c r="D16" s="26">
        <v>1</v>
      </c>
      <c r="E16" s="25" t="s">
        <v>2040</v>
      </c>
      <c r="F16" s="27">
        <v>45800</v>
      </c>
      <c r="G16" s="27">
        <v>45800</v>
      </c>
      <c r="H16" s="28" t="s">
        <v>444</v>
      </c>
      <c r="I16" s="25" t="s">
        <v>445</v>
      </c>
      <c r="J16" s="28" t="s">
        <v>41</v>
      </c>
      <c r="K16" s="25" t="s">
        <v>660</v>
      </c>
      <c r="L16" s="28" t="s">
        <v>41</v>
      </c>
      <c r="M16" s="25" t="s">
        <v>492</v>
      </c>
      <c r="N16" s="28" t="s">
        <v>41</v>
      </c>
      <c r="O16" s="25" t="s">
        <v>1994</v>
      </c>
      <c r="P16" s="33">
        <v>0</v>
      </c>
      <c r="Q16" s="33">
        <v>19855.18</v>
      </c>
      <c r="R16" s="25" t="s">
        <v>1023</v>
      </c>
      <c r="S16" s="25" t="s">
        <v>317</v>
      </c>
      <c r="T16" s="25" t="s">
        <v>36</v>
      </c>
      <c r="U16" s="25" t="s">
        <v>663</v>
      </c>
      <c r="V16" s="25" t="s">
        <v>2041</v>
      </c>
      <c r="W16" s="25" t="s">
        <v>665</v>
      </c>
    </row>
    <row r="17" s="22" customFormat="1" ht="16.5" customHeight="1" spans="1:23">
      <c r="A17" s="29" t="s">
        <v>2042</v>
      </c>
      <c r="B17" s="29" t="s">
        <v>32</v>
      </c>
      <c r="C17" s="29" t="s">
        <v>2043</v>
      </c>
      <c r="D17" s="30">
        <v>1</v>
      </c>
      <c r="E17" s="29" t="s">
        <v>2044</v>
      </c>
      <c r="F17" s="31">
        <v>45803</v>
      </c>
      <c r="G17" s="31">
        <v>45803</v>
      </c>
      <c r="H17" s="32" t="s">
        <v>444</v>
      </c>
      <c r="I17" s="29" t="s">
        <v>445</v>
      </c>
      <c r="J17" s="32" t="s">
        <v>41</v>
      </c>
      <c r="K17" s="29" t="s">
        <v>660</v>
      </c>
      <c r="L17" s="32" t="s">
        <v>41</v>
      </c>
      <c r="M17" s="29" t="s">
        <v>492</v>
      </c>
      <c r="N17" s="32" t="s">
        <v>41</v>
      </c>
      <c r="O17" s="29" t="s">
        <v>1028</v>
      </c>
      <c r="P17" s="34">
        <v>0</v>
      </c>
      <c r="Q17" s="34">
        <v>145401.62</v>
      </c>
      <c r="R17" s="29" t="s">
        <v>1029</v>
      </c>
      <c r="S17" s="29" t="s">
        <v>318</v>
      </c>
      <c r="T17" s="29" t="s">
        <v>36</v>
      </c>
      <c r="U17" s="29" t="s">
        <v>663</v>
      </c>
      <c r="V17" s="29" t="s">
        <v>2045</v>
      </c>
      <c r="W17" s="29" t="s">
        <v>665</v>
      </c>
    </row>
    <row r="18" s="22" customFormat="1" ht="16.5" customHeight="1" spans="1:23">
      <c r="A18" s="25" t="s">
        <v>2046</v>
      </c>
      <c r="B18" s="25" t="s">
        <v>32</v>
      </c>
      <c r="C18" s="25" t="s">
        <v>2047</v>
      </c>
      <c r="D18" s="26">
        <v>1</v>
      </c>
      <c r="E18" s="25" t="s">
        <v>2048</v>
      </c>
      <c r="F18" s="27">
        <v>45803</v>
      </c>
      <c r="G18" s="27">
        <v>45803</v>
      </c>
      <c r="H18" s="28" t="s">
        <v>444</v>
      </c>
      <c r="I18" s="25" t="s">
        <v>445</v>
      </c>
      <c r="J18" s="28" t="s">
        <v>41</v>
      </c>
      <c r="K18" s="25" t="s">
        <v>660</v>
      </c>
      <c r="L18" s="28" t="s">
        <v>41</v>
      </c>
      <c r="M18" s="25" t="s">
        <v>492</v>
      </c>
      <c r="N18" s="28" t="s">
        <v>41</v>
      </c>
      <c r="O18" s="25" t="s">
        <v>767</v>
      </c>
      <c r="P18" s="33">
        <v>0</v>
      </c>
      <c r="Q18" s="33">
        <v>3842</v>
      </c>
      <c r="R18" s="25" t="s">
        <v>768</v>
      </c>
      <c r="S18" s="25" t="s">
        <v>307</v>
      </c>
      <c r="T18" s="25" t="s">
        <v>36</v>
      </c>
      <c r="U18" s="25" t="s">
        <v>663</v>
      </c>
      <c r="V18" s="25" t="s">
        <v>2049</v>
      </c>
      <c r="W18" s="25" t="s">
        <v>665</v>
      </c>
    </row>
    <row r="19" s="22" customFormat="1" ht="16.5" customHeight="1" spans="1:23">
      <c r="A19" s="29" t="s">
        <v>2050</v>
      </c>
      <c r="B19" s="29" t="s">
        <v>32</v>
      </c>
      <c r="C19" s="29" t="s">
        <v>2051</v>
      </c>
      <c r="D19" s="30">
        <v>1</v>
      </c>
      <c r="E19" s="29" t="s">
        <v>2052</v>
      </c>
      <c r="F19" s="31">
        <v>45803</v>
      </c>
      <c r="G19" s="31">
        <v>45803</v>
      </c>
      <c r="H19" s="32" t="s">
        <v>444</v>
      </c>
      <c r="I19" s="29" t="s">
        <v>445</v>
      </c>
      <c r="J19" s="32" t="s">
        <v>41</v>
      </c>
      <c r="K19" s="29" t="s">
        <v>660</v>
      </c>
      <c r="L19" s="32" t="s">
        <v>41</v>
      </c>
      <c r="M19" s="29" t="s">
        <v>492</v>
      </c>
      <c r="N19" s="32" t="s">
        <v>41</v>
      </c>
      <c r="O19" s="29" t="s">
        <v>752</v>
      </c>
      <c r="P19" s="34">
        <v>0</v>
      </c>
      <c r="Q19" s="34">
        <v>66800.66</v>
      </c>
      <c r="R19" s="29" t="s">
        <v>753</v>
      </c>
      <c r="S19" s="29" t="s">
        <v>252</v>
      </c>
      <c r="T19" s="29" t="s">
        <v>36</v>
      </c>
      <c r="U19" s="29" t="s">
        <v>663</v>
      </c>
      <c r="V19" s="29" t="s">
        <v>2053</v>
      </c>
      <c r="W19" s="29" t="s">
        <v>665</v>
      </c>
    </row>
    <row r="20" s="22" customFormat="1" ht="16.5" customHeight="1" spans="1:23">
      <c r="A20" s="25" t="s">
        <v>2050</v>
      </c>
      <c r="B20" s="25" t="s">
        <v>32</v>
      </c>
      <c r="C20" s="25" t="s">
        <v>2051</v>
      </c>
      <c r="D20" s="26">
        <v>3</v>
      </c>
      <c r="E20" s="25" t="s">
        <v>2052</v>
      </c>
      <c r="F20" s="27">
        <v>45803</v>
      </c>
      <c r="G20" s="27">
        <v>45803</v>
      </c>
      <c r="H20" s="28" t="s">
        <v>444</v>
      </c>
      <c r="I20" s="25" t="s">
        <v>445</v>
      </c>
      <c r="J20" s="28" t="s">
        <v>41</v>
      </c>
      <c r="K20" s="25" t="s">
        <v>660</v>
      </c>
      <c r="L20" s="28" t="s">
        <v>41</v>
      </c>
      <c r="M20" s="25" t="s">
        <v>492</v>
      </c>
      <c r="N20" s="28" t="s">
        <v>41</v>
      </c>
      <c r="O20" s="25" t="s">
        <v>752</v>
      </c>
      <c r="P20" s="33">
        <v>1.13</v>
      </c>
      <c r="Q20" s="33">
        <v>0</v>
      </c>
      <c r="R20" s="25" t="s">
        <v>753</v>
      </c>
      <c r="S20" s="25" t="s">
        <v>252</v>
      </c>
      <c r="T20" s="25" t="s">
        <v>36</v>
      </c>
      <c r="U20" s="25" t="s">
        <v>663</v>
      </c>
      <c r="V20" s="25" t="s">
        <v>2053</v>
      </c>
      <c r="W20" s="25" t="s">
        <v>665</v>
      </c>
    </row>
    <row r="21" s="22" customFormat="1" ht="16.5" customHeight="1" spans="1:23">
      <c r="A21" s="29" t="s">
        <v>2054</v>
      </c>
      <c r="B21" s="29" t="s">
        <v>32</v>
      </c>
      <c r="C21" s="29" t="s">
        <v>2055</v>
      </c>
      <c r="D21" s="30">
        <v>1</v>
      </c>
      <c r="E21" s="29" t="s">
        <v>2056</v>
      </c>
      <c r="F21" s="31">
        <v>45803</v>
      </c>
      <c r="G21" s="31">
        <v>45803</v>
      </c>
      <c r="H21" s="32" t="s">
        <v>444</v>
      </c>
      <c r="I21" s="29" t="s">
        <v>445</v>
      </c>
      <c r="J21" s="32" t="s">
        <v>41</v>
      </c>
      <c r="K21" s="29" t="s">
        <v>660</v>
      </c>
      <c r="L21" s="32" t="s">
        <v>41</v>
      </c>
      <c r="M21" s="29" t="s">
        <v>492</v>
      </c>
      <c r="N21" s="32" t="s">
        <v>41</v>
      </c>
      <c r="O21" s="29" t="s">
        <v>946</v>
      </c>
      <c r="P21" s="34">
        <v>0</v>
      </c>
      <c r="Q21" s="34">
        <v>47088.5</v>
      </c>
      <c r="R21" s="29" t="s">
        <v>947</v>
      </c>
      <c r="S21" s="29" t="s">
        <v>300</v>
      </c>
      <c r="T21" s="29" t="s">
        <v>36</v>
      </c>
      <c r="U21" s="29" t="s">
        <v>663</v>
      </c>
      <c r="V21" s="29" t="s">
        <v>2057</v>
      </c>
      <c r="W21" s="29" t="s">
        <v>665</v>
      </c>
    </row>
    <row r="22" s="22" customFormat="1" ht="16.5" customHeight="1" spans="1:23">
      <c r="A22" s="25" t="s">
        <v>2054</v>
      </c>
      <c r="B22" s="25" t="s">
        <v>32</v>
      </c>
      <c r="C22" s="25" t="s">
        <v>2055</v>
      </c>
      <c r="D22" s="26">
        <v>3</v>
      </c>
      <c r="E22" s="25" t="s">
        <v>2056</v>
      </c>
      <c r="F22" s="27">
        <v>45803</v>
      </c>
      <c r="G22" s="27">
        <v>45803</v>
      </c>
      <c r="H22" s="28" t="s">
        <v>444</v>
      </c>
      <c r="I22" s="25" t="s">
        <v>445</v>
      </c>
      <c r="J22" s="28" t="s">
        <v>41</v>
      </c>
      <c r="K22" s="25" t="s">
        <v>660</v>
      </c>
      <c r="L22" s="28" t="s">
        <v>41</v>
      </c>
      <c r="M22" s="25" t="s">
        <v>492</v>
      </c>
      <c r="N22" s="28" t="s">
        <v>41</v>
      </c>
      <c r="O22" s="25" t="s">
        <v>946</v>
      </c>
      <c r="P22" s="33">
        <v>1380</v>
      </c>
      <c r="Q22" s="33">
        <v>0</v>
      </c>
      <c r="R22" s="25" t="s">
        <v>947</v>
      </c>
      <c r="S22" s="25" t="s">
        <v>300</v>
      </c>
      <c r="T22" s="25" t="s">
        <v>36</v>
      </c>
      <c r="U22" s="25" t="s">
        <v>663</v>
      </c>
      <c r="V22" s="25" t="s">
        <v>2057</v>
      </c>
      <c r="W22" s="25" t="s">
        <v>665</v>
      </c>
    </row>
    <row r="23" s="22" customFormat="1" ht="16.5" customHeight="1" spans="1:23">
      <c r="A23" s="29" t="s">
        <v>2058</v>
      </c>
      <c r="B23" s="29" t="s">
        <v>32</v>
      </c>
      <c r="C23" s="29" t="s">
        <v>2059</v>
      </c>
      <c r="D23" s="30">
        <v>1</v>
      </c>
      <c r="E23" s="29" t="s">
        <v>2060</v>
      </c>
      <c r="F23" s="31">
        <v>45803</v>
      </c>
      <c r="G23" s="31">
        <v>45803</v>
      </c>
      <c r="H23" s="32" t="s">
        <v>444</v>
      </c>
      <c r="I23" s="29" t="s">
        <v>445</v>
      </c>
      <c r="J23" s="32" t="s">
        <v>41</v>
      </c>
      <c r="K23" s="29" t="s">
        <v>660</v>
      </c>
      <c r="L23" s="32" t="s">
        <v>41</v>
      </c>
      <c r="M23" s="29" t="s">
        <v>492</v>
      </c>
      <c r="N23" s="32" t="s">
        <v>41</v>
      </c>
      <c r="O23" s="29" t="s">
        <v>1994</v>
      </c>
      <c r="P23" s="34">
        <v>0</v>
      </c>
      <c r="Q23" s="34">
        <v>27553.92</v>
      </c>
      <c r="R23" s="29" t="s">
        <v>748</v>
      </c>
      <c r="S23" s="29" t="s">
        <v>259</v>
      </c>
      <c r="T23" s="29" t="s">
        <v>36</v>
      </c>
      <c r="U23" s="29" t="s">
        <v>663</v>
      </c>
      <c r="V23" s="29" t="s">
        <v>2061</v>
      </c>
      <c r="W23" s="29" t="s">
        <v>665</v>
      </c>
    </row>
    <row r="24" s="22" customFormat="1" ht="16.5" customHeight="1" spans="1:23">
      <c r="A24" s="25" t="s">
        <v>2062</v>
      </c>
      <c r="B24" s="25" t="s">
        <v>32</v>
      </c>
      <c r="C24" s="25" t="s">
        <v>2063</v>
      </c>
      <c r="D24" s="26">
        <v>1</v>
      </c>
      <c r="E24" s="25" t="s">
        <v>2064</v>
      </c>
      <c r="F24" s="27">
        <v>45803</v>
      </c>
      <c r="G24" s="27">
        <v>45803</v>
      </c>
      <c r="H24" s="28" t="s">
        <v>444</v>
      </c>
      <c r="I24" s="25" t="s">
        <v>445</v>
      </c>
      <c r="J24" s="28" t="s">
        <v>41</v>
      </c>
      <c r="K24" s="25" t="s">
        <v>660</v>
      </c>
      <c r="L24" s="28" t="s">
        <v>41</v>
      </c>
      <c r="M24" s="25" t="s">
        <v>492</v>
      </c>
      <c r="N24" s="28" t="s">
        <v>41</v>
      </c>
      <c r="O24" s="25" t="s">
        <v>1994</v>
      </c>
      <c r="P24" s="33">
        <v>0</v>
      </c>
      <c r="Q24" s="33">
        <v>579.69</v>
      </c>
      <c r="R24" s="25" t="s">
        <v>724</v>
      </c>
      <c r="S24" s="25" t="s">
        <v>306</v>
      </c>
      <c r="T24" s="25" t="s">
        <v>36</v>
      </c>
      <c r="U24" s="25" t="s">
        <v>663</v>
      </c>
      <c r="V24" s="25" t="s">
        <v>2065</v>
      </c>
      <c r="W24" s="25" t="s">
        <v>665</v>
      </c>
    </row>
    <row r="25" s="22" customFormat="1" ht="16.5" customHeight="1" spans="1:23">
      <c r="A25" s="29" t="s">
        <v>2066</v>
      </c>
      <c r="B25" s="29" t="s">
        <v>32</v>
      </c>
      <c r="C25" s="29" t="s">
        <v>2067</v>
      </c>
      <c r="D25" s="30">
        <v>1</v>
      </c>
      <c r="E25" s="29" t="s">
        <v>2068</v>
      </c>
      <c r="F25" s="31">
        <v>45803</v>
      </c>
      <c r="G25" s="31">
        <v>45803</v>
      </c>
      <c r="H25" s="32" t="s">
        <v>444</v>
      </c>
      <c r="I25" s="29" t="s">
        <v>445</v>
      </c>
      <c r="J25" s="32" t="s">
        <v>41</v>
      </c>
      <c r="K25" s="29" t="s">
        <v>660</v>
      </c>
      <c r="L25" s="32" t="s">
        <v>41</v>
      </c>
      <c r="M25" s="29" t="s">
        <v>492</v>
      </c>
      <c r="N25" s="32" t="s">
        <v>41</v>
      </c>
      <c r="O25" s="29" t="s">
        <v>1994</v>
      </c>
      <c r="P25" s="34">
        <v>0</v>
      </c>
      <c r="Q25" s="34">
        <v>229728.16</v>
      </c>
      <c r="R25" s="29" t="s">
        <v>793</v>
      </c>
      <c r="S25" s="29" t="s">
        <v>299</v>
      </c>
      <c r="T25" s="29" t="s">
        <v>36</v>
      </c>
      <c r="U25" s="29" t="s">
        <v>663</v>
      </c>
      <c r="V25" s="29" t="s">
        <v>2069</v>
      </c>
      <c r="W25" s="29" t="s">
        <v>665</v>
      </c>
    </row>
    <row r="26" s="22" customFormat="1" ht="16.5" customHeight="1" spans="1:23">
      <c r="A26" s="25" t="s">
        <v>2070</v>
      </c>
      <c r="B26" s="25" t="s">
        <v>32</v>
      </c>
      <c r="C26" s="25" t="s">
        <v>2071</v>
      </c>
      <c r="D26" s="26">
        <v>1</v>
      </c>
      <c r="E26" s="25" t="s">
        <v>2072</v>
      </c>
      <c r="F26" s="27">
        <v>45803</v>
      </c>
      <c r="G26" s="27">
        <v>45803</v>
      </c>
      <c r="H26" s="28" t="s">
        <v>444</v>
      </c>
      <c r="I26" s="25" t="s">
        <v>445</v>
      </c>
      <c r="J26" s="28" t="s">
        <v>41</v>
      </c>
      <c r="K26" s="25" t="s">
        <v>660</v>
      </c>
      <c r="L26" s="28" t="s">
        <v>41</v>
      </c>
      <c r="M26" s="25" t="s">
        <v>492</v>
      </c>
      <c r="N26" s="28" t="s">
        <v>41</v>
      </c>
      <c r="O26" s="25" t="s">
        <v>1994</v>
      </c>
      <c r="P26" s="33">
        <v>0</v>
      </c>
      <c r="Q26" s="33">
        <v>34578</v>
      </c>
      <c r="R26" s="25" t="s">
        <v>1149</v>
      </c>
      <c r="S26" s="25" t="s">
        <v>282</v>
      </c>
      <c r="T26" s="25" t="s">
        <v>36</v>
      </c>
      <c r="U26" s="25" t="s">
        <v>663</v>
      </c>
      <c r="V26" s="25" t="s">
        <v>2073</v>
      </c>
      <c r="W26" s="25" t="s">
        <v>665</v>
      </c>
    </row>
    <row r="27" s="22" customFormat="1" ht="16.5" customHeight="1" spans="1:23">
      <c r="A27" s="29" t="s">
        <v>2074</v>
      </c>
      <c r="B27" s="29" t="s">
        <v>32</v>
      </c>
      <c r="C27" s="29" t="s">
        <v>2075</v>
      </c>
      <c r="D27" s="30">
        <v>1</v>
      </c>
      <c r="E27" s="29" t="s">
        <v>2076</v>
      </c>
      <c r="F27" s="31">
        <v>45803</v>
      </c>
      <c r="G27" s="31">
        <v>45803</v>
      </c>
      <c r="H27" s="32" t="s">
        <v>444</v>
      </c>
      <c r="I27" s="29" t="s">
        <v>445</v>
      </c>
      <c r="J27" s="32" t="s">
        <v>41</v>
      </c>
      <c r="K27" s="29" t="s">
        <v>660</v>
      </c>
      <c r="L27" s="32" t="s">
        <v>41</v>
      </c>
      <c r="M27" s="29" t="s">
        <v>492</v>
      </c>
      <c r="N27" s="32" t="s">
        <v>41</v>
      </c>
      <c r="O27" s="29" t="s">
        <v>1998</v>
      </c>
      <c r="P27" s="34">
        <v>0</v>
      </c>
      <c r="Q27" s="34">
        <v>43151.31</v>
      </c>
      <c r="R27" s="29" t="s">
        <v>1546</v>
      </c>
      <c r="S27" s="29" t="s">
        <v>273</v>
      </c>
      <c r="T27" s="29" t="s">
        <v>36</v>
      </c>
      <c r="U27" s="29" t="s">
        <v>663</v>
      </c>
      <c r="V27" s="29" t="s">
        <v>2077</v>
      </c>
      <c r="W27" s="29" t="s">
        <v>665</v>
      </c>
    </row>
    <row r="28" s="22" customFormat="1" ht="16.5" customHeight="1" spans="1:23">
      <c r="A28" s="25" t="s">
        <v>2078</v>
      </c>
      <c r="B28" s="25" t="s">
        <v>32</v>
      </c>
      <c r="C28" s="25" t="s">
        <v>2079</v>
      </c>
      <c r="D28" s="26">
        <v>1</v>
      </c>
      <c r="E28" s="25" t="s">
        <v>2080</v>
      </c>
      <c r="F28" s="27">
        <v>45803</v>
      </c>
      <c r="G28" s="27">
        <v>45803</v>
      </c>
      <c r="H28" s="28" t="s">
        <v>444</v>
      </c>
      <c r="I28" s="25" t="s">
        <v>445</v>
      </c>
      <c r="J28" s="28" t="s">
        <v>41</v>
      </c>
      <c r="K28" s="25" t="s">
        <v>660</v>
      </c>
      <c r="L28" s="28" t="s">
        <v>41</v>
      </c>
      <c r="M28" s="25" t="s">
        <v>492</v>
      </c>
      <c r="N28" s="28" t="s">
        <v>41</v>
      </c>
      <c r="O28" s="25" t="s">
        <v>2081</v>
      </c>
      <c r="P28" s="33">
        <v>0</v>
      </c>
      <c r="Q28" s="33">
        <v>17775.8</v>
      </c>
      <c r="R28" s="25" t="s">
        <v>1546</v>
      </c>
      <c r="S28" s="25" t="s">
        <v>273</v>
      </c>
      <c r="T28" s="25" t="s">
        <v>36</v>
      </c>
      <c r="U28" s="25" t="s">
        <v>663</v>
      </c>
      <c r="V28" s="25" t="s">
        <v>2082</v>
      </c>
      <c r="W28" s="25" t="s">
        <v>665</v>
      </c>
    </row>
    <row r="29" s="22" customFormat="1" ht="16.5" customHeight="1" spans="1:23">
      <c r="A29" s="29" t="s">
        <v>2083</v>
      </c>
      <c r="B29" s="29" t="s">
        <v>32</v>
      </c>
      <c r="C29" s="29" t="s">
        <v>2084</v>
      </c>
      <c r="D29" s="30">
        <v>1</v>
      </c>
      <c r="E29" s="29" t="s">
        <v>2085</v>
      </c>
      <c r="F29" s="31">
        <v>45803</v>
      </c>
      <c r="G29" s="31">
        <v>45803</v>
      </c>
      <c r="H29" s="32" t="s">
        <v>444</v>
      </c>
      <c r="I29" s="29" t="s">
        <v>445</v>
      </c>
      <c r="J29" s="32" t="s">
        <v>41</v>
      </c>
      <c r="K29" s="29" t="s">
        <v>660</v>
      </c>
      <c r="L29" s="32" t="s">
        <v>41</v>
      </c>
      <c r="M29" s="29" t="s">
        <v>492</v>
      </c>
      <c r="N29" s="32" t="s">
        <v>41</v>
      </c>
      <c r="O29" s="29" t="s">
        <v>1998</v>
      </c>
      <c r="P29" s="34">
        <v>0</v>
      </c>
      <c r="Q29" s="34">
        <v>19985.08</v>
      </c>
      <c r="R29" s="29" t="s">
        <v>1074</v>
      </c>
      <c r="S29" s="29" t="s">
        <v>288</v>
      </c>
      <c r="T29" s="29" t="s">
        <v>36</v>
      </c>
      <c r="U29" s="29" t="s">
        <v>663</v>
      </c>
      <c r="V29" s="29" t="s">
        <v>2086</v>
      </c>
      <c r="W29" s="29" t="s">
        <v>665</v>
      </c>
    </row>
    <row r="30" s="22" customFormat="1" ht="16.5" customHeight="1" spans="1:23">
      <c r="A30" s="25" t="s">
        <v>2087</v>
      </c>
      <c r="B30" s="25" t="s">
        <v>32</v>
      </c>
      <c r="C30" s="25" t="s">
        <v>2088</v>
      </c>
      <c r="D30" s="26">
        <v>1</v>
      </c>
      <c r="E30" s="25" t="s">
        <v>2089</v>
      </c>
      <c r="F30" s="27">
        <v>45803</v>
      </c>
      <c r="G30" s="27">
        <v>45803</v>
      </c>
      <c r="H30" s="28" t="s">
        <v>444</v>
      </c>
      <c r="I30" s="25" t="s">
        <v>445</v>
      </c>
      <c r="J30" s="28" t="s">
        <v>41</v>
      </c>
      <c r="K30" s="25" t="s">
        <v>660</v>
      </c>
      <c r="L30" s="28" t="s">
        <v>41</v>
      </c>
      <c r="M30" s="25" t="s">
        <v>492</v>
      </c>
      <c r="N30" s="28" t="s">
        <v>41</v>
      </c>
      <c r="O30" s="25" t="s">
        <v>1998</v>
      </c>
      <c r="P30" s="33">
        <v>0</v>
      </c>
      <c r="Q30" s="33">
        <v>22724.3</v>
      </c>
      <c r="R30" s="25" t="s">
        <v>2090</v>
      </c>
      <c r="S30" s="25" t="s">
        <v>304</v>
      </c>
      <c r="T30" s="25" t="s">
        <v>36</v>
      </c>
      <c r="U30" s="25" t="s">
        <v>663</v>
      </c>
      <c r="V30" s="25" t="s">
        <v>2091</v>
      </c>
      <c r="W30" s="25" t="s">
        <v>665</v>
      </c>
    </row>
    <row r="31" s="22" customFormat="1" ht="16.5" customHeight="1" spans="1:23">
      <c r="A31" s="29" t="s">
        <v>2092</v>
      </c>
      <c r="B31" s="29" t="s">
        <v>32</v>
      </c>
      <c r="C31" s="29" t="s">
        <v>2093</v>
      </c>
      <c r="D31" s="30">
        <v>1</v>
      </c>
      <c r="E31" s="29" t="s">
        <v>2094</v>
      </c>
      <c r="F31" s="31">
        <v>45803</v>
      </c>
      <c r="G31" s="31">
        <v>45803</v>
      </c>
      <c r="H31" s="32" t="s">
        <v>444</v>
      </c>
      <c r="I31" s="29" t="s">
        <v>445</v>
      </c>
      <c r="J31" s="32" t="s">
        <v>41</v>
      </c>
      <c r="K31" s="29" t="s">
        <v>660</v>
      </c>
      <c r="L31" s="32" t="s">
        <v>41</v>
      </c>
      <c r="M31" s="29" t="s">
        <v>492</v>
      </c>
      <c r="N31" s="32" t="s">
        <v>41</v>
      </c>
      <c r="O31" s="29" t="s">
        <v>1998</v>
      </c>
      <c r="P31" s="34">
        <v>0</v>
      </c>
      <c r="Q31" s="34">
        <v>111297.09</v>
      </c>
      <c r="R31" s="29" t="s">
        <v>739</v>
      </c>
      <c r="S31" s="29" t="s">
        <v>249</v>
      </c>
      <c r="T31" s="29" t="s">
        <v>36</v>
      </c>
      <c r="U31" s="29" t="s">
        <v>663</v>
      </c>
      <c r="V31" s="29" t="s">
        <v>2095</v>
      </c>
      <c r="W31" s="29" t="s">
        <v>665</v>
      </c>
    </row>
    <row r="32" s="22" customFormat="1" ht="16.5" customHeight="1" spans="1:23">
      <c r="A32" s="25" t="s">
        <v>2096</v>
      </c>
      <c r="B32" s="25" t="s">
        <v>32</v>
      </c>
      <c r="C32" s="25" t="s">
        <v>2097</v>
      </c>
      <c r="D32" s="26">
        <v>1</v>
      </c>
      <c r="E32" s="25" t="s">
        <v>2098</v>
      </c>
      <c r="F32" s="27">
        <v>45803</v>
      </c>
      <c r="G32" s="27">
        <v>45803</v>
      </c>
      <c r="H32" s="28" t="s">
        <v>444</v>
      </c>
      <c r="I32" s="25" t="s">
        <v>445</v>
      </c>
      <c r="J32" s="28" t="s">
        <v>41</v>
      </c>
      <c r="K32" s="25" t="s">
        <v>660</v>
      </c>
      <c r="L32" s="28" t="s">
        <v>41</v>
      </c>
      <c r="M32" s="25" t="s">
        <v>492</v>
      </c>
      <c r="N32" s="28" t="s">
        <v>41</v>
      </c>
      <c r="O32" s="25" t="s">
        <v>2099</v>
      </c>
      <c r="P32" s="33">
        <v>0</v>
      </c>
      <c r="Q32" s="33">
        <v>301186.23</v>
      </c>
      <c r="R32" s="25" t="s">
        <v>34</v>
      </c>
      <c r="S32" s="25" t="s">
        <v>277</v>
      </c>
      <c r="T32" s="25" t="s">
        <v>36</v>
      </c>
      <c r="U32" s="25" t="s">
        <v>663</v>
      </c>
      <c r="V32" s="25" t="s">
        <v>76</v>
      </c>
      <c r="W32" s="25" t="s">
        <v>665</v>
      </c>
    </row>
    <row r="33" s="22" customFormat="1" ht="16.5" customHeight="1" spans="1:23">
      <c r="A33" s="29" t="s">
        <v>2096</v>
      </c>
      <c r="B33" s="29" t="s">
        <v>32</v>
      </c>
      <c r="C33" s="29" t="s">
        <v>2097</v>
      </c>
      <c r="D33" s="30">
        <v>3</v>
      </c>
      <c r="E33" s="29" t="s">
        <v>2098</v>
      </c>
      <c r="F33" s="31">
        <v>45803</v>
      </c>
      <c r="G33" s="31">
        <v>45803</v>
      </c>
      <c r="H33" s="32" t="s">
        <v>444</v>
      </c>
      <c r="I33" s="29" t="s">
        <v>445</v>
      </c>
      <c r="J33" s="32" t="s">
        <v>41</v>
      </c>
      <c r="K33" s="29" t="s">
        <v>660</v>
      </c>
      <c r="L33" s="32" t="s">
        <v>41</v>
      </c>
      <c r="M33" s="29" t="s">
        <v>492</v>
      </c>
      <c r="N33" s="32" t="s">
        <v>41</v>
      </c>
      <c r="O33" s="29" t="s">
        <v>2099</v>
      </c>
      <c r="P33" s="34">
        <v>8721</v>
      </c>
      <c r="Q33" s="34">
        <v>0</v>
      </c>
      <c r="R33" s="29" t="s">
        <v>34</v>
      </c>
      <c r="S33" s="29" t="s">
        <v>277</v>
      </c>
      <c r="T33" s="29" t="s">
        <v>36</v>
      </c>
      <c r="U33" s="29" t="s">
        <v>663</v>
      </c>
      <c r="V33" s="29" t="s">
        <v>76</v>
      </c>
      <c r="W33" s="29" t="s">
        <v>665</v>
      </c>
    </row>
    <row r="34" s="22" customFormat="1" ht="16.5" customHeight="1" spans="1:23">
      <c r="A34" s="25" t="s">
        <v>2100</v>
      </c>
      <c r="B34" s="25" t="s">
        <v>32</v>
      </c>
      <c r="C34" s="25" t="s">
        <v>2101</v>
      </c>
      <c r="D34" s="26">
        <v>1</v>
      </c>
      <c r="E34" s="25" t="s">
        <v>2102</v>
      </c>
      <c r="F34" s="27">
        <v>45803</v>
      </c>
      <c r="G34" s="27">
        <v>45803</v>
      </c>
      <c r="H34" s="28" t="s">
        <v>444</v>
      </c>
      <c r="I34" s="25" t="s">
        <v>445</v>
      </c>
      <c r="J34" s="28" t="s">
        <v>41</v>
      </c>
      <c r="K34" s="25" t="s">
        <v>660</v>
      </c>
      <c r="L34" s="28" t="s">
        <v>41</v>
      </c>
      <c r="M34" s="25" t="s">
        <v>492</v>
      </c>
      <c r="N34" s="28" t="s">
        <v>41</v>
      </c>
      <c r="O34" s="25" t="s">
        <v>2103</v>
      </c>
      <c r="P34" s="33">
        <v>1932.3</v>
      </c>
      <c r="Q34" s="33">
        <v>0</v>
      </c>
      <c r="R34" s="25" t="s">
        <v>34</v>
      </c>
      <c r="S34" s="25" t="s">
        <v>277</v>
      </c>
      <c r="T34" s="25" t="s">
        <v>36</v>
      </c>
      <c r="U34" s="25" t="s">
        <v>663</v>
      </c>
      <c r="V34" s="25" t="s">
        <v>2104</v>
      </c>
      <c r="W34" s="25" t="s">
        <v>665</v>
      </c>
    </row>
    <row r="35" s="22" customFormat="1" ht="16.5" customHeight="1" spans="1:23">
      <c r="A35" s="29" t="s">
        <v>2105</v>
      </c>
      <c r="B35" s="29" t="s">
        <v>32</v>
      </c>
      <c r="C35" s="29" t="s">
        <v>2106</v>
      </c>
      <c r="D35" s="30">
        <v>1</v>
      </c>
      <c r="E35" s="29" t="s">
        <v>2107</v>
      </c>
      <c r="F35" s="31">
        <v>45803</v>
      </c>
      <c r="G35" s="31">
        <v>45803</v>
      </c>
      <c r="H35" s="32" t="s">
        <v>444</v>
      </c>
      <c r="I35" s="29" t="s">
        <v>445</v>
      </c>
      <c r="J35" s="32" t="s">
        <v>41</v>
      </c>
      <c r="K35" s="29" t="s">
        <v>660</v>
      </c>
      <c r="L35" s="32" t="s">
        <v>41</v>
      </c>
      <c r="M35" s="29" t="s">
        <v>492</v>
      </c>
      <c r="N35" s="32" t="s">
        <v>41</v>
      </c>
      <c r="O35" s="29" t="s">
        <v>1994</v>
      </c>
      <c r="P35" s="34">
        <v>0</v>
      </c>
      <c r="Q35" s="34">
        <v>116116.5</v>
      </c>
      <c r="R35" s="29" t="s">
        <v>706</v>
      </c>
      <c r="S35" s="29" t="s">
        <v>240</v>
      </c>
      <c r="T35" s="29" t="s">
        <v>36</v>
      </c>
      <c r="U35" s="29" t="s">
        <v>663</v>
      </c>
      <c r="V35" s="29" t="s">
        <v>2108</v>
      </c>
      <c r="W35" s="29" t="s">
        <v>665</v>
      </c>
    </row>
    <row r="36" s="22" customFormat="1" ht="16.5" customHeight="1" spans="1:23">
      <c r="A36" s="25" t="s">
        <v>2105</v>
      </c>
      <c r="B36" s="25" t="s">
        <v>32</v>
      </c>
      <c r="C36" s="25" t="s">
        <v>2106</v>
      </c>
      <c r="D36" s="26">
        <v>3</v>
      </c>
      <c r="E36" s="25" t="s">
        <v>2107</v>
      </c>
      <c r="F36" s="27">
        <v>45803</v>
      </c>
      <c r="G36" s="27">
        <v>45803</v>
      </c>
      <c r="H36" s="28" t="s">
        <v>444</v>
      </c>
      <c r="I36" s="25" t="s">
        <v>445</v>
      </c>
      <c r="J36" s="28" t="s">
        <v>41</v>
      </c>
      <c r="K36" s="25" t="s">
        <v>660</v>
      </c>
      <c r="L36" s="28" t="s">
        <v>41</v>
      </c>
      <c r="M36" s="25" t="s">
        <v>492</v>
      </c>
      <c r="N36" s="28" t="s">
        <v>41</v>
      </c>
      <c r="O36" s="25" t="s">
        <v>1994</v>
      </c>
      <c r="P36" s="33">
        <v>2212.5</v>
      </c>
      <c r="Q36" s="33">
        <v>0</v>
      </c>
      <c r="R36" s="25" t="s">
        <v>706</v>
      </c>
      <c r="S36" s="25" t="s">
        <v>240</v>
      </c>
      <c r="T36" s="25" t="s">
        <v>36</v>
      </c>
      <c r="U36" s="25" t="s">
        <v>663</v>
      </c>
      <c r="V36" s="25" t="s">
        <v>2108</v>
      </c>
      <c r="W36" s="25" t="s">
        <v>665</v>
      </c>
    </row>
    <row r="37" s="22" customFormat="1" ht="16.5" customHeight="1" spans="1:23">
      <c r="A37" s="29" t="s">
        <v>2109</v>
      </c>
      <c r="B37" s="29" t="s">
        <v>32</v>
      </c>
      <c r="C37" s="29" t="s">
        <v>2110</v>
      </c>
      <c r="D37" s="30">
        <v>1</v>
      </c>
      <c r="E37" s="29" t="s">
        <v>2111</v>
      </c>
      <c r="F37" s="31">
        <v>45804</v>
      </c>
      <c r="G37" s="31">
        <v>45804</v>
      </c>
      <c r="H37" s="32" t="s">
        <v>444</v>
      </c>
      <c r="I37" s="29" t="s">
        <v>445</v>
      </c>
      <c r="J37" s="32" t="s">
        <v>41</v>
      </c>
      <c r="K37" s="29" t="s">
        <v>660</v>
      </c>
      <c r="L37" s="32" t="s">
        <v>41</v>
      </c>
      <c r="M37" s="29" t="s">
        <v>492</v>
      </c>
      <c r="N37" s="32" t="s">
        <v>41</v>
      </c>
      <c r="O37" s="29" t="s">
        <v>2112</v>
      </c>
      <c r="P37" s="34">
        <v>0</v>
      </c>
      <c r="Q37" s="34">
        <v>79374.94</v>
      </c>
      <c r="R37" s="29" t="s">
        <v>706</v>
      </c>
      <c r="S37" s="29" t="s">
        <v>240</v>
      </c>
      <c r="T37" s="29" t="s">
        <v>36</v>
      </c>
      <c r="U37" s="29" t="s">
        <v>663</v>
      </c>
      <c r="V37" s="29" t="s">
        <v>2113</v>
      </c>
      <c r="W37" s="29" t="s">
        <v>665</v>
      </c>
    </row>
    <row r="38" s="22" customFormat="1" ht="16.5" customHeight="1" spans="1:23">
      <c r="A38" s="25" t="s">
        <v>2109</v>
      </c>
      <c r="B38" s="25" t="s">
        <v>32</v>
      </c>
      <c r="C38" s="25" t="s">
        <v>2110</v>
      </c>
      <c r="D38" s="26">
        <v>3</v>
      </c>
      <c r="E38" s="25" t="s">
        <v>2111</v>
      </c>
      <c r="F38" s="27">
        <v>45804</v>
      </c>
      <c r="G38" s="27">
        <v>45804</v>
      </c>
      <c r="H38" s="28" t="s">
        <v>444</v>
      </c>
      <c r="I38" s="25" t="s">
        <v>445</v>
      </c>
      <c r="J38" s="28" t="s">
        <v>41</v>
      </c>
      <c r="K38" s="25" t="s">
        <v>660</v>
      </c>
      <c r="L38" s="28" t="s">
        <v>41</v>
      </c>
      <c r="M38" s="25" t="s">
        <v>492</v>
      </c>
      <c r="N38" s="28" t="s">
        <v>41</v>
      </c>
      <c r="O38" s="25" t="s">
        <v>2112</v>
      </c>
      <c r="P38" s="33">
        <v>4487.35</v>
      </c>
      <c r="Q38" s="33">
        <v>0</v>
      </c>
      <c r="R38" s="25" t="s">
        <v>706</v>
      </c>
      <c r="S38" s="25" t="s">
        <v>240</v>
      </c>
      <c r="T38" s="25" t="s">
        <v>36</v>
      </c>
      <c r="U38" s="25" t="s">
        <v>663</v>
      </c>
      <c r="V38" s="25" t="s">
        <v>2113</v>
      </c>
      <c r="W38" s="25" t="s">
        <v>665</v>
      </c>
    </row>
    <row r="39" s="22" customFormat="1" ht="16.5" customHeight="1" spans="1:23">
      <c r="A39" s="29" t="s">
        <v>2114</v>
      </c>
      <c r="B39" s="29" t="s">
        <v>32</v>
      </c>
      <c r="C39" s="29" t="s">
        <v>2115</v>
      </c>
      <c r="D39" s="30">
        <v>1</v>
      </c>
      <c r="E39" s="29" t="s">
        <v>2116</v>
      </c>
      <c r="F39" s="31">
        <v>45804</v>
      </c>
      <c r="G39" s="31">
        <v>45804</v>
      </c>
      <c r="H39" s="32" t="s">
        <v>444</v>
      </c>
      <c r="I39" s="29" t="s">
        <v>445</v>
      </c>
      <c r="J39" s="32" t="s">
        <v>41</v>
      </c>
      <c r="K39" s="29" t="s">
        <v>660</v>
      </c>
      <c r="L39" s="32" t="s">
        <v>41</v>
      </c>
      <c r="M39" s="29" t="s">
        <v>492</v>
      </c>
      <c r="N39" s="32" t="s">
        <v>41</v>
      </c>
      <c r="O39" s="29" t="s">
        <v>1994</v>
      </c>
      <c r="P39" s="34">
        <v>0</v>
      </c>
      <c r="Q39" s="34">
        <v>4042.29</v>
      </c>
      <c r="R39" s="29" t="s">
        <v>1365</v>
      </c>
      <c r="S39" s="29" t="s">
        <v>320</v>
      </c>
      <c r="T39" s="29" t="s">
        <v>36</v>
      </c>
      <c r="U39" s="29" t="s">
        <v>663</v>
      </c>
      <c r="V39" s="29" t="s">
        <v>2117</v>
      </c>
      <c r="W39" s="29" t="s">
        <v>665</v>
      </c>
    </row>
    <row r="40" s="22" customFormat="1" ht="16.5" customHeight="1" spans="1:23">
      <c r="A40" s="25" t="s">
        <v>2114</v>
      </c>
      <c r="B40" s="25" t="s">
        <v>32</v>
      </c>
      <c r="C40" s="25" t="s">
        <v>2115</v>
      </c>
      <c r="D40" s="26">
        <v>3</v>
      </c>
      <c r="E40" s="25" t="s">
        <v>2116</v>
      </c>
      <c r="F40" s="27">
        <v>45804</v>
      </c>
      <c r="G40" s="27">
        <v>45804</v>
      </c>
      <c r="H40" s="28" t="s">
        <v>444</v>
      </c>
      <c r="I40" s="25" t="s">
        <v>445</v>
      </c>
      <c r="J40" s="28" t="s">
        <v>41</v>
      </c>
      <c r="K40" s="25" t="s">
        <v>660</v>
      </c>
      <c r="L40" s="28" t="s">
        <v>41</v>
      </c>
      <c r="M40" s="25" t="s">
        <v>492</v>
      </c>
      <c r="N40" s="28" t="s">
        <v>41</v>
      </c>
      <c r="O40" s="25" t="s">
        <v>1994</v>
      </c>
      <c r="P40" s="33">
        <v>23.9</v>
      </c>
      <c r="Q40" s="33">
        <v>0</v>
      </c>
      <c r="R40" s="25" t="s">
        <v>1365</v>
      </c>
      <c r="S40" s="25" t="s">
        <v>320</v>
      </c>
      <c r="T40" s="25" t="s">
        <v>36</v>
      </c>
      <c r="U40" s="25" t="s">
        <v>663</v>
      </c>
      <c r="V40" s="25" t="s">
        <v>2117</v>
      </c>
      <c r="W40" s="25" t="s">
        <v>665</v>
      </c>
    </row>
    <row r="41" s="22" customFormat="1" ht="16.5" customHeight="1" spans="1:23">
      <c r="A41" s="29" t="s">
        <v>2118</v>
      </c>
      <c r="B41" s="29" t="s">
        <v>32</v>
      </c>
      <c r="C41" s="29" t="s">
        <v>2119</v>
      </c>
      <c r="D41" s="30">
        <v>1</v>
      </c>
      <c r="E41" s="29" t="s">
        <v>2120</v>
      </c>
      <c r="F41" s="31">
        <v>45804</v>
      </c>
      <c r="G41" s="31">
        <v>45804</v>
      </c>
      <c r="H41" s="32" t="s">
        <v>444</v>
      </c>
      <c r="I41" s="29" t="s">
        <v>445</v>
      </c>
      <c r="J41" s="32" t="s">
        <v>41</v>
      </c>
      <c r="K41" s="29" t="s">
        <v>660</v>
      </c>
      <c r="L41" s="32" t="s">
        <v>41</v>
      </c>
      <c r="M41" s="29" t="s">
        <v>492</v>
      </c>
      <c r="N41" s="32" t="s">
        <v>41</v>
      </c>
      <c r="O41" s="29" t="s">
        <v>1998</v>
      </c>
      <c r="P41" s="34">
        <v>0</v>
      </c>
      <c r="Q41" s="34">
        <v>13458.21</v>
      </c>
      <c r="R41" s="29" t="s">
        <v>928</v>
      </c>
      <c r="S41" s="29" t="s">
        <v>241</v>
      </c>
      <c r="T41" s="29" t="s">
        <v>36</v>
      </c>
      <c r="U41" s="29" t="s">
        <v>663</v>
      </c>
      <c r="V41" s="29" t="s">
        <v>2121</v>
      </c>
      <c r="W41" s="29" t="s">
        <v>665</v>
      </c>
    </row>
    <row r="42" s="22" customFormat="1" ht="16.5" customHeight="1" spans="1:23">
      <c r="A42" s="25" t="s">
        <v>2122</v>
      </c>
      <c r="B42" s="25" t="s">
        <v>32</v>
      </c>
      <c r="C42" s="25" t="s">
        <v>2123</v>
      </c>
      <c r="D42" s="26">
        <v>1</v>
      </c>
      <c r="E42" s="25" t="s">
        <v>2124</v>
      </c>
      <c r="F42" s="27">
        <v>45804</v>
      </c>
      <c r="G42" s="27">
        <v>45804</v>
      </c>
      <c r="H42" s="28" t="s">
        <v>444</v>
      </c>
      <c r="I42" s="25" t="s">
        <v>445</v>
      </c>
      <c r="J42" s="28" t="s">
        <v>41</v>
      </c>
      <c r="K42" s="25" t="s">
        <v>660</v>
      </c>
      <c r="L42" s="28" t="s">
        <v>41</v>
      </c>
      <c r="M42" s="25" t="s">
        <v>492</v>
      </c>
      <c r="N42" s="28" t="s">
        <v>41</v>
      </c>
      <c r="O42" s="25" t="s">
        <v>1994</v>
      </c>
      <c r="P42" s="33">
        <v>0</v>
      </c>
      <c r="Q42" s="33">
        <v>4387.29</v>
      </c>
      <c r="R42" s="25" t="s">
        <v>928</v>
      </c>
      <c r="S42" s="25" t="s">
        <v>241</v>
      </c>
      <c r="T42" s="25" t="s">
        <v>36</v>
      </c>
      <c r="U42" s="25" t="s">
        <v>663</v>
      </c>
      <c r="V42" s="25" t="s">
        <v>2125</v>
      </c>
      <c r="W42" s="25" t="s">
        <v>665</v>
      </c>
    </row>
    <row r="43" s="22" customFormat="1" ht="16.5" customHeight="1" spans="1:23">
      <c r="A43" s="29" t="s">
        <v>2122</v>
      </c>
      <c r="B43" s="29" t="s">
        <v>32</v>
      </c>
      <c r="C43" s="29" t="s">
        <v>2123</v>
      </c>
      <c r="D43" s="30">
        <v>3</v>
      </c>
      <c r="E43" s="29" t="s">
        <v>2124</v>
      </c>
      <c r="F43" s="31">
        <v>45804</v>
      </c>
      <c r="G43" s="31">
        <v>45804</v>
      </c>
      <c r="H43" s="32" t="s">
        <v>444</v>
      </c>
      <c r="I43" s="29" t="s">
        <v>445</v>
      </c>
      <c r="J43" s="32" t="s">
        <v>41</v>
      </c>
      <c r="K43" s="29" t="s">
        <v>660</v>
      </c>
      <c r="L43" s="32" t="s">
        <v>41</v>
      </c>
      <c r="M43" s="29" t="s">
        <v>492</v>
      </c>
      <c r="N43" s="32" t="s">
        <v>41</v>
      </c>
      <c r="O43" s="29" t="s">
        <v>1994</v>
      </c>
      <c r="P43" s="34">
        <v>76.56</v>
      </c>
      <c r="Q43" s="34">
        <v>0</v>
      </c>
      <c r="R43" s="29" t="s">
        <v>928</v>
      </c>
      <c r="S43" s="29" t="s">
        <v>241</v>
      </c>
      <c r="T43" s="29" t="s">
        <v>36</v>
      </c>
      <c r="U43" s="29" t="s">
        <v>663</v>
      </c>
      <c r="V43" s="29" t="s">
        <v>2125</v>
      </c>
      <c r="W43" s="29" t="s">
        <v>665</v>
      </c>
    </row>
    <row r="44" s="22" customFormat="1" ht="16.5" customHeight="1" spans="1:23">
      <c r="A44" s="25" t="s">
        <v>2126</v>
      </c>
      <c r="B44" s="25" t="s">
        <v>32</v>
      </c>
      <c r="C44" s="25" t="s">
        <v>2127</v>
      </c>
      <c r="D44" s="26">
        <v>1</v>
      </c>
      <c r="E44" s="25" t="s">
        <v>2128</v>
      </c>
      <c r="F44" s="27">
        <v>45804</v>
      </c>
      <c r="G44" s="27">
        <v>45804</v>
      </c>
      <c r="H44" s="28" t="s">
        <v>444</v>
      </c>
      <c r="I44" s="25" t="s">
        <v>445</v>
      </c>
      <c r="J44" s="28" t="s">
        <v>41</v>
      </c>
      <c r="K44" s="25" t="s">
        <v>660</v>
      </c>
      <c r="L44" s="28" t="s">
        <v>41</v>
      </c>
      <c r="M44" s="25" t="s">
        <v>492</v>
      </c>
      <c r="N44" s="28" t="s">
        <v>41</v>
      </c>
      <c r="O44" s="25" t="s">
        <v>2129</v>
      </c>
      <c r="P44" s="33">
        <v>766.86</v>
      </c>
      <c r="Q44" s="33">
        <v>0</v>
      </c>
      <c r="R44" s="25" t="s">
        <v>928</v>
      </c>
      <c r="S44" s="25" t="s">
        <v>241</v>
      </c>
      <c r="T44" s="25" t="s">
        <v>36</v>
      </c>
      <c r="U44" s="25" t="s">
        <v>663</v>
      </c>
      <c r="V44" s="25" t="s">
        <v>2130</v>
      </c>
      <c r="W44" s="25" t="s">
        <v>665</v>
      </c>
    </row>
    <row r="45" s="22" customFormat="1" ht="16.5" customHeight="1" spans="1:23">
      <c r="A45" s="29" t="s">
        <v>2131</v>
      </c>
      <c r="B45" s="29" t="s">
        <v>32</v>
      </c>
      <c r="C45" s="29" t="s">
        <v>2132</v>
      </c>
      <c r="D45" s="30">
        <v>1</v>
      </c>
      <c r="E45" s="29" t="s">
        <v>2133</v>
      </c>
      <c r="F45" s="31">
        <v>45804</v>
      </c>
      <c r="G45" s="31">
        <v>45804</v>
      </c>
      <c r="H45" s="32" t="s">
        <v>444</v>
      </c>
      <c r="I45" s="29" t="s">
        <v>445</v>
      </c>
      <c r="J45" s="32" t="s">
        <v>41</v>
      </c>
      <c r="K45" s="29" t="s">
        <v>660</v>
      </c>
      <c r="L45" s="32" t="s">
        <v>41</v>
      </c>
      <c r="M45" s="29" t="s">
        <v>492</v>
      </c>
      <c r="N45" s="32" t="s">
        <v>41</v>
      </c>
      <c r="O45" s="29" t="s">
        <v>2134</v>
      </c>
      <c r="P45" s="34">
        <v>0</v>
      </c>
      <c r="Q45" s="34">
        <v>529032.64</v>
      </c>
      <c r="R45" s="29" t="s">
        <v>34</v>
      </c>
      <c r="S45" s="29" t="s">
        <v>277</v>
      </c>
      <c r="T45" s="29" t="s">
        <v>36</v>
      </c>
      <c r="U45" s="29" t="s">
        <v>663</v>
      </c>
      <c r="V45" s="29" t="s">
        <v>87</v>
      </c>
      <c r="W45" s="29" t="s">
        <v>665</v>
      </c>
    </row>
    <row r="46" s="22" customFormat="1" ht="16.5" customHeight="1" spans="1:23">
      <c r="A46" s="25" t="s">
        <v>2131</v>
      </c>
      <c r="B46" s="25" t="s">
        <v>32</v>
      </c>
      <c r="C46" s="25" t="s">
        <v>2132</v>
      </c>
      <c r="D46" s="26">
        <v>3</v>
      </c>
      <c r="E46" s="25" t="s">
        <v>2133</v>
      </c>
      <c r="F46" s="27">
        <v>45804</v>
      </c>
      <c r="G46" s="27">
        <v>45804</v>
      </c>
      <c r="H46" s="28" t="s">
        <v>444</v>
      </c>
      <c r="I46" s="25" t="s">
        <v>445</v>
      </c>
      <c r="J46" s="28" t="s">
        <v>41</v>
      </c>
      <c r="K46" s="25" t="s">
        <v>660</v>
      </c>
      <c r="L46" s="28" t="s">
        <v>41</v>
      </c>
      <c r="M46" s="25" t="s">
        <v>492</v>
      </c>
      <c r="N46" s="28" t="s">
        <v>41</v>
      </c>
      <c r="O46" s="25" t="s">
        <v>2134</v>
      </c>
      <c r="P46" s="33">
        <v>72576.64</v>
      </c>
      <c r="Q46" s="33">
        <v>0</v>
      </c>
      <c r="R46" s="25" t="s">
        <v>34</v>
      </c>
      <c r="S46" s="25" t="s">
        <v>277</v>
      </c>
      <c r="T46" s="25" t="s">
        <v>36</v>
      </c>
      <c r="U46" s="25" t="s">
        <v>663</v>
      </c>
      <c r="V46" s="25" t="s">
        <v>87</v>
      </c>
      <c r="W46" s="25" t="s">
        <v>665</v>
      </c>
    </row>
    <row r="47" s="22" customFormat="1" ht="16.5" customHeight="1" spans="1:23">
      <c r="A47" s="29" t="s">
        <v>2135</v>
      </c>
      <c r="B47" s="29" t="s">
        <v>32</v>
      </c>
      <c r="C47" s="29" t="s">
        <v>2136</v>
      </c>
      <c r="D47" s="30">
        <v>1</v>
      </c>
      <c r="E47" s="29" t="s">
        <v>2137</v>
      </c>
      <c r="F47" s="31">
        <v>45804</v>
      </c>
      <c r="G47" s="31">
        <v>45804</v>
      </c>
      <c r="H47" s="32" t="s">
        <v>444</v>
      </c>
      <c r="I47" s="29" t="s">
        <v>445</v>
      </c>
      <c r="J47" s="32" t="s">
        <v>41</v>
      </c>
      <c r="K47" s="29" t="s">
        <v>660</v>
      </c>
      <c r="L47" s="32" t="s">
        <v>41</v>
      </c>
      <c r="M47" s="29" t="s">
        <v>492</v>
      </c>
      <c r="N47" s="32" t="s">
        <v>41</v>
      </c>
      <c r="O47" s="29" t="s">
        <v>2134</v>
      </c>
      <c r="P47" s="34">
        <v>0</v>
      </c>
      <c r="Q47" s="34">
        <v>375074.13</v>
      </c>
      <c r="R47" s="29" t="s">
        <v>149</v>
      </c>
      <c r="S47" s="29" t="s">
        <v>251</v>
      </c>
      <c r="T47" s="29" t="s">
        <v>36</v>
      </c>
      <c r="U47" s="29" t="s">
        <v>663</v>
      </c>
      <c r="V47" s="29" t="s">
        <v>183</v>
      </c>
      <c r="W47" s="29" t="s">
        <v>665</v>
      </c>
    </row>
    <row r="48" s="22" customFormat="1" ht="16.5" customHeight="1" spans="1:23">
      <c r="A48" s="25" t="s">
        <v>2135</v>
      </c>
      <c r="B48" s="25" t="s">
        <v>32</v>
      </c>
      <c r="C48" s="25" t="s">
        <v>2136</v>
      </c>
      <c r="D48" s="26">
        <v>3</v>
      </c>
      <c r="E48" s="25" t="s">
        <v>2137</v>
      </c>
      <c r="F48" s="27">
        <v>45804</v>
      </c>
      <c r="G48" s="27">
        <v>45804</v>
      </c>
      <c r="H48" s="28" t="s">
        <v>444</v>
      </c>
      <c r="I48" s="25" t="s">
        <v>445</v>
      </c>
      <c r="J48" s="28" t="s">
        <v>41</v>
      </c>
      <c r="K48" s="25" t="s">
        <v>660</v>
      </c>
      <c r="L48" s="28" t="s">
        <v>41</v>
      </c>
      <c r="M48" s="25" t="s">
        <v>492</v>
      </c>
      <c r="N48" s="28" t="s">
        <v>41</v>
      </c>
      <c r="O48" s="25" t="s">
        <v>2134</v>
      </c>
      <c r="P48" s="33">
        <v>107892.13</v>
      </c>
      <c r="Q48" s="33">
        <v>0</v>
      </c>
      <c r="R48" s="25" t="s">
        <v>149</v>
      </c>
      <c r="S48" s="25" t="s">
        <v>251</v>
      </c>
      <c r="T48" s="25" t="s">
        <v>36</v>
      </c>
      <c r="U48" s="25" t="s">
        <v>663</v>
      </c>
      <c r="V48" s="25" t="s">
        <v>183</v>
      </c>
      <c r="W48" s="25" t="s">
        <v>665</v>
      </c>
    </row>
    <row r="49" s="22" customFormat="1" ht="16.5" customHeight="1" spans="1:23">
      <c r="A49" s="29" t="s">
        <v>2138</v>
      </c>
      <c r="B49" s="29" t="s">
        <v>32</v>
      </c>
      <c r="C49" s="29" t="s">
        <v>2139</v>
      </c>
      <c r="D49" s="30">
        <v>1</v>
      </c>
      <c r="E49" s="29" t="s">
        <v>2140</v>
      </c>
      <c r="F49" s="31">
        <v>45804</v>
      </c>
      <c r="G49" s="31">
        <v>45804</v>
      </c>
      <c r="H49" s="32" t="s">
        <v>444</v>
      </c>
      <c r="I49" s="29" t="s">
        <v>445</v>
      </c>
      <c r="J49" s="32" t="s">
        <v>41</v>
      </c>
      <c r="K49" s="29" t="s">
        <v>660</v>
      </c>
      <c r="L49" s="32" t="s">
        <v>41</v>
      </c>
      <c r="M49" s="29" t="s">
        <v>492</v>
      </c>
      <c r="N49" s="32" t="s">
        <v>41</v>
      </c>
      <c r="O49" s="29" t="s">
        <v>2134</v>
      </c>
      <c r="P49" s="34">
        <v>0</v>
      </c>
      <c r="Q49" s="34">
        <v>431059.22</v>
      </c>
      <c r="R49" s="29" t="s">
        <v>841</v>
      </c>
      <c r="S49" s="29" t="s">
        <v>303</v>
      </c>
      <c r="T49" s="29" t="s">
        <v>36</v>
      </c>
      <c r="U49" s="29" t="s">
        <v>663</v>
      </c>
      <c r="V49" s="29" t="s">
        <v>2141</v>
      </c>
      <c r="W49" s="29" t="s">
        <v>665</v>
      </c>
    </row>
    <row r="50" s="22" customFormat="1" ht="16.5" customHeight="1" spans="1:23">
      <c r="A50" s="25" t="s">
        <v>2138</v>
      </c>
      <c r="B50" s="25" t="s">
        <v>32</v>
      </c>
      <c r="C50" s="25" t="s">
        <v>2139</v>
      </c>
      <c r="D50" s="26">
        <v>3</v>
      </c>
      <c r="E50" s="25" t="s">
        <v>2140</v>
      </c>
      <c r="F50" s="27">
        <v>45804</v>
      </c>
      <c r="G50" s="27">
        <v>45804</v>
      </c>
      <c r="H50" s="28" t="s">
        <v>444</v>
      </c>
      <c r="I50" s="25" t="s">
        <v>445</v>
      </c>
      <c r="J50" s="28" t="s">
        <v>41</v>
      </c>
      <c r="K50" s="25" t="s">
        <v>660</v>
      </c>
      <c r="L50" s="28" t="s">
        <v>41</v>
      </c>
      <c r="M50" s="25" t="s">
        <v>492</v>
      </c>
      <c r="N50" s="28" t="s">
        <v>41</v>
      </c>
      <c r="O50" s="25" t="s">
        <v>2134</v>
      </c>
      <c r="P50" s="33">
        <v>131581.22</v>
      </c>
      <c r="Q50" s="33">
        <v>0</v>
      </c>
      <c r="R50" s="25" t="s">
        <v>841</v>
      </c>
      <c r="S50" s="25" t="s">
        <v>303</v>
      </c>
      <c r="T50" s="25" t="s">
        <v>36</v>
      </c>
      <c r="U50" s="25" t="s">
        <v>663</v>
      </c>
      <c r="V50" s="25" t="s">
        <v>2141</v>
      </c>
      <c r="W50" s="25" t="s">
        <v>665</v>
      </c>
    </row>
    <row r="51" s="22" customFormat="1" ht="16.5" customHeight="1" spans="1:23">
      <c r="A51" s="29" t="s">
        <v>2142</v>
      </c>
      <c r="B51" s="29" t="s">
        <v>32</v>
      </c>
      <c r="C51" s="29" t="s">
        <v>2143</v>
      </c>
      <c r="D51" s="30">
        <v>1</v>
      </c>
      <c r="E51" s="29" t="s">
        <v>2144</v>
      </c>
      <c r="F51" s="31">
        <v>45804</v>
      </c>
      <c r="G51" s="31">
        <v>45804</v>
      </c>
      <c r="H51" s="32" t="s">
        <v>444</v>
      </c>
      <c r="I51" s="29" t="s">
        <v>445</v>
      </c>
      <c r="J51" s="32" t="s">
        <v>41</v>
      </c>
      <c r="K51" s="29" t="s">
        <v>660</v>
      </c>
      <c r="L51" s="32" t="s">
        <v>41</v>
      </c>
      <c r="M51" s="29" t="s">
        <v>492</v>
      </c>
      <c r="N51" s="32" t="s">
        <v>41</v>
      </c>
      <c r="O51" s="29" t="s">
        <v>1994</v>
      </c>
      <c r="P51" s="34">
        <v>0</v>
      </c>
      <c r="Q51" s="34">
        <v>376230.88</v>
      </c>
      <c r="R51" s="29" t="s">
        <v>149</v>
      </c>
      <c r="S51" s="29" t="s">
        <v>251</v>
      </c>
      <c r="T51" s="29" t="s">
        <v>36</v>
      </c>
      <c r="U51" s="29" t="s">
        <v>663</v>
      </c>
      <c r="V51" s="29" t="s">
        <v>186</v>
      </c>
      <c r="W51" s="29" t="s">
        <v>665</v>
      </c>
    </row>
    <row r="52" s="22" customFormat="1" ht="16.5" customHeight="1" spans="1:23">
      <c r="A52" s="25" t="s">
        <v>2142</v>
      </c>
      <c r="B52" s="25" t="s">
        <v>32</v>
      </c>
      <c r="C52" s="25" t="s">
        <v>2143</v>
      </c>
      <c r="D52" s="26">
        <v>3</v>
      </c>
      <c r="E52" s="25" t="s">
        <v>2144</v>
      </c>
      <c r="F52" s="27">
        <v>45804</v>
      </c>
      <c r="G52" s="27">
        <v>45804</v>
      </c>
      <c r="H52" s="28" t="s">
        <v>444</v>
      </c>
      <c r="I52" s="25" t="s">
        <v>445</v>
      </c>
      <c r="J52" s="28" t="s">
        <v>41</v>
      </c>
      <c r="K52" s="25" t="s">
        <v>660</v>
      </c>
      <c r="L52" s="28" t="s">
        <v>41</v>
      </c>
      <c r="M52" s="25" t="s">
        <v>492</v>
      </c>
      <c r="N52" s="28" t="s">
        <v>41</v>
      </c>
      <c r="O52" s="25" t="s">
        <v>1994</v>
      </c>
      <c r="P52" s="33">
        <v>108224.88</v>
      </c>
      <c r="Q52" s="33">
        <v>0</v>
      </c>
      <c r="R52" s="25" t="s">
        <v>149</v>
      </c>
      <c r="S52" s="25" t="s">
        <v>251</v>
      </c>
      <c r="T52" s="25" t="s">
        <v>36</v>
      </c>
      <c r="U52" s="25" t="s">
        <v>663</v>
      </c>
      <c r="V52" s="25" t="s">
        <v>186</v>
      </c>
      <c r="W52" s="25" t="s">
        <v>665</v>
      </c>
    </row>
    <row r="53" s="22" customFormat="1" ht="16.5" customHeight="1" spans="1:23">
      <c r="A53" s="29" t="s">
        <v>2145</v>
      </c>
      <c r="B53" s="29" t="s">
        <v>32</v>
      </c>
      <c r="C53" s="29" t="s">
        <v>2146</v>
      </c>
      <c r="D53" s="30">
        <v>1</v>
      </c>
      <c r="E53" s="29" t="s">
        <v>2147</v>
      </c>
      <c r="F53" s="31">
        <v>45804</v>
      </c>
      <c r="G53" s="31">
        <v>45804</v>
      </c>
      <c r="H53" s="32" t="s">
        <v>444</v>
      </c>
      <c r="I53" s="29" t="s">
        <v>445</v>
      </c>
      <c r="J53" s="32" t="s">
        <v>41</v>
      </c>
      <c r="K53" s="29" t="s">
        <v>660</v>
      </c>
      <c r="L53" s="32" t="s">
        <v>41</v>
      </c>
      <c r="M53" s="29" t="s">
        <v>492</v>
      </c>
      <c r="N53" s="32" t="s">
        <v>41</v>
      </c>
      <c r="O53" s="29" t="s">
        <v>1994</v>
      </c>
      <c r="P53" s="34">
        <v>0</v>
      </c>
      <c r="Q53" s="34">
        <v>60606.59</v>
      </c>
      <c r="R53" s="29" t="s">
        <v>758</v>
      </c>
      <c r="S53" s="29" t="s">
        <v>314</v>
      </c>
      <c r="T53" s="29" t="s">
        <v>36</v>
      </c>
      <c r="U53" s="29" t="s">
        <v>663</v>
      </c>
      <c r="V53" s="29" t="s">
        <v>2148</v>
      </c>
      <c r="W53" s="29" t="s">
        <v>665</v>
      </c>
    </row>
    <row r="54" s="22" customFormat="1" ht="16.5" customHeight="1" spans="1:23">
      <c r="A54" s="25" t="s">
        <v>2149</v>
      </c>
      <c r="B54" s="25" t="s">
        <v>32</v>
      </c>
      <c r="C54" s="25" t="s">
        <v>2150</v>
      </c>
      <c r="D54" s="26">
        <v>1</v>
      </c>
      <c r="E54" s="25" t="s">
        <v>2151</v>
      </c>
      <c r="F54" s="27">
        <v>45804</v>
      </c>
      <c r="G54" s="27">
        <v>45804</v>
      </c>
      <c r="H54" s="28" t="s">
        <v>444</v>
      </c>
      <c r="I54" s="25" t="s">
        <v>445</v>
      </c>
      <c r="J54" s="28" t="s">
        <v>41</v>
      </c>
      <c r="K54" s="25" t="s">
        <v>660</v>
      </c>
      <c r="L54" s="28" t="s">
        <v>41</v>
      </c>
      <c r="M54" s="25" t="s">
        <v>492</v>
      </c>
      <c r="N54" s="28" t="s">
        <v>41</v>
      </c>
      <c r="O54" s="25" t="s">
        <v>1998</v>
      </c>
      <c r="P54" s="33">
        <v>0</v>
      </c>
      <c r="Q54" s="33">
        <v>1330357.36</v>
      </c>
      <c r="R54" s="25" t="s">
        <v>1552</v>
      </c>
      <c r="S54" s="25" t="s">
        <v>256</v>
      </c>
      <c r="T54" s="25" t="s">
        <v>36</v>
      </c>
      <c r="U54" s="25" t="s">
        <v>663</v>
      </c>
      <c r="V54" s="25" t="s">
        <v>2152</v>
      </c>
      <c r="W54" s="25" t="s">
        <v>665</v>
      </c>
    </row>
    <row r="55" s="22" customFormat="1" ht="16.5" customHeight="1" spans="1:23">
      <c r="A55" s="29" t="s">
        <v>2149</v>
      </c>
      <c r="B55" s="29" t="s">
        <v>32</v>
      </c>
      <c r="C55" s="29" t="s">
        <v>2150</v>
      </c>
      <c r="D55" s="30">
        <v>3</v>
      </c>
      <c r="E55" s="29" t="s">
        <v>2151</v>
      </c>
      <c r="F55" s="31">
        <v>45804</v>
      </c>
      <c r="G55" s="31">
        <v>45804</v>
      </c>
      <c r="H55" s="32" t="s">
        <v>444</v>
      </c>
      <c r="I55" s="29" t="s">
        <v>445</v>
      </c>
      <c r="J55" s="32" t="s">
        <v>41</v>
      </c>
      <c r="K55" s="29" t="s">
        <v>660</v>
      </c>
      <c r="L55" s="32" t="s">
        <v>41</v>
      </c>
      <c r="M55" s="29" t="s">
        <v>492</v>
      </c>
      <c r="N55" s="32" t="s">
        <v>41</v>
      </c>
      <c r="O55" s="29" t="s">
        <v>1998</v>
      </c>
      <c r="P55" s="34">
        <v>39833.46</v>
      </c>
      <c r="Q55" s="34">
        <v>0</v>
      </c>
      <c r="R55" s="29" t="s">
        <v>1552</v>
      </c>
      <c r="S55" s="29" t="s">
        <v>256</v>
      </c>
      <c r="T55" s="29" t="s">
        <v>36</v>
      </c>
      <c r="U55" s="29" t="s">
        <v>663</v>
      </c>
      <c r="V55" s="29" t="s">
        <v>2152</v>
      </c>
      <c r="W55" s="29" t="s">
        <v>665</v>
      </c>
    </row>
    <row r="56" s="22" customFormat="1" ht="16.5" customHeight="1" spans="1:23">
      <c r="A56" s="25" t="s">
        <v>2153</v>
      </c>
      <c r="B56" s="25" t="s">
        <v>32</v>
      </c>
      <c r="C56" s="25" t="s">
        <v>2154</v>
      </c>
      <c r="D56" s="26">
        <v>1</v>
      </c>
      <c r="E56" s="25" t="s">
        <v>2155</v>
      </c>
      <c r="F56" s="27">
        <v>45804</v>
      </c>
      <c r="G56" s="27">
        <v>45804</v>
      </c>
      <c r="H56" s="28" t="s">
        <v>444</v>
      </c>
      <c r="I56" s="25" t="s">
        <v>445</v>
      </c>
      <c r="J56" s="28" t="s">
        <v>41</v>
      </c>
      <c r="K56" s="25" t="s">
        <v>660</v>
      </c>
      <c r="L56" s="28" t="s">
        <v>41</v>
      </c>
      <c r="M56" s="25" t="s">
        <v>492</v>
      </c>
      <c r="N56" s="28" t="s">
        <v>41</v>
      </c>
      <c r="O56" s="25" t="s">
        <v>2156</v>
      </c>
      <c r="P56" s="33">
        <v>0.01</v>
      </c>
      <c r="Q56" s="33">
        <v>0</v>
      </c>
      <c r="R56" s="25" t="s">
        <v>1552</v>
      </c>
      <c r="S56" s="25" t="s">
        <v>256</v>
      </c>
      <c r="T56" s="25" t="s">
        <v>36</v>
      </c>
      <c r="U56" s="25" t="s">
        <v>663</v>
      </c>
      <c r="V56" s="25" t="s">
        <v>2157</v>
      </c>
      <c r="W56" s="25" t="s">
        <v>665</v>
      </c>
    </row>
    <row r="57" s="22" customFormat="1" ht="16.5" customHeight="1" spans="1:23">
      <c r="A57" s="29" t="s">
        <v>2158</v>
      </c>
      <c r="B57" s="29" t="s">
        <v>32</v>
      </c>
      <c r="C57" s="29" t="s">
        <v>2159</v>
      </c>
      <c r="D57" s="30">
        <v>1</v>
      </c>
      <c r="E57" s="29" t="s">
        <v>2160</v>
      </c>
      <c r="F57" s="31">
        <v>45804</v>
      </c>
      <c r="G57" s="31">
        <v>45804</v>
      </c>
      <c r="H57" s="32" t="s">
        <v>444</v>
      </c>
      <c r="I57" s="29" t="s">
        <v>445</v>
      </c>
      <c r="J57" s="32" t="s">
        <v>41</v>
      </c>
      <c r="K57" s="29" t="s">
        <v>660</v>
      </c>
      <c r="L57" s="32" t="s">
        <v>41</v>
      </c>
      <c r="M57" s="29" t="s">
        <v>492</v>
      </c>
      <c r="N57" s="32" t="s">
        <v>41</v>
      </c>
      <c r="O57" s="29" t="s">
        <v>1994</v>
      </c>
      <c r="P57" s="34">
        <v>0</v>
      </c>
      <c r="Q57" s="34">
        <v>8239.78</v>
      </c>
      <c r="R57" s="29" t="s">
        <v>914</v>
      </c>
      <c r="S57" s="29" t="s">
        <v>270</v>
      </c>
      <c r="T57" s="29" t="s">
        <v>36</v>
      </c>
      <c r="U57" s="29" t="s">
        <v>663</v>
      </c>
      <c r="V57" s="29" t="s">
        <v>2161</v>
      </c>
      <c r="W57" s="29" t="s">
        <v>665</v>
      </c>
    </row>
    <row r="58" s="22" customFormat="1" ht="16.5" customHeight="1" spans="1:23">
      <c r="A58" s="25" t="s">
        <v>2162</v>
      </c>
      <c r="B58" s="25" t="s">
        <v>32</v>
      </c>
      <c r="C58" s="25" t="s">
        <v>2163</v>
      </c>
      <c r="D58" s="26">
        <v>1</v>
      </c>
      <c r="E58" s="25" t="s">
        <v>2164</v>
      </c>
      <c r="F58" s="27">
        <v>45805</v>
      </c>
      <c r="G58" s="27">
        <v>45805</v>
      </c>
      <c r="H58" s="28" t="s">
        <v>444</v>
      </c>
      <c r="I58" s="25" t="s">
        <v>445</v>
      </c>
      <c r="J58" s="28" t="s">
        <v>41</v>
      </c>
      <c r="K58" s="25" t="s">
        <v>660</v>
      </c>
      <c r="L58" s="28" t="s">
        <v>41</v>
      </c>
      <c r="M58" s="25" t="s">
        <v>492</v>
      </c>
      <c r="N58" s="28" t="s">
        <v>41</v>
      </c>
      <c r="O58" s="25" t="s">
        <v>2099</v>
      </c>
      <c r="P58" s="33">
        <v>0</v>
      </c>
      <c r="Q58" s="33">
        <v>2729.85</v>
      </c>
      <c r="R58" s="25" t="s">
        <v>788</v>
      </c>
      <c r="S58" s="25" t="s">
        <v>412</v>
      </c>
      <c r="T58" s="25" t="s">
        <v>36</v>
      </c>
      <c r="U58" s="25" t="s">
        <v>663</v>
      </c>
      <c r="V58" s="25" t="s">
        <v>2165</v>
      </c>
      <c r="W58" s="25" t="s">
        <v>665</v>
      </c>
    </row>
    <row r="59" s="22" customFormat="1" ht="16.5" customHeight="1" spans="1:23">
      <c r="A59" s="29" t="s">
        <v>2166</v>
      </c>
      <c r="B59" s="29" t="s">
        <v>32</v>
      </c>
      <c r="C59" s="29" t="s">
        <v>2167</v>
      </c>
      <c r="D59" s="30">
        <v>1</v>
      </c>
      <c r="E59" s="29" t="s">
        <v>2168</v>
      </c>
      <c r="F59" s="31">
        <v>45805</v>
      </c>
      <c r="G59" s="31">
        <v>45805</v>
      </c>
      <c r="H59" s="32" t="s">
        <v>444</v>
      </c>
      <c r="I59" s="29" t="s">
        <v>445</v>
      </c>
      <c r="J59" s="32" t="s">
        <v>41</v>
      </c>
      <c r="K59" s="29" t="s">
        <v>660</v>
      </c>
      <c r="L59" s="32" t="s">
        <v>41</v>
      </c>
      <c r="M59" s="29" t="s">
        <v>492</v>
      </c>
      <c r="N59" s="32" t="s">
        <v>41</v>
      </c>
      <c r="O59" s="29" t="s">
        <v>1994</v>
      </c>
      <c r="P59" s="34">
        <v>0</v>
      </c>
      <c r="Q59" s="34">
        <v>51075.89</v>
      </c>
      <c r="R59" s="29" t="s">
        <v>881</v>
      </c>
      <c r="S59" s="29" t="s">
        <v>243</v>
      </c>
      <c r="T59" s="29" t="s">
        <v>36</v>
      </c>
      <c r="U59" s="29" t="s">
        <v>663</v>
      </c>
      <c r="V59" s="29" t="s">
        <v>2169</v>
      </c>
      <c r="W59" s="29" t="s">
        <v>665</v>
      </c>
    </row>
    <row r="60" s="22" customFormat="1" ht="16.5" customHeight="1" spans="1:23">
      <c r="A60" s="25" t="s">
        <v>2170</v>
      </c>
      <c r="B60" s="25" t="s">
        <v>32</v>
      </c>
      <c r="C60" s="25" t="s">
        <v>2171</v>
      </c>
      <c r="D60" s="26">
        <v>1</v>
      </c>
      <c r="E60" s="25" t="s">
        <v>2172</v>
      </c>
      <c r="F60" s="27">
        <v>45805</v>
      </c>
      <c r="G60" s="27">
        <v>45805</v>
      </c>
      <c r="H60" s="28" t="s">
        <v>444</v>
      </c>
      <c r="I60" s="25" t="s">
        <v>445</v>
      </c>
      <c r="J60" s="28" t="s">
        <v>41</v>
      </c>
      <c r="K60" s="25" t="s">
        <v>660</v>
      </c>
      <c r="L60" s="28" t="s">
        <v>41</v>
      </c>
      <c r="M60" s="25" t="s">
        <v>492</v>
      </c>
      <c r="N60" s="28" t="s">
        <v>41</v>
      </c>
      <c r="O60" s="25" t="s">
        <v>1994</v>
      </c>
      <c r="P60" s="33">
        <v>0</v>
      </c>
      <c r="Q60" s="33">
        <v>293406.38</v>
      </c>
      <c r="R60" s="25" t="s">
        <v>961</v>
      </c>
      <c r="S60" s="25" t="s">
        <v>254</v>
      </c>
      <c r="T60" s="25" t="s">
        <v>36</v>
      </c>
      <c r="U60" s="25" t="s">
        <v>663</v>
      </c>
      <c r="V60" s="25" t="s">
        <v>2173</v>
      </c>
      <c r="W60" s="25" t="s">
        <v>665</v>
      </c>
    </row>
    <row r="61" s="22" customFormat="1" ht="16.5" customHeight="1" spans="1:23">
      <c r="A61" s="29" t="s">
        <v>2170</v>
      </c>
      <c r="B61" s="29" t="s">
        <v>32</v>
      </c>
      <c r="C61" s="29" t="s">
        <v>2171</v>
      </c>
      <c r="D61" s="30">
        <v>3</v>
      </c>
      <c r="E61" s="29" t="s">
        <v>2172</v>
      </c>
      <c r="F61" s="31">
        <v>45805</v>
      </c>
      <c r="G61" s="31">
        <v>45805</v>
      </c>
      <c r="H61" s="32" t="s">
        <v>444</v>
      </c>
      <c r="I61" s="29" t="s">
        <v>445</v>
      </c>
      <c r="J61" s="32" t="s">
        <v>41</v>
      </c>
      <c r="K61" s="29" t="s">
        <v>660</v>
      </c>
      <c r="L61" s="32" t="s">
        <v>41</v>
      </c>
      <c r="M61" s="29" t="s">
        <v>492</v>
      </c>
      <c r="N61" s="32" t="s">
        <v>41</v>
      </c>
      <c r="O61" s="29" t="s">
        <v>1994</v>
      </c>
      <c r="P61" s="34">
        <v>24.04</v>
      </c>
      <c r="Q61" s="34">
        <v>0</v>
      </c>
      <c r="R61" s="29" t="s">
        <v>961</v>
      </c>
      <c r="S61" s="29" t="s">
        <v>254</v>
      </c>
      <c r="T61" s="29" t="s">
        <v>36</v>
      </c>
      <c r="U61" s="29" t="s">
        <v>663</v>
      </c>
      <c r="V61" s="29" t="s">
        <v>2173</v>
      </c>
      <c r="W61" s="29" t="s">
        <v>665</v>
      </c>
    </row>
    <row r="62" s="22" customFormat="1" ht="16.5" customHeight="1" spans="1:23">
      <c r="A62" s="25" t="s">
        <v>2174</v>
      </c>
      <c r="B62" s="25" t="s">
        <v>32</v>
      </c>
      <c r="C62" s="25" t="s">
        <v>2175</v>
      </c>
      <c r="D62" s="26">
        <v>1</v>
      </c>
      <c r="E62" s="25" t="s">
        <v>2176</v>
      </c>
      <c r="F62" s="27">
        <v>45805</v>
      </c>
      <c r="G62" s="27">
        <v>45805</v>
      </c>
      <c r="H62" s="28" t="s">
        <v>444</v>
      </c>
      <c r="I62" s="25" t="s">
        <v>445</v>
      </c>
      <c r="J62" s="28" t="s">
        <v>41</v>
      </c>
      <c r="K62" s="25" t="s">
        <v>660</v>
      </c>
      <c r="L62" s="28" t="s">
        <v>41</v>
      </c>
      <c r="M62" s="25" t="s">
        <v>492</v>
      </c>
      <c r="N62" s="28" t="s">
        <v>41</v>
      </c>
      <c r="O62" s="25" t="s">
        <v>2177</v>
      </c>
      <c r="P62" s="33">
        <v>0</v>
      </c>
      <c r="Q62" s="33">
        <v>0.04</v>
      </c>
      <c r="R62" s="25" t="s">
        <v>961</v>
      </c>
      <c r="S62" s="25" t="s">
        <v>254</v>
      </c>
      <c r="T62" s="25" t="s">
        <v>36</v>
      </c>
      <c r="U62" s="25" t="s">
        <v>663</v>
      </c>
      <c r="V62" s="25" t="s">
        <v>2178</v>
      </c>
      <c r="W62" s="25" t="s">
        <v>665</v>
      </c>
    </row>
    <row r="63" s="22" customFormat="1" ht="16.5" customHeight="1" spans="1:23">
      <c r="A63" s="29" t="s">
        <v>2179</v>
      </c>
      <c r="B63" s="29" t="s">
        <v>32</v>
      </c>
      <c r="C63" s="29" t="s">
        <v>2180</v>
      </c>
      <c r="D63" s="30">
        <v>1</v>
      </c>
      <c r="E63" s="29" t="s">
        <v>2181</v>
      </c>
      <c r="F63" s="31">
        <v>45805</v>
      </c>
      <c r="G63" s="31">
        <v>45805</v>
      </c>
      <c r="H63" s="32" t="s">
        <v>444</v>
      </c>
      <c r="I63" s="29" t="s">
        <v>445</v>
      </c>
      <c r="J63" s="32" t="s">
        <v>41</v>
      </c>
      <c r="K63" s="29" t="s">
        <v>660</v>
      </c>
      <c r="L63" s="32" t="s">
        <v>41</v>
      </c>
      <c r="M63" s="29" t="s">
        <v>492</v>
      </c>
      <c r="N63" s="32" t="s">
        <v>41</v>
      </c>
      <c r="O63" s="29" t="s">
        <v>1994</v>
      </c>
      <c r="P63" s="34">
        <v>0</v>
      </c>
      <c r="Q63" s="34">
        <v>16832.48</v>
      </c>
      <c r="R63" s="29" t="s">
        <v>861</v>
      </c>
      <c r="S63" s="29" t="s">
        <v>244</v>
      </c>
      <c r="T63" s="29" t="s">
        <v>36</v>
      </c>
      <c r="U63" s="29" t="s">
        <v>663</v>
      </c>
      <c r="V63" s="29" t="s">
        <v>2182</v>
      </c>
      <c r="W63" s="29" t="s">
        <v>665</v>
      </c>
    </row>
    <row r="64" s="22" customFormat="1" ht="16.5" customHeight="1" spans="1:23">
      <c r="A64" s="25" t="s">
        <v>2183</v>
      </c>
      <c r="B64" s="25" t="s">
        <v>32</v>
      </c>
      <c r="C64" s="25" t="s">
        <v>2184</v>
      </c>
      <c r="D64" s="26">
        <v>1</v>
      </c>
      <c r="E64" s="25" t="s">
        <v>2185</v>
      </c>
      <c r="F64" s="27">
        <v>45805</v>
      </c>
      <c r="G64" s="27">
        <v>45805</v>
      </c>
      <c r="H64" s="28" t="s">
        <v>444</v>
      </c>
      <c r="I64" s="25" t="s">
        <v>445</v>
      </c>
      <c r="J64" s="28" t="s">
        <v>41</v>
      </c>
      <c r="K64" s="25" t="s">
        <v>660</v>
      </c>
      <c r="L64" s="28" t="s">
        <v>41</v>
      </c>
      <c r="M64" s="25" t="s">
        <v>492</v>
      </c>
      <c r="N64" s="28" t="s">
        <v>41</v>
      </c>
      <c r="O64" s="25" t="s">
        <v>1994</v>
      </c>
      <c r="P64" s="33">
        <v>0</v>
      </c>
      <c r="Q64" s="33">
        <v>51697.39</v>
      </c>
      <c r="R64" s="25" t="s">
        <v>866</v>
      </c>
      <c r="S64" s="25" t="s">
        <v>250</v>
      </c>
      <c r="T64" s="25" t="s">
        <v>36</v>
      </c>
      <c r="U64" s="25" t="s">
        <v>663</v>
      </c>
      <c r="V64" s="25" t="s">
        <v>2186</v>
      </c>
      <c r="W64" s="25" t="s">
        <v>665</v>
      </c>
    </row>
    <row r="65" s="22" customFormat="1" ht="16.5" customHeight="1" spans="1:23">
      <c r="A65" s="29" t="s">
        <v>2183</v>
      </c>
      <c r="B65" s="29" t="s">
        <v>32</v>
      </c>
      <c r="C65" s="29" t="s">
        <v>2184</v>
      </c>
      <c r="D65" s="30">
        <v>4</v>
      </c>
      <c r="E65" s="29" t="s">
        <v>2185</v>
      </c>
      <c r="F65" s="31">
        <v>45805</v>
      </c>
      <c r="G65" s="31">
        <v>45805</v>
      </c>
      <c r="H65" s="32" t="s">
        <v>444</v>
      </c>
      <c r="I65" s="29" t="s">
        <v>445</v>
      </c>
      <c r="J65" s="32" t="s">
        <v>41</v>
      </c>
      <c r="K65" s="29" t="s">
        <v>660</v>
      </c>
      <c r="L65" s="32" t="s">
        <v>41</v>
      </c>
      <c r="M65" s="29" t="s">
        <v>492</v>
      </c>
      <c r="N65" s="32" t="s">
        <v>41</v>
      </c>
      <c r="O65" s="29" t="s">
        <v>1994</v>
      </c>
      <c r="P65" s="34">
        <v>5.28</v>
      </c>
      <c r="Q65" s="34">
        <v>0</v>
      </c>
      <c r="R65" s="29" t="s">
        <v>866</v>
      </c>
      <c r="S65" s="29" t="s">
        <v>250</v>
      </c>
      <c r="T65" s="29" t="s">
        <v>36</v>
      </c>
      <c r="U65" s="29" t="s">
        <v>663</v>
      </c>
      <c r="V65" s="29" t="s">
        <v>2186</v>
      </c>
      <c r="W65" s="29" t="s">
        <v>665</v>
      </c>
    </row>
    <row r="66" s="22" customFormat="1" ht="16.5" customHeight="1" spans="1:23">
      <c r="A66" s="25" t="s">
        <v>2187</v>
      </c>
      <c r="B66" s="25" t="s">
        <v>32</v>
      </c>
      <c r="C66" s="25" t="s">
        <v>2188</v>
      </c>
      <c r="D66" s="26">
        <v>1</v>
      </c>
      <c r="E66" s="25" t="s">
        <v>2189</v>
      </c>
      <c r="F66" s="27">
        <v>45805</v>
      </c>
      <c r="G66" s="27">
        <v>45805</v>
      </c>
      <c r="H66" s="28" t="s">
        <v>444</v>
      </c>
      <c r="I66" s="25" t="s">
        <v>445</v>
      </c>
      <c r="J66" s="28" t="s">
        <v>41</v>
      </c>
      <c r="K66" s="25" t="s">
        <v>660</v>
      </c>
      <c r="L66" s="28" t="s">
        <v>41</v>
      </c>
      <c r="M66" s="25" t="s">
        <v>492</v>
      </c>
      <c r="N66" s="28" t="s">
        <v>41</v>
      </c>
      <c r="O66" s="25" t="s">
        <v>2190</v>
      </c>
      <c r="P66" s="33">
        <v>0</v>
      </c>
      <c r="Q66" s="33">
        <v>24376</v>
      </c>
      <c r="R66" s="25" t="s">
        <v>899</v>
      </c>
      <c r="S66" s="25" t="s">
        <v>245</v>
      </c>
      <c r="T66" s="25" t="s">
        <v>36</v>
      </c>
      <c r="U66" s="25" t="s">
        <v>663</v>
      </c>
      <c r="V66" s="25" t="s">
        <v>2191</v>
      </c>
      <c r="W66" s="25" t="s">
        <v>665</v>
      </c>
    </row>
    <row r="67" s="22" customFormat="1" ht="16.5" customHeight="1" spans="1:23">
      <c r="A67" s="29" t="s">
        <v>2187</v>
      </c>
      <c r="B67" s="29" t="s">
        <v>32</v>
      </c>
      <c r="C67" s="29" t="s">
        <v>2188</v>
      </c>
      <c r="D67" s="30">
        <v>3</v>
      </c>
      <c r="E67" s="29" t="s">
        <v>2189</v>
      </c>
      <c r="F67" s="31">
        <v>45805</v>
      </c>
      <c r="G67" s="31">
        <v>45805</v>
      </c>
      <c r="H67" s="32" t="s">
        <v>444</v>
      </c>
      <c r="I67" s="29" t="s">
        <v>445</v>
      </c>
      <c r="J67" s="32" t="s">
        <v>41</v>
      </c>
      <c r="K67" s="29" t="s">
        <v>660</v>
      </c>
      <c r="L67" s="32" t="s">
        <v>41</v>
      </c>
      <c r="M67" s="29" t="s">
        <v>492</v>
      </c>
      <c r="N67" s="32" t="s">
        <v>41</v>
      </c>
      <c r="O67" s="29" t="s">
        <v>2190</v>
      </c>
      <c r="P67" s="34">
        <v>1.26</v>
      </c>
      <c r="Q67" s="34">
        <v>0</v>
      </c>
      <c r="R67" s="29" t="s">
        <v>899</v>
      </c>
      <c r="S67" s="29" t="s">
        <v>245</v>
      </c>
      <c r="T67" s="29" t="s">
        <v>36</v>
      </c>
      <c r="U67" s="29" t="s">
        <v>663</v>
      </c>
      <c r="V67" s="29" t="s">
        <v>2191</v>
      </c>
      <c r="W67" s="29" t="s">
        <v>665</v>
      </c>
    </row>
    <row r="68" s="22" customFormat="1" ht="16.5" customHeight="1" spans="1:23">
      <c r="A68" s="25" t="s">
        <v>2192</v>
      </c>
      <c r="B68" s="25" t="s">
        <v>32</v>
      </c>
      <c r="C68" s="25" t="s">
        <v>2193</v>
      </c>
      <c r="D68" s="26">
        <v>1</v>
      </c>
      <c r="E68" s="25" t="s">
        <v>2194</v>
      </c>
      <c r="F68" s="27">
        <v>45805</v>
      </c>
      <c r="G68" s="27">
        <v>45805</v>
      </c>
      <c r="H68" s="28" t="s">
        <v>444</v>
      </c>
      <c r="I68" s="25" t="s">
        <v>445</v>
      </c>
      <c r="J68" s="28" t="s">
        <v>41</v>
      </c>
      <c r="K68" s="25" t="s">
        <v>660</v>
      </c>
      <c r="L68" s="28" t="s">
        <v>41</v>
      </c>
      <c r="M68" s="25" t="s">
        <v>492</v>
      </c>
      <c r="N68" s="28" t="s">
        <v>41</v>
      </c>
      <c r="O68" s="25" t="s">
        <v>2195</v>
      </c>
      <c r="P68" s="33">
        <v>0</v>
      </c>
      <c r="Q68" s="33">
        <v>0.02</v>
      </c>
      <c r="R68" s="25" t="s">
        <v>899</v>
      </c>
      <c r="S68" s="25" t="s">
        <v>245</v>
      </c>
      <c r="T68" s="25" t="s">
        <v>36</v>
      </c>
      <c r="U68" s="25" t="s">
        <v>663</v>
      </c>
      <c r="V68" s="25" t="s">
        <v>2196</v>
      </c>
      <c r="W68" s="25" t="s">
        <v>665</v>
      </c>
    </row>
    <row r="69" s="22" customFormat="1" ht="16.5" customHeight="1" spans="1:23">
      <c r="A69" s="29" t="s">
        <v>2197</v>
      </c>
      <c r="B69" s="29" t="s">
        <v>32</v>
      </c>
      <c r="C69" s="29" t="s">
        <v>2198</v>
      </c>
      <c r="D69" s="30">
        <v>1</v>
      </c>
      <c r="E69" s="29" t="s">
        <v>2199</v>
      </c>
      <c r="F69" s="31">
        <v>45805</v>
      </c>
      <c r="G69" s="31">
        <v>45805</v>
      </c>
      <c r="H69" s="32" t="s">
        <v>444</v>
      </c>
      <c r="I69" s="29" t="s">
        <v>445</v>
      </c>
      <c r="J69" s="32" t="s">
        <v>41</v>
      </c>
      <c r="K69" s="29" t="s">
        <v>660</v>
      </c>
      <c r="L69" s="32" t="s">
        <v>41</v>
      </c>
      <c r="M69" s="29" t="s">
        <v>492</v>
      </c>
      <c r="N69" s="32" t="s">
        <v>41</v>
      </c>
      <c r="O69" s="29" t="s">
        <v>1994</v>
      </c>
      <c r="P69" s="34">
        <v>0</v>
      </c>
      <c r="Q69" s="34">
        <v>397162.69</v>
      </c>
      <c r="R69" s="29" t="s">
        <v>904</v>
      </c>
      <c r="S69" s="29" t="s">
        <v>258</v>
      </c>
      <c r="T69" s="29" t="s">
        <v>36</v>
      </c>
      <c r="U69" s="29" t="s">
        <v>663</v>
      </c>
      <c r="V69" s="29" t="s">
        <v>2200</v>
      </c>
      <c r="W69" s="29" t="s">
        <v>665</v>
      </c>
    </row>
    <row r="70" s="22" customFormat="1" ht="16.5" customHeight="1" spans="1:23">
      <c r="A70" s="25" t="s">
        <v>2201</v>
      </c>
      <c r="B70" s="25" t="s">
        <v>32</v>
      </c>
      <c r="C70" s="25" t="s">
        <v>2202</v>
      </c>
      <c r="D70" s="26">
        <v>1</v>
      </c>
      <c r="E70" s="25" t="s">
        <v>2203</v>
      </c>
      <c r="F70" s="27">
        <v>45805</v>
      </c>
      <c r="G70" s="27">
        <v>45805</v>
      </c>
      <c r="H70" s="28" t="s">
        <v>444</v>
      </c>
      <c r="I70" s="25" t="s">
        <v>445</v>
      </c>
      <c r="J70" s="28" t="s">
        <v>41</v>
      </c>
      <c r="K70" s="25" t="s">
        <v>660</v>
      </c>
      <c r="L70" s="28" t="s">
        <v>41</v>
      </c>
      <c r="M70" s="25" t="s">
        <v>492</v>
      </c>
      <c r="N70" s="28" t="s">
        <v>41</v>
      </c>
      <c r="O70" s="25" t="s">
        <v>1994</v>
      </c>
      <c r="P70" s="33">
        <v>0</v>
      </c>
      <c r="Q70" s="33">
        <v>112.74</v>
      </c>
      <c r="R70" s="25" t="s">
        <v>1191</v>
      </c>
      <c r="S70" s="25" t="s">
        <v>255</v>
      </c>
      <c r="T70" s="25" t="s">
        <v>36</v>
      </c>
      <c r="U70" s="25" t="s">
        <v>663</v>
      </c>
      <c r="V70" s="25" t="s">
        <v>2204</v>
      </c>
      <c r="W70" s="25" t="s">
        <v>665</v>
      </c>
    </row>
    <row r="71" s="22" customFormat="1" ht="16.5" customHeight="1" spans="1:23">
      <c r="A71" s="29" t="s">
        <v>2201</v>
      </c>
      <c r="B71" s="29" t="s">
        <v>32</v>
      </c>
      <c r="C71" s="29" t="s">
        <v>2202</v>
      </c>
      <c r="D71" s="30">
        <v>3</v>
      </c>
      <c r="E71" s="29" t="s">
        <v>2203</v>
      </c>
      <c r="F71" s="31">
        <v>45805</v>
      </c>
      <c r="G71" s="31">
        <v>45805</v>
      </c>
      <c r="H71" s="32" t="s">
        <v>444</v>
      </c>
      <c r="I71" s="29" t="s">
        <v>445</v>
      </c>
      <c r="J71" s="32" t="s">
        <v>41</v>
      </c>
      <c r="K71" s="29" t="s">
        <v>660</v>
      </c>
      <c r="L71" s="32" t="s">
        <v>41</v>
      </c>
      <c r="M71" s="29" t="s">
        <v>492</v>
      </c>
      <c r="N71" s="32" t="s">
        <v>41</v>
      </c>
      <c r="O71" s="29" t="s">
        <v>1994</v>
      </c>
      <c r="P71" s="34">
        <v>2.99</v>
      </c>
      <c r="Q71" s="34">
        <v>0</v>
      </c>
      <c r="R71" s="29" t="s">
        <v>1191</v>
      </c>
      <c r="S71" s="29" t="s">
        <v>255</v>
      </c>
      <c r="T71" s="29" t="s">
        <v>36</v>
      </c>
      <c r="U71" s="29" t="s">
        <v>663</v>
      </c>
      <c r="V71" s="29" t="s">
        <v>2204</v>
      </c>
      <c r="W71" s="29" t="s">
        <v>665</v>
      </c>
    </row>
    <row r="72" s="22" customFormat="1" ht="16.5" customHeight="1" spans="1:23">
      <c r="A72" s="25" t="s">
        <v>2205</v>
      </c>
      <c r="B72" s="25" t="s">
        <v>32</v>
      </c>
      <c r="C72" s="25" t="s">
        <v>2206</v>
      </c>
      <c r="D72" s="26">
        <v>1</v>
      </c>
      <c r="E72" s="25" t="s">
        <v>2207</v>
      </c>
      <c r="F72" s="27">
        <v>45805</v>
      </c>
      <c r="G72" s="27">
        <v>45805</v>
      </c>
      <c r="H72" s="28" t="s">
        <v>444</v>
      </c>
      <c r="I72" s="25" t="s">
        <v>445</v>
      </c>
      <c r="J72" s="28" t="s">
        <v>41</v>
      </c>
      <c r="K72" s="25" t="s">
        <v>660</v>
      </c>
      <c r="L72" s="28" t="s">
        <v>41</v>
      </c>
      <c r="M72" s="25" t="s">
        <v>492</v>
      </c>
      <c r="N72" s="28" t="s">
        <v>41</v>
      </c>
      <c r="O72" s="25" t="s">
        <v>1994</v>
      </c>
      <c r="P72" s="33">
        <v>0</v>
      </c>
      <c r="Q72" s="33">
        <v>5640.28</v>
      </c>
      <c r="R72" s="25" t="s">
        <v>798</v>
      </c>
      <c r="S72" s="25" t="s">
        <v>267</v>
      </c>
      <c r="T72" s="25" t="s">
        <v>36</v>
      </c>
      <c r="U72" s="25" t="s">
        <v>663</v>
      </c>
      <c r="V72" s="25" t="s">
        <v>2208</v>
      </c>
      <c r="W72" s="25" t="s">
        <v>665</v>
      </c>
    </row>
    <row r="73" s="22" customFormat="1" ht="16.5" customHeight="1" spans="1:23">
      <c r="A73" s="29" t="s">
        <v>2209</v>
      </c>
      <c r="B73" s="29" t="s">
        <v>32</v>
      </c>
      <c r="C73" s="29" t="s">
        <v>2210</v>
      </c>
      <c r="D73" s="30">
        <v>1</v>
      </c>
      <c r="E73" s="29" t="s">
        <v>2211</v>
      </c>
      <c r="F73" s="31">
        <v>45805</v>
      </c>
      <c r="G73" s="31">
        <v>45805</v>
      </c>
      <c r="H73" s="32" t="s">
        <v>444</v>
      </c>
      <c r="I73" s="29" t="s">
        <v>445</v>
      </c>
      <c r="J73" s="32" t="s">
        <v>41</v>
      </c>
      <c r="K73" s="29" t="s">
        <v>660</v>
      </c>
      <c r="L73" s="32" t="s">
        <v>41</v>
      </c>
      <c r="M73" s="29" t="s">
        <v>492</v>
      </c>
      <c r="N73" s="32" t="s">
        <v>41</v>
      </c>
      <c r="O73" s="29" t="s">
        <v>1994</v>
      </c>
      <c r="P73" s="34">
        <v>0</v>
      </c>
      <c r="Q73" s="34">
        <v>9887.37</v>
      </c>
      <c r="R73" s="29" t="s">
        <v>1118</v>
      </c>
      <c r="S73" s="29" t="s">
        <v>312</v>
      </c>
      <c r="T73" s="29" t="s">
        <v>36</v>
      </c>
      <c r="U73" s="29" t="s">
        <v>663</v>
      </c>
      <c r="V73" s="29" t="s">
        <v>2212</v>
      </c>
      <c r="W73" s="29" t="s">
        <v>665</v>
      </c>
    </row>
    <row r="74" s="22" customFormat="1" ht="16.5" customHeight="1" spans="1:23">
      <c r="A74" s="25" t="s">
        <v>2209</v>
      </c>
      <c r="B74" s="25" t="s">
        <v>32</v>
      </c>
      <c r="C74" s="25" t="s">
        <v>2210</v>
      </c>
      <c r="D74" s="26">
        <v>3</v>
      </c>
      <c r="E74" s="25" t="s">
        <v>2211</v>
      </c>
      <c r="F74" s="27">
        <v>45805</v>
      </c>
      <c r="G74" s="27">
        <v>45805</v>
      </c>
      <c r="H74" s="28" t="s">
        <v>444</v>
      </c>
      <c r="I74" s="25" t="s">
        <v>445</v>
      </c>
      <c r="J74" s="28" t="s">
        <v>41</v>
      </c>
      <c r="K74" s="25" t="s">
        <v>660</v>
      </c>
      <c r="L74" s="28" t="s">
        <v>41</v>
      </c>
      <c r="M74" s="25" t="s">
        <v>492</v>
      </c>
      <c r="N74" s="28" t="s">
        <v>41</v>
      </c>
      <c r="O74" s="25" t="s">
        <v>1994</v>
      </c>
      <c r="P74" s="33">
        <v>4182</v>
      </c>
      <c r="Q74" s="33">
        <v>0</v>
      </c>
      <c r="R74" s="25" t="s">
        <v>1118</v>
      </c>
      <c r="S74" s="25" t="s">
        <v>312</v>
      </c>
      <c r="T74" s="25" t="s">
        <v>36</v>
      </c>
      <c r="U74" s="25" t="s">
        <v>663</v>
      </c>
      <c r="V74" s="25" t="s">
        <v>2212</v>
      </c>
      <c r="W74" s="25" t="s">
        <v>665</v>
      </c>
    </row>
    <row r="75" s="22" customFormat="1" ht="16.5" customHeight="1" spans="1:23">
      <c r="A75" s="29" t="s">
        <v>2213</v>
      </c>
      <c r="B75" s="29" t="s">
        <v>32</v>
      </c>
      <c r="C75" s="29" t="s">
        <v>2214</v>
      </c>
      <c r="D75" s="30">
        <v>1</v>
      </c>
      <c r="E75" s="29" t="s">
        <v>2215</v>
      </c>
      <c r="F75" s="31">
        <v>45805</v>
      </c>
      <c r="G75" s="31">
        <v>45805</v>
      </c>
      <c r="H75" s="32" t="s">
        <v>444</v>
      </c>
      <c r="I75" s="29" t="s">
        <v>445</v>
      </c>
      <c r="J75" s="32" t="s">
        <v>41</v>
      </c>
      <c r="K75" s="29" t="s">
        <v>660</v>
      </c>
      <c r="L75" s="32" t="s">
        <v>41</v>
      </c>
      <c r="M75" s="29" t="s">
        <v>492</v>
      </c>
      <c r="N75" s="32" t="s">
        <v>41</v>
      </c>
      <c r="O75" s="29" t="s">
        <v>1994</v>
      </c>
      <c r="P75" s="34">
        <v>0</v>
      </c>
      <c r="Q75" s="34">
        <v>88818</v>
      </c>
      <c r="R75" s="29" t="s">
        <v>711</v>
      </c>
      <c r="S75" s="29" t="s">
        <v>311</v>
      </c>
      <c r="T75" s="29" t="s">
        <v>36</v>
      </c>
      <c r="U75" s="29" t="s">
        <v>663</v>
      </c>
      <c r="V75" s="29" t="s">
        <v>2216</v>
      </c>
      <c r="W75" s="29" t="s">
        <v>665</v>
      </c>
    </row>
    <row r="76" s="22" customFormat="1" ht="16.5" customHeight="1" spans="1:23">
      <c r="A76" s="25" t="s">
        <v>2217</v>
      </c>
      <c r="B76" s="25" t="s">
        <v>32</v>
      </c>
      <c r="C76" s="25" t="s">
        <v>2218</v>
      </c>
      <c r="D76" s="26">
        <v>1</v>
      </c>
      <c r="E76" s="25" t="s">
        <v>2219</v>
      </c>
      <c r="F76" s="27">
        <v>45805</v>
      </c>
      <c r="G76" s="27">
        <v>45805</v>
      </c>
      <c r="H76" s="28" t="s">
        <v>444</v>
      </c>
      <c r="I76" s="25" t="s">
        <v>445</v>
      </c>
      <c r="J76" s="28" t="s">
        <v>41</v>
      </c>
      <c r="K76" s="25" t="s">
        <v>660</v>
      </c>
      <c r="L76" s="28" t="s">
        <v>41</v>
      </c>
      <c r="M76" s="25" t="s">
        <v>492</v>
      </c>
      <c r="N76" s="28" t="s">
        <v>41</v>
      </c>
      <c r="O76" s="25" t="s">
        <v>1994</v>
      </c>
      <c r="P76" s="33">
        <v>0</v>
      </c>
      <c r="Q76" s="33">
        <v>11526</v>
      </c>
      <c r="R76" s="25" t="s">
        <v>729</v>
      </c>
      <c r="S76" s="25" t="s">
        <v>283</v>
      </c>
      <c r="T76" s="25" t="s">
        <v>36</v>
      </c>
      <c r="U76" s="25" t="s">
        <v>663</v>
      </c>
      <c r="V76" s="25" t="s">
        <v>2220</v>
      </c>
      <c r="W76" s="25" t="s">
        <v>665</v>
      </c>
    </row>
    <row r="77" s="22" customFormat="1" ht="16.5" customHeight="1" spans="1:23">
      <c r="A77" s="29" t="s">
        <v>2221</v>
      </c>
      <c r="B77" s="29" t="s">
        <v>32</v>
      </c>
      <c r="C77" s="29" t="s">
        <v>2222</v>
      </c>
      <c r="D77" s="30">
        <v>1</v>
      </c>
      <c r="E77" s="29" t="s">
        <v>2223</v>
      </c>
      <c r="F77" s="31">
        <v>45805</v>
      </c>
      <c r="G77" s="31">
        <v>45805</v>
      </c>
      <c r="H77" s="32" t="s">
        <v>444</v>
      </c>
      <c r="I77" s="29" t="s">
        <v>445</v>
      </c>
      <c r="J77" s="32" t="s">
        <v>41</v>
      </c>
      <c r="K77" s="29" t="s">
        <v>660</v>
      </c>
      <c r="L77" s="32" t="s">
        <v>41</v>
      </c>
      <c r="M77" s="29" t="s">
        <v>492</v>
      </c>
      <c r="N77" s="32" t="s">
        <v>41</v>
      </c>
      <c r="O77" s="29" t="s">
        <v>1994</v>
      </c>
      <c r="P77" s="34">
        <v>0</v>
      </c>
      <c r="Q77" s="34">
        <v>31242.81</v>
      </c>
      <c r="R77" s="29" t="s">
        <v>783</v>
      </c>
      <c r="S77" s="29" t="s">
        <v>280</v>
      </c>
      <c r="T77" s="29" t="s">
        <v>36</v>
      </c>
      <c r="U77" s="29" t="s">
        <v>663</v>
      </c>
      <c r="V77" s="29" t="s">
        <v>2224</v>
      </c>
      <c r="W77" s="29" t="s">
        <v>665</v>
      </c>
    </row>
    <row r="78" s="22" customFormat="1" ht="16.5" customHeight="1" spans="1:23">
      <c r="A78" s="25" t="s">
        <v>2225</v>
      </c>
      <c r="B78" s="25" t="s">
        <v>32</v>
      </c>
      <c r="C78" s="25" t="s">
        <v>2226</v>
      </c>
      <c r="D78" s="26">
        <v>1</v>
      </c>
      <c r="E78" s="25" t="s">
        <v>2227</v>
      </c>
      <c r="F78" s="27">
        <v>45805</v>
      </c>
      <c r="G78" s="27">
        <v>45805</v>
      </c>
      <c r="H78" s="28" t="s">
        <v>444</v>
      </c>
      <c r="I78" s="25" t="s">
        <v>445</v>
      </c>
      <c r="J78" s="28" t="s">
        <v>41</v>
      </c>
      <c r="K78" s="25" t="s">
        <v>660</v>
      </c>
      <c r="L78" s="28" t="s">
        <v>41</v>
      </c>
      <c r="M78" s="25" t="s">
        <v>492</v>
      </c>
      <c r="N78" s="28" t="s">
        <v>41</v>
      </c>
      <c r="O78" s="25" t="s">
        <v>1994</v>
      </c>
      <c r="P78" s="33">
        <v>0</v>
      </c>
      <c r="Q78" s="33">
        <v>182805.98</v>
      </c>
      <c r="R78" s="25" t="s">
        <v>890</v>
      </c>
      <c r="S78" s="25" t="s">
        <v>263</v>
      </c>
      <c r="T78" s="25" t="s">
        <v>36</v>
      </c>
      <c r="U78" s="25" t="s">
        <v>663</v>
      </c>
      <c r="V78" s="25" t="s">
        <v>2228</v>
      </c>
      <c r="W78" s="25" t="s">
        <v>665</v>
      </c>
    </row>
    <row r="79" s="22" customFormat="1" ht="16.5" customHeight="1" spans="1:23">
      <c r="A79" s="29" t="s">
        <v>2229</v>
      </c>
      <c r="B79" s="29" t="s">
        <v>32</v>
      </c>
      <c r="C79" s="29" t="s">
        <v>2230</v>
      </c>
      <c r="D79" s="30">
        <v>1</v>
      </c>
      <c r="E79" s="29" t="s">
        <v>2231</v>
      </c>
      <c r="F79" s="31">
        <v>45806</v>
      </c>
      <c r="G79" s="31">
        <v>45806</v>
      </c>
      <c r="H79" s="32" t="s">
        <v>444</v>
      </c>
      <c r="I79" s="29" t="s">
        <v>445</v>
      </c>
      <c r="J79" s="32" t="s">
        <v>41</v>
      </c>
      <c r="K79" s="29" t="s">
        <v>660</v>
      </c>
      <c r="L79" s="32" t="s">
        <v>41</v>
      </c>
      <c r="M79" s="29" t="s">
        <v>492</v>
      </c>
      <c r="N79" s="32" t="s">
        <v>41</v>
      </c>
      <c r="O79" s="29" t="s">
        <v>1998</v>
      </c>
      <c r="P79" s="34">
        <v>0</v>
      </c>
      <c r="Q79" s="34">
        <v>16916.1</v>
      </c>
      <c r="R79" s="29" t="s">
        <v>1080</v>
      </c>
      <c r="S79" s="29" t="s">
        <v>305</v>
      </c>
      <c r="T79" s="29" t="s">
        <v>36</v>
      </c>
      <c r="U79" s="29" t="s">
        <v>663</v>
      </c>
      <c r="V79" s="29" t="s">
        <v>2232</v>
      </c>
      <c r="W79" s="29" t="s">
        <v>665</v>
      </c>
    </row>
    <row r="80" s="22" customFormat="1" ht="16.5" customHeight="1" spans="1:23">
      <c r="A80" s="25" t="s">
        <v>2233</v>
      </c>
      <c r="B80" s="25" t="s">
        <v>32</v>
      </c>
      <c r="C80" s="25" t="s">
        <v>2234</v>
      </c>
      <c r="D80" s="26">
        <v>1</v>
      </c>
      <c r="E80" s="25" t="s">
        <v>2235</v>
      </c>
      <c r="F80" s="27">
        <v>45806</v>
      </c>
      <c r="G80" s="27">
        <v>45806</v>
      </c>
      <c r="H80" s="28" t="s">
        <v>444</v>
      </c>
      <c r="I80" s="25" t="s">
        <v>445</v>
      </c>
      <c r="J80" s="28" t="s">
        <v>41</v>
      </c>
      <c r="K80" s="25" t="s">
        <v>660</v>
      </c>
      <c r="L80" s="28" t="s">
        <v>41</v>
      </c>
      <c r="M80" s="25" t="s">
        <v>492</v>
      </c>
      <c r="N80" s="28" t="s">
        <v>41</v>
      </c>
      <c r="O80" s="25" t="s">
        <v>1994</v>
      </c>
      <c r="P80" s="33">
        <v>0</v>
      </c>
      <c r="Q80" s="33">
        <v>125755.44</v>
      </c>
      <c r="R80" s="25" t="s">
        <v>1314</v>
      </c>
      <c r="S80" s="25" t="s">
        <v>257</v>
      </c>
      <c r="T80" s="25" t="s">
        <v>36</v>
      </c>
      <c r="U80" s="25" t="s">
        <v>663</v>
      </c>
      <c r="V80" s="25" t="s">
        <v>2236</v>
      </c>
      <c r="W80" s="25" t="s">
        <v>665</v>
      </c>
    </row>
    <row r="81" s="22" customFormat="1" ht="16.5" customHeight="1" spans="1:23">
      <c r="A81" s="29" t="s">
        <v>2237</v>
      </c>
      <c r="B81" s="29" t="s">
        <v>32</v>
      </c>
      <c r="C81" s="29" t="s">
        <v>2238</v>
      </c>
      <c r="D81" s="30">
        <v>1</v>
      </c>
      <c r="E81" s="29" t="s">
        <v>2239</v>
      </c>
      <c r="F81" s="31">
        <v>45806</v>
      </c>
      <c r="G81" s="31">
        <v>45806</v>
      </c>
      <c r="H81" s="32" t="s">
        <v>444</v>
      </c>
      <c r="I81" s="29" t="s">
        <v>445</v>
      </c>
      <c r="J81" s="32" t="s">
        <v>41</v>
      </c>
      <c r="K81" s="29" t="s">
        <v>660</v>
      </c>
      <c r="L81" s="32" t="s">
        <v>41</v>
      </c>
      <c r="M81" s="29" t="s">
        <v>492</v>
      </c>
      <c r="N81" s="32" t="s">
        <v>41</v>
      </c>
      <c r="O81" s="29" t="s">
        <v>1998</v>
      </c>
      <c r="P81" s="34">
        <v>0</v>
      </c>
      <c r="Q81" s="34">
        <v>162376.48</v>
      </c>
      <c r="R81" s="29" t="s">
        <v>1314</v>
      </c>
      <c r="S81" s="29" t="s">
        <v>257</v>
      </c>
      <c r="T81" s="29" t="s">
        <v>36</v>
      </c>
      <c r="U81" s="29" t="s">
        <v>663</v>
      </c>
      <c r="V81" s="29" t="s">
        <v>2240</v>
      </c>
      <c r="W81" s="29" t="s">
        <v>665</v>
      </c>
    </row>
    <row r="82" s="22" customFormat="1" ht="16.5" customHeight="1" spans="1:23">
      <c r="A82" s="25" t="s">
        <v>2241</v>
      </c>
      <c r="B82" s="25" t="s">
        <v>32</v>
      </c>
      <c r="C82" s="25" t="s">
        <v>2242</v>
      </c>
      <c r="D82" s="26">
        <v>1</v>
      </c>
      <c r="E82" s="25" t="s">
        <v>2243</v>
      </c>
      <c r="F82" s="27">
        <v>45806</v>
      </c>
      <c r="G82" s="27">
        <v>45806</v>
      </c>
      <c r="H82" s="28" t="s">
        <v>444</v>
      </c>
      <c r="I82" s="25" t="s">
        <v>445</v>
      </c>
      <c r="J82" s="28" t="s">
        <v>41</v>
      </c>
      <c r="K82" s="25" t="s">
        <v>660</v>
      </c>
      <c r="L82" s="28" t="s">
        <v>41</v>
      </c>
      <c r="M82" s="25" t="s">
        <v>492</v>
      </c>
      <c r="N82" s="28" t="s">
        <v>41</v>
      </c>
      <c r="O82" s="25" t="s">
        <v>1998</v>
      </c>
      <c r="P82" s="33">
        <v>0</v>
      </c>
      <c r="Q82" s="33">
        <v>11233.35</v>
      </c>
      <c r="R82" s="25" t="s">
        <v>1586</v>
      </c>
      <c r="S82" s="25" t="s">
        <v>247</v>
      </c>
      <c r="T82" s="25" t="s">
        <v>36</v>
      </c>
      <c r="U82" s="25" t="s">
        <v>663</v>
      </c>
      <c r="V82" s="25" t="s">
        <v>2244</v>
      </c>
      <c r="W82" s="25" t="s">
        <v>665</v>
      </c>
    </row>
    <row r="83" s="22" customFormat="1" ht="16.5" customHeight="1" spans="1:23">
      <c r="A83" s="29" t="s">
        <v>2241</v>
      </c>
      <c r="B83" s="29" t="s">
        <v>32</v>
      </c>
      <c r="C83" s="29" t="s">
        <v>2242</v>
      </c>
      <c r="D83" s="30">
        <v>3</v>
      </c>
      <c r="E83" s="29" t="s">
        <v>2243</v>
      </c>
      <c r="F83" s="31">
        <v>45806</v>
      </c>
      <c r="G83" s="31">
        <v>45806</v>
      </c>
      <c r="H83" s="32" t="s">
        <v>444</v>
      </c>
      <c r="I83" s="29" t="s">
        <v>445</v>
      </c>
      <c r="J83" s="32" t="s">
        <v>41</v>
      </c>
      <c r="K83" s="29" t="s">
        <v>660</v>
      </c>
      <c r="L83" s="32" t="s">
        <v>41</v>
      </c>
      <c r="M83" s="29" t="s">
        <v>492</v>
      </c>
      <c r="N83" s="32" t="s">
        <v>41</v>
      </c>
      <c r="O83" s="29" t="s">
        <v>1998</v>
      </c>
      <c r="P83" s="34">
        <v>273.83</v>
      </c>
      <c r="Q83" s="34">
        <v>0</v>
      </c>
      <c r="R83" s="29" t="s">
        <v>1586</v>
      </c>
      <c r="S83" s="29" t="s">
        <v>247</v>
      </c>
      <c r="T83" s="29" t="s">
        <v>36</v>
      </c>
      <c r="U83" s="29" t="s">
        <v>663</v>
      </c>
      <c r="V83" s="29" t="s">
        <v>2244</v>
      </c>
      <c r="W83" s="29" t="s">
        <v>665</v>
      </c>
    </row>
    <row r="84" s="22" customFormat="1" ht="16.5" customHeight="1" spans="1:23">
      <c r="A84" s="25" t="s">
        <v>2245</v>
      </c>
      <c r="B84" s="25" t="s">
        <v>32</v>
      </c>
      <c r="C84" s="25" t="s">
        <v>2246</v>
      </c>
      <c r="D84" s="26">
        <v>1</v>
      </c>
      <c r="E84" s="25" t="s">
        <v>2247</v>
      </c>
      <c r="F84" s="27">
        <v>45806</v>
      </c>
      <c r="G84" s="27">
        <v>45806</v>
      </c>
      <c r="H84" s="28" t="s">
        <v>444</v>
      </c>
      <c r="I84" s="25" t="s">
        <v>445</v>
      </c>
      <c r="J84" s="28" t="s">
        <v>41</v>
      </c>
      <c r="K84" s="25" t="s">
        <v>660</v>
      </c>
      <c r="L84" s="28" t="s">
        <v>41</v>
      </c>
      <c r="M84" s="25" t="s">
        <v>492</v>
      </c>
      <c r="N84" s="28" t="s">
        <v>41</v>
      </c>
      <c r="O84" s="25" t="s">
        <v>2248</v>
      </c>
      <c r="P84" s="33">
        <v>0.01</v>
      </c>
      <c r="Q84" s="33">
        <v>0</v>
      </c>
      <c r="R84" s="25" t="s">
        <v>1586</v>
      </c>
      <c r="S84" s="25" t="s">
        <v>247</v>
      </c>
      <c r="T84" s="25" t="s">
        <v>36</v>
      </c>
      <c r="U84" s="25" t="s">
        <v>663</v>
      </c>
      <c r="V84" s="25" t="s">
        <v>2249</v>
      </c>
      <c r="W84" s="25" t="s">
        <v>665</v>
      </c>
    </row>
    <row r="85" s="22" customFormat="1" ht="16.5" customHeight="1" spans="1:23">
      <c r="A85" s="29" t="s">
        <v>2245</v>
      </c>
      <c r="B85" s="29" t="s">
        <v>32</v>
      </c>
      <c r="C85" s="29" t="s">
        <v>2246</v>
      </c>
      <c r="D85" s="30">
        <v>3</v>
      </c>
      <c r="E85" s="29" t="s">
        <v>2247</v>
      </c>
      <c r="F85" s="31">
        <v>45806</v>
      </c>
      <c r="G85" s="31">
        <v>45806</v>
      </c>
      <c r="H85" s="32" t="s">
        <v>444</v>
      </c>
      <c r="I85" s="29" t="s">
        <v>445</v>
      </c>
      <c r="J85" s="32" t="s">
        <v>41</v>
      </c>
      <c r="K85" s="29" t="s">
        <v>660</v>
      </c>
      <c r="L85" s="32" t="s">
        <v>41</v>
      </c>
      <c r="M85" s="29" t="s">
        <v>492</v>
      </c>
      <c r="N85" s="32" t="s">
        <v>41</v>
      </c>
      <c r="O85" s="29" t="s">
        <v>2248</v>
      </c>
      <c r="P85" s="34">
        <v>0</v>
      </c>
      <c r="Q85" s="34">
        <v>0.01</v>
      </c>
      <c r="R85" s="29" t="s">
        <v>1586</v>
      </c>
      <c r="S85" s="29" t="s">
        <v>247</v>
      </c>
      <c r="T85" s="29" t="s">
        <v>36</v>
      </c>
      <c r="U85" s="29" t="s">
        <v>663</v>
      </c>
      <c r="V85" s="29" t="s">
        <v>2249</v>
      </c>
      <c r="W85" s="29" t="s">
        <v>665</v>
      </c>
    </row>
    <row r="86" s="22" customFormat="1" ht="16.5" customHeight="1" spans="1:23">
      <c r="A86" s="25" t="s">
        <v>2250</v>
      </c>
      <c r="B86" s="25" t="s">
        <v>32</v>
      </c>
      <c r="C86" s="25" t="s">
        <v>2251</v>
      </c>
      <c r="D86" s="26">
        <v>1</v>
      </c>
      <c r="E86" s="25" t="s">
        <v>2247</v>
      </c>
      <c r="F86" s="27">
        <v>45806</v>
      </c>
      <c r="G86" s="27">
        <v>45806</v>
      </c>
      <c r="H86" s="28" t="s">
        <v>444</v>
      </c>
      <c r="I86" s="25" t="s">
        <v>445</v>
      </c>
      <c r="J86" s="28" t="s">
        <v>41</v>
      </c>
      <c r="K86" s="25" t="s">
        <v>660</v>
      </c>
      <c r="L86" s="28" t="s">
        <v>41</v>
      </c>
      <c r="M86" s="25" t="s">
        <v>492</v>
      </c>
      <c r="N86" s="28" t="s">
        <v>41</v>
      </c>
      <c r="O86" s="25" t="s">
        <v>2248</v>
      </c>
      <c r="P86" s="33">
        <v>0</v>
      </c>
      <c r="Q86" s="33">
        <v>0.02</v>
      </c>
      <c r="R86" s="25" t="s">
        <v>1586</v>
      </c>
      <c r="S86" s="25" t="s">
        <v>247</v>
      </c>
      <c r="T86" s="25" t="s">
        <v>36</v>
      </c>
      <c r="U86" s="25" t="s">
        <v>663</v>
      </c>
      <c r="V86" s="25" t="s">
        <v>2249</v>
      </c>
      <c r="W86" s="25" t="s">
        <v>665</v>
      </c>
    </row>
    <row r="87" s="22" customFormat="1" ht="16.5" customHeight="1" spans="1:23">
      <c r="A87" s="29" t="s">
        <v>2250</v>
      </c>
      <c r="B87" s="29" t="s">
        <v>32</v>
      </c>
      <c r="C87" s="29" t="s">
        <v>2251</v>
      </c>
      <c r="D87" s="30">
        <v>3</v>
      </c>
      <c r="E87" s="29" t="s">
        <v>2247</v>
      </c>
      <c r="F87" s="31">
        <v>45806</v>
      </c>
      <c r="G87" s="31">
        <v>45806</v>
      </c>
      <c r="H87" s="32" t="s">
        <v>444</v>
      </c>
      <c r="I87" s="29" t="s">
        <v>445</v>
      </c>
      <c r="J87" s="32" t="s">
        <v>41</v>
      </c>
      <c r="K87" s="29" t="s">
        <v>660</v>
      </c>
      <c r="L87" s="32" t="s">
        <v>41</v>
      </c>
      <c r="M87" s="29" t="s">
        <v>492</v>
      </c>
      <c r="N87" s="32" t="s">
        <v>41</v>
      </c>
      <c r="O87" s="29" t="s">
        <v>2248</v>
      </c>
      <c r="P87" s="34">
        <v>0.02</v>
      </c>
      <c r="Q87" s="34">
        <v>0</v>
      </c>
      <c r="R87" s="29" t="s">
        <v>1586</v>
      </c>
      <c r="S87" s="29" t="s">
        <v>247</v>
      </c>
      <c r="T87" s="29" t="s">
        <v>36</v>
      </c>
      <c r="U87" s="29" t="s">
        <v>663</v>
      </c>
      <c r="V87" s="29" t="s">
        <v>2249</v>
      </c>
      <c r="W87" s="29" t="s">
        <v>665</v>
      </c>
    </row>
    <row r="88" s="22" customFormat="1" ht="16.5" customHeight="1" spans="1:23">
      <c r="A88" s="25" t="s">
        <v>2252</v>
      </c>
      <c r="B88" s="25" t="s">
        <v>32</v>
      </c>
      <c r="C88" s="25" t="s">
        <v>2253</v>
      </c>
      <c r="D88" s="26">
        <v>1</v>
      </c>
      <c r="E88" s="25" t="s">
        <v>2254</v>
      </c>
      <c r="F88" s="27">
        <v>45806</v>
      </c>
      <c r="G88" s="27">
        <v>45806</v>
      </c>
      <c r="H88" s="28" t="s">
        <v>444</v>
      </c>
      <c r="I88" s="25" t="s">
        <v>445</v>
      </c>
      <c r="J88" s="28" t="s">
        <v>41</v>
      </c>
      <c r="K88" s="25" t="s">
        <v>660</v>
      </c>
      <c r="L88" s="28" t="s">
        <v>41</v>
      </c>
      <c r="M88" s="25" t="s">
        <v>492</v>
      </c>
      <c r="N88" s="28" t="s">
        <v>41</v>
      </c>
      <c r="O88" s="25" t="s">
        <v>1998</v>
      </c>
      <c r="P88" s="33">
        <v>0</v>
      </c>
      <c r="Q88" s="33">
        <v>73705.64</v>
      </c>
      <c r="R88" s="25" t="s">
        <v>919</v>
      </c>
      <c r="S88" s="25" t="s">
        <v>260</v>
      </c>
      <c r="T88" s="25" t="s">
        <v>36</v>
      </c>
      <c r="U88" s="25" t="s">
        <v>663</v>
      </c>
      <c r="V88" s="25" t="s">
        <v>2255</v>
      </c>
      <c r="W88" s="25" t="s">
        <v>665</v>
      </c>
    </row>
    <row r="89" s="22" customFormat="1" ht="16.5" customHeight="1" spans="1:23">
      <c r="A89" s="29" t="s">
        <v>2256</v>
      </c>
      <c r="B89" s="29" t="s">
        <v>32</v>
      </c>
      <c r="C89" s="29" t="s">
        <v>2257</v>
      </c>
      <c r="D89" s="30">
        <v>1</v>
      </c>
      <c r="E89" s="29" t="s">
        <v>2258</v>
      </c>
      <c r="F89" s="31">
        <v>45806</v>
      </c>
      <c r="G89" s="31">
        <v>45806</v>
      </c>
      <c r="H89" s="32" t="s">
        <v>444</v>
      </c>
      <c r="I89" s="29" t="s">
        <v>445</v>
      </c>
      <c r="J89" s="32" t="s">
        <v>41</v>
      </c>
      <c r="K89" s="29" t="s">
        <v>660</v>
      </c>
      <c r="L89" s="32" t="s">
        <v>41</v>
      </c>
      <c r="M89" s="29" t="s">
        <v>492</v>
      </c>
      <c r="N89" s="32" t="s">
        <v>41</v>
      </c>
      <c r="O89" s="29" t="s">
        <v>2259</v>
      </c>
      <c r="P89" s="34">
        <v>4172.89</v>
      </c>
      <c r="Q89" s="34">
        <v>0</v>
      </c>
      <c r="R89" s="29" t="s">
        <v>919</v>
      </c>
      <c r="S89" s="29" t="s">
        <v>260</v>
      </c>
      <c r="T89" s="29" t="s">
        <v>36</v>
      </c>
      <c r="U89" s="29" t="s">
        <v>663</v>
      </c>
      <c r="V89" s="29" t="s">
        <v>2260</v>
      </c>
      <c r="W89" s="29" t="s">
        <v>665</v>
      </c>
    </row>
    <row r="90" s="22" customFormat="1" ht="16.5" customHeight="1" spans="1:23">
      <c r="A90" s="25" t="s">
        <v>2261</v>
      </c>
      <c r="B90" s="25" t="s">
        <v>32</v>
      </c>
      <c r="C90" s="25" t="s">
        <v>2262</v>
      </c>
      <c r="D90" s="26">
        <v>1</v>
      </c>
      <c r="E90" s="25" t="s">
        <v>2263</v>
      </c>
      <c r="F90" s="27">
        <v>45806</v>
      </c>
      <c r="G90" s="27">
        <v>45806</v>
      </c>
      <c r="H90" s="28" t="s">
        <v>444</v>
      </c>
      <c r="I90" s="25" t="s">
        <v>445</v>
      </c>
      <c r="J90" s="28" t="s">
        <v>41</v>
      </c>
      <c r="K90" s="25" t="s">
        <v>660</v>
      </c>
      <c r="L90" s="28" t="s">
        <v>41</v>
      </c>
      <c r="M90" s="25" t="s">
        <v>492</v>
      </c>
      <c r="N90" s="28" t="s">
        <v>41</v>
      </c>
      <c r="O90" s="25" t="s">
        <v>875</v>
      </c>
      <c r="P90" s="33">
        <v>0</v>
      </c>
      <c r="Q90" s="33">
        <v>107744.89</v>
      </c>
      <c r="R90" s="25" t="s">
        <v>876</v>
      </c>
      <c r="S90" s="25" t="s">
        <v>272</v>
      </c>
      <c r="T90" s="25" t="s">
        <v>36</v>
      </c>
      <c r="U90" s="25" t="s">
        <v>663</v>
      </c>
      <c r="V90" s="25" t="s">
        <v>2264</v>
      </c>
      <c r="W90" s="25" t="s">
        <v>665</v>
      </c>
    </row>
    <row r="91" s="22" customFormat="1" ht="16.5" customHeight="1" spans="1:23">
      <c r="A91" s="29" t="s">
        <v>2265</v>
      </c>
      <c r="B91" s="29" t="s">
        <v>32</v>
      </c>
      <c r="C91" s="29" t="s">
        <v>2266</v>
      </c>
      <c r="D91" s="30">
        <v>1</v>
      </c>
      <c r="E91" s="29" t="s">
        <v>2267</v>
      </c>
      <c r="F91" s="31">
        <v>45806</v>
      </c>
      <c r="G91" s="31">
        <v>45806</v>
      </c>
      <c r="H91" s="32" t="s">
        <v>444</v>
      </c>
      <c r="I91" s="29" t="s">
        <v>445</v>
      </c>
      <c r="J91" s="32" t="s">
        <v>41</v>
      </c>
      <c r="K91" s="29" t="s">
        <v>660</v>
      </c>
      <c r="L91" s="32" t="s">
        <v>41</v>
      </c>
      <c r="M91" s="29" t="s">
        <v>492</v>
      </c>
      <c r="N91" s="32" t="s">
        <v>41</v>
      </c>
      <c r="O91" s="29" t="s">
        <v>1998</v>
      </c>
      <c r="P91" s="34">
        <v>0</v>
      </c>
      <c r="Q91" s="34">
        <v>82049.74</v>
      </c>
      <c r="R91" s="29" t="s">
        <v>876</v>
      </c>
      <c r="S91" s="29" t="s">
        <v>272</v>
      </c>
      <c r="T91" s="29" t="s">
        <v>36</v>
      </c>
      <c r="U91" s="29" t="s">
        <v>663</v>
      </c>
      <c r="V91" s="29" t="s">
        <v>2268</v>
      </c>
      <c r="W91" s="29" t="s">
        <v>665</v>
      </c>
    </row>
    <row r="92" s="22" customFormat="1" ht="16.5" customHeight="1" spans="1:23">
      <c r="A92" s="25" t="s">
        <v>2269</v>
      </c>
      <c r="B92" s="25" t="s">
        <v>32</v>
      </c>
      <c r="C92" s="25" t="s">
        <v>2270</v>
      </c>
      <c r="D92" s="26">
        <v>1</v>
      </c>
      <c r="E92" s="25" t="s">
        <v>2271</v>
      </c>
      <c r="F92" s="27">
        <v>45806</v>
      </c>
      <c r="G92" s="27">
        <v>45806</v>
      </c>
      <c r="H92" s="28" t="s">
        <v>444</v>
      </c>
      <c r="I92" s="25" t="s">
        <v>445</v>
      </c>
      <c r="J92" s="28" t="s">
        <v>41</v>
      </c>
      <c r="K92" s="25" t="s">
        <v>660</v>
      </c>
      <c r="L92" s="28" t="s">
        <v>41</v>
      </c>
      <c r="M92" s="25" t="s">
        <v>492</v>
      </c>
      <c r="N92" s="28" t="s">
        <v>41</v>
      </c>
      <c r="O92" s="25" t="s">
        <v>2272</v>
      </c>
      <c r="P92" s="33">
        <v>0</v>
      </c>
      <c r="Q92" s="33">
        <v>1756.47</v>
      </c>
      <c r="R92" s="25" t="s">
        <v>876</v>
      </c>
      <c r="S92" s="25" t="s">
        <v>272</v>
      </c>
      <c r="T92" s="25" t="s">
        <v>36</v>
      </c>
      <c r="U92" s="25" t="s">
        <v>663</v>
      </c>
      <c r="V92" s="25" t="s">
        <v>2273</v>
      </c>
      <c r="W92" s="25" t="s">
        <v>665</v>
      </c>
    </row>
    <row r="93" s="22" customFormat="1" ht="16.5" customHeight="1" spans="1:23">
      <c r="A93" s="29" t="s">
        <v>2274</v>
      </c>
      <c r="B93" s="29" t="s">
        <v>32</v>
      </c>
      <c r="C93" s="29" t="s">
        <v>2275</v>
      </c>
      <c r="D93" s="30">
        <v>1</v>
      </c>
      <c r="E93" s="29" t="s">
        <v>2276</v>
      </c>
      <c r="F93" s="31">
        <v>45806</v>
      </c>
      <c r="G93" s="31">
        <v>45806</v>
      </c>
      <c r="H93" s="32" t="s">
        <v>444</v>
      </c>
      <c r="I93" s="29" t="s">
        <v>445</v>
      </c>
      <c r="J93" s="32" t="s">
        <v>41</v>
      </c>
      <c r="K93" s="29" t="s">
        <v>660</v>
      </c>
      <c r="L93" s="32" t="s">
        <v>41</v>
      </c>
      <c r="M93" s="29" t="s">
        <v>492</v>
      </c>
      <c r="N93" s="32" t="s">
        <v>41</v>
      </c>
      <c r="O93" s="29" t="s">
        <v>1994</v>
      </c>
      <c r="P93" s="34">
        <v>0</v>
      </c>
      <c r="Q93" s="34">
        <v>663594.62</v>
      </c>
      <c r="R93" s="29" t="s">
        <v>952</v>
      </c>
      <c r="S93" s="29" t="s">
        <v>264</v>
      </c>
      <c r="T93" s="29" t="s">
        <v>36</v>
      </c>
      <c r="U93" s="29" t="s">
        <v>663</v>
      </c>
      <c r="V93" s="29" t="s">
        <v>2277</v>
      </c>
      <c r="W93" s="29" t="s">
        <v>665</v>
      </c>
    </row>
    <row r="94" s="22" customFormat="1" ht="16.5" customHeight="1" spans="1:23">
      <c r="A94" s="25" t="s">
        <v>2274</v>
      </c>
      <c r="B94" s="25" t="s">
        <v>32</v>
      </c>
      <c r="C94" s="25" t="s">
        <v>2275</v>
      </c>
      <c r="D94" s="26">
        <v>4</v>
      </c>
      <c r="E94" s="25" t="s">
        <v>2276</v>
      </c>
      <c r="F94" s="27">
        <v>45806</v>
      </c>
      <c r="G94" s="27">
        <v>45806</v>
      </c>
      <c r="H94" s="28" t="s">
        <v>444</v>
      </c>
      <c r="I94" s="25" t="s">
        <v>445</v>
      </c>
      <c r="J94" s="28" t="s">
        <v>41</v>
      </c>
      <c r="K94" s="25" t="s">
        <v>660</v>
      </c>
      <c r="L94" s="28" t="s">
        <v>41</v>
      </c>
      <c r="M94" s="25" t="s">
        <v>492</v>
      </c>
      <c r="N94" s="28" t="s">
        <v>41</v>
      </c>
      <c r="O94" s="25" t="s">
        <v>1994</v>
      </c>
      <c r="P94" s="33">
        <v>2001.63</v>
      </c>
      <c r="Q94" s="33">
        <v>0</v>
      </c>
      <c r="R94" s="25" t="s">
        <v>952</v>
      </c>
      <c r="S94" s="25" t="s">
        <v>264</v>
      </c>
      <c r="T94" s="25" t="s">
        <v>36</v>
      </c>
      <c r="U94" s="25" t="s">
        <v>663</v>
      </c>
      <c r="V94" s="25" t="s">
        <v>2277</v>
      </c>
      <c r="W94" s="25" t="s">
        <v>665</v>
      </c>
    </row>
    <row r="95" s="22" customFormat="1" ht="16.5" customHeight="1" spans="1:23">
      <c r="A95" s="29" t="s">
        <v>2278</v>
      </c>
      <c r="B95" s="29" t="s">
        <v>32</v>
      </c>
      <c r="C95" s="29" t="s">
        <v>2279</v>
      </c>
      <c r="D95" s="30">
        <v>1</v>
      </c>
      <c r="E95" s="29" t="s">
        <v>2280</v>
      </c>
      <c r="F95" s="31">
        <v>45806</v>
      </c>
      <c r="G95" s="31">
        <v>45806</v>
      </c>
      <c r="H95" s="32" t="s">
        <v>444</v>
      </c>
      <c r="I95" s="29" t="s">
        <v>445</v>
      </c>
      <c r="J95" s="32" t="s">
        <v>41</v>
      </c>
      <c r="K95" s="29" t="s">
        <v>660</v>
      </c>
      <c r="L95" s="32" t="s">
        <v>41</v>
      </c>
      <c r="M95" s="29" t="s">
        <v>492</v>
      </c>
      <c r="N95" s="32" t="s">
        <v>41</v>
      </c>
      <c r="O95" s="29" t="s">
        <v>2281</v>
      </c>
      <c r="P95" s="34">
        <v>0.08</v>
      </c>
      <c r="Q95" s="34">
        <v>0</v>
      </c>
      <c r="R95" s="29" t="s">
        <v>952</v>
      </c>
      <c r="S95" s="29" t="s">
        <v>264</v>
      </c>
      <c r="T95" s="29" t="s">
        <v>36</v>
      </c>
      <c r="U95" s="29" t="s">
        <v>663</v>
      </c>
      <c r="V95" s="29" t="s">
        <v>2282</v>
      </c>
      <c r="W95" s="29" t="s">
        <v>665</v>
      </c>
    </row>
    <row r="96" s="22" customFormat="1" ht="16.5" customHeight="1" spans="1:23">
      <c r="A96" s="25" t="s">
        <v>2283</v>
      </c>
      <c r="B96" s="25" t="s">
        <v>32</v>
      </c>
      <c r="C96" s="25" t="s">
        <v>2284</v>
      </c>
      <c r="D96" s="26">
        <v>1</v>
      </c>
      <c r="E96" s="25" t="s">
        <v>2285</v>
      </c>
      <c r="F96" s="27">
        <v>45806</v>
      </c>
      <c r="G96" s="27">
        <v>45806</v>
      </c>
      <c r="H96" s="28" t="s">
        <v>444</v>
      </c>
      <c r="I96" s="25" t="s">
        <v>445</v>
      </c>
      <c r="J96" s="28" t="s">
        <v>41</v>
      </c>
      <c r="K96" s="25" t="s">
        <v>660</v>
      </c>
      <c r="L96" s="28" t="s">
        <v>41</v>
      </c>
      <c r="M96" s="25" t="s">
        <v>492</v>
      </c>
      <c r="N96" s="28" t="s">
        <v>41</v>
      </c>
      <c r="O96" s="25" t="s">
        <v>1994</v>
      </c>
      <c r="P96" s="33">
        <v>0</v>
      </c>
      <c r="Q96" s="33">
        <v>687396.86</v>
      </c>
      <c r="R96" s="25" t="s">
        <v>853</v>
      </c>
      <c r="S96" s="25" t="s">
        <v>265</v>
      </c>
      <c r="T96" s="25" t="s">
        <v>36</v>
      </c>
      <c r="U96" s="25" t="s">
        <v>663</v>
      </c>
      <c r="V96" s="25" t="s">
        <v>2286</v>
      </c>
      <c r="W96" s="25" t="s">
        <v>665</v>
      </c>
    </row>
    <row r="97" s="22" customFormat="1" ht="16.5" customHeight="1" spans="1:23">
      <c r="A97" s="29" t="s">
        <v>2283</v>
      </c>
      <c r="B97" s="29" t="s">
        <v>32</v>
      </c>
      <c r="C97" s="29" t="s">
        <v>2284</v>
      </c>
      <c r="D97" s="30">
        <v>4</v>
      </c>
      <c r="E97" s="29" t="s">
        <v>2285</v>
      </c>
      <c r="F97" s="31">
        <v>45806</v>
      </c>
      <c r="G97" s="31">
        <v>45806</v>
      </c>
      <c r="H97" s="32" t="s">
        <v>444</v>
      </c>
      <c r="I97" s="29" t="s">
        <v>445</v>
      </c>
      <c r="J97" s="32" t="s">
        <v>41</v>
      </c>
      <c r="K97" s="29" t="s">
        <v>660</v>
      </c>
      <c r="L97" s="32" t="s">
        <v>41</v>
      </c>
      <c r="M97" s="29" t="s">
        <v>492</v>
      </c>
      <c r="N97" s="32" t="s">
        <v>41</v>
      </c>
      <c r="O97" s="29" t="s">
        <v>1994</v>
      </c>
      <c r="P97" s="34">
        <v>3.47</v>
      </c>
      <c r="Q97" s="34">
        <v>0</v>
      </c>
      <c r="R97" s="29" t="s">
        <v>853</v>
      </c>
      <c r="S97" s="29" t="s">
        <v>265</v>
      </c>
      <c r="T97" s="29" t="s">
        <v>36</v>
      </c>
      <c r="U97" s="29" t="s">
        <v>663</v>
      </c>
      <c r="V97" s="29" t="s">
        <v>2286</v>
      </c>
      <c r="W97" s="29" t="s">
        <v>665</v>
      </c>
    </row>
    <row r="98" s="22" customFormat="1" ht="16.5" customHeight="1" spans="1:23">
      <c r="A98" s="25" t="s">
        <v>2287</v>
      </c>
      <c r="B98" s="25" t="s">
        <v>32</v>
      </c>
      <c r="C98" s="25" t="s">
        <v>2288</v>
      </c>
      <c r="D98" s="26">
        <v>1</v>
      </c>
      <c r="E98" s="25" t="s">
        <v>2289</v>
      </c>
      <c r="F98" s="27">
        <v>45806</v>
      </c>
      <c r="G98" s="27">
        <v>45806</v>
      </c>
      <c r="H98" s="28" t="s">
        <v>444</v>
      </c>
      <c r="I98" s="25" t="s">
        <v>445</v>
      </c>
      <c r="J98" s="28" t="s">
        <v>41</v>
      </c>
      <c r="K98" s="25" t="s">
        <v>660</v>
      </c>
      <c r="L98" s="28" t="s">
        <v>41</v>
      </c>
      <c r="M98" s="25" t="s">
        <v>492</v>
      </c>
      <c r="N98" s="28" t="s">
        <v>41</v>
      </c>
      <c r="O98" s="25" t="s">
        <v>2290</v>
      </c>
      <c r="P98" s="33">
        <v>0</v>
      </c>
      <c r="Q98" s="33">
        <v>0.01</v>
      </c>
      <c r="R98" s="25" t="s">
        <v>853</v>
      </c>
      <c r="S98" s="25" t="s">
        <v>265</v>
      </c>
      <c r="T98" s="25" t="s">
        <v>36</v>
      </c>
      <c r="U98" s="25" t="s">
        <v>663</v>
      </c>
      <c r="V98" s="25" t="s">
        <v>2291</v>
      </c>
      <c r="W98" s="25" t="s">
        <v>665</v>
      </c>
    </row>
    <row r="99" s="22" customFormat="1" ht="16.5" customHeight="1" spans="1:23">
      <c r="A99" s="29" t="s">
        <v>2292</v>
      </c>
      <c r="B99" s="29" t="s">
        <v>32</v>
      </c>
      <c r="C99" s="29" t="s">
        <v>2293</v>
      </c>
      <c r="D99" s="30">
        <v>1</v>
      </c>
      <c r="E99" s="29" t="s">
        <v>2294</v>
      </c>
      <c r="F99" s="31">
        <v>45807</v>
      </c>
      <c r="G99" s="31">
        <v>45807</v>
      </c>
      <c r="H99" s="32" t="s">
        <v>444</v>
      </c>
      <c r="I99" s="29" t="s">
        <v>445</v>
      </c>
      <c r="J99" s="32" t="s">
        <v>41</v>
      </c>
      <c r="K99" s="29" t="s">
        <v>660</v>
      </c>
      <c r="L99" s="32" t="s">
        <v>41</v>
      </c>
      <c r="M99" s="29" t="s">
        <v>492</v>
      </c>
      <c r="N99" s="32" t="s">
        <v>41</v>
      </c>
      <c r="O99" s="29" t="s">
        <v>1994</v>
      </c>
      <c r="P99" s="34">
        <v>0</v>
      </c>
      <c r="Q99" s="34">
        <v>216960</v>
      </c>
      <c r="R99" s="29" t="s">
        <v>961</v>
      </c>
      <c r="S99" s="29" t="s">
        <v>254</v>
      </c>
      <c r="T99" s="29" t="s">
        <v>36</v>
      </c>
      <c r="U99" s="29" t="s">
        <v>663</v>
      </c>
      <c r="V99" s="29" t="s">
        <v>2295</v>
      </c>
      <c r="W99" s="29" t="s">
        <v>665</v>
      </c>
    </row>
    <row r="100" s="22" customFormat="1" ht="16.5" customHeight="1" spans="1:23">
      <c r="A100" s="25" t="s">
        <v>2296</v>
      </c>
      <c r="B100" s="25" t="s">
        <v>32</v>
      </c>
      <c r="C100" s="25" t="s">
        <v>2297</v>
      </c>
      <c r="D100" s="26">
        <v>1</v>
      </c>
      <c r="E100" s="25" t="s">
        <v>2298</v>
      </c>
      <c r="F100" s="27">
        <v>45807</v>
      </c>
      <c r="G100" s="27">
        <v>45807</v>
      </c>
      <c r="H100" s="28" t="s">
        <v>444</v>
      </c>
      <c r="I100" s="25" t="s">
        <v>445</v>
      </c>
      <c r="J100" s="28" t="s">
        <v>41</v>
      </c>
      <c r="K100" s="25" t="s">
        <v>660</v>
      </c>
      <c r="L100" s="28" t="s">
        <v>41</v>
      </c>
      <c r="M100" s="25" t="s">
        <v>492</v>
      </c>
      <c r="N100" s="28" t="s">
        <v>41</v>
      </c>
      <c r="O100" s="25" t="s">
        <v>1994</v>
      </c>
      <c r="P100" s="33">
        <v>0</v>
      </c>
      <c r="Q100" s="33">
        <v>170112.38</v>
      </c>
      <c r="R100" s="25" t="s">
        <v>686</v>
      </c>
      <c r="S100" s="25" t="s">
        <v>446</v>
      </c>
      <c r="T100" s="25" t="s">
        <v>36</v>
      </c>
      <c r="U100" s="25" t="s">
        <v>663</v>
      </c>
      <c r="V100" s="25" t="s">
        <v>2299</v>
      </c>
      <c r="W100" s="25" t="s">
        <v>665</v>
      </c>
    </row>
    <row r="101" s="22" customFormat="1" ht="16.5" customHeight="1" spans="1:23">
      <c r="A101" s="29" t="s">
        <v>2296</v>
      </c>
      <c r="B101" s="29" t="s">
        <v>32</v>
      </c>
      <c r="C101" s="29" t="s">
        <v>2297</v>
      </c>
      <c r="D101" s="30">
        <v>3</v>
      </c>
      <c r="E101" s="29" t="s">
        <v>2298</v>
      </c>
      <c r="F101" s="31">
        <v>45807</v>
      </c>
      <c r="G101" s="31">
        <v>45807</v>
      </c>
      <c r="H101" s="32" t="s">
        <v>444</v>
      </c>
      <c r="I101" s="29" t="s">
        <v>445</v>
      </c>
      <c r="J101" s="32" t="s">
        <v>41</v>
      </c>
      <c r="K101" s="29" t="s">
        <v>660</v>
      </c>
      <c r="L101" s="32" t="s">
        <v>41</v>
      </c>
      <c r="M101" s="29" t="s">
        <v>492</v>
      </c>
      <c r="N101" s="32" t="s">
        <v>41</v>
      </c>
      <c r="O101" s="29" t="s">
        <v>1994</v>
      </c>
      <c r="P101" s="34">
        <v>3328</v>
      </c>
      <c r="Q101" s="34">
        <v>0</v>
      </c>
      <c r="R101" s="29" t="s">
        <v>686</v>
      </c>
      <c r="S101" s="29" t="s">
        <v>446</v>
      </c>
      <c r="T101" s="29" t="s">
        <v>36</v>
      </c>
      <c r="U101" s="29" t="s">
        <v>663</v>
      </c>
      <c r="V101" s="29" t="s">
        <v>2299</v>
      </c>
      <c r="W101" s="29" t="s">
        <v>665</v>
      </c>
    </row>
    <row r="102" s="22" customFormat="1" ht="16.5" customHeight="1" spans="1:23">
      <c r="A102" s="25" t="s">
        <v>2300</v>
      </c>
      <c r="B102" s="25" t="s">
        <v>32</v>
      </c>
      <c r="C102" s="25" t="s">
        <v>2301</v>
      </c>
      <c r="D102" s="26">
        <v>1</v>
      </c>
      <c r="E102" s="25" t="s">
        <v>2302</v>
      </c>
      <c r="F102" s="27">
        <v>45811</v>
      </c>
      <c r="G102" s="27">
        <v>45808</v>
      </c>
      <c r="H102" s="28" t="s">
        <v>444</v>
      </c>
      <c r="I102" s="25" t="s">
        <v>445</v>
      </c>
      <c r="J102" s="28" t="s">
        <v>41</v>
      </c>
      <c r="K102" s="25" t="s">
        <v>660</v>
      </c>
      <c r="L102" s="28" t="s">
        <v>41</v>
      </c>
      <c r="M102" s="25" t="s">
        <v>492</v>
      </c>
      <c r="N102" s="28" t="s">
        <v>41</v>
      </c>
      <c r="O102" s="25" t="s">
        <v>1994</v>
      </c>
      <c r="P102" s="33">
        <v>0</v>
      </c>
      <c r="Q102" s="33">
        <v>1180540.79</v>
      </c>
      <c r="R102" s="25" t="s">
        <v>673</v>
      </c>
      <c r="S102" s="25" t="s">
        <v>451</v>
      </c>
      <c r="T102" s="25" t="s">
        <v>36</v>
      </c>
      <c r="U102" s="25" t="s">
        <v>663</v>
      </c>
      <c r="V102" s="25" t="s">
        <v>2303</v>
      </c>
      <c r="W102" s="25" t="s">
        <v>665</v>
      </c>
    </row>
    <row r="103" s="22" customFormat="1" ht="16.5" customHeight="1" spans="1:23">
      <c r="A103" s="29" t="s">
        <v>2300</v>
      </c>
      <c r="B103" s="29" t="s">
        <v>32</v>
      </c>
      <c r="C103" s="29" t="s">
        <v>2301</v>
      </c>
      <c r="D103" s="30">
        <v>4</v>
      </c>
      <c r="E103" s="29" t="s">
        <v>2302</v>
      </c>
      <c r="F103" s="31">
        <v>45811</v>
      </c>
      <c r="G103" s="31">
        <v>45808</v>
      </c>
      <c r="H103" s="32" t="s">
        <v>444</v>
      </c>
      <c r="I103" s="29" t="s">
        <v>445</v>
      </c>
      <c r="J103" s="32" t="s">
        <v>41</v>
      </c>
      <c r="K103" s="29" t="s">
        <v>660</v>
      </c>
      <c r="L103" s="32" t="s">
        <v>41</v>
      </c>
      <c r="M103" s="29" t="s">
        <v>492</v>
      </c>
      <c r="N103" s="32" t="s">
        <v>41</v>
      </c>
      <c r="O103" s="29" t="s">
        <v>1994</v>
      </c>
      <c r="P103" s="34">
        <v>11474.8</v>
      </c>
      <c r="Q103" s="34">
        <v>0</v>
      </c>
      <c r="R103" s="29" t="s">
        <v>673</v>
      </c>
      <c r="S103" s="29" t="s">
        <v>451</v>
      </c>
      <c r="T103" s="29" t="s">
        <v>36</v>
      </c>
      <c r="U103" s="29" t="s">
        <v>663</v>
      </c>
      <c r="V103" s="29" t="s">
        <v>2303</v>
      </c>
      <c r="W103" s="29" t="s">
        <v>665</v>
      </c>
    </row>
    <row r="104" s="22" customFormat="1" ht="16.5" customHeight="1" spans="1:23">
      <c r="A104" s="25" t="s">
        <v>2304</v>
      </c>
      <c r="B104" s="25" t="s">
        <v>32</v>
      </c>
      <c r="C104" s="25" t="s">
        <v>2305</v>
      </c>
      <c r="D104" s="26">
        <v>1</v>
      </c>
      <c r="E104" s="25" t="s">
        <v>2306</v>
      </c>
      <c r="F104" s="27">
        <v>45811</v>
      </c>
      <c r="G104" s="27">
        <v>45808</v>
      </c>
      <c r="H104" s="28" t="s">
        <v>444</v>
      </c>
      <c r="I104" s="25" t="s">
        <v>445</v>
      </c>
      <c r="J104" s="28" t="s">
        <v>41</v>
      </c>
      <c r="K104" s="25" t="s">
        <v>660</v>
      </c>
      <c r="L104" s="28" t="s">
        <v>41</v>
      </c>
      <c r="M104" s="25" t="s">
        <v>492</v>
      </c>
      <c r="N104" s="28" t="s">
        <v>41</v>
      </c>
      <c r="O104" s="25" t="s">
        <v>2307</v>
      </c>
      <c r="P104" s="33">
        <v>0.01</v>
      </c>
      <c r="Q104" s="33">
        <v>0</v>
      </c>
      <c r="R104" s="25" t="s">
        <v>673</v>
      </c>
      <c r="S104" s="25" t="s">
        <v>451</v>
      </c>
      <c r="T104" s="25" t="s">
        <v>36</v>
      </c>
      <c r="U104" s="25" t="s">
        <v>663</v>
      </c>
      <c r="V104" s="25" t="s">
        <v>2308</v>
      </c>
      <c r="W104" s="25" t="s">
        <v>665</v>
      </c>
    </row>
    <row r="105" s="22" customFormat="1" ht="16.5" customHeight="1" spans="1:23">
      <c r="A105" s="29" t="s">
        <v>2309</v>
      </c>
      <c r="B105" s="29" t="s">
        <v>32</v>
      </c>
      <c r="C105" s="29" t="s">
        <v>2310</v>
      </c>
      <c r="D105" s="30">
        <v>1</v>
      </c>
      <c r="E105" s="29" t="s">
        <v>2311</v>
      </c>
      <c r="F105" s="31">
        <v>45811</v>
      </c>
      <c r="G105" s="31">
        <v>45808</v>
      </c>
      <c r="H105" s="32" t="s">
        <v>444</v>
      </c>
      <c r="I105" s="29" t="s">
        <v>445</v>
      </c>
      <c r="J105" s="32" t="s">
        <v>41</v>
      </c>
      <c r="K105" s="29" t="s">
        <v>660</v>
      </c>
      <c r="L105" s="32" t="s">
        <v>41</v>
      </c>
      <c r="M105" s="29" t="s">
        <v>492</v>
      </c>
      <c r="N105" s="32" t="s">
        <v>41</v>
      </c>
      <c r="O105" s="29" t="s">
        <v>2312</v>
      </c>
      <c r="P105" s="34">
        <v>1169065.98</v>
      </c>
      <c r="Q105" s="34">
        <v>0</v>
      </c>
      <c r="R105" s="29" t="s">
        <v>673</v>
      </c>
      <c r="S105" s="29" t="s">
        <v>451</v>
      </c>
      <c r="T105" s="29" t="s">
        <v>36</v>
      </c>
      <c r="U105" s="29" t="s">
        <v>663</v>
      </c>
      <c r="V105" s="29" t="s">
        <v>2313</v>
      </c>
      <c r="W105" s="29" t="s">
        <v>665</v>
      </c>
    </row>
    <row r="106" s="22" customFormat="1" ht="16.5" customHeight="1" spans="1:23">
      <c r="A106" s="25" t="s">
        <v>2314</v>
      </c>
      <c r="B106" s="25" t="s">
        <v>32</v>
      </c>
      <c r="C106" s="25" t="s">
        <v>2315</v>
      </c>
      <c r="D106" s="26">
        <v>1</v>
      </c>
      <c r="E106" s="25" t="s">
        <v>2316</v>
      </c>
      <c r="F106" s="27">
        <v>45811</v>
      </c>
      <c r="G106" s="27">
        <v>45808</v>
      </c>
      <c r="H106" s="28" t="s">
        <v>444</v>
      </c>
      <c r="I106" s="25" t="s">
        <v>445</v>
      </c>
      <c r="J106" s="28" t="s">
        <v>41</v>
      </c>
      <c r="K106" s="25" t="s">
        <v>660</v>
      </c>
      <c r="L106" s="28" t="s">
        <v>41</v>
      </c>
      <c r="M106" s="25" t="s">
        <v>492</v>
      </c>
      <c r="N106" s="28" t="s">
        <v>41</v>
      </c>
      <c r="O106" s="25" t="s">
        <v>685</v>
      </c>
      <c r="P106" s="33">
        <v>0</v>
      </c>
      <c r="Q106" s="33">
        <v>1169065.98</v>
      </c>
      <c r="R106" s="25" t="s">
        <v>686</v>
      </c>
      <c r="S106" s="25" t="s">
        <v>446</v>
      </c>
      <c r="T106" s="25" t="s">
        <v>36</v>
      </c>
      <c r="U106" s="25" t="s">
        <v>663</v>
      </c>
      <c r="V106" s="25" t="s">
        <v>2317</v>
      </c>
      <c r="W106" s="25" t="s">
        <v>665</v>
      </c>
    </row>
    <row r="107" s="22" customFormat="1" ht="16.5" customHeight="1" spans="1:23">
      <c r="A107" s="29"/>
      <c r="B107" s="29"/>
      <c r="C107" s="29"/>
      <c r="D107" s="30"/>
      <c r="E107" s="29"/>
      <c r="F107" s="31"/>
      <c r="G107" s="31"/>
      <c r="H107" s="32"/>
      <c r="I107" s="29"/>
      <c r="J107" s="32"/>
      <c r="K107" s="29"/>
      <c r="L107" s="32"/>
      <c r="M107" s="29"/>
      <c r="N107" s="32"/>
      <c r="O107" s="29"/>
      <c r="P107" s="34"/>
      <c r="Q107" s="34">
        <v>147913</v>
      </c>
      <c r="R107" s="29"/>
      <c r="S107" s="29" t="s">
        <v>261</v>
      </c>
      <c r="T107" s="29"/>
      <c r="U107" s="29"/>
      <c r="V107" s="29"/>
      <c r="W107" s="29"/>
    </row>
    <row r="108" spans="17:19">
      <c r="Q108" s="22">
        <v>189496.5</v>
      </c>
      <c r="S108" s="22" t="s">
        <v>261</v>
      </c>
    </row>
    <row r="109" s="22" customFormat="1" ht="16.5" customHeight="1" spans="1:23">
      <c r="A109" s="29"/>
      <c r="B109" s="29"/>
      <c r="C109" s="29"/>
      <c r="D109" s="30"/>
      <c r="E109" s="29"/>
      <c r="F109" s="31"/>
      <c r="G109" s="31"/>
      <c r="H109" s="32"/>
      <c r="I109" s="29"/>
      <c r="J109" s="32"/>
      <c r="K109" s="29"/>
      <c r="L109" s="32"/>
      <c r="M109" s="29"/>
      <c r="N109" s="32"/>
      <c r="O109" s="29"/>
      <c r="P109" s="34"/>
      <c r="Q109" s="34"/>
      <c r="R109" s="29"/>
      <c r="S109" s="29"/>
      <c r="T109" s="29"/>
      <c r="U109" s="29"/>
      <c r="V109" s="29"/>
      <c r="W109" s="29"/>
    </row>
  </sheetData>
  <autoFilter xmlns:etc="http://www.wps.cn/officeDocument/2017/etCustomData" ref="A1:W108" etc:filterBottomFollowUsedRange="0">
    <extLst/>
  </autoFilter>
  <pageMargins left="0.75" right="0.75" top="1" bottom="1" header="0.5" footer="0.5"/>
  <pageSetup paperSize="9" orientation="portrait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20"/>
  <dimension ref="A1:X180"/>
  <sheetViews>
    <sheetView topLeftCell="M1" workbookViewId="0">
      <selection activeCell="Q66" sqref="Q66"/>
    </sheetView>
  </sheetViews>
  <sheetFormatPr defaultColWidth="9" defaultRowHeight="13.5"/>
  <cols>
    <col min="1" max="1" width="12.625" style="22" customWidth="1"/>
    <col min="2" max="2" width="10.875" style="22" customWidth="1"/>
    <col min="3" max="3" width="15.5" style="22" customWidth="1"/>
    <col min="4" max="4" width="6.25" style="22" customWidth="1"/>
    <col min="5" max="5" width="9.375" style="22" customWidth="1"/>
    <col min="6" max="7" width="10.875" style="22" customWidth="1"/>
    <col min="8" max="8" width="7.75" style="22" customWidth="1"/>
    <col min="9" max="10" width="10.875" style="22" customWidth="1"/>
    <col min="11" max="11" width="12.375" style="22" customWidth="1"/>
    <col min="12" max="12" width="10.875" style="22" customWidth="1"/>
    <col min="13" max="13" width="14" style="22" customWidth="1"/>
    <col min="14" max="14" width="7.75" style="22" customWidth="1"/>
    <col min="15" max="15" width="16.875" style="22" customWidth="1"/>
    <col min="16" max="17" width="10.875" style="22" customWidth="1"/>
    <col min="18" max="18" width="7.75" style="22" customWidth="1"/>
    <col min="19" max="19" width="23.125" style="22" customWidth="1"/>
    <col min="20" max="21" width="10.875" style="22" customWidth="1"/>
    <col min="22" max="22" width="7.75" style="22" customWidth="1"/>
    <col min="23" max="23" width="9.5" style="22" customWidth="1"/>
    <col min="24" max="24" width="31.75" customWidth="1"/>
  </cols>
  <sheetData>
    <row r="1" spans="1:24">
      <c r="A1" s="23" t="s">
        <v>640</v>
      </c>
      <c r="B1" s="23" t="s">
        <v>0</v>
      </c>
      <c r="C1" s="23" t="s">
        <v>980</v>
      </c>
      <c r="D1" s="24" t="s">
        <v>12</v>
      </c>
      <c r="E1" s="23" t="s">
        <v>641</v>
      </c>
      <c r="F1" s="24" t="s">
        <v>642</v>
      </c>
      <c r="G1" s="24" t="s">
        <v>2</v>
      </c>
      <c r="H1" s="23" t="s">
        <v>429</v>
      </c>
      <c r="I1" s="23" t="s">
        <v>643</v>
      </c>
      <c r="J1" s="23" t="s">
        <v>644</v>
      </c>
      <c r="K1" s="23" t="s">
        <v>645</v>
      </c>
      <c r="L1" s="23" t="s">
        <v>646</v>
      </c>
      <c r="M1" s="23" t="s">
        <v>647</v>
      </c>
      <c r="N1" s="23" t="s">
        <v>648</v>
      </c>
      <c r="O1" s="23" t="s">
        <v>649</v>
      </c>
      <c r="P1" s="24" t="s">
        <v>650</v>
      </c>
      <c r="Q1" s="24" t="s">
        <v>651</v>
      </c>
      <c r="R1" s="23" t="s">
        <v>652</v>
      </c>
      <c r="S1" s="23" t="s">
        <v>653</v>
      </c>
      <c r="T1" s="23" t="s">
        <v>654</v>
      </c>
      <c r="U1" s="23" t="s">
        <v>655</v>
      </c>
      <c r="V1" s="23" t="s">
        <v>656</v>
      </c>
      <c r="W1" s="23" t="s">
        <v>657</v>
      </c>
      <c r="X1" t="str" cm="1">
        <f t="array" ref="X1:X53">_xlfn.UNIQUE(S:S)</f>
        <v>名称</v>
      </c>
    </row>
    <row r="2" hidden="1" spans="1:24">
      <c r="A2" s="25" t="s">
        <v>2318</v>
      </c>
      <c r="B2" s="25" t="s">
        <v>32</v>
      </c>
      <c r="C2" s="25" t="s">
        <v>2319</v>
      </c>
      <c r="D2" s="26">
        <v>1</v>
      </c>
      <c r="E2" s="25" t="s">
        <v>2320</v>
      </c>
      <c r="F2" s="27">
        <v>45839</v>
      </c>
      <c r="G2" s="27">
        <v>45809</v>
      </c>
      <c r="H2" s="28" t="s">
        <v>444</v>
      </c>
      <c r="I2" s="25" t="s">
        <v>445</v>
      </c>
      <c r="J2" s="28" t="s">
        <v>41</v>
      </c>
      <c r="K2" s="25" t="s">
        <v>660</v>
      </c>
      <c r="L2" s="28" t="s">
        <v>41</v>
      </c>
      <c r="M2" s="25" t="s">
        <v>492</v>
      </c>
      <c r="N2" s="28" t="s">
        <v>41</v>
      </c>
      <c r="O2" s="25" t="s">
        <v>2134</v>
      </c>
      <c r="P2" s="33">
        <v>0</v>
      </c>
      <c r="Q2" s="33">
        <v>4350.22</v>
      </c>
      <c r="R2" s="25" t="s">
        <v>798</v>
      </c>
      <c r="S2" s="25" t="s">
        <v>267</v>
      </c>
      <c r="T2" s="25" t="s">
        <v>36</v>
      </c>
      <c r="U2" s="25" t="s">
        <v>663</v>
      </c>
      <c r="V2" s="25" t="s">
        <v>2321</v>
      </c>
      <c r="W2" s="25" t="s">
        <v>665</v>
      </c>
      <c r="X2" t="str">
        <v>湘潭市忠强气体有限公司</v>
      </c>
    </row>
    <row r="3" hidden="1" spans="1:24">
      <c r="A3" s="29" t="s">
        <v>2322</v>
      </c>
      <c r="B3" s="29" t="s">
        <v>32</v>
      </c>
      <c r="C3" s="29" t="s">
        <v>2323</v>
      </c>
      <c r="D3" s="30">
        <v>1</v>
      </c>
      <c r="E3" s="29" t="s">
        <v>2324</v>
      </c>
      <c r="F3" s="31">
        <v>45839</v>
      </c>
      <c r="G3" s="31">
        <v>45809</v>
      </c>
      <c r="H3" s="32" t="s">
        <v>444</v>
      </c>
      <c r="I3" s="29" t="s">
        <v>445</v>
      </c>
      <c r="J3" s="32" t="s">
        <v>41</v>
      </c>
      <c r="K3" s="29" t="s">
        <v>660</v>
      </c>
      <c r="L3" s="32" t="s">
        <v>41</v>
      </c>
      <c r="M3" s="29" t="s">
        <v>492</v>
      </c>
      <c r="N3" s="32" t="s">
        <v>41</v>
      </c>
      <c r="O3" s="29" t="s">
        <v>2325</v>
      </c>
      <c r="P3" s="34">
        <v>0</v>
      </c>
      <c r="Q3" s="34">
        <v>799735.02</v>
      </c>
      <c r="R3" s="29" t="s">
        <v>2326</v>
      </c>
      <c r="S3" s="29" t="s">
        <v>600</v>
      </c>
      <c r="T3" s="29" t="s">
        <v>36</v>
      </c>
      <c r="U3" s="29" t="s">
        <v>663</v>
      </c>
      <c r="V3" s="29" t="s">
        <v>2327</v>
      </c>
      <c r="W3" s="29" t="s">
        <v>665</v>
      </c>
      <c r="X3" t="str">
        <v>德阳光华荣昌汽车科技有限公司</v>
      </c>
    </row>
    <row r="4" hidden="1" spans="1:24">
      <c r="A4" s="25" t="s">
        <v>2322</v>
      </c>
      <c r="B4" s="25" t="s">
        <v>32</v>
      </c>
      <c r="C4" s="25" t="s">
        <v>2323</v>
      </c>
      <c r="D4" s="26">
        <v>3</v>
      </c>
      <c r="E4" s="25" t="s">
        <v>2324</v>
      </c>
      <c r="F4" s="27">
        <v>45839</v>
      </c>
      <c r="G4" s="27">
        <v>45809</v>
      </c>
      <c r="H4" s="28" t="s">
        <v>444</v>
      </c>
      <c r="I4" s="25" t="s">
        <v>445</v>
      </c>
      <c r="J4" s="28" t="s">
        <v>41</v>
      </c>
      <c r="K4" s="25" t="s">
        <v>660</v>
      </c>
      <c r="L4" s="28" t="s">
        <v>41</v>
      </c>
      <c r="M4" s="25" t="s">
        <v>492</v>
      </c>
      <c r="N4" s="28" t="s">
        <v>41</v>
      </c>
      <c r="O4" s="25" t="s">
        <v>2325</v>
      </c>
      <c r="P4" s="33">
        <v>7770</v>
      </c>
      <c r="Q4" s="33">
        <v>0</v>
      </c>
      <c r="R4" s="25" t="s">
        <v>2326</v>
      </c>
      <c r="S4" s="25" t="s">
        <v>600</v>
      </c>
      <c r="T4" s="25" t="s">
        <v>36</v>
      </c>
      <c r="U4" s="25" t="s">
        <v>663</v>
      </c>
      <c r="V4" s="25" t="s">
        <v>2327</v>
      </c>
      <c r="W4" s="25" t="s">
        <v>665</v>
      </c>
      <c r="X4" t="str">
        <v>株洲铖亿轨道交通技术有限</v>
      </c>
    </row>
    <row r="5" hidden="1" spans="1:24">
      <c r="A5" s="29" t="s">
        <v>2328</v>
      </c>
      <c r="B5" s="29" t="s">
        <v>32</v>
      </c>
      <c r="C5" s="29" t="s">
        <v>2329</v>
      </c>
      <c r="D5" s="30">
        <v>1</v>
      </c>
      <c r="E5" s="29" t="s">
        <v>2330</v>
      </c>
      <c r="F5" s="31">
        <v>45839</v>
      </c>
      <c r="G5" s="31">
        <v>45809</v>
      </c>
      <c r="H5" s="32" t="s">
        <v>444</v>
      </c>
      <c r="I5" s="29" t="s">
        <v>445</v>
      </c>
      <c r="J5" s="32" t="s">
        <v>41</v>
      </c>
      <c r="K5" s="29" t="s">
        <v>660</v>
      </c>
      <c r="L5" s="32" t="s">
        <v>41</v>
      </c>
      <c r="M5" s="29" t="s">
        <v>492</v>
      </c>
      <c r="N5" s="32" t="s">
        <v>41</v>
      </c>
      <c r="O5" s="29" t="s">
        <v>2325</v>
      </c>
      <c r="P5" s="34">
        <v>0</v>
      </c>
      <c r="Q5" s="34">
        <v>852692.59</v>
      </c>
      <c r="R5" s="29" t="s">
        <v>2326</v>
      </c>
      <c r="S5" s="29" t="s">
        <v>600</v>
      </c>
      <c r="T5" s="29" t="s">
        <v>36</v>
      </c>
      <c r="U5" s="29" t="s">
        <v>663</v>
      </c>
      <c r="V5" s="29" t="s">
        <v>2331</v>
      </c>
      <c r="W5" s="29" t="s">
        <v>665</v>
      </c>
      <c r="X5" t="str">
        <v>江苏力乐汽车部件股份有限公司</v>
      </c>
    </row>
    <row r="6" hidden="1" spans="1:24">
      <c r="A6" s="25" t="s">
        <v>2328</v>
      </c>
      <c r="B6" s="25" t="s">
        <v>32</v>
      </c>
      <c r="C6" s="25" t="s">
        <v>2329</v>
      </c>
      <c r="D6" s="26">
        <v>3</v>
      </c>
      <c r="E6" s="25" t="s">
        <v>2330</v>
      </c>
      <c r="F6" s="27">
        <v>45839</v>
      </c>
      <c r="G6" s="27">
        <v>45809</v>
      </c>
      <c r="H6" s="28" t="s">
        <v>444</v>
      </c>
      <c r="I6" s="25" t="s">
        <v>445</v>
      </c>
      <c r="J6" s="28" t="s">
        <v>41</v>
      </c>
      <c r="K6" s="25" t="s">
        <v>660</v>
      </c>
      <c r="L6" s="28" t="s">
        <v>41</v>
      </c>
      <c r="M6" s="25" t="s">
        <v>492</v>
      </c>
      <c r="N6" s="28" t="s">
        <v>41</v>
      </c>
      <c r="O6" s="25" t="s">
        <v>2325</v>
      </c>
      <c r="P6" s="33">
        <v>170781.88</v>
      </c>
      <c r="Q6" s="33">
        <v>0</v>
      </c>
      <c r="R6" s="25" t="s">
        <v>2326</v>
      </c>
      <c r="S6" s="25" t="s">
        <v>600</v>
      </c>
      <c r="T6" s="25" t="s">
        <v>36</v>
      </c>
      <c r="U6" s="25" t="s">
        <v>663</v>
      </c>
      <c r="V6" s="25" t="s">
        <v>2331</v>
      </c>
      <c r="W6" s="25" t="s">
        <v>665</v>
      </c>
      <c r="X6" t="str">
        <v>吉林省方舟电子科技有限公司</v>
      </c>
    </row>
    <row r="7" hidden="1" spans="1:24">
      <c r="A7" s="29" t="s">
        <v>2332</v>
      </c>
      <c r="B7" s="29" t="s">
        <v>32</v>
      </c>
      <c r="C7" s="29" t="s">
        <v>2333</v>
      </c>
      <c r="D7" s="30">
        <v>1</v>
      </c>
      <c r="E7" s="29" t="s">
        <v>2334</v>
      </c>
      <c r="F7" s="31">
        <v>45831</v>
      </c>
      <c r="G7" s="31">
        <v>45831</v>
      </c>
      <c r="H7" s="32" t="s">
        <v>444</v>
      </c>
      <c r="I7" s="29" t="s">
        <v>445</v>
      </c>
      <c r="J7" s="32" t="s">
        <v>41</v>
      </c>
      <c r="K7" s="29" t="s">
        <v>660</v>
      </c>
      <c r="L7" s="32" t="s">
        <v>41</v>
      </c>
      <c r="M7" s="29" t="s">
        <v>492</v>
      </c>
      <c r="N7" s="32" t="s">
        <v>41</v>
      </c>
      <c r="O7" s="29" t="s">
        <v>1994</v>
      </c>
      <c r="P7" s="34">
        <v>0</v>
      </c>
      <c r="Q7" s="34">
        <v>45852.01</v>
      </c>
      <c r="R7" s="29" t="s">
        <v>1269</v>
      </c>
      <c r="S7" s="29" t="s">
        <v>285</v>
      </c>
      <c r="T7" s="29" t="s">
        <v>36</v>
      </c>
      <c r="U7" s="29" t="s">
        <v>663</v>
      </c>
      <c r="V7" s="29" t="s">
        <v>2335</v>
      </c>
      <c r="W7" s="29" t="s">
        <v>665</v>
      </c>
      <c r="X7" t="str">
        <v>天津市鹰力目标新材料有限公司</v>
      </c>
    </row>
    <row r="8" hidden="1" spans="1:24">
      <c r="A8" s="25" t="s">
        <v>2336</v>
      </c>
      <c r="B8" s="25" t="s">
        <v>32</v>
      </c>
      <c r="C8" s="25" t="s">
        <v>2337</v>
      </c>
      <c r="D8" s="26">
        <v>1</v>
      </c>
      <c r="E8" s="25" t="s">
        <v>2338</v>
      </c>
      <c r="F8" s="27">
        <v>45831</v>
      </c>
      <c r="G8" s="27">
        <v>45831</v>
      </c>
      <c r="H8" s="28" t="s">
        <v>444</v>
      </c>
      <c r="I8" s="25" t="s">
        <v>445</v>
      </c>
      <c r="J8" s="28" t="s">
        <v>41</v>
      </c>
      <c r="K8" s="25" t="s">
        <v>660</v>
      </c>
      <c r="L8" s="28" t="s">
        <v>41</v>
      </c>
      <c r="M8" s="25" t="s">
        <v>492</v>
      </c>
      <c r="N8" s="28" t="s">
        <v>41</v>
      </c>
      <c r="O8" s="25" t="s">
        <v>2134</v>
      </c>
      <c r="P8" s="33">
        <v>0</v>
      </c>
      <c r="Q8" s="33">
        <v>8394.94</v>
      </c>
      <c r="R8" s="25" t="s">
        <v>739</v>
      </c>
      <c r="S8" s="25" t="s">
        <v>249</v>
      </c>
      <c r="T8" s="25" t="s">
        <v>36</v>
      </c>
      <c r="U8" s="25" t="s">
        <v>663</v>
      </c>
      <c r="V8" s="25" t="s">
        <v>2339</v>
      </c>
      <c r="W8" s="25" t="s">
        <v>665</v>
      </c>
      <c r="X8" t="str">
        <v>广州市三泰汽车内饰材料有限公</v>
      </c>
    </row>
    <row r="9" hidden="1" spans="1:24">
      <c r="A9" s="29" t="s">
        <v>2336</v>
      </c>
      <c r="B9" s="29" t="s">
        <v>32</v>
      </c>
      <c r="C9" s="29" t="s">
        <v>2337</v>
      </c>
      <c r="D9" s="30">
        <v>3</v>
      </c>
      <c r="E9" s="29" t="s">
        <v>2338</v>
      </c>
      <c r="F9" s="31">
        <v>45831</v>
      </c>
      <c r="G9" s="31">
        <v>45831</v>
      </c>
      <c r="H9" s="32" t="s">
        <v>444</v>
      </c>
      <c r="I9" s="29" t="s">
        <v>445</v>
      </c>
      <c r="J9" s="32" t="s">
        <v>41</v>
      </c>
      <c r="K9" s="29" t="s">
        <v>660</v>
      </c>
      <c r="L9" s="32" t="s">
        <v>41</v>
      </c>
      <c r="M9" s="29" t="s">
        <v>492</v>
      </c>
      <c r="N9" s="32" t="s">
        <v>41</v>
      </c>
      <c r="O9" s="29" t="s">
        <v>2134</v>
      </c>
      <c r="P9" s="34">
        <v>442</v>
      </c>
      <c r="Q9" s="34">
        <v>0</v>
      </c>
      <c r="R9" s="29" t="s">
        <v>739</v>
      </c>
      <c r="S9" s="29" t="s">
        <v>249</v>
      </c>
      <c r="T9" s="29" t="s">
        <v>36</v>
      </c>
      <c r="U9" s="29" t="s">
        <v>663</v>
      </c>
      <c r="V9" s="29" t="s">
        <v>2339</v>
      </c>
      <c r="W9" s="29" t="s">
        <v>665</v>
      </c>
      <c r="X9" t="str">
        <v>重庆厚元汽车配件有限公司</v>
      </c>
    </row>
    <row r="10" hidden="1" spans="1:24">
      <c r="A10" s="25" t="s">
        <v>2340</v>
      </c>
      <c r="B10" s="25" t="s">
        <v>32</v>
      </c>
      <c r="C10" s="25" t="s">
        <v>2341</v>
      </c>
      <c r="D10" s="26">
        <v>1</v>
      </c>
      <c r="E10" s="25" t="s">
        <v>2342</v>
      </c>
      <c r="F10" s="27">
        <v>45831</v>
      </c>
      <c r="G10" s="27">
        <v>45831</v>
      </c>
      <c r="H10" s="28" t="s">
        <v>444</v>
      </c>
      <c r="I10" s="25" t="s">
        <v>445</v>
      </c>
      <c r="J10" s="28" t="s">
        <v>41</v>
      </c>
      <c r="K10" s="25" t="s">
        <v>660</v>
      </c>
      <c r="L10" s="28" t="s">
        <v>41</v>
      </c>
      <c r="M10" s="25" t="s">
        <v>492</v>
      </c>
      <c r="N10" s="28" t="s">
        <v>41</v>
      </c>
      <c r="O10" s="25" t="s">
        <v>2343</v>
      </c>
      <c r="P10" s="33">
        <v>57732.83</v>
      </c>
      <c r="Q10" s="33">
        <v>0</v>
      </c>
      <c r="R10" s="25" t="s">
        <v>739</v>
      </c>
      <c r="S10" s="25" t="s">
        <v>249</v>
      </c>
      <c r="T10" s="25" t="s">
        <v>36</v>
      </c>
      <c r="U10" s="25" t="s">
        <v>663</v>
      </c>
      <c r="V10" s="25" t="s">
        <v>2344</v>
      </c>
      <c r="W10" s="25" t="s">
        <v>665</v>
      </c>
      <c r="X10" t="str">
        <v>湘潭湘和汽车零部件制造有限公</v>
      </c>
    </row>
    <row r="11" hidden="1" spans="1:24">
      <c r="A11" s="29" t="s">
        <v>2345</v>
      </c>
      <c r="B11" s="29" t="s">
        <v>32</v>
      </c>
      <c r="C11" s="29" t="s">
        <v>2346</v>
      </c>
      <c r="D11" s="30">
        <v>1</v>
      </c>
      <c r="E11" s="29" t="s">
        <v>2347</v>
      </c>
      <c r="F11" s="31">
        <v>45831</v>
      </c>
      <c r="G11" s="31">
        <v>45831</v>
      </c>
      <c r="H11" s="32" t="s">
        <v>444</v>
      </c>
      <c r="I11" s="29" t="s">
        <v>445</v>
      </c>
      <c r="J11" s="32" t="s">
        <v>41</v>
      </c>
      <c r="K11" s="29" t="s">
        <v>660</v>
      </c>
      <c r="L11" s="32" t="s">
        <v>41</v>
      </c>
      <c r="M11" s="29" t="s">
        <v>492</v>
      </c>
      <c r="N11" s="32" t="s">
        <v>41</v>
      </c>
      <c r="O11" s="29" t="s">
        <v>2134</v>
      </c>
      <c r="P11" s="34">
        <v>0</v>
      </c>
      <c r="Q11" s="34">
        <v>51996.9</v>
      </c>
      <c r="R11" s="29" t="s">
        <v>748</v>
      </c>
      <c r="S11" s="29" t="s">
        <v>259</v>
      </c>
      <c r="T11" s="29" t="s">
        <v>36</v>
      </c>
      <c r="U11" s="29" t="s">
        <v>663</v>
      </c>
      <c r="V11" s="29" t="s">
        <v>2348</v>
      </c>
      <c r="W11" s="29" t="s">
        <v>665</v>
      </c>
      <c r="X11" t="str">
        <v>江苏万金汽车零部件制造有限公</v>
      </c>
    </row>
    <row r="12" hidden="1" spans="1:24">
      <c r="A12" s="25" t="s">
        <v>2345</v>
      </c>
      <c r="B12" s="25" t="s">
        <v>32</v>
      </c>
      <c r="C12" s="25" t="s">
        <v>2346</v>
      </c>
      <c r="D12" s="26">
        <v>3</v>
      </c>
      <c r="E12" s="25" t="s">
        <v>2347</v>
      </c>
      <c r="F12" s="27">
        <v>45831</v>
      </c>
      <c r="G12" s="27">
        <v>45831</v>
      </c>
      <c r="H12" s="28" t="s">
        <v>444</v>
      </c>
      <c r="I12" s="25" t="s">
        <v>445</v>
      </c>
      <c r="J12" s="28" t="s">
        <v>41</v>
      </c>
      <c r="K12" s="25" t="s">
        <v>660</v>
      </c>
      <c r="L12" s="28" t="s">
        <v>41</v>
      </c>
      <c r="M12" s="25" t="s">
        <v>492</v>
      </c>
      <c r="N12" s="28" t="s">
        <v>41</v>
      </c>
      <c r="O12" s="25" t="s">
        <v>2134</v>
      </c>
      <c r="P12" s="33">
        <v>1000</v>
      </c>
      <c r="Q12" s="33">
        <v>0</v>
      </c>
      <c r="R12" s="25" t="s">
        <v>748</v>
      </c>
      <c r="S12" s="25" t="s">
        <v>259</v>
      </c>
      <c r="T12" s="25" t="s">
        <v>36</v>
      </c>
      <c r="U12" s="25" t="s">
        <v>663</v>
      </c>
      <c r="V12" s="25" t="s">
        <v>2348</v>
      </c>
      <c r="W12" s="25" t="s">
        <v>665</v>
      </c>
      <c r="X12" t="str">
        <v>海兴中盛弹簧有限公司</v>
      </c>
    </row>
    <row r="13" hidden="1" spans="1:24">
      <c r="A13" s="29" t="s">
        <v>2349</v>
      </c>
      <c r="B13" s="29" t="s">
        <v>32</v>
      </c>
      <c r="C13" s="29" t="s">
        <v>2350</v>
      </c>
      <c r="D13" s="30">
        <v>1</v>
      </c>
      <c r="E13" s="29" t="s">
        <v>2351</v>
      </c>
      <c r="F13" s="31">
        <v>45831</v>
      </c>
      <c r="G13" s="31">
        <v>45831</v>
      </c>
      <c r="H13" s="32" t="s">
        <v>444</v>
      </c>
      <c r="I13" s="29" t="s">
        <v>445</v>
      </c>
      <c r="J13" s="32" t="s">
        <v>41</v>
      </c>
      <c r="K13" s="29" t="s">
        <v>660</v>
      </c>
      <c r="L13" s="32" t="s">
        <v>41</v>
      </c>
      <c r="M13" s="29" t="s">
        <v>492</v>
      </c>
      <c r="N13" s="32" t="s">
        <v>41</v>
      </c>
      <c r="O13" s="29" t="s">
        <v>2134</v>
      </c>
      <c r="P13" s="34">
        <v>0</v>
      </c>
      <c r="Q13" s="34">
        <v>22035</v>
      </c>
      <c r="R13" s="29" t="s">
        <v>2352</v>
      </c>
      <c r="S13" s="29" t="s">
        <v>292</v>
      </c>
      <c r="T13" s="29" t="s">
        <v>36</v>
      </c>
      <c r="U13" s="29" t="s">
        <v>663</v>
      </c>
      <c r="V13" s="29" t="s">
        <v>2353</v>
      </c>
      <c r="W13" s="29" t="s">
        <v>665</v>
      </c>
      <c r="X13" t="str">
        <v>安徽汉升工业部件股份有限公司</v>
      </c>
    </row>
    <row r="14" hidden="1" spans="1:24">
      <c r="A14" s="25" t="s">
        <v>2354</v>
      </c>
      <c r="B14" s="25" t="s">
        <v>32</v>
      </c>
      <c r="C14" s="25" t="s">
        <v>2355</v>
      </c>
      <c r="D14" s="26">
        <v>1</v>
      </c>
      <c r="E14" s="25" t="s">
        <v>2356</v>
      </c>
      <c r="F14" s="27">
        <v>45831</v>
      </c>
      <c r="G14" s="27">
        <v>45831</v>
      </c>
      <c r="H14" s="28" t="s">
        <v>444</v>
      </c>
      <c r="I14" s="25" t="s">
        <v>445</v>
      </c>
      <c r="J14" s="28" t="s">
        <v>41</v>
      </c>
      <c r="K14" s="25" t="s">
        <v>660</v>
      </c>
      <c r="L14" s="28" t="s">
        <v>41</v>
      </c>
      <c r="M14" s="25" t="s">
        <v>492</v>
      </c>
      <c r="N14" s="28" t="s">
        <v>41</v>
      </c>
      <c r="O14" s="25" t="s">
        <v>2134</v>
      </c>
      <c r="P14" s="33">
        <v>0</v>
      </c>
      <c r="Q14" s="33">
        <v>15763.5</v>
      </c>
      <c r="R14" s="25" t="s">
        <v>1074</v>
      </c>
      <c r="S14" s="25" t="s">
        <v>288</v>
      </c>
      <c r="T14" s="25" t="s">
        <v>36</v>
      </c>
      <c r="U14" s="25" t="s">
        <v>663</v>
      </c>
      <c r="V14" s="25" t="s">
        <v>2357</v>
      </c>
      <c r="W14" s="25" t="s">
        <v>665</v>
      </c>
      <c r="X14" t="str">
        <v>湖北伟士通汽车零件有限公司</v>
      </c>
    </row>
    <row r="15" hidden="1" spans="1:24">
      <c r="A15" s="29" t="s">
        <v>2358</v>
      </c>
      <c r="B15" s="29" t="s">
        <v>32</v>
      </c>
      <c r="C15" s="29" t="s">
        <v>2359</v>
      </c>
      <c r="D15" s="30">
        <v>3</v>
      </c>
      <c r="E15" s="29" t="s">
        <v>2360</v>
      </c>
      <c r="F15" s="31">
        <v>45831</v>
      </c>
      <c r="G15" s="31">
        <v>45831</v>
      </c>
      <c r="H15" s="32" t="s">
        <v>444</v>
      </c>
      <c r="I15" s="29" t="s">
        <v>445</v>
      </c>
      <c r="J15" s="32" t="s">
        <v>41</v>
      </c>
      <c r="K15" s="29" t="s">
        <v>660</v>
      </c>
      <c r="L15" s="32" t="s">
        <v>41</v>
      </c>
      <c r="M15" s="29" t="s">
        <v>492</v>
      </c>
      <c r="N15" s="32" t="s">
        <v>41</v>
      </c>
      <c r="O15" s="29" t="s">
        <v>2134</v>
      </c>
      <c r="P15" s="34">
        <v>408</v>
      </c>
      <c r="Q15" s="34">
        <v>0</v>
      </c>
      <c r="R15" s="29" t="s">
        <v>706</v>
      </c>
      <c r="S15" s="29" t="s">
        <v>240</v>
      </c>
      <c r="T15" s="29" t="s">
        <v>36</v>
      </c>
      <c r="U15" s="29" t="s">
        <v>663</v>
      </c>
      <c r="V15" s="29" t="s">
        <v>2361</v>
      </c>
      <c r="W15" s="29" t="s">
        <v>665</v>
      </c>
      <c r="X15" t="str">
        <v>湖南诺亿科技有限公司</v>
      </c>
    </row>
    <row r="16" hidden="1" spans="1:24">
      <c r="A16" s="25" t="s">
        <v>2358</v>
      </c>
      <c r="B16" s="25" t="s">
        <v>32</v>
      </c>
      <c r="C16" s="25" t="s">
        <v>2359</v>
      </c>
      <c r="D16" s="26">
        <v>1</v>
      </c>
      <c r="E16" s="25" t="s">
        <v>2360</v>
      </c>
      <c r="F16" s="27">
        <v>45831</v>
      </c>
      <c r="G16" s="27">
        <v>45831</v>
      </c>
      <c r="H16" s="28" t="s">
        <v>444</v>
      </c>
      <c r="I16" s="25" t="s">
        <v>445</v>
      </c>
      <c r="J16" s="28" t="s">
        <v>41</v>
      </c>
      <c r="K16" s="25" t="s">
        <v>660</v>
      </c>
      <c r="L16" s="28" t="s">
        <v>41</v>
      </c>
      <c r="M16" s="25" t="s">
        <v>492</v>
      </c>
      <c r="N16" s="28" t="s">
        <v>41</v>
      </c>
      <c r="O16" s="25" t="s">
        <v>2134</v>
      </c>
      <c r="P16" s="33">
        <v>0</v>
      </c>
      <c r="Q16" s="33">
        <v>149602.8</v>
      </c>
      <c r="R16" s="25" t="s">
        <v>706</v>
      </c>
      <c r="S16" s="25" t="s">
        <v>240</v>
      </c>
      <c r="T16" s="25" t="s">
        <v>36</v>
      </c>
      <c r="U16" s="25" t="s">
        <v>663</v>
      </c>
      <c r="V16" s="25" t="s">
        <v>2361</v>
      </c>
      <c r="W16" s="25" t="s">
        <v>665</v>
      </c>
      <c r="X16" t="str">
        <v>北京美好生活家居用品有限公司</v>
      </c>
    </row>
    <row r="17" hidden="1" spans="1:24">
      <c r="A17" s="29" t="s">
        <v>2362</v>
      </c>
      <c r="B17" s="29" t="s">
        <v>32</v>
      </c>
      <c r="C17" s="29" t="s">
        <v>2363</v>
      </c>
      <c r="D17" s="30">
        <v>3</v>
      </c>
      <c r="E17" s="29" t="s">
        <v>2364</v>
      </c>
      <c r="F17" s="31">
        <v>45831</v>
      </c>
      <c r="G17" s="31">
        <v>45831</v>
      </c>
      <c r="H17" s="32" t="s">
        <v>444</v>
      </c>
      <c r="I17" s="29" t="s">
        <v>445</v>
      </c>
      <c r="J17" s="32" t="s">
        <v>41</v>
      </c>
      <c r="K17" s="29" t="s">
        <v>660</v>
      </c>
      <c r="L17" s="32" t="s">
        <v>41</v>
      </c>
      <c r="M17" s="29" t="s">
        <v>492</v>
      </c>
      <c r="N17" s="32" t="s">
        <v>41</v>
      </c>
      <c r="O17" s="29" t="s">
        <v>2134</v>
      </c>
      <c r="P17" s="34">
        <v>1985.69</v>
      </c>
      <c r="Q17" s="34">
        <v>0</v>
      </c>
      <c r="R17" s="29" t="s">
        <v>952</v>
      </c>
      <c r="S17" s="29" t="s">
        <v>264</v>
      </c>
      <c r="T17" s="29" t="s">
        <v>36</v>
      </c>
      <c r="U17" s="29" t="s">
        <v>663</v>
      </c>
      <c r="V17" s="29" t="s">
        <v>2365</v>
      </c>
      <c r="W17" s="29" t="s">
        <v>665</v>
      </c>
      <c r="X17" t="str">
        <v>广州市信征汽车零件有限公司</v>
      </c>
    </row>
    <row r="18" hidden="1" spans="1:24">
      <c r="A18" s="25" t="s">
        <v>2362</v>
      </c>
      <c r="B18" s="25" t="s">
        <v>32</v>
      </c>
      <c r="C18" s="25" t="s">
        <v>2363</v>
      </c>
      <c r="D18" s="26">
        <v>1</v>
      </c>
      <c r="E18" s="25" t="s">
        <v>2364</v>
      </c>
      <c r="F18" s="27">
        <v>45831</v>
      </c>
      <c r="G18" s="27">
        <v>45831</v>
      </c>
      <c r="H18" s="28" t="s">
        <v>444</v>
      </c>
      <c r="I18" s="25" t="s">
        <v>445</v>
      </c>
      <c r="J18" s="28" t="s">
        <v>41</v>
      </c>
      <c r="K18" s="25" t="s">
        <v>660</v>
      </c>
      <c r="L18" s="28" t="s">
        <v>41</v>
      </c>
      <c r="M18" s="25" t="s">
        <v>492</v>
      </c>
      <c r="N18" s="28" t="s">
        <v>41</v>
      </c>
      <c r="O18" s="25" t="s">
        <v>2134</v>
      </c>
      <c r="P18" s="33">
        <v>0</v>
      </c>
      <c r="Q18" s="33">
        <v>395459.24</v>
      </c>
      <c r="R18" s="25" t="s">
        <v>952</v>
      </c>
      <c r="S18" s="25" t="s">
        <v>264</v>
      </c>
      <c r="T18" s="25" t="s">
        <v>36</v>
      </c>
      <c r="U18" s="25" t="s">
        <v>663</v>
      </c>
      <c r="V18" s="25" t="s">
        <v>2365</v>
      </c>
      <c r="W18" s="25" t="s">
        <v>665</v>
      </c>
      <c r="X18" t="str">
        <v>天津鑫淼塑料制品有限公司</v>
      </c>
    </row>
    <row r="19" hidden="1" spans="1:24">
      <c r="A19" s="29" t="s">
        <v>2366</v>
      </c>
      <c r="B19" s="29" t="s">
        <v>32</v>
      </c>
      <c r="C19" s="29" t="s">
        <v>2367</v>
      </c>
      <c r="D19" s="30">
        <v>3</v>
      </c>
      <c r="E19" s="29" t="s">
        <v>2368</v>
      </c>
      <c r="F19" s="31">
        <v>45831</v>
      </c>
      <c r="G19" s="31">
        <v>45831</v>
      </c>
      <c r="H19" s="32" t="s">
        <v>444</v>
      </c>
      <c r="I19" s="29" t="s">
        <v>445</v>
      </c>
      <c r="J19" s="32" t="s">
        <v>41</v>
      </c>
      <c r="K19" s="29" t="s">
        <v>660</v>
      </c>
      <c r="L19" s="32" t="s">
        <v>41</v>
      </c>
      <c r="M19" s="29" t="s">
        <v>492</v>
      </c>
      <c r="N19" s="32" t="s">
        <v>41</v>
      </c>
      <c r="O19" s="29" t="s">
        <v>2134</v>
      </c>
      <c r="P19" s="34">
        <v>160</v>
      </c>
      <c r="Q19" s="34">
        <v>0</v>
      </c>
      <c r="R19" s="29" t="s">
        <v>778</v>
      </c>
      <c r="S19" s="29" t="s">
        <v>313</v>
      </c>
      <c r="T19" s="29" t="s">
        <v>36</v>
      </c>
      <c r="U19" s="29" t="s">
        <v>663</v>
      </c>
      <c r="V19" s="29" t="s">
        <v>2369</v>
      </c>
      <c r="W19" s="29" t="s">
        <v>665</v>
      </c>
      <c r="X19" t="str">
        <v>太航常青汽车安全系统(苏州)股</v>
      </c>
    </row>
    <row r="20" hidden="1" spans="1:24">
      <c r="A20" s="25" t="s">
        <v>2366</v>
      </c>
      <c r="B20" s="25" t="s">
        <v>32</v>
      </c>
      <c r="C20" s="25" t="s">
        <v>2367</v>
      </c>
      <c r="D20" s="26">
        <v>1</v>
      </c>
      <c r="E20" s="25" t="s">
        <v>2368</v>
      </c>
      <c r="F20" s="27">
        <v>45831</v>
      </c>
      <c r="G20" s="27">
        <v>45831</v>
      </c>
      <c r="H20" s="28" t="s">
        <v>444</v>
      </c>
      <c r="I20" s="25" t="s">
        <v>445</v>
      </c>
      <c r="J20" s="28" t="s">
        <v>41</v>
      </c>
      <c r="K20" s="25" t="s">
        <v>660</v>
      </c>
      <c r="L20" s="28" t="s">
        <v>41</v>
      </c>
      <c r="M20" s="25" t="s">
        <v>492</v>
      </c>
      <c r="N20" s="28" t="s">
        <v>41</v>
      </c>
      <c r="O20" s="25" t="s">
        <v>2134</v>
      </c>
      <c r="P20" s="33">
        <v>0</v>
      </c>
      <c r="Q20" s="33">
        <v>4589.6</v>
      </c>
      <c r="R20" s="25" t="s">
        <v>778</v>
      </c>
      <c r="S20" s="25" t="s">
        <v>313</v>
      </c>
      <c r="T20" s="25" t="s">
        <v>36</v>
      </c>
      <c r="U20" s="25" t="s">
        <v>663</v>
      </c>
      <c r="V20" s="25" t="s">
        <v>2369</v>
      </c>
      <c r="W20" s="25" t="s">
        <v>665</v>
      </c>
      <c r="X20" t="str">
        <v>衡阳县标准件厂株洲销售处</v>
      </c>
    </row>
    <row r="21" hidden="1" spans="1:24">
      <c r="A21" s="29" t="s">
        <v>2370</v>
      </c>
      <c r="B21" s="29" t="s">
        <v>32</v>
      </c>
      <c r="C21" s="29" t="s">
        <v>2371</v>
      </c>
      <c r="D21" s="30">
        <v>3</v>
      </c>
      <c r="E21" s="29" t="s">
        <v>2372</v>
      </c>
      <c r="F21" s="31">
        <v>45831</v>
      </c>
      <c r="G21" s="31">
        <v>45831</v>
      </c>
      <c r="H21" s="32" t="s">
        <v>444</v>
      </c>
      <c r="I21" s="29" t="s">
        <v>445</v>
      </c>
      <c r="J21" s="32" t="s">
        <v>41</v>
      </c>
      <c r="K21" s="29" t="s">
        <v>660</v>
      </c>
      <c r="L21" s="32" t="s">
        <v>41</v>
      </c>
      <c r="M21" s="29" t="s">
        <v>492</v>
      </c>
      <c r="N21" s="32" t="s">
        <v>41</v>
      </c>
      <c r="O21" s="29" t="s">
        <v>2134</v>
      </c>
      <c r="P21" s="34">
        <v>391</v>
      </c>
      <c r="Q21" s="34">
        <v>0</v>
      </c>
      <c r="R21" s="29" t="s">
        <v>1815</v>
      </c>
      <c r="S21" s="29" t="s">
        <v>297</v>
      </c>
      <c r="T21" s="29" t="s">
        <v>36</v>
      </c>
      <c r="U21" s="29" t="s">
        <v>663</v>
      </c>
      <c r="V21" s="29" t="s">
        <v>2373</v>
      </c>
      <c r="W21" s="29" t="s">
        <v>665</v>
      </c>
      <c r="X21" t="str">
        <v>湖南兴天宏实业有限公司</v>
      </c>
    </row>
    <row r="22" hidden="1" spans="1:24">
      <c r="A22" s="25" t="s">
        <v>2370</v>
      </c>
      <c r="B22" s="25" t="s">
        <v>32</v>
      </c>
      <c r="C22" s="25" t="s">
        <v>2371</v>
      </c>
      <c r="D22" s="26">
        <v>1</v>
      </c>
      <c r="E22" s="25" t="s">
        <v>2372</v>
      </c>
      <c r="F22" s="27">
        <v>45831</v>
      </c>
      <c r="G22" s="27">
        <v>45831</v>
      </c>
      <c r="H22" s="28" t="s">
        <v>444</v>
      </c>
      <c r="I22" s="25" t="s">
        <v>445</v>
      </c>
      <c r="J22" s="28" t="s">
        <v>41</v>
      </c>
      <c r="K22" s="25" t="s">
        <v>660</v>
      </c>
      <c r="L22" s="28" t="s">
        <v>41</v>
      </c>
      <c r="M22" s="25" t="s">
        <v>492</v>
      </c>
      <c r="N22" s="28" t="s">
        <v>41</v>
      </c>
      <c r="O22" s="25" t="s">
        <v>2134</v>
      </c>
      <c r="P22" s="33">
        <v>0</v>
      </c>
      <c r="Q22" s="33">
        <v>8785.77</v>
      </c>
      <c r="R22" s="25" t="s">
        <v>1815</v>
      </c>
      <c r="S22" s="25" t="s">
        <v>297</v>
      </c>
      <c r="T22" s="25" t="s">
        <v>36</v>
      </c>
      <c r="U22" s="25" t="s">
        <v>663</v>
      </c>
      <c r="V22" s="25" t="s">
        <v>2373</v>
      </c>
      <c r="W22" s="25" t="s">
        <v>665</v>
      </c>
      <c r="X22" t="str">
        <v>武汉德锐隆科技有限公司</v>
      </c>
    </row>
    <row r="23" hidden="1" spans="1:24">
      <c r="A23" s="29" t="s">
        <v>2374</v>
      </c>
      <c r="B23" s="29" t="s">
        <v>32</v>
      </c>
      <c r="C23" s="29" t="s">
        <v>2375</v>
      </c>
      <c r="D23" s="30">
        <v>1</v>
      </c>
      <c r="E23" s="29" t="s">
        <v>2376</v>
      </c>
      <c r="F23" s="31">
        <v>45831</v>
      </c>
      <c r="G23" s="31">
        <v>45831</v>
      </c>
      <c r="H23" s="32" t="s">
        <v>444</v>
      </c>
      <c r="I23" s="29" t="s">
        <v>445</v>
      </c>
      <c r="J23" s="32" t="s">
        <v>41</v>
      </c>
      <c r="K23" s="29" t="s">
        <v>660</v>
      </c>
      <c r="L23" s="32" t="s">
        <v>41</v>
      </c>
      <c r="M23" s="29" t="s">
        <v>492</v>
      </c>
      <c r="N23" s="32" t="s">
        <v>41</v>
      </c>
      <c r="O23" s="29" t="s">
        <v>2134</v>
      </c>
      <c r="P23" s="34">
        <v>0</v>
      </c>
      <c r="Q23" s="34">
        <v>723.2</v>
      </c>
      <c r="R23" s="29" t="s">
        <v>788</v>
      </c>
      <c r="S23" s="29" t="s">
        <v>412</v>
      </c>
      <c r="T23" s="29" t="s">
        <v>36</v>
      </c>
      <c r="U23" s="29" t="s">
        <v>663</v>
      </c>
      <c r="V23" s="29" t="s">
        <v>2377</v>
      </c>
      <c r="W23" s="29" t="s">
        <v>665</v>
      </c>
      <c r="X23" t="str">
        <v>天津力登维汽车部件有限公司</v>
      </c>
    </row>
    <row r="24" hidden="1" spans="1:24">
      <c r="A24" s="25" t="s">
        <v>2378</v>
      </c>
      <c r="B24" s="25" t="s">
        <v>32</v>
      </c>
      <c r="C24" s="25" t="s">
        <v>2379</v>
      </c>
      <c r="D24" s="26">
        <v>1</v>
      </c>
      <c r="E24" s="25" t="s">
        <v>2380</v>
      </c>
      <c r="F24" s="27">
        <v>45831</v>
      </c>
      <c r="G24" s="27">
        <v>45831</v>
      </c>
      <c r="H24" s="28" t="s">
        <v>444</v>
      </c>
      <c r="I24" s="25" t="s">
        <v>445</v>
      </c>
      <c r="J24" s="28" t="s">
        <v>41</v>
      </c>
      <c r="K24" s="25" t="s">
        <v>660</v>
      </c>
      <c r="L24" s="28" t="s">
        <v>41</v>
      </c>
      <c r="M24" s="25" t="s">
        <v>492</v>
      </c>
      <c r="N24" s="28" t="s">
        <v>41</v>
      </c>
      <c r="O24" s="25" t="s">
        <v>2134</v>
      </c>
      <c r="P24" s="33">
        <v>0</v>
      </c>
      <c r="Q24" s="33">
        <v>72309.11</v>
      </c>
      <c r="R24" s="25" t="s">
        <v>753</v>
      </c>
      <c r="S24" s="25" t="s">
        <v>252</v>
      </c>
      <c r="T24" s="25" t="s">
        <v>36</v>
      </c>
      <c r="U24" s="25" t="s">
        <v>663</v>
      </c>
      <c r="V24" s="25" t="s">
        <v>2381</v>
      </c>
      <c r="W24" s="25" t="s">
        <v>665</v>
      </c>
      <c r="X24" t="str">
        <v>江阴同威科技有限公司</v>
      </c>
    </row>
    <row r="25" hidden="1" spans="1:24">
      <c r="A25" s="29" t="s">
        <v>2378</v>
      </c>
      <c r="B25" s="29" t="s">
        <v>32</v>
      </c>
      <c r="C25" s="29" t="s">
        <v>2379</v>
      </c>
      <c r="D25" s="30">
        <v>3</v>
      </c>
      <c r="E25" s="29" t="s">
        <v>2380</v>
      </c>
      <c r="F25" s="31">
        <v>45831</v>
      </c>
      <c r="G25" s="31">
        <v>45831</v>
      </c>
      <c r="H25" s="32" t="s">
        <v>444</v>
      </c>
      <c r="I25" s="29" t="s">
        <v>445</v>
      </c>
      <c r="J25" s="32" t="s">
        <v>41</v>
      </c>
      <c r="K25" s="29" t="s">
        <v>660</v>
      </c>
      <c r="L25" s="32" t="s">
        <v>41</v>
      </c>
      <c r="M25" s="29" t="s">
        <v>492</v>
      </c>
      <c r="N25" s="32" t="s">
        <v>41</v>
      </c>
      <c r="O25" s="29" t="s">
        <v>2134</v>
      </c>
      <c r="P25" s="34">
        <v>1.24</v>
      </c>
      <c r="Q25" s="34">
        <v>0</v>
      </c>
      <c r="R25" s="29" t="s">
        <v>753</v>
      </c>
      <c r="S25" s="29" t="s">
        <v>252</v>
      </c>
      <c r="T25" s="29" t="s">
        <v>36</v>
      </c>
      <c r="U25" s="29" t="s">
        <v>663</v>
      </c>
      <c r="V25" s="29" t="s">
        <v>2381</v>
      </c>
      <c r="W25" s="29" t="s">
        <v>665</v>
      </c>
      <c r="X25" t="str">
        <v>重庆光大产业有限公司</v>
      </c>
    </row>
    <row r="26" hidden="1" spans="1:24">
      <c r="A26" s="25" t="s">
        <v>2382</v>
      </c>
      <c r="B26" s="25" t="s">
        <v>32</v>
      </c>
      <c r="C26" s="25" t="s">
        <v>2383</v>
      </c>
      <c r="D26" s="26">
        <v>5</v>
      </c>
      <c r="E26" s="25" t="s">
        <v>2384</v>
      </c>
      <c r="F26" s="27">
        <v>45831</v>
      </c>
      <c r="G26" s="27">
        <v>45831</v>
      </c>
      <c r="H26" s="28" t="s">
        <v>444</v>
      </c>
      <c r="I26" s="25" t="s">
        <v>445</v>
      </c>
      <c r="J26" s="28" t="s">
        <v>41</v>
      </c>
      <c r="K26" s="25" t="s">
        <v>660</v>
      </c>
      <c r="L26" s="28" t="s">
        <v>41</v>
      </c>
      <c r="M26" s="25" t="s">
        <v>492</v>
      </c>
      <c r="N26" s="28" t="s">
        <v>41</v>
      </c>
      <c r="O26" s="25" t="s">
        <v>2112</v>
      </c>
      <c r="P26" s="33">
        <v>115</v>
      </c>
      <c r="Q26" s="33">
        <v>0</v>
      </c>
      <c r="R26" s="25" t="s">
        <v>1815</v>
      </c>
      <c r="S26" s="25" t="s">
        <v>297</v>
      </c>
      <c r="T26" s="25" t="s">
        <v>36</v>
      </c>
      <c r="U26" s="25" t="s">
        <v>663</v>
      </c>
      <c r="V26" s="25" t="s">
        <v>2385</v>
      </c>
      <c r="W26" s="25" t="s">
        <v>665</v>
      </c>
      <c r="X26" t="str">
        <v>黄骅市雍丰塑料制品有限公司</v>
      </c>
    </row>
    <row r="27" hidden="1" spans="1:24">
      <c r="A27" s="29" t="s">
        <v>2382</v>
      </c>
      <c r="B27" s="29" t="s">
        <v>32</v>
      </c>
      <c r="C27" s="29" t="s">
        <v>2383</v>
      </c>
      <c r="D27" s="30">
        <v>1</v>
      </c>
      <c r="E27" s="29" t="s">
        <v>2384</v>
      </c>
      <c r="F27" s="31">
        <v>45831</v>
      </c>
      <c r="G27" s="31">
        <v>45831</v>
      </c>
      <c r="H27" s="32" t="s">
        <v>444</v>
      </c>
      <c r="I27" s="29" t="s">
        <v>445</v>
      </c>
      <c r="J27" s="32" t="s">
        <v>41</v>
      </c>
      <c r="K27" s="29" t="s">
        <v>660</v>
      </c>
      <c r="L27" s="32" t="s">
        <v>41</v>
      </c>
      <c r="M27" s="29" t="s">
        <v>492</v>
      </c>
      <c r="N27" s="32" t="s">
        <v>41</v>
      </c>
      <c r="O27" s="29" t="s">
        <v>2112</v>
      </c>
      <c r="P27" s="34">
        <v>0</v>
      </c>
      <c r="Q27" s="34">
        <v>3439.07</v>
      </c>
      <c r="R27" s="29" t="s">
        <v>1815</v>
      </c>
      <c r="S27" s="29" t="s">
        <v>297</v>
      </c>
      <c r="T27" s="29" t="s">
        <v>36</v>
      </c>
      <c r="U27" s="29" t="s">
        <v>663</v>
      </c>
      <c r="V27" s="29" t="s">
        <v>2385</v>
      </c>
      <c r="W27" s="29" t="s">
        <v>665</v>
      </c>
      <c r="X27" t="str">
        <v>天津琪安科技有限公司</v>
      </c>
    </row>
    <row r="28" hidden="1" spans="1:24">
      <c r="A28" s="25" t="s">
        <v>2386</v>
      </c>
      <c r="B28" s="25" t="s">
        <v>32</v>
      </c>
      <c r="C28" s="25" t="s">
        <v>2387</v>
      </c>
      <c r="D28" s="26">
        <v>3</v>
      </c>
      <c r="E28" s="25" t="s">
        <v>2388</v>
      </c>
      <c r="F28" s="27">
        <v>45831</v>
      </c>
      <c r="G28" s="27">
        <v>45831</v>
      </c>
      <c r="H28" s="28" t="s">
        <v>444</v>
      </c>
      <c r="I28" s="25" t="s">
        <v>445</v>
      </c>
      <c r="J28" s="28" t="s">
        <v>41</v>
      </c>
      <c r="K28" s="25" t="s">
        <v>660</v>
      </c>
      <c r="L28" s="28" t="s">
        <v>41</v>
      </c>
      <c r="M28" s="25" t="s">
        <v>492</v>
      </c>
      <c r="N28" s="28" t="s">
        <v>41</v>
      </c>
      <c r="O28" s="25" t="s">
        <v>2134</v>
      </c>
      <c r="P28" s="33">
        <v>4.14</v>
      </c>
      <c r="Q28" s="33">
        <v>0</v>
      </c>
      <c r="R28" s="25" t="s">
        <v>876</v>
      </c>
      <c r="S28" s="25" t="s">
        <v>272</v>
      </c>
      <c r="T28" s="25" t="s">
        <v>36</v>
      </c>
      <c r="U28" s="25" t="s">
        <v>663</v>
      </c>
      <c r="V28" s="25" t="s">
        <v>2389</v>
      </c>
      <c r="W28" s="25" t="s">
        <v>665</v>
      </c>
      <c r="X28" t="str">
        <v>深州市晶立泰机械配件有限公司</v>
      </c>
    </row>
    <row r="29" hidden="1" spans="1:24">
      <c r="A29" s="29" t="s">
        <v>2386</v>
      </c>
      <c r="B29" s="29" t="s">
        <v>32</v>
      </c>
      <c r="C29" s="29" t="s">
        <v>2387</v>
      </c>
      <c r="D29" s="30">
        <v>1</v>
      </c>
      <c r="E29" s="29" t="s">
        <v>2388</v>
      </c>
      <c r="F29" s="31">
        <v>45831</v>
      </c>
      <c r="G29" s="31">
        <v>45831</v>
      </c>
      <c r="H29" s="32" t="s">
        <v>444</v>
      </c>
      <c r="I29" s="29" t="s">
        <v>445</v>
      </c>
      <c r="J29" s="32" t="s">
        <v>41</v>
      </c>
      <c r="K29" s="29" t="s">
        <v>660</v>
      </c>
      <c r="L29" s="32" t="s">
        <v>41</v>
      </c>
      <c r="M29" s="29" t="s">
        <v>492</v>
      </c>
      <c r="N29" s="32" t="s">
        <v>41</v>
      </c>
      <c r="O29" s="29" t="s">
        <v>2134</v>
      </c>
      <c r="P29" s="34">
        <v>0</v>
      </c>
      <c r="Q29" s="34">
        <v>29371.49</v>
      </c>
      <c r="R29" s="29" t="s">
        <v>876</v>
      </c>
      <c r="S29" s="29" t="s">
        <v>272</v>
      </c>
      <c r="T29" s="29" t="s">
        <v>36</v>
      </c>
      <c r="U29" s="29" t="s">
        <v>663</v>
      </c>
      <c r="V29" s="29" t="s">
        <v>2389</v>
      </c>
      <c r="W29" s="29" t="s">
        <v>665</v>
      </c>
      <c r="X29" t="str">
        <v>廊坊市烁鑫汽车配件有限公司</v>
      </c>
    </row>
    <row r="30" hidden="1" spans="1:24">
      <c r="A30" s="25" t="s">
        <v>2390</v>
      </c>
      <c r="B30" s="25" t="s">
        <v>32</v>
      </c>
      <c r="C30" s="25" t="s">
        <v>2391</v>
      </c>
      <c r="D30" s="26">
        <v>1</v>
      </c>
      <c r="E30" s="25" t="s">
        <v>2392</v>
      </c>
      <c r="F30" s="27">
        <v>45831</v>
      </c>
      <c r="G30" s="27">
        <v>45831</v>
      </c>
      <c r="H30" s="28" t="s">
        <v>444</v>
      </c>
      <c r="I30" s="25" t="s">
        <v>445</v>
      </c>
      <c r="J30" s="28" t="s">
        <v>41</v>
      </c>
      <c r="K30" s="25" t="s">
        <v>660</v>
      </c>
      <c r="L30" s="28" t="s">
        <v>41</v>
      </c>
      <c r="M30" s="25" t="s">
        <v>492</v>
      </c>
      <c r="N30" s="28" t="s">
        <v>41</v>
      </c>
      <c r="O30" s="25" t="s">
        <v>2393</v>
      </c>
      <c r="P30" s="33">
        <v>0.01</v>
      </c>
      <c r="Q30" s="33">
        <v>0</v>
      </c>
      <c r="R30" s="25" t="s">
        <v>876</v>
      </c>
      <c r="S30" s="25" t="s">
        <v>272</v>
      </c>
      <c r="T30" s="25" t="s">
        <v>36</v>
      </c>
      <c r="U30" s="25" t="s">
        <v>663</v>
      </c>
      <c r="V30" s="25" t="s">
        <v>2394</v>
      </c>
      <c r="W30" s="25" t="s">
        <v>665</v>
      </c>
      <c r="X30" t="str">
        <v>黄骅市汇铭汽车部件有限公司</v>
      </c>
    </row>
    <row r="31" hidden="1" spans="1:24">
      <c r="A31" s="29" t="s">
        <v>2395</v>
      </c>
      <c r="B31" s="29" t="s">
        <v>32</v>
      </c>
      <c r="C31" s="29" t="s">
        <v>2396</v>
      </c>
      <c r="D31" s="30">
        <v>1</v>
      </c>
      <c r="E31" s="29" t="s">
        <v>2397</v>
      </c>
      <c r="F31" s="31">
        <v>45832</v>
      </c>
      <c r="G31" s="31">
        <v>45832</v>
      </c>
      <c r="H31" s="32" t="s">
        <v>444</v>
      </c>
      <c r="I31" s="29" t="s">
        <v>445</v>
      </c>
      <c r="J31" s="32" t="s">
        <v>41</v>
      </c>
      <c r="K31" s="29" t="s">
        <v>660</v>
      </c>
      <c r="L31" s="32" t="s">
        <v>41</v>
      </c>
      <c r="M31" s="29" t="s">
        <v>492</v>
      </c>
      <c r="N31" s="32" t="s">
        <v>41</v>
      </c>
      <c r="O31" s="29" t="s">
        <v>2134</v>
      </c>
      <c r="P31" s="34">
        <v>0</v>
      </c>
      <c r="Q31" s="34">
        <v>29180.95</v>
      </c>
      <c r="R31" s="29" t="s">
        <v>758</v>
      </c>
      <c r="S31" s="29" t="s">
        <v>314</v>
      </c>
      <c r="T31" s="29" t="s">
        <v>36</v>
      </c>
      <c r="U31" s="29" t="s">
        <v>663</v>
      </c>
      <c r="V31" s="29" t="s">
        <v>2398</v>
      </c>
      <c r="W31" s="29" t="s">
        <v>665</v>
      </c>
      <c r="X31" t="str">
        <v>黄骅市建昌塑料制品有限公司</v>
      </c>
    </row>
    <row r="32" hidden="1" spans="1:24">
      <c r="A32" s="25" t="s">
        <v>2399</v>
      </c>
      <c r="B32" s="25" t="s">
        <v>32</v>
      </c>
      <c r="C32" s="25" t="s">
        <v>2400</v>
      </c>
      <c r="D32" s="26">
        <v>1</v>
      </c>
      <c r="E32" s="25" t="s">
        <v>2401</v>
      </c>
      <c r="F32" s="27">
        <v>45832</v>
      </c>
      <c r="G32" s="27">
        <v>45832</v>
      </c>
      <c r="H32" s="28" t="s">
        <v>444</v>
      </c>
      <c r="I32" s="25" t="s">
        <v>445</v>
      </c>
      <c r="J32" s="28" t="s">
        <v>41</v>
      </c>
      <c r="K32" s="25" t="s">
        <v>660</v>
      </c>
      <c r="L32" s="28" t="s">
        <v>41</v>
      </c>
      <c r="M32" s="25" t="s">
        <v>492</v>
      </c>
      <c r="N32" s="28" t="s">
        <v>41</v>
      </c>
      <c r="O32" s="25" t="s">
        <v>2134</v>
      </c>
      <c r="P32" s="33">
        <v>0</v>
      </c>
      <c r="Q32" s="33">
        <v>13119.3</v>
      </c>
      <c r="R32" s="25" t="s">
        <v>947</v>
      </c>
      <c r="S32" s="25" t="s">
        <v>300</v>
      </c>
      <c r="T32" s="25" t="s">
        <v>36</v>
      </c>
      <c r="U32" s="25" t="s">
        <v>663</v>
      </c>
      <c r="V32" s="25" t="s">
        <v>2402</v>
      </c>
      <c r="W32" s="25" t="s">
        <v>665</v>
      </c>
      <c r="X32" t="str">
        <v>汇阅（上海）新材料科技有限公</v>
      </c>
    </row>
    <row r="33" hidden="1" spans="1:24">
      <c r="A33" s="29" t="s">
        <v>2403</v>
      </c>
      <c r="B33" s="29" t="s">
        <v>32</v>
      </c>
      <c r="C33" s="29" t="s">
        <v>2404</v>
      </c>
      <c r="D33" s="30">
        <v>1</v>
      </c>
      <c r="E33" s="29" t="s">
        <v>2405</v>
      </c>
      <c r="F33" s="31">
        <v>45832</v>
      </c>
      <c r="G33" s="31">
        <v>45832</v>
      </c>
      <c r="H33" s="32" t="s">
        <v>444</v>
      </c>
      <c r="I33" s="29" t="s">
        <v>445</v>
      </c>
      <c r="J33" s="32" t="s">
        <v>41</v>
      </c>
      <c r="K33" s="29" t="s">
        <v>660</v>
      </c>
      <c r="L33" s="32" t="s">
        <v>41</v>
      </c>
      <c r="M33" s="29" t="s">
        <v>492</v>
      </c>
      <c r="N33" s="32" t="s">
        <v>41</v>
      </c>
      <c r="O33" s="29" t="s">
        <v>2134</v>
      </c>
      <c r="P33" s="34">
        <v>0</v>
      </c>
      <c r="Q33" s="34">
        <v>34578</v>
      </c>
      <c r="R33" s="29" t="s">
        <v>1149</v>
      </c>
      <c r="S33" s="29" t="s">
        <v>282</v>
      </c>
      <c r="T33" s="29" t="s">
        <v>36</v>
      </c>
      <c r="U33" s="29" t="s">
        <v>663</v>
      </c>
      <c r="V33" s="29" t="s">
        <v>2406</v>
      </c>
      <c r="W33" s="29" t="s">
        <v>665</v>
      </c>
      <c r="X33" t="str">
        <v>沧州宇诺五金制造有限公司</v>
      </c>
    </row>
    <row r="34" hidden="1" spans="1:24">
      <c r="A34" s="25" t="s">
        <v>2407</v>
      </c>
      <c r="B34" s="25" t="s">
        <v>32</v>
      </c>
      <c r="C34" s="25" t="s">
        <v>2408</v>
      </c>
      <c r="D34" s="26">
        <v>3</v>
      </c>
      <c r="E34" s="25" t="s">
        <v>2409</v>
      </c>
      <c r="F34" s="27">
        <v>45832</v>
      </c>
      <c r="G34" s="27">
        <v>45832</v>
      </c>
      <c r="H34" s="28" t="s">
        <v>444</v>
      </c>
      <c r="I34" s="25" t="s">
        <v>445</v>
      </c>
      <c r="J34" s="28" t="s">
        <v>41</v>
      </c>
      <c r="K34" s="25" t="s">
        <v>660</v>
      </c>
      <c r="L34" s="28" t="s">
        <v>41</v>
      </c>
      <c r="M34" s="25" t="s">
        <v>492</v>
      </c>
      <c r="N34" s="28" t="s">
        <v>41</v>
      </c>
      <c r="O34" s="25" t="s">
        <v>2134</v>
      </c>
      <c r="P34" s="33">
        <v>8.9</v>
      </c>
      <c r="Q34" s="33">
        <v>0</v>
      </c>
      <c r="R34" s="25" t="s">
        <v>773</v>
      </c>
      <c r="S34" s="25" t="s">
        <v>417</v>
      </c>
      <c r="T34" s="25" t="s">
        <v>36</v>
      </c>
      <c r="U34" s="25" t="s">
        <v>663</v>
      </c>
      <c r="V34" s="25" t="s">
        <v>2410</v>
      </c>
      <c r="W34" s="25" t="s">
        <v>665</v>
      </c>
      <c r="X34" t="str">
        <v>株洲诚康实业有限责任公司</v>
      </c>
    </row>
    <row r="35" hidden="1" spans="1:24">
      <c r="A35" s="29" t="s">
        <v>2407</v>
      </c>
      <c r="B35" s="29" t="s">
        <v>32</v>
      </c>
      <c r="C35" s="29" t="s">
        <v>2408</v>
      </c>
      <c r="D35" s="30">
        <v>1</v>
      </c>
      <c r="E35" s="29" t="s">
        <v>2409</v>
      </c>
      <c r="F35" s="31">
        <v>45832</v>
      </c>
      <c r="G35" s="31">
        <v>45832</v>
      </c>
      <c r="H35" s="32" t="s">
        <v>444</v>
      </c>
      <c r="I35" s="29" t="s">
        <v>445</v>
      </c>
      <c r="J35" s="32" t="s">
        <v>41</v>
      </c>
      <c r="K35" s="29" t="s">
        <v>660</v>
      </c>
      <c r="L35" s="32" t="s">
        <v>41</v>
      </c>
      <c r="M35" s="29" t="s">
        <v>492</v>
      </c>
      <c r="N35" s="32" t="s">
        <v>41</v>
      </c>
      <c r="O35" s="29" t="s">
        <v>2134</v>
      </c>
      <c r="P35" s="34">
        <v>0</v>
      </c>
      <c r="Q35" s="34">
        <v>503.05</v>
      </c>
      <c r="R35" s="29" t="s">
        <v>773</v>
      </c>
      <c r="S35" s="29" t="s">
        <v>417</v>
      </c>
      <c r="T35" s="29" t="s">
        <v>36</v>
      </c>
      <c r="U35" s="29" t="s">
        <v>663</v>
      </c>
      <c r="V35" s="29" t="s">
        <v>2410</v>
      </c>
      <c r="W35" s="29" t="s">
        <v>665</v>
      </c>
      <c r="X35" t="str">
        <v>深圳市新和荣无纺布有限公司</v>
      </c>
    </row>
    <row r="36" hidden="1" spans="1:24">
      <c r="A36" s="25" t="s">
        <v>2411</v>
      </c>
      <c r="B36" s="25" t="s">
        <v>32</v>
      </c>
      <c r="C36" s="25" t="s">
        <v>2412</v>
      </c>
      <c r="D36" s="26">
        <v>1</v>
      </c>
      <c r="E36" s="25" t="s">
        <v>2413</v>
      </c>
      <c r="F36" s="27">
        <v>45832</v>
      </c>
      <c r="G36" s="27">
        <v>45832</v>
      </c>
      <c r="H36" s="28" t="s">
        <v>444</v>
      </c>
      <c r="I36" s="25" t="s">
        <v>445</v>
      </c>
      <c r="J36" s="28" t="s">
        <v>41</v>
      </c>
      <c r="K36" s="25" t="s">
        <v>660</v>
      </c>
      <c r="L36" s="28" t="s">
        <v>41</v>
      </c>
      <c r="M36" s="25" t="s">
        <v>492</v>
      </c>
      <c r="N36" s="28" t="s">
        <v>41</v>
      </c>
      <c r="O36" s="25" t="s">
        <v>2134</v>
      </c>
      <c r="P36" s="33">
        <v>0</v>
      </c>
      <c r="Q36" s="33">
        <v>16010.39</v>
      </c>
      <c r="R36" s="25" t="s">
        <v>938</v>
      </c>
      <c r="S36" s="25" t="s">
        <v>253</v>
      </c>
      <c r="T36" s="25" t="s">
        <v>36</v>
      </c>
      <c r="U36" s="25" t="s">
        <v>663</v>
      </c>
      <c r="V36" s="25" t="s">
        <v>2414</v>
      </c>
      <c r="W36" s="25" t="s">
        <v>665</v>
      </c>
      <c r="X36" t="str">
        <v>溧阳鑫岩汽车零部件有限公司</v>
      </c>
    </row>
    <row r="37" hidden="1" spans="1:24">
      <c r="A37" s="29" t="s">
        <v>2411</v>
      </c>
      <c r="B37" s="29" t="s">
        <v>32</v>
      </c>
      <c r="C37" s="29" t="s">
        <v>2412</v>
      </c>
      <c r="D37" s="30">
        <v>3</v>
      </c>
      <c r="E37" s="29" t="s">
        <v>2413</v>
      </c>
      <c r="F37" s="31">
        <v>45832</v>
      </c>
      <c r="G37" s="31">
        <v>45832</v>
      </c>
      <c r="H37" s="32" t="s">
        <v>444</v>
      </c>
      <c r="I37" s="29" t="s">
        <v>445</v>
      </c>
      <c r="J37" s="32" t="s">
        <v>41</v>
      </c>
      <c r="K37" s="29" t="s">
        <v>660</v>
      </c>
      <c r="L37" s="32" t="s">
        <v>41</v>
      </c>
      <c r="M37" s="29" t="s">
        <v>492</v>
      </c>
      <c r="N37" s="32" t="s">
        <v>41</v>
      </c>
      <c r="O37" s="29" t="s">
        <v>2134</v>
      </c>
      <c r="P37" s="34">
        <v>543.62</v>
      </c>
      <c r="Q37" s="34">
        <v>0</v>
      </c>
      <c r="R37" s="29" t="s">
        <v>938</v>
      </c>
      <c r="S37" s="29" t="s">
        <v>253</v>
      </c>
      <c r="T37" s="29" t="s">
        <v>36</v>
      </c>
      <c r="U37" s="29" t="s">
        <v>663</v>
      </c>
      <c r="V37" s="29" t="s">
        <v>2414</v>
      </c>
      <c r="W37" s="29" t="s">
        <v>665</v>
      </c>
      <c r="X37" t="str">
        <v>霸州市政锦五金制品有限公司</v>
      </c>
    </row>
    <row r="38" hidden="1" spans="1:24">
      <c r="A38" s="25" t="s">
        <v>2415</v>
      </c>
      <c r="B38" s="25" t="s">
        <v>32</v>
      </c>
      <c r="C38" s="25" t="s">
        <v>2416</v>
      </c>
      <c r="D38" s="26">
        <v>1</v>
      </c>
      <c r="E38" s="25" t="s">
        <v>2417</v>
      </c>
      <c r="F38" s="27">
        <v>45832</v>
      </c>
      <c r="G38" s="27">
        <v>45832</v>
      </c>
      <c r="H38" s="28" t="s">
        <v>444</v>
      </c>
      <c r="I38" s="25" t="s">
        <v>445</v>
      </c>
      <c r="J38" s="28" t="s">
        <v>41</v>
      </c>
      <c r="K38" s="25" t="s">
        <v>660</v>
      </c>
      <c r="L38" s="28" t="s">
        <v>41</v>
      </c>
      <c r="M38" s="25" t="s">
        <v>492</v>
      </c>
      <c r="N38" s="28" t="s">
        <v>41</v>
      </c>
      <c r="O38" s="25" t="s">
        <v>2134</v>
      </c>
      <c r="P38" s="33">
        <v>0</v>
      </c>
      <c r="Q38" s="33">
        <v>8600.87</v>
      </c>
      <c r="R38" s="25" t="s">
        <v>1289</v>
      </c>
      <c r="S38" s="25" t="s">
        <v>284</v>
      </c>
      <c r="T38" s="25" t="s">
        <v>36</v>
      </c>
      <c r="U38" s="25" t="s">
        <v>663</v>
      </c>
      <c r="V38" s="25" t="s">
        <v>2418</v>
      </c>
      <c r="W38" s="25" t="s">
        <v>665</v>
      </c>
      <c r="X38" t="str">
        <v>黄骅市成卓汽车部件厂</v>
      </c>
    </row>
    <row r="39" hidden="1" spans="1:24">
      <c r="A39" s="29" t="s">
        <v>2419</v>
      </c>
      <c r="B39" s="29" t="s">
        <v>32</v>
      </c>
      <c r="C39" s="29" t="s">
        <v>2420</v>
      </c>
      <c r="D39" s="30">
        <v>1</v>
      </c>
      <c r="E39" s="29" t="s">
        <v>2421</v>
      </c>
      <c r="F39" s="31">
        <v>45832</v>
      </c>
      <c r="G39" s="31">
        <v>45832</v>
      </c>
      <c r="H39" s="32" t="s">
        <v>444</v>
      </c>
      <c r="I39" s="29" t="s">
        <v>445</v>
      </c>
      <c r="J39" s="32" t="s">
        <v>41</v>
      </c>
      <c r="K39" s="29" t="s">
        <v>660</v>
      </c>
      <c r="L39" s="32" t="s">
        <v>41</v>
      </c>
      <c r="M39" s="29" t="s">
        <v>492</v>
      </c>
      <c r="N39" s="32" t="s">
        <v>41</v>
      </c>
      <c r="O39" s="29" t="s">
        <v>2134</v>
      </c>
      <c r="P39" s="34">
        <v>0</v>
      </c>
      <c r="Q39" s="34">
        <v>150178.62</v>
      </c>
      <c r="R39" s="29" t="s">
        <v>890</v>
      </c>
      <c r="S39" s="29" t="s">
        <v>263</v>
      </c>
      <c r="T39" s="29" t="s">
        <v>36</v>
      </c>
      <c r="U39" s="29" t="s">
        <v>663</v>
      </c>
      <c r="V39" s="29" t="s">
        <v>2422</v>
      </c>
      <c r="W39" s="29" t="s">
        <v>665</v>
      </c>
      <c r="X39" t="str">
        <v>沧州临港明康汽车配件有限公司</v>
      </c>
    </row>
    <row r="40" hidden="1" spans="1:24">
      <c r="A40" s="25" t="s">
        <v>2419</v>
      </c>
      <c r="B40" s="25" t="s">
        <v>32</v>
      </c>
      <c r="C40" s="25" t="s">
        <v>2420</v>
      </c>
      <c r="D40" s="26">
        <v>3</v>
      </c>
      <c r="E40" s="25" t="s">
        <v>2421</v>
      </c>
      <c r="F40" s="27">
        <v>45832</v>
      </c>
      <c r="G40" s="27">
        <v>45832</v>
      </c>
      <c r="H40" s="28" t="s">
        <v>444</v>
      </c>
      <c r="I40" s="25" t="s">
        <v>445</v>
      </c>
      <c r="J40" s="28" t="s">
        <v>41</v>
      </c>
      <c r="K40" s="25" t="s">
        <v>660</v>
      </c>
      <c r="L40" s="28" t="s">
        <v>41</v>
      </c>
      <c r="M40" s="25" t="s">
        <v>492</v>
      </c>
      <c r="N40" s="28" t="s">
        <v>41</v>
      </c>
      <c r="O40" s="25" t="s">
        <v>2134</v>
      </c>
      <c r="P40" s="33">
        <v>269.2</v>
      </c>
      <c r="Q40" s="33">
        <v>0</v>
      </c>
      <c r="R40" s="25" t="s">
        <v>890</v>
      </c>
      <c r="S40" s="25" t="s">
        <v>263</v>
      </c>
      <c r="T40" s="25" t="s">
        <v>36</v>
      </c>
      <c r="U40" s="25" t="s">
        <v>663</v>
      </c>
      <c r="V40" s="25" t="s">
        <v>2422</v>
      </c>
      <c r="W40" s="25" t="s">
        <v>665</v>
      </c>
      <c r="X40" t="str">
        <v>景德镇市凯达汽车配件有限公司</v>
      </c>
    </row>
    <row r="41" hidden="1" spans="1:24">
      <c r="A41" s="29" t="s">
        <v>2423</v>
      </c>
      <c r="B41" s="29" t="s">
        <v>32</v>
      </c>
      <c r="C41" s="29" t="s">
        <v>2424</v>
      </c>
      <c r="D41" s="30">
        <v>1</v>
      </c>
      <c r="E41" s="29" t="s">
        <v>2425</v>
      </c>
      <c r="F41" s="31">
        <v>45832</v>
      </c>
      <c r="G41" s="31">
        <v>45832</v>
      </c>
      <c r="H41" s="32" t="s">
        <v>444</v>
      </c>
      <c r="I41" s="29" t="s">
        <v>445</v>
      </c>
      <c r="J41" s="32" t="s">
        <v>41</v>
      </c>
      <c r="K41" s="29" t="s">
        <v>660</v>
      </c>
      <c r="L41" s="32" t="s">
        <v>41</v>
      </c>
      <c r="M41" s="29" t="s">
        <v>492</v>
      </c>
      <c r="N41" s="32" t="s">
        <v>41</v>
      </c>
      <c r="O41" s="29" t="s">
        <v>2134</v>
      </c>
      <c r="P41" s="34">
        <v>0</v>
      </c>
      <c r="Q41" s="34">
        <v>15820</v>
      </c>
      <c r="R41" s="29" t="s">
        <v>1023</v>
      </c>
      <c r="S41" s="29" t="s">
        <v>317</v>
      </c>
      <c r="T41" s="29" t="s">
        <v>36</v>
      </c>
      <c r="U41" s="29" t="s">
        <v>663</v>
      </c>
      <c r="V41" s="29" t="s">
        <v>2426</v>
      </c>
      <c r="W41" s="29" t="s">
        <v>665</v>
      </c>
      <c r="X41" t="str">
        <v>湖南中道机械设备有限公司</v>
      </c>
    </row>
    <row r="42" hidden="1" spans="1:24">
      <c r="A42" s="25" t="s">
        <v>2427</v>
      </c>
      <c r="B42" s="25" t="s">
        <v>32</v>
      </c>
      <c r="C42" s="25" t="s">
        <v>2428</v>
      </c>
      <c r="D42" s="26">
        <v>1</v>
      </c>
      <c r="E42" s="25" t="s">
        <v>2429</v>
      </c>
      <c r="F42" s="27">
        <v>45832</v>
      </c>
      <c r="G42" s="27">
        <v>45832</v>
      </c>
      <c r="H42" s="28" t="s">
        <v>444</v>
      </c>
      <c r="I42" s="25" t="s">
        <v>445</v>
      </c>
      <c r="J42" s="28" t="s">
        <v>41</v>
      </c>
      <c r="K42" s="25" t="s">
        <v>660</v>
      </c>
      <c r="L42" s="28" t="s">
        <v>41</v>
      </c>
      <c r="M42" s="25" t="s">
        <v>492</v>
      </c>
      <c r="N42" s="28" t="s">
        <v>41</v>
      </c>
      <c r="O42" s="25" t="s">
        <v>2134</v>
      </c>
      <c r="P42" s="33">
        <v>0</v>
      </c>
      <c r="Q42" s="33">
        <v>14400.72</v>
      </c>
      <c r="R42" s="25" t="s">
        <v>1610</v>
      </c>
      <c r="S42" s="25" t="s">
        <v>290</v>
      </c>
      <c r="T42" s="25" t="s">
        <v>36</v>
      </c>
      <c r="U42" s="25" t="s">
        <v>663</v>
      </c>
      <c r="V42" s="25" t="s">
        <v>2430</v>
      </c>
      <c r="W42" s="25" t="s">
        <v>665</v>
      </c>
      <c r="X42" t="str">
        <v>湖南凌天汽车零部件有限公司</v>
      </c>
    </row>
    <row r="43" hidden="1" spans="1:24">
      <c r="A43" s="29" t="s">
        <v>2431</v>
      </c>
      <c r="B43" s="29" t="s">
        <v>32</v>
      </c>
      <c r="C43" s="29" t="s">
        <v>2432</v>
      </c>
      <c r="D43" s="30">
        <v>3</v>
      </c>
      <c r="E43" s="29" t="s">
        <v>2433</v>
      </c>
      <c r="F43" s="31">
        <v>45832</v>
      </c>
      <c r="G43" s="31">
        <v>45832</v>
      </c>
      <c r="H43" s="32" t="s">
        <v>444</v>
      </c>
      <c r="I43" s="29" t="s">
        <v>445</v>
      </c>
      <c r="J43" s="32" t="s">
        <v>41</v>
      </c>
      <c r="K43" s="29" t="s">
        <v>660</v>
      </c>
      <c r="L43" s="32" t="s">
        <v>41</v>
      </c>
      <c r="M43" s="29" t="s">
        <v>492</v>
      </c>
      <c r="N43" s="32" t="s">
        <v>41</v>
      </c>
      <c r="O43" s="29" t="s">
        <v>2134</v>
      </c>
      <c r="P43" s="34">
        <v>1588.51</v>
      </c>
      <c r="Q43" s="34">
        <v>0</v>
      </c>
      <c r="R43" s="29" t="s">
        <v>1191</v>
      </c>
      <c r="S43" s="29" t="s">
        <v>255</v>
      </c>
      <c r="T43" s="29" t="s">
        <v>36</v>
      </c>
      <c r="U43" s="29" t="s">
        <v>663</v>
      </c>
      <c r="V43" s="29" t="s">
        <v>2434</v>
      </c>
      <c r="W43" s="29" t="s">
        <v>665</v>
      </c>
      <c r="X43" t="str">
        <v>文安县德实汽车配件有限公司</v>
      </c>
    </row>
    <row r="44" hidden="1" spans="1:24">
      <c r="A44" s="25" t="s">
        <v>2431</v>
      </c>
      <c r="B44" s="25" t="s">
        <v>32</v>
      </c>
      <c r="C44" s="25" t="s">
        <v>2432</v>
      </c>
      <c r="D44" s="26">
        <v>1</v>
      </c>
      <c r="E44" s="25" t="s">
        <v>2433</v>
      </c>
      <c r="F44" s="27">
        <v>45832</v>
      </c>
      <c r="G44" s="27">
        <v>45832</v>
      </c>
      <c r="H44" s="28" t="s">
        <v>444</v>
      </c>
      <c r="I44" s="25" t="s">
        <v>445</v>
      </c>
      <c r="J44" s="28" t="s">
        <v>41</v>
      </c>
      <c r="K44" s="25" t="s">
        <v>660</v>
      </c>
      <c r="L44" s="28" t="s">
        <v>41</v>
      </c>
      <c r="M44" s="25" t="s">
        <v>492</v>
      </c>
      <c r="N44" s="28" t="s">
        <v>41</v>
      </c>
      <c r="O44" s="25" t="s">
        <v>2134</v>
      </c>
      <c r="P44" s="33">
        <v>0</v>
      </c>
      <c r="Q44" s="33">
        <v>51537.84</v>
      </c>
      <c r="R44" s="25" t="s">
        <v>1191</v>
      </c>
      <c r="S44" s="25" t="s">
        <v>255</v>
      </c>
      <c r="T44" s="25" t="s">
        <v>36</v>
      </c>
      <c r="U44" s="25" t="s">
        <v>663</v>
      </c>
      <c r="V44" s="25" t="s">
        <v>2434</v>
      </c>
      <c r="W44" s="25" t="s">
        <v>665</v>
      </c>
      <c r="X44" t="str">
        <v>湘乡简美工贸有限公司</v>
      </c>
    </row>
    <row r="45" hidden="1" spans="1:24">
      <c r="A45" s="29" t="s">
        <v>2435</v>
      </c>
      <c r="B45" s="29" t="s">
        <v>32</v>
      </c>
      <c r="C45" s="29" t="s">
        <v>2436</v>
      </c>
      <c r="D45" s="30">
        <v>3</v>
      </c>
      <c r="E45" s="29" t="s">
        <v>2437</v>
      </c>
      <c r="F45" s="31">
        <v>45832</v>
      </c>
      <c r="G45" s="31">
        <v>45832</v>
      </c>
      <c r="H45" s="32" t="s">
        <v>444</v>
      </c>
      <c r="I45" s="29" t="s">
        <v>445</v>
      </c>
      <c r="J45" s="32" t="s">
        <v>41</v>
      </c>
      <c r="K45" s="29" t="s">
        <v>660</v>
      </c>
      <c r="L45" s="32" t="s">
        <v>41</v>
      </c>
      <c r="M45" s="29" t="s">
        <v>492</v>
      </c>
      <c r="N45" s="32" t="s">
        <v>41</v>
      </c>
      <c r="O45" s="29" t="s">
        <v>2134</v>
      </c>
      <c r="P45" s="34">
        <v>642.83</v>
      </c>
      <c r="Q45" s="34">
        <v>0</v>
      </c>
      <c r="R45" s="29" t="s">
        <v>919</v>
      </c>
      <c r="S45" s="29" t="s">
        <v>260</v>
      </c>
      <c r="T45" s="29" t="s">
        <v>36</v>
      </c>
      <c r="U45" s="29" t="s">
        <v>663</v>
      </c>
      <c r="V45" s="29" t="s">
        <v>2438</v>
      </c>
      <c r="W45" s="29" t="s">
        <v>665</v>
      </c>
      <c r="X45" t="str">
        <v>重庆渝融兴汽车配件有限公司</v>
      </c>
    </row>
    <row r="46" hidden="1" spans="1:24">
      <c r="A46" s="25" t="s">
        <v>2435</v>
      </c>
      <c r="B46" s="25" t="s">
        <v>32</v>
      </c>
      <c r="C46" s="25" t="s">
        <v>2436</v>
      </c>
      <c r="D46" s="26">
        <v>1</v>
      </c>
      <c r="E46" s="25" t="s">
        <v>2437</v>
      </c>
      <c r="F46" s="27">
        <v>45832</v>
      </c>
      <c r="G46" s="27">
        <v>45832</v>
      </c>
      <c r="H46" s="28" t="s">
        <v>444</v>
      </c>
      <c r="I46" s="25" t="s">
        <v>445</v>
      </c>
      <c r="J46" s="28" t="s">
        <v>41</v>
      </c>
      <c r="K46" s="25" t="s">
        <v>660</v>
      </c>
      <c r="L46" s="28" t="s">
        <v>41</v>
      </c>
      <c r="M46" s="25" t="s">
        <v>492</v>
      </c>
      <c r="N46" s="28" t="s">
        <v>41</v>
      </c>
      <c r="O46" s="25" t="s">
        <v>2134</v>
      </c>
      <c r="P46" s="33">
        <v>0</v>
      </c>
      <c r="Q46" s="33">
        <v>35861.38</v>
      </c>
      <c r="R46" s="25" t="s">
        <v>919</v>
      </c>
      <c r="S46" s="25" t="s">
        <v>260</v>
      </c>
      <c r="T46" s="25" t="s">
        <v>36</v>
      </c>
      <c r="U46" s="25" t="s">
        <v>663</v>
      </c>
      <c r="V46" s="25" t="s">
        <v>2438</v>
      </c>
      <c r="W46" s="25" t="s">
        <v>665</v>
      </c>
      <c r="X46" t="str">
        <v>黄骅市广亿汽车部件有限公司</v>
      </c>
    </row>
    <row r="47" hidden="1" spans="1:24">
      <c r="A47" s="29" t="s">
        <v>2439</v>
      </c>
      <c r="B47" s="29" t="s">
        <v>32</v>
      </c>
      <c r="C47" s="29" t="s">
        <v>2440</v>
      </c>
      <c r="D47" s="30">
        <v>1</v>
      </c>
      <c r="E47" s="29" t="s">
        <v>2441</v>
      </c>
      <c r="F47" s="31">
        <v>45832</v>
      </c>
      <c r="G47" s="31">
        <v>45832</v>
      </c>
      <c r="H47" s="32" t="s">
        <v>444</v>
      </c>
      <c r="I47" s="29" t="s">
        <v>445</v>
      </c>
      <c r="J47" s="32" t="s">
        <v>41</v>
      </c>
      <c r="K47" s="29" t="s">
        <v>660</v>
      </c>
      <c r="L47" s="32" t="s">
        <v>41</v>
      </c>
      <c r="M47" s="29" t="s">
        <v>492</v>
      </c>
      <c r="N47" s="32" t="s">
        <v>41</v>
      </c>
      <c r="O47" s="29" t="s">
        <v>2134</v>
      </c>
      <c r="P47" s="34">
        <v>0</v>
      </c>
      <c r="Q47" s="34">
        <v>24130.06</v>
      </c>
      <c r="R47" s="29" t="s">
        <v>928</v>
      </c>
      <c r="S47" s="29" t="s">
        <v>241</v>
      </c>
      <c r="T47" s="29" t="s">
        <v>36</v>
      </c>
      <c r="U47" s="29" t="s">
        <v>663</v>
      </c>
      <c r="V47" s="29" t="s">
        <v>2442</v>
      </c>
      <c r="W47" s="29" t="s">
        <v>665</v>
      </c>
      <c r="X47" t="str">
        <v>清河县沁园汽车零部件有限公司</v>
      </c>
    </row>
    <row r="48" hidden="1" spans="1:24">
      <c r="A48" s="25" t="s">
        <v>2439</v>
      </c>
      <c r="B48" s="25" t="s">
        <v>32</v>
      </c>
      <c r="C48" s="25" t="s">
        <v>2440</v>
      </c>
      <c r="D48" s="26">
        <v>3</v>
      </c>
      <c r="E48" s="25" t="s">
        <v>2441</v>
      </c>
      <c r="F48" s="27">
        <v>45832</v>
      </c>
      <c r="G48" s="27">
        <v>45832</v>
      </c>
      <c r="H48" s="28" t="s">
        <v>444</v>
      </c>
      <c r="I48" s="25" t="s">
        <v>445</v>
      </c>
      <c r="J48" s="28" t="s">
        <v>41</v>
      </c>
      <c r="K48" s="25" t="s">
        <v>660</v>
      </c>
      <c r="L48" s="28" t="s">
        <v>41</v>
      </c>
      <c r="M48" s="25" t="s">
        <v>492</v>
      </c>
      <c r="N48" s="28" t="s">
        <v>41</v>
      </c>
      <c r="O48" s="25" t="s">
        <v>2134</v>
      </c>
      <c r="P48" s="33">
        <v>421.08</v>
      </c>
      <c r="Q48" s="33">
        <v>0</v>
      </c>
      <c r="R48" s="25" t="s">
        <v>928</v>
      </c>
      <c r="S48" s="25" t="s">
        <v>241</v>
      </c>
      <c r="T48" s="25" t="s">
        <v>36</v>
      </c>
      <c r="U48" s="25" t="s">
        <v>663</v>
      </c>
      <c r="V48" s="25" t="s">
        <v>2442</v>
      </c>
      <c r="W48" s="25" t="s">
        <v>665</v>
      </c>
      <c r="X48" t="str">
        <v>湖南驷马机械有限公司</v>
      </c>
    </row>
    <row r="49" hidden="1" spans="1:24">
      <c r="A49" s="29" t="s">
        <v>2443</v>
      </c>
      <c r="B49" s="29" t="s">
        <v>32</v>
      </c>
      <c r="C49" s="29" t="s">
        <v>2444</v>
      </c>
      <c r="D49" s="30">
        <v>3</v>
      </c>
      <c r="E49" s="29" t="s">
        <v>2445</v>
      </c>
      <c r="F49" s="31">
        <v>45832</v>
      </c>
      <c r="G49" s="31">
        <v>45832</v>
      </c>
      <c r="H49" s="32" t="s">
        <v>444</v>
      </c>
      <c r="I49" s="29" t="s">
        <v>445</v>
      </c>
      <c r="J49" s="32" t="s">
        <v>41</v>
      </c>
      <c r="K49" s="29" t="s">
        <v>660</v>
      </c>
      <c r="L49" s="32" t="s">
        <v>41</v>
      </c>
      <c r="M49" s="29" t="s">
        <v>492</v>
      </c>
      <c r="N49" s="32" t="s">
        <v>41</v>
      </c>
      <c r="O49" s="29" t="s">
        <v>2134</v>
      </c>
      <c r="P49" s="34">
        <v>97.75</v>
      </c>
      <c r="Q49" s="34">
        <v>0</v>
      </c>
      <c r="R49" s="29" t="s">
        <v>914</v>
      </c>
      <c r="S49" s="29" t="s">
        <v>270</v>
      </c>
      <c r="T49" s="29" t="s">
        <v>36</v>
      </c>
      <c r="U49" s="29" t="s">
        <v>663</v>
      </c>
      <c r="V49" s="29" t="s">
        <v>2446</v>
      </c>
      <c r="W49" s="29" t="s">
        <v>665</v>
      </c>
      <c r="X49" t="str">
        <v>厦门凯平化工有限公司</v>
      </c>
    </row>
    <row r="50" hidden="1" spans="1:24">
      <c r="A50" s="25" t="s">
        <v>2443</v>
      </c>
      <c r="B50" s="25" t="s">
        <v>32</v>
      </c>
      <c r="C50" s="25" t="s">
        <v>2444</v>
      </c>
      <c r="D50" s="26">
        <v>1</v>
      </c>
      <c r="E50" s="25" t="s">
        <v>2445</v>
      </c>
      <c r="F50" s="27">
        <v>45832</v>
      </c>
      <c r="G50" s="27">
        <v>45832</v>
      </c>
      <c r="H50" s="28" t="s">
        <v>444</v>
      </c>
      <c r="I50" s="25" t="s">
        <v>445</v>
      </c>
      <c r="J50" s="28" t="s">
        <v>41</v>
      </c>
      <c r="K50" s="25" t="s">
        <v>660</v>
      </c>
      <c r="L50" s="28" t="s">
        <v>41</v>
      </c>
      <c r="M50" s="25" t="s">
        <v>492</v>
      </c>
      <c r="N50" s="28" t="s">
        <v>41</v>
      </c>
      <c r="O50" s="25" t="s">
        <v>2134</v>
      </c>
      <c r="P50" s="33">
        <v>0</v>
      </c>
      <c r="Q50" s="33">
        <v>3582.45</v>
      </c>
      <c r="R50" s="25" t="s">
        <v>914</v>
      </c>
      <c r="S50" s="25" t="s">
        <v>270</v>
      </c>
      <c r="T50" s="25" t="s">
        <v>36</v>
      </c>
      <c r="U50" s="25" t="s">
        <v>663</v>
      </c>
      <c r="V50" s="25" t="s">
        <v>2446</v>
      </c>
      <c r="W50" s="25" t="s">
        <v>665</v>
      </c>
      <c r="X50" t="str">
        <v>北京光华荣昌汽车部件有限公司</v>
      </c>
    </row>
    <row r="51" hidden="1" spans="1:24">
      <c r="A51" s="29" t="s">
        <v>2447</v>
      </c>
      <c r="B51" s="29" t="s">
        <v>32</v>
      </c>
      <c r="C51" s="29" t="s">
        <v>2448</v>
      </c>
      <c r="D51" s="30">
        <v>1</v>
      </c>
      <c r="E51" s="29" t="s">
        <v>2449</v>
      </c>
      <c r="F51" s="31">
        <v>45832</v>
      </c>
      <c r="G51" s="31">
        <v>45832</v>
      </c>
      <c r="H51" s="32" t="s">
        <v>444</v>
      </c>
      <c r="I51" s="29" t="s">
        <v>445</v>
      </c>
      <c r="J51" s="32" t="s">
        <v>41</v>
      </c>
      <c r="K51" s="29" t="s">
        <v>660</v>
      </c>
      <c r="L51" s="32" t="s">
        <v>41</v>
      </c>
      <c r="M51" s="29" t="s">
        <v>492</v>
      </c>
      <c r="N51" s="32" t="s">
        <v>41</v>
      </c>
      <c r="O51" s="29" t="s">
        <v>2134</v>
      </c>
      <c r="P51" s="34">
        <v>0</v>
      </c>
      <c r="Q51" s="34">
        <v>11158.92</v>
      </c>
      <c r="R51" s="29" t="s">
        <v>871</v>
      </c>
      <c r="S51" s="29" t="s">
        <v>246</v>
      </c>
      <c r="T51" s="29" t="s">
        <v>36</v>
      </c>
      <c r="U51" s="29" t="s">
        <v>663</v>
      </c>
      <c r="V51" s="29" t="s">
        <v>2450</v>
      </c>
      <c r="W51" s="29" t="s">
        <v>665</v>
      </c>
      <c r="X51" t="str">
        <v>长沙真旺钢铁贸易有限公司</v>
      </c>
    </row>
    <row r="52" hidden="1" spans="1:24">
      <c r="A52" s="25" t="s">
        <v>2451</v>
      </c>
      <c r="B52" s="25" t="s">
        <v>32</v>
      </c>
      <c r="C52" s="25" t="s">
        <v>2452</v>
      </c>
      <c r="D52" s="26">
        <v>3</v>
      </c>
      <c r="E52" s="25" t="s">
        <v>2453</v>
      </c>
      <c r="F52" s="27">
        <v>45832</v>
      </c>
      <c r="G52" s="27">
        <v>45832</v>
      </c>
      <c r="H52" s="28" t="s">
        <v>444</v>
      </c>
      <c r="I52" s="25" t="s">
        <v>445</v>
      </c>
      <c r="J52" s="28" t="s">
        <v>41</v>
      </c>
      <c r="K52" s="25" t="s">
        <v>660</v>
      </c>
      <c r="L52" s="28" t="s">
        <v>41</v>
      </c>
      <c r="M52" s="25" t="s">
        <v>492</v>
      </c>
      <c r="N52" s="28" t="s">
        <v>41</v>
      </c>
      <c r="O52" s="25" t="s">
        <v>2134</v>
      </c>
      <c r="P52" s="33">
        <v>197.45</v>
      </c>
      <c r="Q52" s="33">
        <v>0</v>
      </c>
      <c r="R52" s="25" t="s">
        <v>1586</v>
      </c>
      <c r="S52" s="25" t="s">
        <v>247</v>
      </c>
      <c r="T52" s="25" t="s">
        <v>36</v>
      </c>
      <c r="U52" s="25" t="s">
        <v>663</v>
      </c>
      <c r="V52" s="25" t="s">
        <v>2454</v>
      </c>
      <c r="W52" s="25" t="s">
        <v>665</v>
      </c>
      <c r="X52" t="str">
        <v>河北光华荣昌汽车部件有限公司</v>
      </c>
    </row>
    <row r="53" hidden="1" spans="1:24">
      <c r="A53" s="29" t="s">
        <v>2451</v>
      </c>
      <c r="B53" s="29" t="s">
        <v>32</v>
      </c>
      <c r="C53" s="29" t="s">
        <v>2452</v>
      </c>
      <c r="D53" s="30">
        <v>1</v>
      </c>
      <c r="E53" s="29" t="s">
        <v>2453</v>
      </c>
      <c r="F53" s="31">
        <v>45832</v>
      </c>
      <c r="G53" s="31">
        <v>45832</v>
      </c>
      <c r="H53" s="32" t="s">
        <v>444</v>
      </c>
      <c r="I53" s="29" t="s">
        <v>445</v>
      </c>
      <c r="J53" s="32" t="s">
        <v>41</v>
      </c>
      <c r="K53" s="29" t="s">
        <v>660</v>
      </c>
      <c r="L53" s="32" t="s">
        <v>41</v>
      </c>
      <c r="M53" s="29" t="s">
        <v>492</v>
      </c>
      <c r="N53" s="32" t="s">
        <v>41</v>
      </c>
      <c r="O53" s="29" t="s">
        <v>2134</v>
      </c>
      <c r="P53" s="34">
        <v>0</v>
      </c>
      <c r="Q53" s="34">
        <v>24323.26</v>
      </c>
      <c r="R53" s="29" t="s">
        <v>1586</v>
      </c>
      <c r="S53" s="29" t="s">
        <v>247</v>
      </c>
      <c r="T53" s="29" t="s">
        <v>36</v>
      </c>
      <c r="U53" s="29" t="s">
        <v>663</v>
      </c>
      <c r="V53" s="29" t="s">
        <v>2454</v>
      </c>
      <c r="W53" s="29" t="s">
        <v>665</v>
      </c>
      <c r="X53">
        <v>0</v>
      </c>
    </row>
    <row r="54" hidden="1" spans="1:23">
      <c r="A54" s="25" t="s">
        <v>2455</v>
      </c>
      <c r="B54" s="25" t="s">
        <v>32</v>
      </c>
      <c r="C54" s="25" t="s">
        <v>2456</v>
      </c>
      <c r="D54" s="26">
        <v>3</v>
      </c>
      <c r="E54" s="25" t="s">
        <v>2457</v>
      </c>
      <c r="F54" s="27">
        <v>45832</v>
      </c>
      <c r="G54" s="27">
        <v>45832</v>
      </c>
      <c r="H54" s="28" t="s">
        <v>444</v>
      </c>
      <c r="I54" s="25" t="s">
        <v>445</v>
      </c>
      <c r="J54" s="28" t="s">
        <v>41</v>
      </c>
      <c r="K54" s="25" t="s">
        <v>660</v>
      </c>
      <c r="L54" s="28" t="s">
        <v>41</v>
      </c>
      <c r="M54" s="25" t="s">
        <v>492</v>
      </c>
      <c r="N54" s="28" t="s">
        <v>41</v>
      </c>
      <c r="O54" s="25" t="s">
        <v>2134</v>
      </c>
      <c r="P54" s="33">
        <v>0.85</v>
      </c>
      <c r="Q54" s="33">
        <v>0</v>
      </c>
      <c r="R54" s="25" t="s">
        <v>899</v>
      </c>
      <c r="S54" s="25" t="s">
        <v>245</v>
      </c>
      <c r="T54" s="25" t="s">
        <v>36</v>
      </c>
      <c r="U54" s="25" t="s">
        <v>663</v>
      </c>
      <c r="V54" s="25" t="s">
        <v>2458</v>
      </c>
      <c r="W54" s="25" t="s">
        <v>665</v>
      </c>
    </row>
    <row r="55" hidden="1" spans="1:23">
      <c r="A55" s="29" t="s">
        <v>2455</v>
      </c>
      <c r="B55" s="29" t="s">
        <v>32</v>
      </c>
      <c r="C55" s="29" t="s">
        <v>2456</v>
      </c>
      <c r="D55" s="30">
        <v>1</v>
      </c>
      <c r="E55" s="29" t="s">
        <v>2457</v>
      </c>
      <c r="F55" s="31">
        <v>45832</v>
      </c>
      <c r="G55" s="31">
        <v>45832</v>
      </c>
      <c r="H55" s="32" t="s">
        <v>444</v>
      </c>
      <c r="I55" s="29" t="s">
        <v>445</v>
      </c>
      <c r="J55" s="32" t="s">
        <v>41</v>
      </c>
      <c r="K55" s="29" t="s">
        <v>660</v>
      </c>
      <c r="L55" s="32" t="s">
        <v>41</v>
      </c>
      <c r="M55" s="29" t="s">
        <v>492</v>
      </c>
      <c r="N55" s="32" t="s">
        <v>41</v>
      </c>
      <c r="O55" s="29" t="s">
        <v>2134</v>
      </c>
      <c r="P55" s="34">
        <v>0</v>
      </c>
      <c r="Q55" s="34">
        <v>32445.23</v>
      </c>
      <c r="R55" s="29" t="s">
        <v>899</v>
      </c>
      <c r="S55" s="29" t="s">
        <v>245</v>
      </c>
      <c r="T55" s="29" t="s">
        <v>36</v>
      </c>
      <c r="U55" s="29" t="s">
        <v>663</v>
      </c>
      <c r="V55" s="29" t="s">
        <v>2458</v>
      </c>
      <c r="W55" s="29" t="s">
        <v>665</v>
      </c>
    </row>
    <row r="56" spans="1:23">
      <c r="A56" s="25" t="s">
        <v>2459</v>
      </c>
      <c r="B56" s="25" t="s">
        <v>32</v>
      </c>
      <c r="C56" s="25" t="s">
        <v>2460</v>
      </c>
      <c r="D56" s="26">
        <v>3</v>
      </c>
      <c r="E56" s="25" t="s">
        <v>2461</v>
      </c>
      <c r="F56" s="27">
        <v>45832</v>
      </c>
      <c r="G56" s="27">
        <v>45832</v>
      </c>
      <c r="H56" s="28" t="s">
        <v>444</v>
      </c>
      <c r="I56" s="25" t="s">
        <v>445</v>
      </c>
      <c r="J56" s="28" t="s">
        <v>41</v>
      </c>
      <c r="K56" s="25" t="s">
        <v>660</v>
      </c>
      <c r="L56" s="28" t="s">
        <v>41</v>
      </c>
      <c r="M56" s="25" t="s">
        <v>492</v>
      </c>
      <c r="N56" s="28" t="s">
        <v>41</v>
      </c>
      <c r="O56" s="25" t="s">
        <v>2134</v>
      </c>
      <c r="P56" s="33">
        <v>83673.98</v>
      </c>
      <c r="Q56" s="33">
        <v>0</v>
      </c>
      <c r="R56" s="25" t="s">
        <v>34</v>
      </c>
      <c r="S56" s="25" t="s">
        <v>277</v>
      </c>
      <c r="T56" s="25" t="s">
        <v>36</v>
      </c>
      <c r="U56" s="25" t="s">
        <v>663</v>
      </c>
      <c r="V56" s="25" t="s">
        <v>96</v>
      </c>
      <c r="W56" s="25" t="s">
        <v>665</v>
      </c>
    </row>
    <row r="57" spans="1:23">
      <c r="A57" s="29" t="s">
        <v>2459</v>
      </c>
      <c r="B57" s="29" t="s">
        <v>32</v>
      </c>
      <c r="C57" s="29" t="s">
        <v>2460</v>
      </c>
      <c r="D57" s="30">
        <v>1</v>
      </c>
      <c r="E57" s="29" t="s">
        <v>2461</v>
      </c>
      <c r="F57" s="31">
        <v>45832</v>
      </c>
      <c r="G57" s="31">
        <v>45832</v>
      </c>
      <c r="H57" s="32" t="s">
        <v>444</v>
      </c>
      <c r="I57" s="29" t="s">
        <v>445</v>
      </c>
      <c r="J57" s="32" t="s">
        <v>41</v>
      </c>
      <c r="K57" s="29" t="s">
        <v>660</v>
      </c>
      <c r="L57" s="32" t="s">
        <v>41</v>
      </c>
      <c r="M57" s="29" t="s">
        <v>492</v>
      </c>
      <c r="N57" s="32" t="s">
        <v>41</v>
      </c>
      <c r="O57" s="29" t="s">
        <v>2134</v>
      </c>
      <c r="P57" s="34">
        <v>0</v>
      </c>
      <c r="Q57" s="34">
        <v>527589.98</v>
      </c>
      <c r="R57" s="29" t="s">
        <v>34</v>
      </c>
      <c r="S57" s="29" t="s">
        <v>277</v>
      </c>
      <c r="T57" s="29" t="s">
        <v>36</v>
      </c>
      <c r="U57" s="29" t="s">
        <v>663</v>
      </c>
      <c r="V57" s="29" t="s">
        <v>96</v>
      </c>
      <c r="W57" s="29" t="s">
        <v>665</v>
      </c>
    </row>
    <row r="58" spans="1:23">
      <c r="A58" s="25" t="s">
        <v>2462</v>
      </c>
      <c r="B58" s="25" t="s">
        <v>32</v>
      </c>
      <c r="C58" s="25" t="s">
        <v>2463</v>
      </c>
      <c r="D58" s="26">
        <v>1</v>
      </c>
      <c r="E58" s="25" t="s">
        <v>2464</v>
      </c>
      <c r="F58" s="27">
        <v>45832</v>
      </c>
      <c r="G58" s="27">
        <v>45832</v>
      </c>
      <c r="H58" s="28" t="s">
        <v>444</v>
      </c>
      <c r="I58" s="25" t="s">
        <v>445</v>
      </c>
      <c r="J58" s="28" t="s">
        <v>41</v>
      </c>
      <c r="K58" s="25" t="s">
        <v>660</v>
      </c>
      <c r="L58" s="28" t="s">
        <v>41</v>
      </c>
      <c r="M58" s="25" t="s">
        <v>492</v>
      </c>
      <c r="N58" s="28" t="s">
        <v>41</v>
      </c>
      <c r="O58" s="25" t="s">
        <v>2134</v>
      </c>
      <c r="P58" s="33">
        <v>0</v>
      </c>
      <c r="Q58" s="33">
        <v>527589.98</v>
      </c>
      <c r="R58" s="25" t="s">
        <v>34</v>
      </c>
      <c r="S58" s="25" t="s">
        <v>277</v>
      </c>
      <c r="T58" s="25" t="s">
        <v>36</v>
      </c>
      <c r="U58" s="25" t="s">
        <v>663</v>
      </c>
      <c r="V58" s="25" t="s">
        <v>90</v>
      </c>
      <c r="W58" s="25" t="s">
        <v>665</v>
      </c>
    </row>
    <row r="59" spans="1:23">
      <c r="A59" s="29" t="s">
        <v>2462</v>
      </c>
      <c r="B59" s="29" t="s">
        <v>32</v>
      </c>
      <c r="C59" s="29" t="s">
        <v>2463</v>
      </c>
      <c r="D59" s="30">
        <v>3</v>
      </c>
      <c r="E59" s="29" t="s">
        <v>2464</v>
      </c>
      <c r="F59" s="31">
        <v>45832</v>
      </c>
      <c r="G59" s="31">
        <v>45832</v>
      </c>
      <c r="H59" s="32" t="s">
        <v>444</v>
      </c>
      <c r="I59" s="29" t="s">
        <v>445</v>
      </c>
      <c r="J59" s="32" t="s">
        <v>41</v>
      </c>
      <c r="K59" s="29" t="s">
        <v>660</v>
      </c>
      <c r="L59" s="32" t="s">
        <v>41</v>
      </c>
      <c r="M59" s="29" t="s">
        <v>492</v>
      </c>
      <c r="N59" s="32" t="s">
        <v>41</v>
      </c>
      <c r="O59" s="29" t="s">
        <v>2134</v>
      </c>
      <c r="P59" s="34">
        <v>83673.98</v>
      </c>
      <c r="Q59" s="34">
        <v>0</v>
      </c>
      <c r="R59" s="29" t="s">
        <v>34</v>
      </c>
      <c r="S59" s="29" t="s">
        <v>277</v>
      </c>
      <c r="T59" s="29" t="s">
        <v>36</v>
      </c>
      <c r="U59" s="29" t="s">
        <v>663</v>
      </c>
      <c r="V59" s="29" t="s">
        <v>90</v>
      </c>
      <c r="W59" s="29" t="s">
        <v>665</v>
      </c>
    </row>
    <row r="60" spans="1:23">
      <c r="A60" s="25" t="s">
        <v>2465</v>
      </c>
      <c r="B60" s="25" t="s">
        <v>32</v>
      </c>
      <c r="C60" s="25" t="s">
        <v>2466</v>
      </c>
      <c r="D60" s="26">
        <v>1</v>
      </c>
      <c r="E60" s="25" t="s">
        <v>2467</v>
      </c>
      <c r="F60" s="27">
        <v>45832</v>
      </c>
      <c r="G60" s="27">
        <v>45832</v>
      </c>
      <c r="H60" s="28" t="s">
        <v>444</v>
      </c>
      <c r="I60" s="25" t="s">
        <v>445</v>
      </c>
      <c r="J60" s="28" t="s">
        <v>41</v>
      </c>
      <c r="K60" s="25" t="s">
        <v>660</v>
      </c>
      <c r="L60" s="28" t="s">
        <v>41</v>
      </c>
      <c r="M60" s="25" t="s">
        <v>492</v>
      </c>
      <c r="N60" s="28" t="s">
        <v>41</v>
      </c>
      <c r="O60" s="25" t="s">
        <v>2134</v>
      </c>
      <c r="P60" s="33">
        <v>0</v>
      </c>
      <c r="Q60" s="33">
        <v>527589.98</v>
      </c>
      <c r="R60" s="25" t="s">
        <v>34</v>
      </c>
      <c r="S60" s="25" t="s">
        <v>277</v>
      </c>
      <c r="T60" s="25" t="s">
        <v>36</v>
      </c>
      <c r="U60" s="25" t="s">
        <v>663</v>
      </c>
      <c r="V60" s="25" t="s">
        <v>93</v>
      </c>
      <c r="W60" s="25" t="s">
        <v>665</v>
      </c>
    </row>
    <row r="61" spans="1:23">
      <c r="A61" s="29" t="s">
        <v>2465</v>
      </c>
      <c r="B61" s="29" t="s">
        <v>32</v>
      </c>
      <c r="C61" s="29" t="s">
        <v>2466</v>
      </c>
      <c r="D61" s="30">
        <v>3</v>
      </c>
      <c r="E61" s="29" t="s">
        <v>2467</v>
      </c>
      <c r="F61" s="31">
        <v>45832</v>
      </c>
      <c r="G61" s="31">
        <v>45832</v>
      </c>
      <c r="H61" s="32" t="s">
        <v>444</v>
      </c>
      <c r="I61" s="29" t="s">
        <v>445</v>
      </c>
      <c r="J61" s="32" t="s">
        <v>41</v>
      </c>
      <c r="K61" s="29" t="s">
        <v>660</v>
      </c>
      <c r="L61" s="32" t="s">
        <v>41</v>
      </c>
      <c r="M61" s="29" t="s">
        <v>492</v>
      </c>
      <c r="N61" s="32" t="s">
        <v>41</v>
      </c>
      <c r="O61" s="29" t="s">
        <v>2134</v>
      </c>
      <c r="P61" s="34">
        <v>83673.98</v>
      </c>
      <c r="Q61" s="34">
        <v>0</v>
      </c>
      <c r="R61" s="29" t="s">
        <v>34</v>
      </c>
      <c r="S61" s="29" t="s">
        <v>277</v>
      </c>
      <c r="T61" s="29" t="s">
        <v>36</v>
      </c>
      <c r="U61" s="29" t="s">
        <v>663</v>
      </c>
      <c r="V61" s="29" t="s">
        <v>93</v>
      </c>
      <c r="W61" s="29" t="s">
        <v>665</v>
      </c>
    </row>
    <row r="62" hidden="1" spans="1:23">
      <c r="A62" s="25" t="s">
        <v>2468</v>
      </c>
      <c r="B62" s="25" t="s">
        <v>32</v>
      </c>
      <c r="C62" s="25" t="s">
        <v>2469</v>
      </c>
      <c r="D62" s="26">
        <v>1</v>
      </c>
      <c r="E62" s="25" t="s">
        <v>2470</v>
      </c>
      <c r="F62" s="27">
        <v>45833</v>
      </c>
      <c r="G62" s="27">
        <v>45833</v>
      </c>
      <c r="H62" s="28" t="s">
        <v>444</v>
      </c>
      <c r="I62" s="25" t="s">
        <v>445</v>
      </c>
      <c r="J62" s="28" t="s">
        <v>41</v>
      </c>
      <c r="K62" s="25" t="s">
        <v>660</v>
      </c>
      <c r="L62" s="28" t="s">
        <v>41</v>
      </c>
      <c r="M62" s="25" t="s">
        <v>492</v>
      </c>
      <c r="N62" s="28" t="s">
        <v>41</v>
      </c>
      <c r="O62" s="25" t="s">
        <v>2134</v>
      </c>
      <c r="P62" s="33">
        <v>0</v>
      </c>
      <c r="Q62" s="33">
        <v>6789.03</v>
      </c>
      <c r="R62" s="25" t="s">
        <v>768</v>
      </c>
      <c r="S62" s="25" t="s">
        <v>307</v>
      </c>
      <c r="T62" s="25" t="s">
        <v>36</v>
      </c>
      <c r="U62" s="25" t="s">
        <v>663</v>
      </c>
      <c r="V62" s="25" t="s">
        <v>2471</v>
      </c>
      <c r="W62" s="25" t="s">
        <v>665</v>
      </c>
    </row>
    <row r="63" hidden="1" spans="1:23">
      <c r="A63" s="29" t="s">
        <v>2468</v>
      </c>
      <c r="B63" s="29" t="s">
        <v>32</v>
      </c>
      <c r="C63" s="29" t="s">
        <v>2469</v>
      </c>
      <c r="D63" s="30">
        <v>3</v>
      </c>
      <c r="E63" s="29" t="s">
        <v>2470</v>
      </c>
      <c r="F63" s="31">
        <v>45833</v>
      </c>
      <c r="G63" s="31">
        <v>45833</v>
      </c>
      <c r="H63" s="32" t="s">
        <v>444</v>
      </c>
      <c r="I63" s="29" t="s">
        <v>445</v>
      </c>
      <c r="J63" s="32" t="s">
        <v>41</v>
      </c>
      <c r="K63" s="29" t="s">
        <v>660</v>
      </c>
      <c r="L63" s="32" t="s">
        <v>41</v>
      </c>
      <c r="M63" s="29" t="s">
        <v>492</v>
      </c>
      <c r="N63" s="32" t="s">
        <v>41</v>
      </c>
      <c r="O63" s="29" t="s">
        <v>2134</v>
      </c>
      <c r="P63" s="34">
        <v>40.5</v>
      </c>
      <c r="Q63" s="34">
        <v>0</v>
      </c>
      <c r="R63" s="29" t="s">
        <v>768</v>
      </c>
      <c r="S63" s="29" t="s">
        <v>307</v>
      </c>
      <c r="T63" s="29" t="s">
        <v>36</v>
      </c>
      <c r="U63" s="29" t="s">
        <v>663</v>
      </c>
      <c r="V63" s="29" t="s">
        <v>2471</v>
      </c>
      <c r="W63" s="29" t="s">
        <v>665</v>
      </c>
    </row>
    <row r="64" hidden="1" spans="1:23">
      <c r="A64" s="25" t="s">
        <v>2472</v>
      </c>
      <c r="B64" s="25" t="s">
        <v>32</v>
      </c>
      <c r="C64" s="25" t="s">
        <v>2473</v>
      </c>
      <c r="D64" s="26">
        <v>1</v>
      </c>
      <c r="E64" s="25" t="s">
        <v>2474</v>
      </c>
      <c r="F64" s="27">
        <v>45833</v>
      </c>
      <c r="G64" s="27">
        <v>45833</v>
      </c>
      <c r="H64" s="28" t="s">
        <v>444</v>
      </c>
      <c r="I64" s="25" t="s">
        <v>445</v>
      </c>
      <c r="J64" s="28" t="s">
        <v>41</v>
      </c>
      <c r="K64" s="25" t="s">
        <v>660</v>
      </c>
      <c r="L64" s="28" t="s">
        <v>41</v>
      </c>
      <c r="M64" s="25" t="s">
        <v>492</v>
      </c>
      <c r="N64" s="28" t="s">
        <v>41</v>
      </c>
      <c r="O64" s="25" t="s">
        <v>2134</v>
      </c>
      <c r="P64" s="33">
        <v>0</v>
      </c>
      <c r="Q64" s="33">
        <v>21320.32</v>
      </c>
      <c r="R64" s="25" t="s">
        <v>763</v>
      </c>
      <c r="S64" s="25" t="s">
        <v>275</v>
      </c>
      <c r="T64" s="25" t="s">
        <v>36</v>
      </c>
      <c r="U64" s="25" t="s">
        <v>663</v>
      </c>
      <c r="V64" s="25" t="s">
        <v>2475</v>
      </c>
      <c r="W64" s="25" t="s">
        <v>665</v>
      </c>
    </row>
    <row r="65" spans="1:23">
      <c r="A65" s="29" t="s">
        <v>2476</v>
      </c>
      <c r="B65" s="29" t="s">
        <v>32</v>
      </c>
      <c r="C65" s="29" t="s">
        <v>2477</v>
      </c>
      <c r="D65" s="30">
        <v>1</v>
      </c>
      <c r="E65" s="29" t="s">
        <v>2478</v>
      </c>
      <c r="F65" s="31">
        <v>45833</v>
      </c>
      <c r="G65" s="31">
        <v>45833</v>
      </c>
      <c r="H65" s="32" t="s">
        <v>444</v>
      </c>
      <c r="I65" s="29" t="s">
        <v>445</v>
      </c>
      <c r="J65" s="32" t="s">
        <v>41</v>
      </c>
      <c r="K65" s="29" t="s">
        <v>660</v>
      </c>
      <c r="L65" s="32" t="s">
        <v>41</v>
      </c>
      <c r="M65" s="29" t="s">
        <v>492</v>
      </c>
      <c r="N65" s="32" t="s">
        <v>41</v>
      </c>
      <c r="O65" s="29" t="s">
        <v>2134</v>
      </c>
      <c r="P65" s="34">
        <v>0</v>
      </c>
      <c r="Q65" s="34">
        <v>168392.6</v>
      </c>
      <c r="R65" s="29" t="s">
        <v>34</v>
      </c>
      <c r="S65" s="29" t="s">
        <v>277</v>
      </c>
      <c r="T65" s="29" t="s">
        <v>36</v>
      </c>
      <c r="U65" s="29" t="s">
        <v>663</v>
      </c>
      <c r="V65" s="29" t="s">
        <v>99</v>
      </c>
      <c r="W65" s="29" t="s">
        <v>665</v>
      </c>
    </row>
    <row r="66" spans="1:23">
      <c r="A66" s="25" t="s">
        <v>2479</v>
      </c>
      <c r="B66" s="25" t="s">
        <v>32</v>
      </c>
      <c r="C66" s="25" t="s">
        <v>2480</v>
      </c>
      <c r="D66" s="26">
        <v>1</v>
      </c>
      <c r="E66" s="25" t="s">
        <v>2481</v>
      </c>
      <c r="F66" s="27">
        <v>45833</v>
      </c>
      <c r="G66" s="27">
        <v>45833</v>
      </c>
      <c r="H66" s="28" t="s">
        <v>444</v>
      </c>
      <c r="I66" s="25" t="s">
        <v>445</v>
      </c>
      <c r="J66" s="28" t="s">
        <v>41</v>
      </c>
      <c r="K66" s="25" t="s">
        <v>660</v>
      </c>
      <c r="L66" s="28" t="s">
        <v>41</v>
      </c>
      <c r="M66" s="25" t="s">
        <v>492</v>
      </c>
      <c r="N66" s="28" t="s">
        <v>41</v>
      </c>
      <c r="O66" s="25" t="s">
        <v>2482</v>
      </c>
      <c r="P66" s="33">
        <v>0</v>
      </c>
      <c r="Q66" s="33">
        <v>159414.75</v>
      </c>
      <c r="R66" s="25" t="s">
        <v>34</v>
      </c>
      <c r="S66" s="25" t="s">
        <v>277</v>
      </c>
      <c r="T66" s="25" t="s">
        <v>36</v>
      </c>
      <c r="U66" s="25" t="s">
        <v>663</v>
      </c>
      <c r="V66" s="25" t="s">
        <v>2483</v>
      </c>
      <c r="W66" s="25" t="s">
        <v>665</v>
      </c>
    </row>
    <row r="67" hidden="1" spans="1:23">
      <c r="A67" s="29" t="s">
        <v>2484</v>
      </c>
      <c r="B67" s="29" t="s">
        <v>32</v>
      </c>
      <c r="C67" s="29" t="s">
        <v>2485</v>
      </c>
      <c r="D67" s="30">
        <v>1</v>
      </c>
      <c r="E67" s="29" t="s">
        <v>2486</v>
      </c>
      <c r="F67" s="31">
        <v>45833</v>
      </c>
      <c r="G67" s="31">
        <v>45833</v>
      </c>
      <c r="H67" s="32" t="s">
        <v>444</v>
      </c>
      <c r="I67" s="29" t="s">
        <v>445</v>
      </c>
      <c r="J67" s="32" t="s">
        <v>41</v>
      </c>
      <c r="K67" s="29" t="s">
        <v>660</v>
      </c>
      <c r="L67" s="32" t="s">
        <v>41</v>
      </c>
      <c r="M67" s="29" t="s">
        <v>492</v>
      </c>
      <c r="N67" s="32" t="s">
        <v>41</v>
      </c>
      <c r="O67" s="29" t="s">
        <v>2134</v>
      </c>
      <c r="P67" s="34">
        <v>0</v>
      </c>
      <c r="Q67" s="34">
        <v>15619.34</v>
      </c>
      <c r="R67" s="29" t="s">
        <v>1878</v>
      </c>
      <c r="S67" s="29" t="s">
        <v>291</v>
      </c>
      <c r="T67" s="29" t="s">
        <v>36</v>
      </c>
      <c r="U67" s="29" t="s">
        <v>663</v>
      </c>
      <c r="V67" s="29" t="s">
        <v>2487</v>
      </c>
      <c r="W67" s="29" t="s">
        <v>665</v>
      </c>
    </row>
    <row r="68" hidden="1" spans="1:23">
      <c r="A68" s="25" t="s">
        <v>2484</v>
      </c>
      <c r="B68" s="25" t="s">
        <v>32</v>
      </c>
      <c r="C68" s="25" t="s">
        <v>2485</v>
      </c>
      <c r="D68" s="26">
        <v>3</v>
      </c>
      <c r="E68" s="25" t="s">
        <v>2486</v>
      </c>
      <c r="F68" s="27">
        <v>45833</v>
      </c>
      <c r="G68" s="27">
        <v>45833</v>
      </c>
      <c r="H68" s="28" t="s">
        <v>444</v>
      </c>
      <c r="I68" s="25" t="s">
        <v>445</v>
      </c>
      <c r="J68" s="28" t="s">
        <v>41</v>
      </c>
      <c r="K68" s="25" t="s">
        <v>660</v>
      </c>
      <c r="L68" s="28" t="s">
        <v>41</v>
      </c>
      <c r="M68" s="25" t="s">
        <v>492</v>
      </c>
      <c r="N68" s="28" t="s">
        <v>41</v>
      </c>
      <c r="O68" s="25" t="s">
        <v>2134</v>
      </c>
      <c r="P68" s="33">
        <v>138</v>
      </c>
      <c r="Q68" s="33">
        <v>0</v>
      </c>
      <c r="R68" s="25" t="s">
        <v>1878</v>
      </c>
      <c r="S68" s="25" t="s">
        <v>291</v>
      </c>
      <c r="T68" s="25" t="s">
        <v>36</v>
      </c>
      <c r="U68" s="25" t="s">
        <v>663</v>
      </c>
      <c r="V68" s="25" t="s">
        <v>2487</v>
      </c>
      <c r="W68" s="25" t="s">
        <v>665</v>
      </c>
    </row>
    <row r="69" hidden="1" spans="1:23">
      <c r="A69" s="29" t="s">
        <v>2488</v>
      </c>
      <c r="B69" s="29" t="s">
        <v>32</v>
      </c>
      <c r="C69" s="29" t="s">
        <v>2489</v>
      </c>
      <c r="D69" s="30">
        <v>1</v>
      </c>
      <c r="E69" s="29" t="s">
        <v>2490</v>
      </c>
      <c r="F69" s="31">
        <v>45834</v>
      </c>
      <c r="G69" s="31">
        <v>45834</v>
      </c>
      <c r="H69" s="32" t="s">
        <v>444</v>
      </c>
      <c r="I69" s="29" t="s">
        <v>445</v>
      </c>
      <c r="J69" s="32" t="s">
        <v>41</v>
      </c>
      <c r="K69" s="29" t="s">
        <v>660</v>
      </c>
      <c r="L69" s="32" t="s">
        <v>41</v>
      </c>
      <c r="M69" s="29" t="s">
        <v>492</v>
      </c>
      <c r="N69" s="32" t="s">
        <v>41</v>
      </c>
      <c r="O69" s="29" t="s">
        <v>2134</v>
      </c>
      <c r="P69" s="34">
        <v>0</v>
      </c>
      <c r="Q69" s="34">
        <v>272183.1</v>
      </c>
      <c r="R69" s="29" t="s">
        <v>2326</v>
      </c>
      <c r="S69" s="29" t="s">
        <v>600</v>
      </c>
      <c r="T69" s="29" t="s">
        <v>36</v>
      </c>
      <c r="U69" s="29" t="s">
        <v>663</v>
      </c>
      <c r="V69" s="29" t="s">
        <v>2491</v>
      </c>
      <c r="W69" s="29" t="s">
        <v>665</v>
      </c>
    </row>
    <row r="70" hidden="1" spans="1:23">
      <c r="A70" s="25" t="s">
        <v>2492</v>
      </c>
      <c r="B70" s="25" t="s">
        <v>32</v>
      </c>
      <c r="C70" s="25" t="s">
        <v>2493</v>
      </c>
      <c r="D70" s="26">
        <v>3</v>
      </c>
      <c r="E70" s="25" t="s">
        <v>2494</v>
      </c>
      <c r="F70" s="27">
        <v>45834</v>
      </c>
      <c r="G70" s="27">
        <v>45834</v>
      </c>
      <c r="H70" s="28" t="s">
        <v>444</v>
      </c>
      <c r="I70" s="25" t="s">
        <v>445</v>
      </c>
      <c r="J70" s="28" t="s">
        <v>41</v>
      </c>
      <c r="K70" s="25" t="s">
        <v>660</v>
      </c>
      <c r="L70" s="28" t="s">
        <v>41</v>
      </c>
      <c r="M70" s="25" t="s">
        <v>492</v>
      </c>
      <c r="N70" s="28" t="s">
        <v>41</v>
      </c>
      <c r="O70" s="25" t="s">
        <v>2134</v>
      </c>
      <c r="P70" s="33">
        <v>100489.72</v>
      </c>
      <c r="Q70" s="33">
        <v>0</v>
      </c>
      <c r="R70" s="25" t="s">
        <v>2326</v>
      </c>
      <c r="S70" s="25" t="s">
        <v>600</v>
      </c>
      <c r="T70" s="25" t="s">
        <v>36</v>
      </c>
      <c r="U70" s="25" t="s">
        <v>663</v>
      </c>
      <c r="V70" s="25" t="s">
        <v>2495</v>
      </c>
      <c r="W70" s="25" t="s">
        <v>665</v>
      </c>
    </row>
    <row r="71" hidden="1" spans="1:23">
      <c r="A71" s="29" t="s">
        <v>2492</v>
      </c>
      <c r="B71" s="29" t="s">
        <v>32</v>
      </c>
      <c r="C71" s="29" t="s">
        <v>2493</v>
      </c>
      <c r="D71" s="30">
        <v>1</v>
      </c>
      <c r="E71" s="29" t="s">
        <v>2494</v>
      </c>
      <c r="F71" s="31">
        <v>45834</v>
      </c>
      <c r="G71" s="31">
        <v>45834</v>
      </c>
      <c r="H71" s="32" t="s">
        <v>444</v>
      </c>
      <c r="I71" s="29" t="s">
        <v>445</v>
      </c>
      <c r="J71" s="32" t="s">
        <v>41</v>
      </c>
      <c r="K71" s="29" t="s">
        <v>660</v>
      </c>
      <c r="L71" s="32" t="s">
        <v>41</v>
      </c>
      <c r="M71" s="29" t="s">
        <v>492</v>
      </c>
      <c r="N71" s="32" t="s">
        <v>41</v>
      </c>
      <c r="O71" s="29" t="s">
        <v>2134</v>
      </c>
      <c r="P71" s="34">
        <v>0</v>
      </c>
      <c r="Q71" s="34">
        <v>416247.2</v>
      </c>
      <c r="R71" s="29" t="s">
        <v>2326</v>
      </c>
      <c r="S71" s="29" t="s">
        <v>600</v>
      </c>
      <c r="T71" s="29" t="s">
        <v>36</v>
      </c>
      <c r="U71" s="29" t="s">
        <v>663</v>
      </c>
      <c r="V71" s="29" t="s">
        <v>2495</v>
      </c>
      <c r="W71" s="29" t="s">
        <v>665</v>
      </c>
    </row>
    <row r="72" hidden="1" spans="1:23">
      <c r="A72" s="25" t="s">
        <v>2496</v>
      </c>
      <c r="B72" s="25" t="s">
        <v>32</v>
      </c>
      <c r="C72" s="25" t="s">
        <v>2497</v>
      </c>
      <c r="D72" s="26">
        <v>1</v>
      </c>
      <c r="E72" s="25" t="s">
        <v>2498</v>
      </c>
      <c r="F72" s="27">
        <v>45834</v>
      </c>
      <c r="G72" s="27">
        <v>45834</v>
      </c>
      <c r="H72" s="28" t="s">
        <v>444</v>
      </c>
      <c r="I72" s="25" t="s">
        <v>445</v>
      </c>
      <c r="J72" s="28" t="s">
        <v>41</v>
      </c>
      <c r="K72" s="25" t="s">
        <v>660</v>
      </c>
      <c r="L72" s="28" t="s">
        <v>41</v>
      </c>
      <c r="M72" s="25" t="s">
        <v>492</v>
      </c>
      <c r="N72" s="28" t="s">
        <v>41</v>
      </c>
      <c r="O72" s="25" t="s">
        <v>2134</v>
      </c>
      <c r="P72" s="33">
        <v>0</v>
      </c>
      <c r="Q72" s="33">
        <v>545627.28</v>
      </c>
      <c r="R72" s="25" t="s">
        <v>2326</v>
      </c>
      <c r="S72" s="25" t="s">
        <v>600</v>
      </c>
      <c r="T72" s="25" t="s">
        <v>36</v>
      </c>
      <c r="U72" s="25" t="s">
        <v>663</v>
      </c>
      <c r="V72" s="25" t="s">
        <v>2499</v>
      </c>
      <c r="W72" s="25" t="s">
        <v>665</v>
      </c>
    </row>
    <row r="73" hidden="1" spans="1:23">
      <c r="A73" s="29" t="s">
        <v>2500</v>
      </c>
      <c r="B73" s="29" t="s">
        <v>32</v>
      </c>
      <c r="C73" s="29" t="s">
        <v>2501</v>
      </c>
      <c r="D73" s="30">
        <v>3</v>
      </c>
      <c r="E73" s="29" t="s">
        <v>2502</v>
      </c>
      <c r="F73" s="31">
        <v>45834</v>
      </c>
      <c r="G73" s="31">
        <v>45834</v>
      </c>
      <c r="H73" s="32" t="s">
        <v>444</v>
      </c>
      <c r="I73" s="29" t="s">
        <v>445</v>
      </c>
      <c r="J73" s="32" t="s">
        <v>41</v>
      </c>
      <c r="K73" s="29" t="s">
        <v>660</v>
      </c>
      <c r="L73" s="32" t="s">
        <v>41</v>
      </c>
      <c r="M73" s="29" t="s">
        <v>492</v>
      </c>
      <c r="N73" s="32" t="s">
        <v>41</v>
      </c>
      <c r="O73" s="29" t="s">
        <v>1994</v>
      </c>
      <c r="P73" s="34">
        <v>2627.2</v>
      </c>
      <c r="Q73" s="34">
        <v>0</v>
      </c>
      <c r="R73" s="29" t="s">
        <v>739</v>
      </c>
      <c r="S73" s="29" t="s">
        <v>249</v>
      </c>
      <c r="T73" s="29" t="s">
        <v>36</v>
      </c>
      <c r="U73" s="29" t="s">
        <v>663</v>
      </c>
      <c r="V73" s="29" t="s">
        <v>2503</v>
      </c>
      <c r="W73" s="29" t="s">
        <v>665</v>
      </c>
    </row>
    <row r="74" hidden="1" spans="1:23">
      <c r="A74" s="25" t="s">
        <v>2500</v>
      </c>
      <c r="B74" s="25" t="s">
        <v>32</v>
      </c>
      <c r="C74" s="25" t="s">
        <v>2501</v>
      </c>
      <c r="D74" s="26">
        <v>1</v>
      </c>
      <c r="E74" s="25" t="s">
        <v>2502</v>
      </c>
      <c r="F74" s="27">
        <v>45834</v>
      </c>
      <c r="G74" s="27">
        <v>45834</v>
      </c>
      <c r="H74" s="28" t="s">
        <v>444</v>
      </c>
      <c r="I74" s="25" t="s">
        <v>445</v>
      </c>
      <c r="J74" s="28" t="s">
        <v>41</v>
      </c>
      <c r="K74" s="25" t="s">
        <v>660</v>
      </c>
      <c r="L74" s="28" t="s">
        <v>41</v>
      </c>
      <c r="M74" s="25" t="s">
        <v>492</v>
      </c>
      <c r="N74" s="28" t="s">
        <v>41</v>
      </c>
      <c r="O74" s="25" t="s">
        <v>1994</v>
      </c>
      <c r="P74" s="33">
        <v>0</v>
      </c>
      <c r="Q74" s="33">
        <v>128241.62</v>
      </c>
      <c r="R74" s="25" t="s">
        <v>739</v>
      </c>
      <c r="S74" s="25" t="s">
        <v>249</v>
      </c>
      <c r="T74" s="25" t="s">
        <v>36</v>
      </c>
      <c r="U74" s="25" t="s">
        <v>663</v>
      </c>
      <c r="V74" s="25" t="s">
        <v>2503</v>
      </c>
      <c r="W74" s="25" t="s">
        <v>665</v>
      </c>
    </row>
    <row r="75" hidden="1" spans="1:23">
      <c r="A75" s="29" t="s">
        <v>2504</v>
      </c>
      <c r="B75" s="29" t="s">
        <v>32</v>
      </c>
      <c r="C75" s="29" t="s">
        <v>2505</v>
      </c>
      <c r="D75" s="30">
        <v>1</v>
      </c>
      <c r="E75" s="29" t="s">
        <v>2506</v>
      </c>
      <c r="F75" s="31">
        <v>45834</v>
      </c>
      <c r="G75" s="31">
        <v>45834</v>
      </c>
      <c r="H75" s="32" t="s">
        <v>444</v>
      </c>
      <c r="I75" s="29" t="s">
        <v>445</v>
      </c>
      <c r="J75" s="32" t="s">
        <v>41</v>
      </c>
      <c r="K75" s="29" t="s">
        <v>660</v>
      </c>
      <c r="L75" s="32" t="s">
        <v>41</v>
      </c>
      <c r="M75" s="29" t="s">
        <v>492</v>
      </c>
      <c r="N75" s="32" t="s">
        <v>41</v>
      </c>
      <c r="O75" s="29" t="s">
        <v>2507</v>
      </c>
      <c r="P75" s="34">
        <v>28155.32</v>
      </c>
      <c r="Q75" s="34">
        <v>0</v>
      </c>
      <c r="R75" s="29" t="s">
        <v>739</v>
      </c>
      <c r="S75" s="29" t="s">
        <v>249</v>
      </c>
      <c r="T75" s="29" t="s">
        <v>36</v>
      </c>
      <c r="U75" s="29" t="s">
        <v>663</v>
      </c>
      <c r="V75" s="29" t="s">
        <v>2508</v>
      </c>
      <c r="W75" s="29" t="s">
        <v>665</v>
      </c>
    </row>
    <row r="76" hidden="1" spans="1:23">
      <c r="A76" s="25" t="s">
        <v>2509</v>
      </c>
      <c r="B76" s="25" t="s">
        <v>32</v>
      </c>
      <c r="C76" s="25" t="s">
        <v>2510</v>
      </c>
      <c r="D76" s="26">
        <v>3</v>
      </c>
      <c r="E76" s="25" t="s">
        <v>2511</v>
      </c>
      <c r="F76" s="27">
        <v>45834</v>
      </c>
      <c r="G76" s="27">
        <v>45834</v>
      </c>
      <c r="H76" s="28" t="s">
        <v>444</v>
      </c>
      <c r="I76" s="25" t="s">
        <v>445</v>
      </c>
      <c r="J76" s="28" t="s">
        <v>41</v>
      </c>
      <c r="K76" s="25" t="s">
        <v>660</v>
      </c>
      <c r="L76" s="28" t="s">
        <v>41</v>
      </c>
      <c r="M76" s="25" t="s">
        <v>492</v>
      </c>
      <c r="N76" s="28" t="s">
        <v>41</v>
      </c>
      <c r="O76" s="25" t="s">
        <v>2134</v>
      </c>
      <c r="P76" s="33">
        <v>3.2</v>
      </c>
      <c r="Q76" s="33">
        <v>0</v>
      </c>
      <c r="R76" s="25" t="s">
        <v>866</v>
      </c>
      <c r="S76" s="25" t="s">
        <v>250</v>
      </c>
      <c r="T76" s="25" t="s">
        <v>36</v>
      </c>
      <c r="U76" s="25" t="s">
        <v>663</v>
      </c>
      <c r="V76" s="25" t="s">
        <v>2512</v>
      </c>
      <c r="W76" s="25" t="s">
        <v>665</v>
      </c>
    </row>
    <row r="77" hidden="1" spans="1:23">
      <c r="A77" s="29" t="s">
        <v>2509</v>
      </c>
      <c r="B77" s="29" t="s">
        <v>32</v>
      </c>
      <c r="C77" s="29" t="s">
        <v>2510</v>
      </c>
      <c r="D77" s="30">
        <v>1</v>
      </c>
      <c r="E77" s="29" t="s">
        <v>2511</v>
      </c>
      <c r="F77" s="31">
        <v>45834</v>
      </c>
      <c r="G77" s="31">
        <v>45834</v>
      </c>
      <c r="H77" s="32" t="s">
        <v>444</v>
      </c>
      <c r="I77" s="29" t="s">
        <v>445</v>
      </c>
      <c r="J77" s="32" t="s">
        <v>41</v>
      </c>
      <c r="K77" s="29" t="s">
        <v>660</v>
      </c>
      <c r="L77" s="32" t="s">
        <v>41</v>
      </c>
      <c r="M77" s="29" t="s">
        <v>492</v>
      </c>
      <c r="N77" s="32" t="s">
        <v>41</v>
      </c>
      <c r="O77" s="29" t="s">
        <v>2134</v>
      </c>
      <c r="P77" s="34">
        <v>0</v>
      </c>
      <c r="Q77" s="34">
        <v>103863.25</v>
      </c>
      <c r="R77" s="29" t="s">
        <v>866</v>
      </c>
      <c r="S77" s="29" t="s">
        <v>250</v>
      </c>
      <c r="T77" s="29" t="s">
        <v>36</v>
      </c>
      <c r="U77" s="29" t="s">
        <v>663</v>
      </c>
      <c r="V77" s="29" t="s">
        <v>2512</v>
      </c>
      <c r="W77" s="29" t="s">
        <v>665</v>
      </c>
    </row>
    <row r="78" hidden="1" spans="1:23">
      <c r="A78" s="25" t="s">
        <v>2513</v>
      </c>
      <c r="B78" s="25" t="s">
        <v>32</v>
      </c>
      <c r="C78" s="25" t="s">
        <v>2514</v>
      </c>
      <c r="D78" s="26">
        <v>1</v>
      </c>
      <c r="E78" s="25" t="s">
        <v>2515</v>
      </c>
      <c r="F78" s="27">
        <v>45834</v>
      </c>
      <c r="G78" s="27">
        <v>45834</v>
      </c>
      <c r="H78" s="28" t="s">
        <v>444</v>
      </c>
      <c r="I78" s="25" t="s">
        <v>445</v>
      </c>
      <c r="J78" s="28" t="s">
        <v>41</v>
      </c>
      <c r="K78" s="25" t="s">
        <v>660</v>
      </c>
      <c r="L78" s="28" t="s">
        <v>41</v>
      </c>
      <c r="M78" s="25" t="s">
        <v>492</v>
      </c>
      <c r="N78" s="28" t="s">
        <v>41</v>
      </c>
      <c r="O78" s="25" t="s">
        <v>2134</v>
      </c>
      <c r="P78" s="33">
        <v>0</v>
      </c>
      <c r="Q78" s="33">
        <v>4135.8</v>
      </c>
      <c r="R78" s="25" t="s">
        <v>1080</v>
      </c>
      <c r="S78" s="25" t="s">
        <v>305</v>
      </c>
      <c r="T78" s="25" t="s">
        <v>36</v>
      </c>
      <c r="U78" s="25" t="s">
        <v>663</v>
      </c>
      <c r="V78" s="25" t="s">
        <v>2516</v>
      </c>
      <c r="W78" s="25" t="s">
        <v>665</v>
      </c>
    </row>
    <row r="79" hidden="1" spans="1:23">
      <c r="A79" s="29" t="s">
        <v>2517</v>
      </c>
      <c r="B79" s="29" t="s">
        <v>32</v>
      </c>
      <c r="C79" s="29" t="s">
        <v>2518</v>
      </c>
      <c r="D79" s="30">
        <v>3</v>
      </c>
      <c r="E79" s="29" t="s">
        <v>2519</v>
      </c>
      <c r="F79" s="31">
        <v>45834</v>
      </c>
      <c r="G79" s="31">
        <v>45834</v>
      </c>
      <c r="H79" s="32" t="s">
        <v>444</v>
      </c>
      <c r="I79" s="29" t="s">
        <v>445</v>
      </c>
      <c r="J79" s="32" t="s">
        <v>41</v>
      </c>
      <c r="K79" s="29" t="s">
        <v>660</v>
      </c>
      <c r="L79" s="32" t="s">
        <v>41</v>
      </c>
      <c r="M79" s="29" t="s">
        <v>492</v>
      </c>
      <c r="N79" s="32" t="s">
        <v>41</v>
      </c>
      <c r="O79" s="29" t="s">
        <v>2134</v>
      </c>
      <c r="P79" s="34">
        <v>255</v>
      </c>
      <c r="Q79" s="34">
        <v>0</v>
      </c>
      <c r="R79" s="29" t="s">
        <v>729</v>
      </c>
      <c r="S79" s="29" t="s">
        <v>283</v>
      </c>
      <c r="T79" s="29" t="s">
        <v>36</v>
      </c>
      <c r="U79" s="29" t="s">
        <v>663</v>
      </c>
      <c r="V79" s="29" t="s">
        <v>2520</v>
      </c>
      <c r="W79" s="29" t="s">
        <v>665</v>
      </c>
    </row>
    <row r="80" hidden="1" spans="1:23">
      <c r="A80" s="25" t="s">
        <v>2517</v>
      </c>
      <c r="B80" s="25" t="s">
        <v>32</v>
      </c>
      <c r="C80" s="25" t="s">
        <v>2518</v>
      </c>
      <c r="D80" s="26">
        <v>1</v>
      </c>
      <c r="E80" s="25" t="s">
        <v>2519</v>
      </c>
      <c r="F80" s="27">
        <v>45834</v>
      </c>
      <c r="G80" s="27">
        <v>45834</v>
      </c>
      <c r="H80" s="28" t="s">
        <v>444</v>
      </c>
      <c r="I80" s="25" t="s">
        <v>445</v>
      </c>
      <c r="J80" s="28" t="s">
        <v>41</v>
      </c>
      <c r="K80" s="25" t="s">
        <v>660</v>
      </c>
      <c r="L80" s="28" t="s">
        <v>41</v>
      </c>
      <c r="M80" s="25" t="s">
        <v>492</v>
      </c>
      <c r="N80" s="28" t="s">
        <v>41</v>
      </c>
      <c r="O80" s="25" t="s">
        <v>2134</v>
      </c>
      <c r="P80" s="33">
        <v>0</v>
      </c>
      <c r="Q80" s="33">
        <v>9763.95</v>
      </c>
      <c r="R80" s="25" t="s">
        <v>729</v>
      </c>
      <c r="S80" s="25" t="s">
        <v>283</v>
      </c>
      <c r="T80" s="25" t="s">
        <v>36</v>
      </c>
      <c r="U80" s="25" t="s">
        <v>663</v>
      </c>
      <c r="V80" s="25" t="s">
        <v>2520</v>
      </c>
      <c r="W80" s="25" t="s">
        <v>665</v>
      </c>
    </row>
    <row r="81" hidden="1" spans="1:23">
      <c r="A81" s="29" t="s">
        <v>2521</v>
      </c>
      <c r="B81" s="29" t="s">
        <v>32</v>
      </c>
      <c r="C81" s="29" t="s">
        <v>2522</v>
      </c>
      <c r="D81" s="30">
        <v>1</v>
      </c>
      <c r="E81" s="29" t="s">
        <v>2523</v>
      </c>
      <c r="F81" s="31">
        <v>45834</v>
      </c>
      <c r="G81" s="31">
        <v>45834</v>
      </c>
      <c r="H81" s="32" t="s">
        <v>444</v>
      </c>
      <c r="I81" s="29" t="s">
        <v>445</v>
      </c>
      <c r="J81" s="32" t="s">
        <v>41</v>
      </c>
      <c r="K81" s="29" t="s">
        <v>660</v>
      </c>
      <c r="L81" s="32" t="s">
        <v>41</v>
      </c>
      <c r="M81" s="29" t="s">
        <v>492</v>
      </c>
      <c r="N81" s="32" t="s">
        <v>41</v>
      </c>
      <c r="O81" s="29" t="s">
        <v>2134</v>
      </c>
      <c r="P81" s="34">
        <v>976.15</v>
      </c>
      <c r="Q81" s="34">
        <v>0</v>
      </c>
      <c r="R81" s="29" t="s">
        <v>729</v>
      </c>
      <c r="S81" s="29" t="s">
        <v>283</v>
      </c>
      <c r="T81" s="29" t="s">
        <v>36</v>
      </c>
      <c r="U81" s="29" t="s">
        <v>663</v>
      </c>
      <c r="V81" s="29" t="s">
        <v>2524</v>
      </c>
      <c r="W81" s="29" t="s">
        <v>665</v>
      </c>
    </row>
    <row r="82" hidden="1" spans="1:23">
      <c r="A82" s="25" t="s">
        <v>2525</v>
      </c>
      <c r="B82" s="25" t="s">
        <v>32</v>
      </c>
      <c r="C82" s="25" t="s">
        <v>2526</v>
      </c>
      <c r="D82" s="26">
        <v>1</v>
      </c>
      <c r="E82" s="25" t="s">
        <v>2527</v>
      </c>
      <c r="F82" s="27">
        <v>45834</v>
      </c>
      <c r="G82" s="27">
        <v>45834</v>
      </c>
      <c r="H82" s="28" t="s">
        <v>444</v>
      </c>
      <c r="I82" s="25" t="s">
        <v>445</v>
      </c>
      <c r="J82" s="28" t="s">
        <v>41</v>
      </c>
      <c r="K82" s="25" t="s">
        <v>660</v>
      </c>
      <c r="L82" s="28" t="s">
        <v>41</v>
      </c>
      <c r="M82" s="25" t="s">
        <v>492</v>
      </c>
      <c r="N82" s="28" t="s">
        <v>41</v>
      </c>
      <c r="O82" s="25" t="s">
        <v>2134</v>
      </c>
      <c r="P82" s="33">
        <v>0</v>
      </c>
      <c r="Q82" s="33">
        <v>18425.55</v>
      </c>
      <c r="R82" s="25" t="s">
        <v>861</v>
      </c>
      <c r="S82" s="25" t="s">
        <v>244</v>
      </c>
      <c r="T82" s="25" t="s">
        <v>36</v>
      </c>
      <c r="U82" s="25" t="s">
        <v>663</v>
      </c>
      <c r="V82" s="25" t="s">
        <v>2528</v>
      </c>
      <c r="W82" s="25" t="s">
        <v>665</v>
      </c>
    </row>
    <row r="83" hidden="1" spans="1:23">
      <c r="A83" s="29" t="s">
        <v>2529</v>
      </c>
      <c r="B83" s="29" t="s">
        <v>32</v>
      </c>
      <c r="C83" s="29" t="s">
        <v>2530</v>
      </c>
      <c r="D83" s="30">
        <v>1</v>
      </c>
      <c r="E83" s="29" t="s">
        <v>2531</v>
      </c>
      <c r="F83" s="31">
        <v>45834</v>
      </c>
      <c r="G83" s="31">
        <v>45834</v>
      </c>
      <c r="H83" s="32" t="s">
        <v>444</v>
      </c>
      <c r="I83" s="29" t="s">
        <v>445</v>
      </c>
      <c r="J83" s="32" t="s">
        <v>41</v>
      </c>
      <c r="K83" s="29" t="s">
        <v>660</v>
      </c>
      <c r="L83" s="32" t="s">
        <v>41</v>
      </c>
      <c r="M83" s="29" t="s">
        <v>492</v>
      </c>
      <c r="N83" s="32" t="s">
        <v>41</v>
      </c>
      <c r="O83" s="29" t="s">
        <v>2134</v>
      </c>
      <c r="P83" s="34">
        <v>0</v>
      </c>
      <c r="Q83" s="34">
        <v>13258.86</v>
      </c>
      <c r="R83" s="29" t="s">
        <v>1040</v>
      </c>
      <c r="S83" s="29" t="s">
        <v>262</v>
      </c>
      <c r="T83" s="29" t="s">
        <v>36</v>
      </c>
      <c r="U83" s="29" t="s">
        <v>663</v>
      </c>
      <c r="V83" s="29" t="s">
        <v>2532</v>
      </c>
      <c r="W83" s="29" t="s">
        <v>665</v>
      </c>
    </row>
    <row r="84" hidden="1" spans="1:23">
      <c r="A84" s="25" t="s">
        <v>2529</v>
      </c>
      <c r="B84" s="25" t="s">
        <v>32</v>
      </c>
      <c r="C84" s="25" t="s">
        <v>2530</v>
      </c>
      <c r="D84" s="26">
        <v>3</v>
      </c>
      <c r="E84" s="25" t="s">
        <v>2531</v>
      </c>
      <c r="F84" s="27">
        <v>45834</v>
      </c>
      <c r="G84" s="27">
        <v>45834</v>
      </c>
      <c r="H84" s="28" t="s">
        <v>444</v>
      </c>
      <c r="I84" s="25" t="s">
        <v>445</v>
      </c>
      <c r="J84" s="28" t="s">
        <v>41</v>
      </c>
      <c r="K84" s="25" t="s">
        <v>660</v>
      </c>
      <c r="L84" s="28" t="s">
        <v>41</v>
      </c>
      <c r="M84" s="25" t="s">
        <v>492</v>
      </c>
      <c r="N84" s="28" t="s">
        <v>41</v>
      </c>
      <c r="O84" s="25" t="s">
        <v>2134</v>
      </c>
      <c r="P84" s="33">
        <v>1109.1</v>
      </c>
      <c r="Q84" s="33">
        <v>0</v>
      </c>
      <c r="R84" s="25" t="s">
        <v>1040</v>
      </c>
      <c r="S84" s="25" t="s">
        <v>262</v>
      </c>
      <c r="T84" s="25" t="s">
        <v>36</v>
      </c>
      <c r="U84" s="25" t="s">
        <v>663</v>
      </c>
      <c r="V84" s="25" t="s">
        <v>2532</v>
      </c>
      <c r="W84" s="25" t="s">
        <v>665</v>
      </c>
    </row>
    <row r="85" hidden="1" spans="1:23">
      <c r="A85" s="29" t="s">
        <v>2533</v>
      </c>
      <c r="B85" s="29" t="s">
        <v>32</v>
      </c>
      <c r="C85" s="29" t="s">
        <v>2534</v>
      </c>
      <c r="D85" s="30">
        <v>1</v>
      </c>
      <c r="E85" s="29" t="s">
        <v>2535</v>
      </c>
      <c r="F85" s="31">
        <v>45834</v>
      </c>
      <c r="G85" s="31">
        <v>45834</v>
      </c>
      <c r="H85" s="32" t="s">
        <v>444</v>
      </c>
      <c r="I85" s="29" t="s">
        <v>445</v>
      </c>
      <c r="J85" s="32" t="s">
        <v>41</v>
      </c>
      <c r="K85" s="29" t="s">
        <v>660</v>
      </c>
      <c r="L85" s="32" t="s">
        <v>41</v>
      </c>
      <c r="M85" s="29" t="s">
        <v>492</v>
      </c>
      <c r="N85" s="32" t="s">
        <v>41</v>
      </c>
      <c r="O85" s="29" t="s">
        <v>2272</v>
      </c>
      <c r="P85" s="34">
        <v>0</v>
      </c>
      <c r="Q85" s="34">
        <v>39877.06</v>
      </c>
      <c r="R85" s="29" t="s">
        <v>1040</v>
      </c>
      <c r="S85" s="29" t="s">
        <v>262</v>
      </c>
      <c r="T85" s="29" t="s">
        <v>36</v>
      </c>
      <c r="U85" s="29" t="s">
        <v>663</v>
      </c>
      <c r="V85" s="29" t="s">
        <v>2536</v>
      </c>
      <c r="W85" s="29" t="s">
        <v>665</v>
      </c>
    </row>
    <row r="86" hidden="1" spans="1:23">
      <c r="A86" s="25" t="s">
        <v>2533</v>
      </c>
      <c r="B86" s="25" t="s">
        <v>32</v>
      </c>
      <c r="C86" s="25" t="s">
        <v>2534</v>
      </c>
      <c r="D86" s="26">
        <v>4</v>
      </c>
      <c r="E86" s="25" t="s">
        <v>2535</v>
      </c>
      <c r="F86" s="27">
        <v>45834</v>
      </c>
      <c r="G86" s="27">
        <v>45834</v>
      </c>
      <c r="H86" s="28" t="s">
        <v>444</v>
      </c>
      <c r="I86" s="25" t="s">
        <v>445</v>
      </c>
      <c r="J86" s="28" t="s">
        <v>41</v>
      </c>
      <c r="K86" s="25" t="s">
        <v>660</v>
      </c>
      <c r="L86" s="28" t="s">
        <v>41</v>
      </c>
      <c r="M86" s="25" t="s">
        <v>492</v>
      </c>
      <c r="N86" s="28" t="s">
        <v>41</v>
      </c>
      <c r="O86" s="25" t="s">
        <v>2272</v>
      </c>
      <c r="P86" s="33">
        <v>798.19</v>
      </c>
      <c r="Q86" s="33">
        <v>0</v>
      </c>
      <c r="R86" s="25" t="s">
        <v>1040</v>
      </c>
      <c r="S86" s="25" t="s">
        <v>262</v>
      </c>
      <c r="T86" s="25" t="s">
        <v>36</v>
      </c>
      <c r="U86" s="25" t="s">
        <v>663</v>
      </c>
      <c r="V86" s="25" t="s">
        <v>2536</v>
      </c>
      <c r="W86" s="25" t="s">
        <v>665</v>
      </c>
    </row>
    <row r="87" hidden="1" spans="1:23">
      <c r="A87" s="29" t="s">
        <v>2537</v>
      </c>
      <c r="B87" s="29" t="s">
        <v>32</v>
      </c>
      <c r="C87" s="29" t="s">
        <v>2538</v>
      </c>
      <c r="D87" s="30">
        <v>3</v>
      </c>
      <c r="E87" s="29" t="s">
        <v>2539</v>
      </c>
      <c r="F87" s="31">
        <v>45834</v>
      </c>
      <c r="G87" s="31">
        <v>45834</v>
      </c>
      <c r="H87" s="32" t="s">
        <v>444</v>
      </c>
      <c r="I87" s="29" t="s">
        <v>445</v>
      </c>
      <c r="J87" s="32" t="s">
        <v>41</v>
      </c>
      <c r="K87" s="29" t="s">
        <v>660</v>
      </c>
      <c r="L87" s="32" t="s">
        <v>41</v>
      </c>
      <c r="M87" s="29" t="s">
        <v>492</v>
      </c>
      <c r="N87" s="32" t="s">
        <v>41</v>
      </c>
      <c r="O87" s="29" t="s">
        <v>1998</v>
      </c>
      <c r="P87" s="34">
        <v>2217.97</v>
      </c>
      <c r="Q87" s="34">
        <v>0</v>
      </c>
      <c r="R87" s="29" t="s">
        <v>1040</v>
      </c>
      <c r="S87" s="29" t="s">
        <v>262</v>
      </c>
      <c r="T87" s="29" t="s">
        <v>36</v>
      </c>
      <c r="U87" s="29" t="s">
        <v>663</v>
      </c>
      <c r="V87" s="29" t="s">
        <v>2540</v>
      </c>
      <c r="W87" s="29" t="s">
        <v>665</v>
      </c>
    </row>
    <row r="88" hidden="1" spans="1:23">
      <c r="A88" s="25" t="s">
        <v>2537</v>
      </c>
      <c r="B88" s="25" t="s">
        <v>32</v>
      </c>
      <c r="C88" s="25" t="s">
        <v>2538</v>
      </c>
      <c r="D88" s="26">
        <v>1</v>
      </c>
      <c r="E88" s="25" t="s">
        <v>2539</v>
      </c>
      <c r="F88" s="27">
        <v>45834</v>
      </c>
      <c r="G88" s="27">
        <v>45834</v>
      </c>
      <c r="H88" s="28" t="s">
        <v>444</v>
      </c>
      <c r="I88" s="25" t="s">
        <v>445</v>
      </c>
      <c r="J88" s="28" t="s">
        <v>41</v>
      </c>
      <c r="K88" s="25" t="s">
        <v>660</v>
      </c>
      <c r="L88" s="28" t="s">
        <v>41</v>
      </c>
      <c r="M88" s="25" t="s">
        <v>492</v>
      </c>
      <c r="N88" s="28" t="s">
        <v>41</v>
      </c>
      <c r="O88" s="25" t="s">
        <v>1998</v>
      </c>
      <c r="P88" s="33">
        <v>0</v>
      </c>
      <c r="Q88" s="33">
        <v>26565.07</v>
      </c>
      <c r="R88" s="25" t="s">
        <v>1040</v>
      </c>
      <c r="S88" s="25" t="s">
        <v>262</v>
      </c>
      <c r="T88" s="25" t="s">
        <v>36</v>
      </c>
      <c r="U88" s="25" t="s">
        <v>663</v>
      </c>
      <c r="V88" s="25" t="s">
        <v>2540</v>
      </c>
      <c r="W88" s="25" t="s">
        <v>665</v>
      </c>
    </row>
    <row r="89" hidden="1" spans="1:23">
      <c r="A89" s="29" t="s">
        <v>2541</v>
      </c>
      <c r="B89" s="29" t="s">
        <v>32</v>
      </c>
      <c r="C89" s="29" t="s">
        <v>2542</v>
      </c>
      <c r="D89" s="30">
        <v>3</v>
      </c>
      <c r="E89" s="29" t="s">
        <v>2543</v>
      </c>
      <c r="F89" s="31">
        <v>45834</v>
      </c>
      <c r="G89" s="31">
        <v>45834</v>
      </c>
      <c r="H89" s="32" t="s">
        <v>444</v>
      </c>
      <c r="I89" s="29" t="s">
        <v>445</v>
      </c>
      <c r="J89" s="32" t="s">
        <v>41</v>
      </c>
      <c r="K89" s="29" t="s">
        <v>660</v>
      </c>
      <c r="L89" s="32" t="s">
        <v>41</v>
      </c>
      <c r="M89" s="29" t="s">
        <v>492</v>
      </c>
      <c r="N89" s="32" t="s">
        <v>41</v>
      </c>
      <c r="O89" s="29" t="s">
        <v>1994</v>
      </c>
      <c r="P89" s="34">
        <v>739.4</v>
      </c>
      <c r="Q89" s="34">
        <v>0</v>
      </c>
      <c r="R89" s="29" t="s">
        <v>1040</v>
      </c>
      <c r="S89" s="29" t="s">
        <v>262</v>
      </c>
      <c r="T89" s="29" t="s">
        <v>36</v>
      </c>
      <c r="U89" s="29" t="s">
        <v>663</v>
      </c>
      <c r="V89" s="29" t="s">
        <v>2544</v>
      </c>
      <c r="W89" s="29" t="s">
        <v>665</v>
      </c>
    </row>
    <row r="90" hidden="1" spans="1:23">
      <c r="A90" s="25" t="s">
        <v>2541</v>
      </c>
      <c r="B90" s="25" t="s">
        <v>32</v>
      </c>
      <c r="C90" s="25" t="s">
        <v>2542</v>
      </c>
      <c r="D90" s="26">
        <v>1</v>
      </c>
      <c r="E90" s="25" t="s">
        <v>2543</v>
      </c>
      <c r="F90" s="27">
        <v>45834</v>
      </c>
      <c r="G90" s="27">
        <v>45834</v>
      </c>
      <c r="H90" s="28" t="s">
        <v>444</v>
      </c>
      <c r="I90" s="25" t="s">
        <v>445</v>
      </c>
      <c r="J90" s="28" t="s">
        <v>41</v>
      </c>
      <c r="K90" s="25" t="s">
        <v>660</v>
      </c>
      <c r="L90" s="28" t="s">
        <v>41</v>
      </c>
      <c r="M90" s="25" t="s">
        <v>492</v>
      </c>
      <c r="N90" s="28" t="s">
        <v>41</v>
      </c>
      <c r="O90" s="25" t="s">
        <v>1994</v>
      </c>
      <c r="P90" s="33">
        <v>0</v>
      </c>
      <c r="Q90" s="33">
        <v>8839.25</v>
      </c>
      <c r="R90" s="25" t="s">
        <v>1040</v>
      </c>
      <c r="S90" s="25" t="s">
        <v>262</v>
      </c>
      <c r="T90" s="25" t="s">
        <v>36</v>
      </c>
      <c r="U90" s="25" t="s">
        <v>663</v>
      </c>
      <c r="V90" s="25" t="s">
        <v>2544</v>
      </c>
      <c r="W90" s="25" t="s">
        <v>665</v>
      </c>
    </row>
    <row r="91" hidden="1" spans="1:23">
      <c r="A91" s="29" t="s">
        <v>2545</v>
      </c>
      <c r="B91" s="29" t="s">
        <v>32</v>
      </c>
      <c r="C91" s="29" t="s">
        <v>2546</v>
      </c>
      <c r="D91" s="30">
        <v>1</v>
      </c>
      <c r="E91" s="29" t="s">
        <v>2547</v>
      </c>
      <c r="F91" s="31">
        <v>45834</v>
      </c>
      <c r="G91" s="31">
        <v>45834</v>
      </c>
      <c r="H91" s="32" t="s">
        <v>444</v>
      </c>
      <c r="I91" s="29" t="s">
        <v>445</v>
      </c>
      <c r="J91" s="32" t="s">
        <v>41</v>
      </c>
      <c r="K91" s="29" t="s">
        <v>660</v>
      </c>
      <c r="L91" s="32" t="s">
        <v>41</v>
      </c>
      <c r="M91" s="29" t="s">
        <v>492</v>
      </c>
      <c r="N91" s="32" t="s">
        <v>41</v>
      </c>
      <c r="O91" s="29" t="s">
        <v>2134</v>
      </c>
      <c r="P91" s="34">
        <v>0</v>
      </c>
      <c r="Q91" s="34">
        <v>704375.23</v>
      </c>
      <c r="R91" s="29" t="s">
        <v>853</v>
      </c>
      <c r="S91" s="29" t="s">
        <v>265</v>
      </c>
      <c r="T91" s="29" t="s">
        <v>36</v>
      </c>
      <c r="U91" s="29" t="s">
        <v>663</v>
      </c>
      <c r="V91" s="29" t="s">
        <v>2548</v>
      </c>
      <c r="W91" s="29" t="s">
        <v>665</v>
      </c>
    </row>
    <row r="92" hidden="1" spans="1:23">
      <c r="A92" s="25" t="s">
        <v>2545</v>
      </c>
      <c r="B92" s="25" t="s">
        <v>32</v>
      </c>
      <c r="C92" s="25" t="s">
        <v>2546</v>
      </c>
      <c r="D92" s="26">
        <v>3</v>
      </c>
      <c r="E92" s="25" t="s">
        <v>2547</v>
      </c>
      <c r="F92" s="27">
        <v>45834</v>
      </c>
      <c r="G92" s="27">
        <v>45834</v>
      </c>
      <c r="H92" s="28" t="s">
        <v>444</v>
      </c>
      <c r="I92" s="25" t="s">
        <v>445</v>
      </c>
      <c r="J92" s="28" t="s">
        <v>41</v>
      </c>
      <c r="K92" s="25" t="s">
        <v>660</v>
      </c>
      <c r="L92" s="28" t="s">
        <v>41</v>
      </c>
      <c r="M92" s="25" t="s">
        <v>492</v>
      </c>
      <c r="N92" s="28" t="s">
        <v>41</v>
      </c>
      <c r="O92" s="25" t="s">
        <v>2134</v>
      </c>
      <c r="P92" s="33">
        <v>2.59</v>
      </c>
      <c r="Q92" s="33">
        <v>0</v>
      </c>
      <c r="R92" s="25" t="s">
        <v>853</v>
      </c>
      <c r="S92" s="25" t="s">
        <v>265</v>
      </c>
      <c r="T92" s="25" t="s">
        <v>36</v>
      </c>
      <c r="U92" s="25" t="s">
        <v>663</v>
      </c>
      <c r="V92" s="25" t="s">
        <v>2548</v>
      </c>
      <c r="W92" s="25" t="s">
        <v>665</v>
      </c>
    </row>
    <row r="93" hidden="1" spans="1:23">
      <c r="A93" s="29" t="s">
        <v>2549</v>
      </c>
      <c r="B93" s="29" t="s">
        <v>32</v>
      </c>
      <c r="C93" s="29" t="s">
        <v>2550</v>
      </c>
      <c r="D93" s="30">
        <v>5</v>
      </c>
      <c r="E93" s="29" t="s">
        <v>2551</v>
      </c>
      <c r="F93" s="31">
        <v>45834</v>
      </c>
      <c r="G93" s="31">
        <v>45834</v>
      </c>
      <c r="H93" s="32" t="s">
        <v>444</v>
      </c>
      <c r="I93" s="29" t="s">
        <v>445</v>
      </c>
      <c r="J93" s="32" t="s">
        <v>41</v>
      </c>
      <c r="K93" s="29" t="s">
        <v>660</v>
      </c>
      <c r="L93" s="32" t="s">
        <v>41</v>
      </c>
      <c r="M93" s="29" t="s">
        <v>492</v>
      </c>
      <c r="N93" s="32" t="s">
        <v>41</v>
      </c>
      <c r="O93" s="29" t="s">
        <v>2552</v>
      </c>
      <c r="P93" s="34">
        <v>25.47</v>
      </c>
      <c r="Q93" s="34">
        <v>0</v>
      </c>
      <c r="R93" s="29" t="s">
        <v>961</v>
      </c>
      <c r="S93" s="29" t="s">
        <v>254</v>
      </c>
      <c r="T93" s="29" t="s">
        <v>36</v>
      </c>
      <c r="U93" s="29" t="s">
        <v>663</v>
      </c>
      <c r="V93" s="29" t="s">
        <v>2553</v>
      </c>
      <c r="W93" s="29" t="s">
        <v>665</v>
      </c>
    </row>
    <row r="94" hidden="1" spans="1:23">
      <c r="A94" s="25" t="s">
        <v>2549</v>
      </c>
      <c r="B94" s="25" t="s">
        <v>32</v>
      </c>
      <c r="C94" s="25" t="s">
        <v>2550</v>
      </c>
      <c r="D94" s="26">
        <v>1</v>
      </c>
      <c r="E94" s="25" t="s">
        <v>2551</v>
      </c>
      <c r="F94" s="27">
        <v>45834</v>
      </c>
      <c r="G94" s="27">
        <v>45834</v>
      </c>
      <c r="H94" s="28" t="s">
        <v>444</v>
      </c>
      <c r="I94" s="25" t="s">
        <v>445</v>
      </c>
      <c r="J94" s="28" t="s">
        <v>41</v>
      </c>
      <c r="K94" s="25" t="s">
        <v>660</v>
      </c>
      <c r="L94" s="28" t="s">
        <v>41</v>
      </c>
      <c r="M94" s="25" t="s">
        <v>492</v>
      </c>
      <c r="N94" s="28" t="s">
        <v>41</v>
      </c>
      <c r="O94" s="25" t="s">
        <v>2552</v>
      </c>
      <c r="P94" s="33">
        <v>0</v>
      </c>
      <c r="Q94" s="33">
        <v>450634.99</v>
      </c>
      <c r="R94" s="25" t="s">
        <v>961</v>
      </c>
      <c r="S94" s="25" t="s">
        <v>254</v>
      </c>
      <c r="T94" s="25" t="s">
        <v>36</v>
      </c>
      <c r="U94" s="25" t="s">
        <v>663</v>
      </c>
      <c r="V94" s="25" t="s">
        <v>2553</v>
      </c>
      <c r="W94" s="25" t="s">
        <v>665</v>
      </c>
    </row>
    <row r="95" hidden="1" spans="1:23">
      <c r="A95" s="29" t="s">
        <v>2554</v>
      </c>
      <c r="B95" s="29" t="s">
        <v>32</v>
      </c>
      <c r="C95" s="29" t="s">
        <v>2555</v>
      </c>
      <c r="D95" s="30">
        <v>1</v>
      </c>
      <c r="E95" s="29" t="s">
        <v>2556</v>
      </c>
      <c r="F95" s="31">
        <v>45835</v>
      </c>
      <c r="G95" s="31">
        <v>45835</v>
      </c>
      <c r="H95" s="32" t="s">
        <v>444</v>
      </c>
      <c r="I95" s="29" t="s">
        <v>445</v>
      </c>
      <c r="J95" s="32" t="s">
        <v>41</v>
      </c>
      <c r="K95" s="29" t="s">
        <v>660</v>
      </c>
      <c r="L95" s="32" t="s">
        <v>41</v>
      </c>
      <c r="M95" s="29" t="s">
        <v>492</v>
      </c>
      <c r="N95" s="32" t="s">
        <v>41</v>
      </c>
      <c r="O95" s="29" t="s">
        <v>2557</v>
      </c>
      <c r="P95" s="34">
        <v>0</v>
      </c>
      <c r="Q95" s="34">
        <v>520924.21</v>
      </c>
      <c r="R95" s="29" t="s">
        <v>1040</v>
      </c>
      <c r="S95" s="29" t="s">
        <v>262</v>
      </c>
      <c r="T95" s="29" t="s">
        <v>36</v>
      </c>
      <c r="U95" s="29" t="s">
        <v>663</v>
      </c>
      <c r="V95" s="29" t="s">
        <v>2558</v>
      </c>
      <c r="W95" s="29" t="s">
        <v>665</v>
      </c>
    </row>
    <row r="96" hidden="1" spans="1:23">
      <c r="A96" s="25" t="s">
        <v>2554</v>
      </c>
      <c r="B96" s="25" t="s">
        <v>32</v>
      </c>
      <c r="C96" s="25" t="s">
        <v>2555</v>
      </c>
      <c r="D96" s="26">
        <v>3</v>
      </c>
      <c r="E96" s="25" t="s">
        <v>2556</v>
      </c>
      <c r="F96" s="27">
        <v>45835</v>
      </c>
      <c r="G96" s="27">
        <v>45835</v>
      </c>
      <c r="H96" s="28" t="s">
        <v>444</v>
      </c>
      <c r="I96" s="25" t="s">
        <v>445</v>
      </c>
      <c r="J96" s="28" t="s">
        <v>41</v>
      </c>
      <c r="K96" s="25" t="s">
        <v>660</v>
      </c>
      <c r="L96" s="28" t="s">
        <v>41</v>
      </c>
      <c r="M96" s="25" t="s">
        <v>492</v>
      </c>
      <c r="N96" s="28" t="s">
        <v>41</v>
      </c>
      <c r="O96" s="25" t="s">
        <v>2557</v>
      </c>
      <c r="P96" s="33">
        <v>2528.5</v>
      </c>
      <c r="Q96" s="33">
        <v>0</v>
      </c>
      <c r="R96" s="25" t="s">
        <v>1040</v>
      </c>
      <c r="S96" s="25" t="s">
        <v>262</v>
      </c>
      <c r="T96" s="25" t="s">
        <v>36</v>
      </c>
      <c r="U96" s="25" t="s">
        <v>663</v>
      </c>
      <c r="V96" s="25" t="s">
        <v>2558</v>
      </c>
      <c r="W96" s="25" t="s">
        <v>665</v>
      </c>
    </row>
    <row r="97" hidden="1" spans="1:23">
      <c r="A97" s="29" t="s">
        <v>2559</v>
      </c>
      <c r="B97" s="29" t="s">
        <v>32</v>
      </c>
      <c r="C97" s="29" t="s">
        <v>2560</v>
      </c>
      <c r="D97" s="30">
        <v>1</v>
      </c>
      <c r="E97" s="29" t="s">
        <v>2561</v>
      </c>
      <c r="F97" s="31">
        <v>45835</v>
      </c>
      <c r="G97" s="31">
        <v>45835</v>
      </c>
      <c r="H97" s="32" t="s">
        <v>444</v>
      </c>
      <c r="I97" s="29" t="s">
        <v>445</v>
      </c>
      <c r="J97" s="32" t="s">
        <v>41</v>
      </c>
      <c r="K97" s="29" t="s">
        <v>660</v>
      </c>
      <c r="L97" s="32" t="s">
        <v>41</v>
      </c>
      <c r="M97" s="29" t="s">
        <v>492</v>
      </c>
      <c r="N97" s="32" t="s">
        <v>41</v>
      </c>
      <c r="O97" s="29" t="s">
        <v>2134</v>
      </c>
      <c r="P97" s="34">
        <v>0</v>
      </c>
      <c r="Q97" s="34">
        <v>55294.29</v>
      </c>
      <c r="R97" s="29" t="s">
        <v>783</v>
      </c>
      <c r="S97" s="29" t="s">
        <v>280</v>
      </c>
      <c r="T97" s="29" t="s">
        <v>36</v>
      </c>
      <c r="U97" s="29" t="s">
        <v>663</v>
      </c>
      <c r="V97" s="29" t="s">
        <v>2562</v>
      </c>
      <c r="W97" s="29" t="s">
        <v>665</v>
      </c>
    </row>
    <row r="98" hidden="1" spans="1:23">
      <c r="A98" s="25" t="s">
        <v>2563</v>
      </c>
      <c r="B98" s="25" t="s">
        <v>32</v>
      </c>
      <c r="C98" s="25" t="s">
        <v>2564</v>
      </c>
      <c r="D98" s="26">
        <v>6</v>
      </c>
      <c r="E98" s="25" t="s">
        <v>2565</v>
      </c>
      <c r="F98" s="27">
        <v>45835</v>
      </c>
      <c r="G98" s="27">
        <v>45835</v>
      </c>
      <c r="H98" s="28" t="s">
        <v>444</v>
      </c>
      <c r="I98" s="25" t="s">
        <v>445</v>
      </c>
      <c r="J98" s="28" t="s">
        <v>41</v>
      </c>
      <c r="K98" s="25" t="s">
        <v>660</v>
      </c>
      <c r="L98" s="28" t="s">
        <v>41</v>
      </c>
      <c r="M98" s="25" t="s">
        <v>492</v>
      </c>
      <c r="N98" s="28" t="s">
        <v>41</v>
      </c>
      <c r="O98" s="25" t="s">
        <v>1994</v>
      </c>
      <c r="P98" s="33">
        <v>19453.61</v>
      </c>
      <c r="Q98" s="33">
        <v>0</v>
      </c>
      <c r="R98" s="25" t="s">
        <v>1552</v>
      </c>
      <c r="S98" s="25" t="s">
        <v>256</v>
      </c>
      <c r="T98" s="25" t="s">
        <v>36</v>
      </c>
      <c r="U98" s="25" t="s">
        <v>663</v>
      </c>
      <c r="V98" s="25" t="s">
        <v>2566</v>
      </c>
      <c r="W98" s="25" t="s">
        <v>665</v>
      </c>
    </row>
    <row r="99" hidden="1" spans="1:23">
      <c r="A99" s="29" t="s">
        <v>2563</v>
      </c>
      <c r="B99" s="29" t="s">
        <v>32</v>
      </c>
      <c r="C99" s="29" t="s">
        <v>2564</v>
      </c>
      <c r="D99" s="30">
        <v>1</v>
      </c>
      <c r="E99" s="29" t="s">
        <v>2565</v>
      </c>
      <c r="F99" s="31">
        <v>45835</v>
      </c>
      <c r="G99" s="31">
        <v>45835</v>
      </c>
      <c r="H99" s="32" t="s">
        <v>444</v>
      </c>
      <c r="I99" s="29" t="s">
        <v>445</v>
      </c>
      <c r="J99" s="32" t="s">
        <v>41</v>
      </c>
      <c r="K99" s="29" t="s">
        <v>660</v>
      </c>
      <c r="L99" s="32" t="s">
        <v>41</v>
      </c>
      <c r="M99" s="29" t="s">
        <v>492</v>
      </c>
      <c r="N99" s="32" t="s">
        <v>41</v>
      </c>
      <c r="O99" s="29" t="s">
        <v>1994</v>
      </c>
      <c r="P99" s="34">
        <v>0</v>
      </c>
      <c r="Q99" s="34">
        <v>834172.61</v>
      </c>
      <c r="R99" s="29" t="s">
        <v>1552</v>
      </c>
      <c r="S99" s="29" t="s">
        <v>256</v>
      </c>
      <c r="T99" s="29" t="s">
        <v>36</v>
      </c>
      <c r="U99" s="29" t="s">
        <v>663</v>
      </c>
      <c r="V99" s="29" t="s">
        <v>2566</v>
      </c>
      <c r="W99" s="29" t="s">
        <v>665</v>
      </c>
    </row>
    <row r="100" hidden="1" spans="1:23">
      <c r="A100" s="25" t="s">
        <v>2567</v>
      </c>
      <c r="B100" s="25" t="s">
        <v>32</v>
      </c>
      <c r="C100" s="25" t="s">
        <v>2568</v>
      </c>
      <c r="D100" s="26">
        <v>1</v>
      </c>
      <c r="E100" s="25" t="s">
        <v>2569</v>
      </c>
      <c r="F100" s="27">
        <v>45835</v>
      </c>
      <c r="G100" s="27">
        <v>45835</v>
      </c>
      <c r="H100" s="28" t="s">
        <v>444</v>
      </c>
      <c r="I100" s="25" t="s">
        <v>445</v>
      </c>
      <c r="J100" s="28" t="s">
        <v>41</v>
      </c>
      <c r="K100" s="25" t="s">
        <v>660</v>
      </c>
      <c r="L100" s="28" t="s">
        <v>41</v>
      </c>
      <c r="M100" s="25" t="s">
        <v>492</v>
      </c>
      <c r="N100" s="28" t="s">
        <v>41</v>
      </c>
      <c r="O100" s="25" t="s">
        <v>2570</v>
      </c>
      <c r="P100" s="33">
        <v>0.06</v>
      </c>
      <c r="Q100" s="33">
        <v>0</v>
      </c>
      <c r="R100" s="25" t="s">
        <v>1552</v>
      </c>
      <c r="S100" s="25" t="s">
        <v>256</v>
      </c>
      <c r="T100" s="25" t="s">
        <v>36</v>
      </c>
      <c r="U100" s="25" t="s">
        <v>663</v>
      </c>
      <c r="V100" s="25" t="s">
        <v>2571</v>
      </c>
      <c r="W100" s="25" t="s">
        <v>665</v>
      </c>
    </row>
    <row r="101" hidden="1" spans="1:23">
      <c r="A101" s="29" t="s">
        <v>2572</v>
      </c>
      <c r="B101" s="29" t="s">
        <v>32</v>
      </c>
      <c r="C101" s="29" t="s">
        <v>2573</v>
      </c>
      <c r="D101" s="30">
        <v>1</v>
      </c>
      <c r="E101" s="29" t="s">
        <v>2574</v>
      </c>
      <c r="F101" s="31">
        <v>45835</v>
      </c>
      <c r="G101" s="31">
        <v>45835</v>
      </c>
      <c r="H101" s="32" t="s">
        <v>444</v>
      </c>
      <c r="I101" s="29" t="s">
        <v>445</v>
      </c>
      <c r="J101" s="32" t="s">
        <v>41</v>
      </c>
      <c r="K101" s="29" t="s">
        <v>660</v>
      </c>
      <c r="L101" s="32" t="s">
        <v>41</v>
      </c>
      <c r="M101" s="29" t="s">
        <v>492</v>
      </c>
      <c r="N101" s="32" t="s">
        <v>41</v>
      </c>
      <c r="O101" s="29" t="s">
        <v>2112</v>
      </c>
      <c r="P101" s="34">
        <v>0</v>
      </c>
      <c r="Q101" s="34">
        <v>4705.82</v>
      </c>
      <c r="R101" s="29" t="s">
        <v>1040</v>
      </c>
      <c r="S101" s="29" t="s">
        <v>262</v>
      </c>
      <c r="T101" s="29" t="s">
        <v>36</v>
      </c>
      <c r="U101" s="29" t="s">
        <v>663</v>
      </c>
      <c r="V101" s="29" t="s">
        <v>2575</v>
      </c>
      <c r="W101" s="29" t="s">
        <v>665</v>
      </c>
    </row>
    <row r="102" hidden="1" spans="1:23">
      <c r="A102" s="25" t="s">
        <v>2572</v>
      </c>
      <c r="B102" s="25" t="s">
        <v>32</v>
      </c>
      <c r="C102" s="25" t="s">
        <v>2573</v>
      </c>
      <c r="D102" s="26">
        <v>4</v>
      </c>
      <c r="E102" s="25" t="s">
        <v>2574</v>
      </c>
      <c r="F102" s="27">
        <v>45835</v>
      </c>
      <c r="G102" s="27">
        <v>45835</v>
      </c>
      <c r="H102" s="28" t="s">
        <v>444</v>
      </c>
      <c r="I102" s="25" t="s">
        <v>445</v>
      </c>
      <c r="J102" s="28" t="s">
        <v>41</v>
      </c>
      <c r="K102" s="25" t="s">
        <v>660</v>
      </c>
      <c r="L102" s="28" t="s">
        <v>41</v>
      </c>
      <c r="M102" s="25" t="s">
        <v>492</v>
      </c>
      <c r="N102" s="28" t="s">
        <v>41</v>
      </c>
      <c r="O102" s="25" t="s">
        <v>2112</v>
      </c>
      <c r="P102" s="33">
        <v>112.37</v>
      </c>
      <c r="Q102" s="33">
        <v>0</v>
      </c>
      <c r="R102" s="25" t="s">
        <v>1040</v>
      </c>
      <c r="S102" s="25" t="s">
        <v>262</v>
      </c>
      <c r="T102" s="25" t="s">
        <v>36</v>
      </c>
      <c r="U102" s="25" t="s">
        <v>663</v>
      </c>
      <c r="V102" s="25" t="s">
        <v>2575</v>
      </c>
      <c r="W102" s="25" t="s">
        <v>665</v>
      </c>
    </row>
    <row r="103" hidden="1" spans="1:23">
      <c r="A103" s="29" t="s">
        <v>2576</v>
      </c>
      <c r="B103" s="29" t="s">
        <v>32</v>
      </c>
      <c r="C103" s="29" t="s">
        <v>2577</v>
      </c>
      <c r="D103" s="30">
        <v>1</v>
      </c>
      <c r="E103" s="29" t="s">
        <v>2578</v>
      </c>
      <c r="F103" s="31">
        <v>45835</v>
      </c>
      <c r="G103" s="31">
        <v>45835</v>
      </c>
      <c r="H103" s="32" t="s">
        <v>444</v>
      </c>
      <c r="I103" s="29" t="s">
        <v>445</v>
      </c>
      <c r="J103" s="32" t="s">
        <v>41</v>
      </c>
      <c r="K103" s="29" t="s">
        <v>660</v>
      </c>
      <c r="L103" s="32" t="s">
        <v>41</v>
      </c>
      <c r="M103" s="29" t="s">
        <v>492</v>
      </c>
      <c r="N103" s="32" t="s">
        <v>41</v>
      </c>
      <c r="O103" s="29" t="s">
        <v>2134</v>
      </c>
      <c r="P103" s="34">
        <v>0</v>
      </c>
      <c r="Q103" s="34">
        <v>5279.36</v>
      </c>
      <c r="R103" s="29" t="s">
        <v>734</v>
      </c>
      <c r="S103" s="29" t="s">
        <v>278</v>
      </c>
      <c r="T103" s="29" t="s">
        <v>36</v>
      </c>
      <c r="U103" s="29" t="s">
        <v>663</v>
      </c>
      <c r="V103" s="29" t="s">
        <v>2579</v>
      </c>
      <c r="W103" s="29" t="s">
        <v>665</v>
      </c>
    </row>
    <row r="104" hidden="1" spans="1:23">
      <c r="A104" s="25" t="s">
        <v>2580</v>
      </c>
      <c r="B104" s="25" t="s">
        <v>32</v>
      </c>
      <c r="C104" s="25" t="s">
        <v>2581</v>
      </c>
      <c r="D104" s="26">
        <v>1</v>
      </c>
      <c r="E104" s="25" t="s">
        <v>2582</v>
      </c>
      <c r="F104" s="27">
        <v>45835</v>
      </c>
      <c r="G104" s="27">
        <v>45835</v>
      </c>
      <c r="H104" s="28" t="s">
        <v>444</v>
      </c>
      <c r="I104" s="25" t="s">
        <v>445</v>
      </c>
      <c r="J104" s="28" t="s">
        <v>41</v>
      </c>
      <c r="K104" s="25" t="s">
        <v>660</v>
      </c>
      <c r="L104" s="28" t="s">
        <v>41</v>
      </c>
      <c r="M104" s="25" t="s">
        <v>492</v>
      </c>
      <c r="N104" s="28" t="s">
        <v>41</v>
      </c>
      <c r="O104" s="25" t="s">
        <v>1994</v>
      </c>
      <c r="P104" s="33">
        <v>0</v>
      </c>
      <c r="Q104" s="33">
        <v>25870.82</v>
      </c>
      <c r="R104" s="25" t="s">
        <v>1586</v>
      </c>
      <c r="S104" s="25" t="s">
        <v>247</v>
      </c>
      <c r="T104" s="25" t="s">
        <v>36</v>
      </c>
      <c r="U104" s="25" t="s">
        <v>663</v>
      </c>
      <c r="V104" s="25" t="s">
        <v>2583</v>
      </c>
      <c r="W104" s="25" t="s">
        <v>665</v>
      </c>
    </row>
    <row r="105" hidden="1" spans="1:23">
      <c r="A105" s="29" t="s">
        <v>2580</v>
      </c>
      <c r="B105" s="29" t="s">
        <v>32</v>
      </c>
      <c r="C105" s="29" t="s">
        <v>2581</v>
      </c>
      <c r="D105" s="30">
        <v>4</v>
      </c>
      <c r="E105" s="29" t="s">
        <v>2582</v>
      </c>
      <c r="F105" s="31">
        <v>45835</v>
      </c>
      <c r="G105" s="31">
        <v>45835</v>
      </c>
      <c r="H105" s="32" t="s">
        <v>444</v>
      </c>
      <c r="I105" s="29" t="s">
        <v>445</v>
      </c>
      <c r="J105" s="32" t="s">
        <v>41</v>
      </c>
      <c r="K105" s="29" t="s">
        <v>660</v>
      </c>
      <c r="L105" s="32" t="s">
        <v>41</v>
      </c>
      <c r="M105" s="29" t="s">
        <v>492</v>
      </c>
      <c r="N105" s="32" t="s">
        <v>41</v>
      </c>
      <c r="O105" s="29" t="s">
        <v>1994</v>
      </c>
      <c r="P105" s="34">
        <v>332.99</v>
      </c>
      <c r="Q105" s="34">
        <v>0</v>
      </c>
      <c r="R105" s="29" t="s">
        <v>1586</v>
      </c>
      <c r="S105" s="29" t="s">
        <v>247</v>
      </c>
      <c r="T105" s="29" t="s">
        <v>36</v>
      </c>
      <c r="U105" s="29" t="s">
        <v>663</v>
      </c>
      <c r="V105" s="29" t="s">
        <v>2583</v>
      </c>
      <c r="W105" s="29" t="s">
        <v>665</v>
      </c>
    </row>
    <row r="106" hidden="1" spans="1:23">
      <c r="A106" s="25" t="s">
        <v>2584</v>
      </c>
      <c r="B106" s="25" t="s">
        <v>32</v>
      </c>
      <c r="C106" s="25" t="s">
        <v>2585</v>
      </c>
      <c r="D106" s="26">
        <v>1</v>
      </c>
      <c r="E106" s="25" t="s">
        <v>2586</v>
      </c>
      <c r="F106" s="27">
        <v>45835</v>
      </c>
      <c r="G106" s="27">
        <v>45835</v>
      </c>
      <c r="H106" s="28" t="s">
        <v>444</v>
      </c>
      <c r="I106" s="25" t="s">
        <v>445</v>
      </c>
      <c r="J106" s="28" t="s">
        <v>41</v>
      </c>
      <c r="K106" s="25" t="s">
        <v>660</v>
      </c>
      <c r="L106" s="28" t="s">
        <v>41</v>
      </c>
      <c r="M106" s="25" t="s">
        <v>492</v>
      </c>
      <c r="N106" s="28" t="s">
        <v>41</v>
      </c>
      <c r="O106" s="25" t="s">
        <v>2134</v>
      </c>
      <c r="P106" s="33">
        <v>0</v>
      </c>
      <c r="Q106" s="33">
        <v>21952.92</v>
      </c>
      <c r="R106" s="25" t="s">
        <v>909</v>
      </c>
      <c r="S106" s="25" t="s">
        <v>242</v>
      </c>
      <c r="T106" s="25" t="s">
        <v>36</v>
      </c>
      <c r="U106" s="25" t="s">
        <v>663</v>
      </c>
      <c r="V106" s="25" t="s">
        <v>2587</v>
      </c>
      <c r="W106" s="25" t="s">
        <v>665</v>
      </c>
    </row>
    <row r="107" hidden="1" spans="1:23">
      <c r="A107" s="29" t="s">
        <v>2588</v>
      </c>
      <c r="B107" s="29" t="s">
        <v>32</v>
      </c>
      <c r="C107" s="29" t="s">
        <v>2589</v>
      </c>
      <c r="D107" s="30">
        <v>1</v>
      </c>
      <c r="E107" s="29" t="s">
        <v>2590</v>
      </c>
      <c r="F107" s="31">
        <v>45835</v>
      </c>
      <c r="G107" s="31">
        <v>45835</v>
      </c>
      <c r="H107" s="32" t="s">
        <v>444</v>
      </c>
      <c r="I107" s="29" t="s">
        <v>445</v>
      </c>
      <c r="J107" s="32" t="s">
        <v>41</v>
      </c>
      <c r="K107" s="29" t="s">
        <v>660</v>
      </c>
      <c r="L107" s="32" t="s">
        <v>41</v>
      </c>
      <c r="M107" s="29" t="s">
        <v>492</v>
      </c>
      <c r="N107" s="32" t="s">
        <v>41</v>
      </c>
      <c r="O107" s="29" t="s">
        <v>2134</v>
      </c>
      <c r="P107" s="34">
        <v>0</v>
      </c>
      <c r="Q107" s="34">
        <v>10276.22</v>
      </c>
      <c r="R107" s="29" t="s">
        <v>1005</v>
      </c>
      <c r="S107" s="29" t="s">
        <v>308</v>
      </c>
      <c r="T107" s="29" t="s">
        <v>36</v>
      </c>
      <c r="U107" s="29" t="s">
        <v>663</v>
      </c>
      <c r="V107" s="29" t="s">
        <v>2591</v>
      </c>
      <c r="W107" s="29" t="s">
        <v>665</v>
      </c>
    </row>
    <row r="108" hidden="1" spans="1:23">
      <c r="A108" s="25" t="s">
        <v>2592</v>
      </c>
      <c r="B108" s="25" t="s">
        <v>32</v>
      </c>
      <c r="C108" s="25" t="s">
        <v>2593</v>
      </c>
      <c r="D108" s="26">
        <v>3</v>
      </c>
      <c r="E108" s="25" t="s">
        <v>2594</v>
      </c>
      <c r="F108" s="27">
        <v>45835</v>
      </c>
      <c r="G108" s="27">
        <v>45835</v>
      </c>
      <c r="H108" s="28" t="s">
        <v>444</v>
      </c>
      <c r="I108" s="25" t="s">
        <v>445</v>
      </c>
      <c r="J108" s="28" t="s">
        <v>41</v>
      </c>
      <c r="K108" s="25" t="s">
        <v>660</v>
      </c>
      <c r="L108" s="28" t="s">
        <v>41</v>
      </c>
      <c r="M108" s="25" t="s">
        <v>492</v>
      </c>
      <c r="N108" s="28" t="s">
        <v>41</v>
      </c>
      <c r="O108" s="25" t="s">
        <v>2134</v>
      </c>
      <c r="P108" s="33">
        <v>4910.4</v>
      </c>
      <c r="Q108" s="33">
        <v>0</v>
      </c>
      <c r="R108" s="25" t="s">
        <v>1143</v>
      </c>
      <c r="S108" s="25" t="s">
        <v>268</v>
      </c>
      <c r="T108" s="25" t="s">
        <v>36</v>
      </c>
      <c r="U108" s="25" t="s">
        <v>663</v>
      </c>
      <c r="V108" s="25" t="s">
        <v>2595</v>
      </c>
      <c r="W108" s="25" t="s">
        <v>665</v>
      </c>
    </row>
    <row r="109" hidden="1" spans="1:23">
      <c r="A109" s="29" t="s">
        <v>2592</v>
      </c>
      <c r="B109" s="29" t="s">
        <v>32</v>
      </c>
      <c r="C109" s="29" t="s">
        <v>2593</v>
      </c>
      <c r="D109" s="30">
        <v>1</v>
      </c>
      <c r="E109" s="29" t="s">
        <v>2594</v>
      </c>
      <c r="F109" s="31">
        <v>45835</v>
      </c>
      <c r="G109" s="31">
        <v>45835</v>
      </c>
      <c r="H109" s="32" t="s">
        <v>444</v>
      </c>
      <c r="I109" s="29" t="s">
        <v>445</v>
      </c>
      <c r="J109" s="32" t="s">
        <v>41</v>
      </c>
      <c r="K109" s="29" t="s">
        <v>660</v>
      </c>
      <c r="L109" s="32" t="s">
        <v>41</v>
      </c>
      <c r="M109" s="29" t="s">
        <v>492</v>
      </c>
      <c r="N109" s="32" t="s">
        <v>41</v>
      </c>
      <c r="O109" s="29" t="s">
        <v>2134</v>
      </c>
      <c r="P109" s="34">
        <v>0</v>
      </c>
      <c r="Q109" s="34">
        <v>17441.65</v>
      </c>
      <c r="R109" s="29" t="s">
        <v>1143</v>
      </c>
      <c r="S109" s="29" t="s">
        <v>268</v>
      </c>
      <c r="T109" s="29" t="s">
        <v>36</v>
      </c>
      <c r="U109" s="29" t="s">
        <v>663</v>
      </c>
      <c r="V109" s="29" t="s">
        <v>2595</v>
      </c>
      <c r="W109" s="29" t="s">
        <v>665</v>
      </c>
    </row>
    <row r="110" spans="1:23">
      <c r="A110" s="25" t="s">
        <v>2596</v>
      </c>
      <c r="B110" s="25" t="s">
        <v>32</v>
      </c>
      <c r="C110" s="25" t="s">
        <v>2597</v>
      </c>
      <c r="D110" s="26">
        <v>1</v>
      </c>
      <c r="E110" s="25" t="s">
        <v>2598</v>
      </c>
      <c r="F110" s="27">
        <v>45835</v>
      </c>
      <c r="G110" s="27">
        <v>45835</v>
      </c>
      <c r="H110" s="28" t="s">
        <v>444</v>
      </c>
      <c r="I110" s="25" t="s">
        <v>445</v>
      </c>
      <c r="J110" s="28" t="s">
        <v>41</v>
      </c>
      <c r="K110" s="25" t="s">
        <v>660</v>
      </c>
      <c r="L110" s="28" t="s">
        <v>41</v>
      </c>
      <c r="M110" s="25" t="s">
        <v>492</v>
      </c>
      <c r="N110" s="28" t="s">
        <v>41</v>
      </c>
      <c r="O110" s="25" t="s">
        <v>2134</v>
      </c>
      <c r="P110" s="33">
        <v>0</v>
      </c>
      <c r="Q110" s="33">
        <v>117056.97</v>
      </c>
      <c r="R110" s="25" t="s">
        <v>34</v>
      </c>
      <c r="S110" s="25" t="s">
        <v>277</v>
      </c>
      <c r="T110" s="25" t="s">
        <v>36</v>
      </c>
      <c r="U110" s="25" t="s">
        <v>663</v>
      </c>
      <c r="V110" s="25" t="s">
        <v>104</v>
      </c>
      <c r="W110" s="25" t="s">
        <v>665</v>
      </c>
    </row>
    <row r="111" hidden="1" spans="1:23">
      <c r="A111" s="29" t="s">
        <v>2599</v>
      </c>
      <c r="B111" s="29" t="s">
        <v>32</v>
      </c>
      <c r="C111" s="29" t="s">
        <v>2600</v>
      </c>
      <c r="D111" s="30">
        <v>1</v>
      </c>
      <c r="E111" s="29" t="s">
        <v>2601</v>
      </c>
      <c r="F111" s="31">
        <v>45838</v>
      </c>
      <c r="G111" s="31">
        <v>45838</v>
      </c>
      <c r="H111" s="32" t="s">
        <v>444</v>
      </c>
      <c r="I111" s="29" t="s">
        <v>445</v>
      </c>
      <c r="J111" s="32" t="s">
        <v>41</v>
      </c>
      <c r="K111" s="29" t="s">
        <v>660</v>
      </c>
      <c r="L111" s="32" t="s">
        <v>41</v>
      </c>
      <c r="M111" s="29" t="s">
        <v>492</v>
      </c>
      <c r="N111" s="32" t="s">
        <v>41</v>
      </c>
      <c r="O111" s="29" t="s">
        <v>1998</v>
      </c>
      <c r="P111" s="34">
        <v>0</v>
      </c>
      <c r="Q111" s="34">
        <v>105955.16</v>
      </c>
      <c r="R111" s="29" t="s">
        <v>149</v>
      </c>
      <c r="S111" s="29" t="s">
        <v>251</v>
      </c>
      <c r="T111" s="29" t="s">
        <v>36</v>
      </c>
      <c r="U111" s="29" t="s">
        <v>663</v>
      </c>
      <c r="V111" s="29" t="s">
        <v>189</v>
      </c>
      <c r="W111" s="29" t="s">
        <v>665</v>
      </c>
    </row>
    <row r="112" hidden="1" spans="1:23">
      <c r="A112" s="25" t="s">
        <v>2602</v>
      </c>
      <c r="B112" s="25" t="s">
        <v>32</v>
      </c>
      <c r="C112" s="25" t="s">
        <v>2603</v>
      </c>
      <c r="D112" s="26">
        <v>3</v>
      </c>
      <c r="E112" s="25" t="s">
        <v>2604</v>
      </c>
      <c r="F112" s="27">
        <v>45838</v>
      </c>
      <c r="G112" s="27">
        <v>45838</v>
      </c>
      <c r="H112" s="28" t="s">
        <v>444</v>
      </c>
      <c r="I112" s="25" t="s">
        <v>445</v>
      </c>
      <c r="J112" s="28" t="s">
        <v>41</v>
      </c>
      <c r="K112" s="25" t="s">
        <v>660</v>
      </c>
      <c r="L112" s="28" t="s">
        <v>41</v>
      </c>
      <c r="M112" s="25" t="s">
        <v>492</v>
      </c>
      <c r="N112" s="28" t="s">
        <v>41</v>
      </c>
      <c r="O112" s="25" t="s">
        <v>2134</v>
      </c>
      <c r="P112" s="33">
        <v>1360</v>
      </c>
      <c r="Q112" s="33">
        <v>0</v>
      </c>
      <c r="R112" s="25" t="s">
        <v>686</v>
      </c>
      <c r="S112" s="25" t="s">
        <v>446</v>
      </c>
      <c r="T112" s="25" t="s">
        <v>36</v>
      </c>
      <c r="U112" s="25" t="s">
        <v>663</v>
      </c>
      <c r="V112" s="25" t="s">
        <v>2605</v>
      </c>
      <c r="W112" s="25" t="s">
        <v>665</v>
      </c>
    </row>
    <row r="113" hidden="1" spans="1:23">
      <c r="A113" s="29" t="s">
        <v>2602</v>
      </c>
      <c r="B113" s="29" t="s">
        <v>32</v>
      </c>
      <c r="C113" s="29" t="s">
        <v>2603</v>
      </c>
      <c r="D113" s="30">
        <v>1</v>
      </c>
      <c r="E113" s="29" t="s">
        <v>2604</v>
      </c>
      <c r="F113" s="31">
        <v>45838</v>
      </c>
      <c r="G113" s="31">
        <v>45838</v>
      </c>
      <c r="H113" s="32" t="s">
        <v>444</v>
      </c>
      <c r="I113" s="29" t="s">
        <v>445</v>
      </c>
      <c r="J113" s="32" t="s">
        <v>41</v>
      </c>
      <c r="K113" s="29" t="s">
        <v>660</v>
      </c>
      <c r="L113" s="32" t="s">
        <v>41</v>
      </c>
      <c r="M113" s="29" t="s">
        <v>492</v>
      </c>
      <c r="N113" s="32" t="s">
        <v>41</v>
      </c>
      <c r="O113" s="29" t="s">
        <v>2134</v>
      </c>
      <c r="P113" s="34">
        <v>0</v>
      </c>
      <c r="Q113" s="34">
        <v>69517.08</v>
      </c>
      <c r="R113" s="29" t="s">
        <v>686</v>
      </c>
      <c r="S113" s="29" t="s">
        <v>446</v>
      </c>
      <c r="T113" s="29" t="s">
        <v>36</v>
      </c>
      <c r="U113" s="29" t="s">
        <v>663</v>
      </c>
      <c r="V113" s="29" t="s">
        <v>2605</v>
      </c>
      <c r="W113" s="29" t="s">
        <v>665</v>
      </c>
    </row>
    <row r="114" hidden="1" spans="1:23">
      <c r="A114" s="25" t="s">
        <v>2606</v>
      </c>
      <c r="B114" s="25" t="s">
        <v>32</v>
      </c>
      <c r="C114" s="25" t="s">
        <v>2607</v>
      </c>
      <c r="D114" s="26">
        <v>3</v>
      </c>
      <c r="E114" s="25" t="s">
        <v>2608</v>
      </c>
      <c r="F114" s="27">
        <v>45838</v>
      </c>
      <c r="G114" s="27">
        <v>45838</v>
      </c>
      <c r="H114" s="28" t="s">
        <v>444</v>
      </c>
      <c r="I114" s="25" t="s">
        <v>445</v>
      </c>
      <c r="J114" s="28" t="s">
        <v>41</v>
      </c>
      <c r="K114" s="25" t="s">
        <v>660</v>
      </c>
      <c r="L114" s="28" t="s">
        <v>41</v>
      </c>
      <c r="M114" s="25" t="s">
        <v>492</v>
      </c>
      <c r="N114" s="28" t="s">
        <v>41</v>
      </c>
      <c r="O114" s="25" t="s">
        <v>2134</v>
      </c>
      <c r="P114" s="33">
        <v>28471.28</v>
      </c>
      <c r="Q114" s="33">
        <v>0</v>
      </c>
      <c r="R114" s="25" t="s">
        <v>808</v>
      </c>
      <c r="S114" s="25" t="s">
        <v>269</v>
      </c>
      <c r="T114" s="25" t="s">
        <v>36</v>
      </c>
      <c r="U114" s="25" t="s">
        <v>663</v>
      </c>
      <c r="V114" s="25" t="s">
        <v>2609</v>
      </c>
      <c r="W114" s="25" t="s">
        <v>665</v>
      </c>
    </row>
    <row r="115" hidden="1" spans="1:23">
      <c r="A115" s="29" t="s">
        <v>2606</v>
      </c>
      <c r="B115" s="29" t="s">
        <v>32</v>
      </c>
      <c r="C115" s="29" t="s">
        <v>2607</v>
      </c>
      <c r="D115" s="30">
        <v>1</v>
      </c>
      <c r="E115" s="29" t="s">
        <v>2608</v>
      </c>
      <c r="F115" s="31">
        <v>45838</v>
      </c>
      <c r="G115" s="31">
        <v>45838</v>
      </c>
      <c r="H115" s="32" t="s">
        <v>444</v>
      </c>
      <c r="I115" s="29" t="s">
        <v>445</v>
      </c>
      <c r="J115" s="32" t="s">
        <v>41</v>
      </c>
      <c r="K115" s="29" t="s">
        <v>660</v>
      </c>
      <c r="L115" s="32" t="s">
        <v>41</v>
      </c>
      <c r="M115" s="29" t="s">
        <v>492</v>
      </c>
      <c r="N115" s="32" t="s">
        <v>41</v>
      </c>
      <c r="O115" s="29" t="s">
        <v>2134</v>
      </c>
      <c r="P115" s="34">
        <v>0</v>
      </c>
      <c r="Q115" s="34">
        <v>75092.28</v>
      </c>
      <c r="R115" s="29" t="s">
        <v>808</v>
      </c>
      <c r="S115" s="29" t="s">
        <v>269</v>
      </c>
      <c r="T115" s="29" t="s">
        <v>36</v>
      </c>
      <c r="U115" s="29" t="s">
        <v>663</v>
      </c>
      <c r="V115" s="29" t="s">
        <v>2609</v>
      </c>
      <c r="W115" s="29" t="s">
        <v>665</v>
      </c>
    </row>
    <row r="116" hidden="1" spans="1:23">
      <c r="A116" s="25" t="s">
        <v>2610</v>
      </c>
      <c r="B116" s="25" t="s">
        <v>32</v>
      </c>
      <c r="C116" s="25" t="s">
        <v>2611</v>
      </c>
      <c r="D116" s="26">
        <v>1</v>
      </c>
      <c r="E116" s="25" t="s">
        <v>2612</v>
      </c>
      <c r="F116" s="27">
        <v>45838</v>
      </c>
      <c r="G116" s="27">
        <v>45838</v>
      </c>
      <c r="H116" s="28" t="s">
        <v>444</v>
      </c>
      <c r="I116" s="25" t="s">
        <v>445</v>
      </c>
      <c r="J116" s="28" t="s">
        <v>41</v>
      </c>
      <c r="K116" s="25" t="s">
        <v>660</v>
      </c>
      <c r="L116" s="28" t="s">
        <v>41</v>
      </c>
      <c r="M116" s="25" t="s">
        <v>492</v>
      </c>
      <c r="N116" s="28" t="s">
        <v>41</v>
      </c>
      <c r="O116" s="25" t="s">
        <v>1994</v>
      </c>
      <c r="P116" s="33">
        <v>0</v>
      </c>
      <c r="Q116" s="33">
        <v>261508.89</v>
      </c>
      <c r="R116" s="25" t="s">
        <v>938</v>
      </c>
      <c r="S116" s="25" t="s">
        <v>253</v>
      </c>
      <c r="T116" s="25" t="s">
        <v>36</v>
      </c>
      <c r="U116" s="25" t="s">
        <v>663</v>
      </c>
      <c r="V116" s="25" t="s">
        <v>2613</v>
      </c>
      <c r="W116" s="25" t="s">
        <v>665</v>
      </c>
    </row>
    <row r="117" hidden="1" spans="1:23">
      <c r="A117" s="29" t="s">
        <v>2614</v>
      </c>
      <c r="B117" s="29" t="s">
        <v>32</v>
      </c>
      <c r="C117" s="29" t="s">
        <v>2615</v>
      </c>
      <c r="D117" s="30">
        <v>1</v>
      </c>
      <c r="E117" s="29" t="s">
        <v>2616</v>
      </c>
      <c r="F117" s="31">
        <v>45838</v>
      </c>
      <c r="G117" s="31">
        <v>45838</v>
      </c>
      <c r="H117" s="32" t="s">
        <v>444</v>
      </c>
      <c r="I117" s="29" t="s">
        <v>445</v>
      </c>
      <c r="J117" s="32" t="s">
        <v>41</v>
      </c>
      <c r="K117" s="29" t="s">
        <v>660</v>
      </c>
      <c r="L117" s="32" t="s">
        <v>41</v>
      </c>
      <c r="M117" s="29" t="s">
        <v>492</v>
      </c>
      <c r="N117" s="32" t="s">
        <v>41</v>
      </c>
      <c r="O117" s="29" t="s">
        <v>2617</v>
      </c>
      <c r="P117" s="34">
        <v>0.01</v>
      </c>
      <c r="Q117" s="34">
        <v>0</v>
      </c>
      <c r="R117" s="29" t="s">
        <v>938</v>
      </c>
      <c r="S117" s="29" t="s">
        <v>253</v>
      </c>
      <c r="T117" s="29" t="s">
        <v>36</v>
      </c>
      <c r="U117" s="29" t="s">
        <v>663</v>
      </c>
      <c r="V117" s="29" t="s">
        <v>2618</v>
      </c>
      <c r="W117" s="29" t="s">
        <v>665</v>
      </c>
    </row>
    <row r="118" hidden="1" spans="1:23">
      <c r="A118" s="25" t="s">
        <v>2619</v>
      </c>
      <c r="B118" s="25" t="s">
        <v>32</v>
      </c>
      <c r="C118" s="25" t="s">
        <v>2620</v>
      </c>
      <c r="D118" s="26">
        <v>1</v>
      </c>
      <c r="E118" s="25" t="s">
        <v>2621</v>
      </c>
      <c r="F118" s="27">
        <v>45838</v>
      </c>
      <c r="G118" s="27">
        <v>45838</v>
      </c>
      <c r="H118" s="28" t="s">
        <v>444</v>
      </c>
      <c r="I118" s="25" t="s">
        <v>445</v>
      </c>
      <c r="J118" s="28" t="s">
        <v>41</v>
      </c>
      <c r="K118" s="25" t="s">
        <v>660</v>
      </c>
      <c r="L118" s="28" t="s">
        <v>41</v>
      </c>
      <c r="M118" s="25" t="s">
        <v>492</v>
      </c>
      <c r="N118" s="28" t="s">
        <v>41</v>
      </c>
      <c r="O118" s="25" t="s">
        <v>1994</v>
      </c>
      <c r="P118" s="33">
        <v>0</v>
      </c>
      <c r="Q118" s="33">
        <v>64878.77</v>
      </c>
      <c r="R118" s="25" t="s">
        <v>673</v>
      </c>
      <c r="S118" s="25" t="s">
        <v>451</v>
      </c>
      <c r="T118" s="25" t="s">
        <v>36</v>
      </c>
      <c r="U118" s="25" t="s">
        <v>663</v>
      </c>
      <c r="V118" s="25" t="s">
        <v>2622</v>
      </c>
      <c r="W118" s="25" t="s">
        <v>665</v>
      </c>
    </row>
    <row r="119" hidden="1" spans="1:23">
      <c r="A119" s="29" t="s">
        <v>2619</v>
      </c>
      <c r="B119" s="29" t="s">
        <v>32</v>
      </c>
      <c r="C119" s="29" t="s">
        <v>2620</v>
      </c>
      <c r="D119" s="30">
        <v>4</v>
      </c>
      <c r="E119" s="29" t="s">
        <v>2621</v>
      </c>
      <c r="F119" s="31">
        <v>45838</v>
      </c>
      <c r="G119" s="31">
        <v>45838</v>
      </c>
      <c r="H119" s="32" t="s">
        <v>444</v>
      </c>
      <c r="I119" s="29" t="s">
        <v>445</v>
      </c>
      <c r="J119" s="32" t="s">
        <v>41</v>
      </c>
      <c r="K119" s="29" t="s">
        <v>660</v>
      </c>
      <c r="L119" s="32" t="s">
        <v>41</v>
      </c>
      <c r="M119" s="29" t="s">
        <v>492</v>
      </c>
      <c r="N119" s="32" t="s">
        <v>41</v>
      </c>
      <c r="O119" s="29" t="s">
        <v>1994</v>
      </c>
      <c r="P119" s="34">
        <v>6502.7</v>
      </c>
      <c r="Q119" s="34">
        <v>0</v>
      </c>
      <c r="R119" s="29" t="s">
        <v>673</v>
      </c>
      <c r="S119" s="29" t="s">
        <v>451</v>
      </c>
      <c r="T119" s="29" t="s">
        <v>36</v>
      </c>
      <c r="U119" s="29" t="s">
        <v>663</v>
      </c>
      <c r="V119" s="29" t="s">
        <v>2622</v>
      </c>
      <c r="W119" s="29" t="s">
        <v>665</v>
      </c>
    </row>
    <row r="120" hidden="1" spans="1:23">
      <c r="A120" s="25" t="s">
        <v>2623</v>
      </c>
      <c r="B120" s="25" t="s">
        <v>32</v>
      </c>
      <c r="C120" s="25" t="s">
        <v>2624</v>
      </c>
      <c r="D120" s="26">
        <v>1</v>
      </c>
      <c r="E120" s="25" t="s">
        <v>2625</v>
      </c>
      <c r="F120" s="27">
        <v>45838</v>
      </c>
      <c r="G120" s="27">
        <v>45838</v>
      </c>
      <c r="H120" s="28" t="s">
        <v>444</v>
      </c>
      <c r="I120" s="25" t="s">
        <v>445</v>
      </c>
      <c r="J120" s="28" t="s">
        <v>41</v>
      </c>
      <c r="K120" s="25" t="s">
        <v>660</v>
      </c>
      <c r="L120" s="28" t="s">
        <v>41</v>
      </c>
      <c r="M120" s="25" t="s">
        <v>492</v>
      </c>
      <c r="N120" s="28" t="s">
        <v>41</v>
      </c>
      <c r="O120" s="25" t="s">
        <v>2626</v>
      </c>
      <c r="P120" s="33">
        <v>0</v>
      </c>
      <c r="Q120" s="33">
        <v>0.01</v>
      </c>
      <c r="R120" s="25" t="s">
        <v>673</v>
      </c>
      <c r="S120" s="25" t="s">
        <v>451</v>
      </c>
      <c r="T120" s="25" t="s">
        <v>36</v>
      </c>
      <c r="U120" s="25" t="s">
        <v>663</v>
      </c>
      <c r="V120" s="25" t="s">
        <v>2627</v>
      </c>
      <c r="W120" s="25" t="s">
        <v>665</v>
      </c>
    </row>
    <row r="121" hidden="1" spans="1:23">
      <c r="A121" s="29" t="s">
        <v>2628</v>
      </c>
      <c r="B121" s="29" t="s">
        <v>32</v>
      </c>
      <c r="C121" s="29" t="s">
        <v>2629</v>
      </c>
      <c r="D121" s="30">
        <v>1</v>
      </c>
      <c r="E121" s="29" t="s">
        <v>2630</v>
      </c>
      <c r="F121" s="31">
        <v>45838</v>
      </c>
      <c r="G121" s="31">
        <v>45838</v>
      </c>
      <c r="H121" s="32" t="s">
        <v>444</v>
      </c>
      <c r="I121" s="29" t="s">
        <v>445</v>
      </c>
      <c r="J121" s="32" t="s">
        <v>41</v>
      </c>
      <c r="K121" s="29" t="s">
        <v>660</v>
      </c>
      <c r="L121" s="32" t="s">
        <v>41</v>
      </c>
      <c r="M121" s="29" t="s">
        <v>492</v>
      </c>
      <c r="N121" s="32" t="s">
        <v>41</v>
      </c>
      <c r="O121" s="29" t="s">
        <v>2631</v>
      </c>
      <c r="P121" s="34">
        <v>58376.08</v>
      </c>
      <c r="Q121" s="34">
        <v>0</v>
      </c>
      <c r="R121" s="29" t="s">
        <v>673</v>
      </c>
      <c r="S121" s="29" t="s">
        <v>451</v>
      </c>
      <c r="T121" s="29" t="s">
        <v>36</v>
      </c>
      <c r="U121" s="29" t="s">
        <v>663</v>
      </c>
      <c r="V121" s="29" t="s">
        <v>2632</v>
      </c>
      <c r="W121" s="29" t="s">
        <v>665</v>
      </c>
    </row>
    <row r="122" hidden="1" spans="1:23">
      <c r="A122" s="25" t="s">
        <v>2633</v>
      </c>
      <c r="B122" s="25" t="s">
        <v>32</v>
      </c>
      <c r="C122" s="25" t="s">
        <v>2634</v>
      </c>
      <c r="D122" s="26">
        <v>1</v>
      </c>
      <c r="E122" s="25" t="s">
        <v>2635</v>
      </c>
      <c r="F122" s="27">
        <v>45838</v>
      </c>
      <c r="G122" s="27">
        <v>45838</v>
      </c>
      <c r="H122" s="28" t="s">
        <v>444</v>
      </c>
      <c r="I122" s="25" t="s">
        <v>445</v>
      </c>
      <c r="J122" s="28" t="s">
        <v>41</v>
      </c>
      <c r="K122" s="25" t="s">
        <v>660</v>
      </c>
      <c r="L122" s="28" t="s">
        <v>41</v>
      </c>
      <c r="M122" s="25" t="s">
        <v>492</v>
      </c>
      <c r="N122" s="28" t="s">
        <v>41</v>
      </c>
      <c r="O122" s="25" t="s">
        <v>685</v>
      </c>
      <c r="P122" s="33">
        <v>0</v>
      </c>
      <c r="Q122" s="33">
        <v>58376.08</v>
      </c>
      <c r="R122" s="25" t="s">
        <v>686</v>
      </c>
      <c r="S122" s="25" t="s">
        <v>446</v>
      </c>
      <c r="T122" s="25" t="s">
        <v>36</v>
      </c>
      <c r="U122" s="25" t="s">
        <v>663</v>
      </c>
      <c r="V122" s="25" t="s">
        <v>2636</v>
      </c>
      <c r="W122" s="25" t="s">
        <v>665</v>
      </c>
    </row>
    <row r="123" hidden="1" spans="1:23">
      <c r="A123" s="29" t="s">
        <v>2637</v>
      </c>
      <c r="B123" s="29" t="s">
        <v>32</v>
      </c>
      <c r="C123" s="29" t="s">
        <v>2638</v>
      </c>
      <c r="D123" s="30">
        <v>5</v>
      </c>
      <c r="E123" s="29" t="s">
        <v>2639</v>
      </c>
      <c r="F123" s="31">
        <v>45838</v>
      </c>
      <c r="G123" s="31">
        <v>45838</v>
      </c>
      <c r="H123" s="32" t="s">
        <v>444</v>
      </c>
      <c r="I123" s="29" t="s">
        <v>445</v>
      </c>
      <c r="J123" s="32" t="s">
        <v>41</v>
      </c>
      <c r="K123" s="29" t="s">
        <v>660</v>
      </c>
      <c r="L123" s="32" t="s">
        <v>41</v>
      </c>
      <c r="M123" s="29" t="s">
        <v>492</v>
      </c>
      <c r="N123" s="32" t="s">
        <v>41</v>
      </c>
      <c r="O123" s="29" t="s">
        <v>2640</v>
      </c>
      <c r="P123" s="34">
        <v>15581.26</v>
      </c>
      <c r="Q123" s="34">
        <v>0</v>
      </c>
      <c r="R123" s="29" t="s">
        <v>673</v>
      </c>
      <c r="S123" s="29" t="s">
        <v>451</v>
      </c>
      <c r="T123" s="29" t="s">
        <v>36</v>
      </c>
      <c r="U123" s="29" t="s">
        <v>663</v>
      </c>
      <c r="V123" s="29" t="s">
        <v>2641</v>
      </c>
      <c r="W123" s="29" t="s">
        <v>665</v>
      </c>
    </row>
    <row r="124" hidden="1" spans="1:23">
      <c r="A124" s="25" t="s">
        <v>2637</v>
      </c>
      <c r="B124" s="25" t="s">
        <v>32</v>
      </c>
      <c r="C124" s="25" t="s">
        <v>2638</v>
      </c>
      <c r="D124" s="26">
        <v>1</v>
      </c>
      <c r="E124" s="25" t="s">
        <v>2639</v>
      </c>
      <c r="F124" s="27">
        <v>45838</v>
      </c>
      <c r="G124" s="27">
        <v>45838</v>
      </c>
      <c r="H124" s="28" t="s">
        <v>444</v>
      </c>
      <c r="I124" s="25" t="s">
        <v>445</v>
      </c>
      <c r="J124" s="28" t="s">
        <v>41</v>
      </c>
      <c r="K124" s="25" t="s">
        <v>660</v>
      </c>
      <c r="L124" s="28" t="s">
        <v>41</v>
      </c>
      <c r="M124" s="25" t="s">
        <v>492</v>
      </c>
      <c r="N124" s="28" t="s">
        <v>41</v>
      </c>
      <c r="O124" s="25" t="s">
        <v>2640</v>
      </c>
      <c r="P124" s="33">
        <v>0</v>
      </c>
      <c r="Q124" s="33">
        <v>869410.41</v>
      </c>
      <c r="R124" s="25" t="s">
        <v>673</v>
      </c>
      <c r="S124" s="25" t="s">
        <v>451</v>
      </c>
      <c r="T124" s="25" t="s">
        <v>36</v>
      </c>
      <c r="U124" s="25" t="s">
        <v>663</v>
      </c>
      <c r="V124" s="25" t="s">
        <v>2641</v>
      </c>
      <c r="W124" s="25" t="s">
        <v>665</v>
      </c>
    </row>
    <row r="125" hidden="1" spans="1:23">
      <c r="A125" s="29" t="s">
        <v>2642</v>
      </c>
      <c r="B125" s="29" t="s">
        <v>32</v>
      </c>
      <c r="C125" s="29" t="s">
        <v>2643</v>
      </c>
      <c r="D125" s="30">
        <v>1</v>
      </c>
      <c r="E125" s="29" t="s">
        <v>2644</v>
      </c>
      <c r="F125" s="31">
        <v>45838</v>
      </c>
      <c r="G125" s="31">
        <v>45838</v>
      </c>
      <c r="H125" s="32" t="s">
        <v>444</v>
      </c>
      <c r="I125" s="29" t="s">
        <v>445</v>
      </c>
      <c r="J125" s="32" t="s">
        <v>41</v>
      </c>
      <c r="K125" s="29" t="s">
        <v>660</v>
      </c>
      <c r="L125" s="32" t="s">
        <v>41</v>
      </c>
      <c r="M125" s="29" t="s">
        <v>492</v>
      </c>
      <c r="N125" s="32" t="s">
        <v>41</v>
      </c>
      <c r="O125" s="29" t="s">
        <v>2631</v>
      </c>
      <c r="P125" s="34">
        <v>853829.15</v>
      </c>
      <c r="Q125" s="34">
        <v>0</v>
      </c>
      <c r="R125" s="29" t="s">
        <v>673</v>
      </c>
      <c r="S125" s="29" t="s">
        <v>451</v>
      </c>
      <c r="T125" s="29" t="s">
        <v>36</v>
      </c>
      <c r="U125" s="29" t="s">
        <v>663</v>
      </c>
      <c r="V125" s="29" t="s">
        <v>2645</v>
      </c>
      <c r="W125" s="29" t="s">
        <v>665</v>
      </c>
    </row>
    <row r="126" hidden="1" spans="1:23">
      <c r="A126" s="25" t="s">
        <v>2646</v>
      </c>
      <c r="B126" s="25" t="s">
        <v>32</v>
      </c>
      <c r="C126" s="25" t="s">
        <v>2647</v>
      </c>
      <c r="D126" s="26">
        <v>1</v>
      </c>
      <c r="E126" s="25" t="s">
        <v>2648</v>
      </c>
      <c r="F126" s="27">
        <v>45838</v>
      </c>
      <c r="G126" s="27">
        <v>45838</v>
      </c>
      <c r="H126" s="28" t="s">
        <v>444</v>
      </c>
      <c r="I126" s="25" t="s">
        <v>445</v>
      </c>
      <c r="J126" s="28" t="s">
        <v>41</v>
      </c>
      <c r="K126" s="25" t="s">
        <v>660</v>
      </c>
      <c r="L126" s="28" t="s">
        <v>41</v>
      </c>
      <c r="M126" s="25" t="s">
        <v>492</v>
      </c>
      <c r="N126" s="28" t="s">
        <v>41</v>
      </c>
      <c r="O126" s="25" t="s">
        <v>685</v>
      </c>
      <c r="P126" s="33">
        <v>0</v>
      </c>
      <c r="Q126" s="33">
        <v>853829.15</v>
      </c>
      <c r="R126" s="25" t="s">
        <v>686</v>
      </c>
      <c r="S126" s="25" t="s">
        <v>446</v>
      </c>
      <c r="T126" s="25" t="s">
        <v>36</v>
      </c>
      <c r="U126" s="25" t="s">
        <v>663</v>
      </c>
      <c r="V126" s="25" t="s">
        <v>2649</v>
      </c>
      <c r="W126" s="25" t="s">
        <v>665</v>
      </c>
    </row>
    <row r="127" hidden="1" spans="1:23">
      <c r="A127" s="29"/>
      <c r="B127" s="29"/>
      <c r="C127" s="29"/>
      <c r="D127" s="30"/>
      <c r="E127" s="29"/>
      <c r="F127" s="31"/>
      <c r="G127" s="31"/>
      <c r="H127" s="32"/>
      <c r="I127" s="29"/>
      <c r="J127" s="32"/>
      <c r="K127" s="29"/>
      <c r="L127" s="32"/>
      <c r="M127" s="29"/>
      <c r="N127" s="32"/>
      <c r="O127" s="29"/>
      <c r="P127" s="34"/>
      <c r="Q127" s="34"/>
      <c r="R127" s="29"/>
      <c r="S127" s="29"/>
      <c r="T127" s="29"/>
      <c r="U127" s="29"/>
      <c r="V127" s="29"/>
      <c r="W127" s="29"/>
    </row>
    <row r="128" hidden="1" spans="1:23">
      <c r="A128" s="25"/>
      <c r="B128" s="25"/>
      <c r="C128" s="25"/>
      <c r="D128" s="26"/>
      <c r="E128" s="25"/>
      <c r="F128" s="27"/>
      <c r="G128" s="27"/>
      <c r="H128" s="28"/>
      <c r="I128" s="25"/>
      <c r="J128" s="28"/>
      <c r="K128" s="25"/>
      <c r="L128" s="28"/>
      <c r="M128" s="25"/>
      <c r="N128" s="28"/>
      <c r="O128" s="25"/>
      <c r="P128" s="33"/>
      <c r="Q128" s="33"/>
      <c r="R128" s="25"/>
      <c r="S128" s="25"/>
      <c r="T128" s="25"/>
      <c r="U128" s="25"/>
      <c r="V128" s="25"/>
      <c r="W128" s="25"/>
    </row>
    <row r="129" hidden="1" spans="1:23">
      <c r="A129" s="29"/>
      <c r="B129" s="29"/>
      <c r="C129" s="29"/>
      <c r="D129" s="30"/>
      <c r="E129" s="29"/>
      <c r="F129" s="31"/>
      <c r="G129" s="31"/>
      <c r="H129" s="32"/>
      <c r="I129" s="29"/>
      <c r="J129" s="32"/>
      <c r="K129" s="29"/>
      <c r="L129" s="32"/>
      <c r="M129" s="29"/>
      <c r="N129" s="32"/>
      <c r="O129" s="29"/>
      <c r="P129" s="34"/>
      <c r="Q129" s="34"/>
      <c r="R129" s="29"/>
      <c r="S129" s="29"/>
      <c r="T129" s="29"/>
      <c r="U129" s="29"/>
      <c r="V129" s="29"/>
      <c r="W129" s="29"/>
    </row>
    <row r="130" hidden="1" spans="1:23">
      <c r="A130" s="25"/>
      <c r="B130" s="25"/>
      <c r="C130" s="25"/>
      <c r="D130" s="26"/>
      <c r="E130" s="25"/>
      <c r="F130" s="27"/>
      <c r="G130" s="27"/>
      <c r="H130" s="28"/>
      <c r="I130" s="25"/>
      <c r="J130" s="28"/>
      <c r="K130" s="25"/>
      <c r="L130" s="28"/>
      <c r="M130" s="25"/>
      <c r="N130" s="28"/>
      <c r="O130" s="25"/>
      <c r="P130" s="33"/>
      <c r="Q130" s="33"/>
      <c r="R130" s="25"/>
      <c r="S130" s="25"/>
      <c r="T130" s="25"/>
      <c r="U130" s="25"/>
      <c r="V130" s="25"/>
      <c r="W130" s="25"/>
    </row>
    <row r="131" hidden="1" spans="1:23">
      <c r="A131" s="29"/>
      <c r="B131" s="29"/>
      <c r="C131" s="29"/>
      <c r="D131" s="30"/>
      <c r="E131" s="29"/>
      <c r="F131" s="31"/>
      <c r="G131" s="31"/>
      <c r="H131" s="32"/>
      <c r="I131" s="29"/>
      <c r="J131" s="32"/>
      <c r="K131" s="29"/>
      <c r="L131" s="32"/>
      <c r="M131" s="29"/>
      <c r="N131" s="32"/>
      <c r="O131" s="29"/>
      <c r="P131" s="34"/>
      <c r="Q131" s="34"/>
      <c r="R131" s="29"/>
      <c r="S131" s="29"/>
      <c r="T131" s="29"/>
      <c r="U131" s="29"/>
      <c r="V131" s="29"/>
      <c r="W131" s="29"/>
    </row>
    <row r="132" hidden="1" spans="1:23">
      <c r="A132" s="25"/>
      <c r="B132" s="25"/>
      <c r="C132" s="25"/>
      <c r="D132" s="26"/>
      <c r="E132" s="25"/>
      <c r="F132" s="27"/>
      <c r="G132" s="27"/>
      <c r="H132" s="28"/>
      <c r="I132" s="25"/>
      <c r="J132" s="28"/>
      <c r="K132" s="25"/>
      <c r="L132" s="28"/>
      <c r="M132" s="25"/>
      <c r="N132" s="28"/>
      <c r="O132" s="25"/>
      <c r="P132" s="33"/>
      <c r="Q132" s="33"/>
      <c r="R132" s="25"/>
      <c r="S132" s="25"/>
      <c r="T132" s="25"/>
      <c r="U132" s="25"/>
      <c r="V132" s="25"/>
      <c r="W132" s="25"/>
    </row>
    <row r="133" hidden="1" spans="1:23">
      <c r="A133" s="29"/>
      <c r="B133" s="29"/>
      <c r="C133" s="29"/>
      <c r="D133" s="30"/>
      <c r="E133" s="29"/>
      <c r="F133" s="31"/>
      <c r="G133" s="31"/>
      <c r="H133" s="32"/>
      <c r="I133" s="29"/>
      <c r="J133" s="32"/>
      <c r="K133" s="29"/>
      <c r="L133" s="32"/>
      <c r="M133" s="29"/>
      <c r="N133" s="32"/>
      <c r="O133" s="29"/>
      <c r="P133" s="34"/>
      <c r="Q133" s="34"/>
      <c r="R133" s="29"/>
      <c r="S133" s="29"/>
      <c r="T133" s="29"/>
      <c r="U133" s="29"/>
      <c r="V133" s="29"/>
      <c r="W133" s="29"/>
    </row>
    <row r="134" hidden="1" spans="1:23">
      <c r="A134" s="25"/>
      <c r="B134" s="25"/>
      <c r="C134" s="25"/>
      <c r="D134" s="26"/>
      <c r="E134" s="25"/>
      <c r="F134" s="27"/>
      <c r="G134" s="27"/>
      <c r="H134" s="28"/>
      <c r="I134" s="25"/>
      <c r="J134" s="28"/>
      <c r="K134" s="25"/>
      <c r="L134" s="28"/>
      <c r="M134" s="25"/>
      <c r="N134" s="28"/>
      <c r="O134" s="25"/>
      <c r="P134" s="33"/>
      <c r="Q134" s="33"/>
      <c r="R134" s="25"/>
      <c r="S134" s="25"/>
      <c r="T134" s="25"/>
      <c r="U134" s="25"/>
      <c r="V134" s="25"/>
      <c r="W134" s="25"/>
    </row>
    <row r="135" hidden="1" spans="1:23">
      <c r="A135" s="29"/>
      <c r="B135" s="29"/>
      <c r="C135" s="29"/>
      <c r="D135" s="30"/>
      <c r="E135" s="29"/>
      <c r="F135" s="31"/>
      <c r="G135" s="31"/>
      <c r="H135" s="32"/>
      <c r="I135" s="29"/>
      <c r="J135" s="32"/>
      <c r="K135" s="29"/>
      <c r="L135" s="32"/>
      <c r="M135" s="29"/>
      <c r="N135" s="32"/>
      <c r="O135" s="29"/>
      <c r="P135" s="34"/>
      <c r="Q135" s="34"/>
      <c r="R135" s="29"/>
      <c r="S135" s="29"/>
      <c r="T135" s="29"/>
      <c r="U135" s="29"/>
      <c r="V135" s="29"/>
      <c r="W135" s="29"/>
    </row>
    <row r="136" hidden="1" spans="1:23">
      <c r="A136" s="25"/>
      <c r="B136" s="25"/>
      <c r="C136" s="25"/>
      <c r="D136" s="26"/>
      <c r="E136" s="25"/>
      <c r="F136" s="27"/>
      <c r="G136" s="27"/>
      <c r="H136" s="28"/>
      <c r="I136" s="25"/>
      <c r="J136" s="28"/>
      <c r="K136" s="25"/>
      <c r="L136" s="28"/>
      <c r="M136" s="25"/>
      <c r="N136" s="28"/>
      <c r="O136" s="25"/>
      <c r="P136" s="33"/>
      <c r="Q136" s="33"/>
      <c r="R136" s="25"/>
      <c r="S136" s="25"/>
      <c r="T136" s="25"/>
      <c r="U136" s="25"/>
      <c r="V136" s="25"/>
      <c r="W136" s="25"/>
    </row>
    <row r="137" hidden="1" spans="1:23">
      <c r="A137" s="29"/>
      <c r="B137" s="29"/>
      <c r="C137" s="29"/>
      <c r="D137" s="30"/>
      <c r="E137" s="29"/>
      <c r="F137" s="31"/>
      <c r="G137" s="31"/>
      <c r="H137" s="32"/>
      <c r="I137" s="29"/>
      <c r="J137" s="32"/>
      <c r="K137" s="29"/>
      <c r="L137" s="32"/>
      <c r="M137" s="29"/>
      <c r="N137" s="32"/>
      <c r="O137" s="29"/>
      <c r="P137" s="34"/>
      <c r="Q137" s="34"/>
      <c r="R137" s="29"/>
      <c r="S137" s="29"/>
      <c r="T137" s="29"/>
      <c r="U137" s="29"/>
      <c r="V137" s="29"/>
      <c r="W137" s="29"/>
    </row>
    <row r="138" hidden="1" spans="1:23">
      <c r="A138" s="25"/>
      <c r="B138" s="25"/>
      <c r="C138" s="25"/>
      <c r="D138" s="26"/>
      <c r="E138" s="25"/>
      <c r="F138" s="27"/>
      <c r="G138" s="27"/>
      <c r="H138" s="28"/>
      <c r="I138" s="25"/>
      <c r="J138" s="28"/>
      <c r="K138" s="25"/>
      <c r="L138" s="28"/>
      <c r="M138" s="25"/>
      <c r="N138" s="28"/>
      <c r="O138" s="25"/>
      <c r="P138" s="33"/>
      <c r="Q138" s="33"/>
      <c r="R138" s="25"/>
      <c r="S138" s="25"/>
      <c r="T138" s="25"/>
      <c r="U138" s="25"/>
      <c r="V138" s="25"/>
      <c r="W138" s="25"/>
    </row>
    <row r="139" hidden="1" spans="1:23">
      <c r="A139" s="29"/>
      <c r="B139" s="29"/>
      <c r="C139" s="29"/>
      <c r="D139" s="30"/>
      <c r="E139" s="29"/>
      <c r="F139" s="31"/>
      <c r="G139" s="31"/>
      <c r="H139" s="32"/>
      <c r="I139" s="29"/>
      <c r="J139" s="32"/>
      <c r="K139" s="29"/>
      <c r="L139" s="32"/>
      <c r="M139" s="29"/>
      <c r="N139" s="32"/>
      <c r="O139" s="29"/>
      <c r="P139" s="34"/>
      <c r="Q139" s="34"/>
      <c r="R139" s="29"/>
      <c r="S139" s="29"/>
      <c r="T139" s="29"/>
      <c r="U139" s="29"/>
      <c r="V139" s="29"/>
      <c r="W139" s="29"/>
    </row>
    <row r="140" hidden="1" spans="1:23">
      <c r="A140" s="25"/>
      <c r="B140" s="25"/>
      <c r="C140" s="25"/>
      <c r="D140" s="26"/>
      <c r="E140" s="25"/>
      <c r="F140" s="27"/>
      <c r="G140" s="27"/>
      <c r="H140" s="28"/>
      <c r="I140" s="25"/>
      <c r="J140" s="28"/>
      <c r="K140" s="25"/>
      <c r="L140" s="28"/>
      <c r="M140" s="25"/>
      <c r="N140" s="28"/>
      <c r="O140" s="25"/>
      <c r="P140" s="33"/>
      <c r="Q140" s="33"/>
      <c r="R140" s="25"/>
      <c r="S140" s="25"/>
      <c r="T140" s="25"/>
      <c r="U140" s="25"/>
      <c r="V140" s="25"/>
      <c r="W140" s="25"/>
    </row>
    <row r="141" hidden="1" spans="1:23">
      <c r="A141" s="29"/>
      <c r="B141" s="29"/>
      <c r="C141" s="29"/>
      <c r="D141" s="30"/>
      <c r="E141" s="29"/>
      <c r="F141" s="31"/>
      <c r="G141" s="31"/>
      <c r="H141" s="32"/>
      <c r="I141" s="29"/>
      <c r="J141" s="32"/>
      <c r="K141" s="29"/>
      <c r="L141" s="32"/>
      <c r="M141" s="29"/>
      <c r="N141" s="32"/>
      <c r="O141" s="29"/>
      <c r="P141" s="34"/>
      <c r="Q141" s="34"/>
      <c r="R141" s="29"/>
      <c r="S141" s="29"/>
      <c r="T141" s="29"/>
      <c r="U141" s="29"/>
      <c r="V141" s="29"/>
      <c r="W141" s="29"/>
    </row>
    <row r="142" hidden="1" spans="1:23">
      <c r="A142" s="25"/>
      <c r="B142" s="25"/>
      <c r="C142" s="25"/>
      <c r="D142" s="26"/>
      <c r="E142" s="25"/>
      <c r="F142" s="27"/>
      <c r="G142" s="27"/>
      <c r="H142" s="28"/>
      <c r="I142" s="25"/>
      <c r="J142" s="28"/>
      <c r="K142" s="25"/>
      <c r="L142" s="28"/>
      <c r="M142" s="25"/>
      <c r="N142" s="28"/>
      <c r="O142" s="25"/>
      <c r="P142" s="33"/>
      <c r="Q142" s="33"/>
      <c r="R142" s="25"/>
      <c r="S142" s="25"/>
      <c r="T142" s="25"/>
      <c r="U142" s="25"/>
      <c r="V142" s="25"/>
      <c r="W142" s="25"/>
    </row>
    <row r="143" hidden="1" spans="1:23">
      <c r="A143" s="29"/>
      <c r="B143" s="29"/>
      <c r="C143" s="29"/>
      <c r="D143" s="30"/>
      <c r="E143" s="29"/>
      <c r="F143" s="31"/>
      <c r="G143" s="31"/>
      <c r="H143" s="32"/>
      <c r="I143" s="29"/>
      <c r="J143" s="32"/>
      <c r="K143" s="29"/>
      <c r="L143" s="32"/>
      <c r="M143" s="29"/>
      <c r="N143" s="32"/>
      <c r="O143" s="29"/>
      <c r="P143" s="34"/>
      <c r="Q143" s="34"/>
      <c r="R143" s="29"/>
      <c r="S143" s="29"/>
      <c r="T143" s="29"/>
      <c r="U143" s="29"/>
      <c r="V143" s="29"/>
      <c r="W143" s="29"/>
    </row>
    <row r="144" hidden="1" spans="1:23">
      <c r="A144" s="25"/>
      <c r="B144" s="25"/>
      <c r="C144" s="25"/>
      <c r="D144" s="26"/>
      <c r="E144" s="25"/>
      <c r="F144" s="27"/>
      <c r="G144" s="27"/>
      <c r="H144" s="28"/>
      <c r="I144" s="25"/>
      <c r="J144" s="28"/>
      <c r="K144" s="25"/>
      <c r="L144" s="28"/>
      <c r="M144" s="25"/>
      <c r="N144" s="28"/>
      <c r="O144" s="25"/>
      <c r="P144" s="33"/>
      <c r="Q144" s="33"/>
      <c r="R144" s="25"/>
      <c r="S144" s="25"/>
      <c r="T144" s="25"/>
      <c r="U144" s="25"/>
      <c r="V144" s="25"/>
      <c r="W144" s="25"/>
    </row>
    <row r="145" hidden="1" spans="1:23">
      <c r="A145" s="29"/>
      <c r="B145" s="29"/>
      <c r="C145" s="29"/>
      <c r="D145" s="30"/>
      <c r="E145" s="29"/>
      <c r="F145" s="31"/>
      <c r="G145" s="31"/>
      <c r="H145" s="32"/>
      <c r="I145" s="29"/>
      <c r="J145" s="32"/>
      <c r="K145" s="29"/>
      <c r="L145" s="32"/>
      <c r="M145" s="29"/>
      <c r="N145" s="32"/>
      <c r="O145" s="29"/>
      <c r="P145" s="34"/>
      <c r="Q145" s="34"/>
      <c r="R145" s="29"/>
      <c r="S145" s="29"/>
      <c r="T145" s="29"/>
      <c r="U145" s="29"/>
      <c r="V145" s="29"/>
      <c r="W145" s="29"/>
    </row>
    <row r="146" hidden="1" spans="1:23">
      <c r="A146" s="25"/>
      <c r="B146" s="25"/>
      <c r="C146" s="25"/>
      <c r="D146" s="26"/>
      <c r="E146" s="25"/>
      <c r="F146" s="27"/>
      <c r="G146" s="27"/>
      <c r="H146" s="28"/>
      <c r="I146" s="25"/>
      <c r="J146" s="28"/>
      <c r="K146" s="25"/>
      <c r="L146" s="28"/>
      <c r="M146" s="25"/>
      <c r="N146" s="28"/>
      <c r="O146" s="25"/>
      <c r="P146" s="33"/>
      <c r="Q146" s="33"/>
      <c r="R146" s="25"/>
      <c r="S146" s="25"/>
      <c r="T146" s="25"/>
      <c r="U146" s="25"/>
      <c r="V146" s="25"/>
      <c r="W146" s="25"/>
    </row>
    <row r="147" hidden="1" spans="1:23">
      <c r="A147" s="29"/>
      <c r="B147" s="29"/>
      <c r="C147" s="29"/>
      <c r="D147" s="30"/>
      <c r="E147" s="29"/>
      <c r="F147" s="31"/>
      <c r="G147" s="31"/>
      <c r="H147" s="32"/>
      <c r="I147" s="29"/>
      <c r="J147" s="32"/>
      <c r="K147" s="29"/>
      <c r="L147" s="32"/>
      <c r="M147" s="29"/>
      <c r="N147" s="32"/>
      <c r="O147" s="29"/>
      <c r="P147" s="34"/>
      <c r="Q147" s="34"/>
      <c r="R147" s="29"/>
      <c r="S147" s="29"/>
      <c r="T147" s="29"/>
      <c r="U147" s="29"/>
      <c r="V147" s="29"/>
      <c r="W147" s="29"/>
    </row>
    <row r="148" hidden="1" spans="1:23">
      <c r="A148" s="25"/>
      <c r="B148" s="25"/>
      <c r="C148" s="25"/>
      <c r="D148" s="26"/>
      <c r="E148" s="25"/>
      <c r="F148" s="27"/>
      <c r="G148" s="27"/>
      <c r="H148" s="28"/>
      <c r="I148" s="25"/>
      <c r="J148" s="28"/>
      <c r="K148" s="25"/>
      <c r="L148" s="28"/>
      <c r="M148" s="25"/>
      <c r="N148" s="28"/>
      <c r="O148" s="25"/>
      <c r="P148" s="33"/>
      <c r="Q148" s="33"/>
      <c r="R148" s="25"/>
      <c r="S148" s="25"/>
      <c r="T148" s="25"/>
      <c r="U148" s="25"/>
      <c r="V148" s="25"/>
      <c r="W148" s="25"/>
    </row>
    <row r="149" hidden="1" spans="1:23">
      <c r="A149" s="29"/>
      <c r="B149" s="29"/>
      <c r="C149" s="29"/>
      <c r="D149" s="30"/>
      <c r="E149" s="29"/>
      <c r="F149" s="31"/>
      <c r="G149" s="31"/>
      <c r="H149" s="32"/>
      <c r="I149" s="29"/>
      <c r="J149" s="32"/>
      <c r="K149" s="29"/>
      <c r="L149" s="32"/>
      <c r="M149" s="29"/>
      <c r="N149" s="32"/>
      <c r="O149" s="29"/>
      <c r="P149" s="34"/>
      <c r="Q149" s="34"/>
      <c r="R149" s="29"/>
      <c r="S149" s="29"/>
      <c r="T149" s="29"/>
      <c r="U149" s="29"/>
      <c r="V149" s="29"/>
      <c r="W149" s="29"/>
    </row>
    <row r="150" hidden="1" spans="1:23">
      <c r="A150" s="25"/>
      <c r="B150" s="25"/>
      <c r="C150" s="25"/>
      <c r="D150" s="26"/>
      <c r="E150" s="25"/>
      <c r="F150" s="27"/>
      <c r="G150" s="27"/>
      <c r="H150" s="28"/>
      <c r="I150" s="25"/>
      <c r="J150" s="28"/>
      <c r="K150" s="25"/>
      <c r="L150" s="28"/>
      <c r="M150" s="25"/>
      <c r="N150" s="28"/>
      <c r="O150" s="25"/>
      <c r="P150" s="33"/>
      <c r="Q150" s="33"/>
      <c r="R150" s="25"/>
      <c r="S150" s="25"/>
      <c r="T150" s="25"/>
      <c r="U150" s="25"/>
      <c r="V150" s="25"/>
      <c r="W150" s="25"/>
    </row>
    <row r="151" hidden="1" spans="1:23">
      <c r="A151" s="29"/>
      <c r="B151" s="29"/>
      <c r="C151" s="29"/>
      <c r="D151" s="30"/>
      <c r="E151" s="29"/>
      <c r="F151" s="31"/>
      <c r="G151" s="31"/>
      <c r="H151" s="32"/>
      <c r="I151" s="29"/>
      <c r="J151" s="32"/>
      <c r="K151" s="29"/>
      <c r="L151" s="32"/>
      <c r="M151" s="29"/>
      <c r="N151" s="32"/>
      <c r="O151" s="29"/>
      <c r="P151" s="34"/>
      <c r="Q151" s="34"/>
      <c r="R151" s="29"/>
      <c r="S151" s="29"/>
      <c r="T151" s="29"/>
      <c r="U151" s="29"/>
      <c r="V151" s="29"/>
      <c r="W151" s="29"/>
    </row>
    <row r="152" hidden="1" spans="1:23">
      <c r="A152" s="25"/>
      <c r="B152" s="25"/>
      <c r="C152" s="25"/>
      <c r="D152" s="26"/>
      <c r="E152" s="25"/>
      <c r="F152" s="27"/>
      <c r="G152" s="27"/>
      <c r="H152" s="28"/>
      <c r="I152" s="25"/>
      <c r="J152" s="28"/>
      <c r="K152" s="25"/>
      <c r="L152" s="28"/>
      <c r="M152" s="25"/>
      <c r="N152" s="28"/>
      <c r="O152" s="25"/>
      <c r="P152" s="33"/>
      <c r="Q152" s="33"/>
      <c r="R152" s="25"/>
      <c r="S152" s="25"/>
      <c r="T152" s="25"/>
      <c r="U152" s="25"/>
      <c r="V152" s="25"/>
      <c r="W152" s="25"/>
    </row>
    <row r="153" hidden="1" spans="1:23">
      <c r="A153" s="29"/>
      <c r="B153" s="29"/>
      <c r="C153" s="29"/>
      <c r="D153" s="30"/>
      <c r="E153" s="29"/>
      <c r="F153" s="31"/>
      <c r="G153" s="31"/>
      <c r="H153" s="32"/>
      <c r="I153" s="29"/>
      <c r="J153" s="32"/>
      <c r="K153" s="29"/>
      <c r="L153" s="32"/>
      <c r="M153" s="29"/>
      <c r="N153" s="32"/>
      <c r="O153" s="29"/>
      <c r="P153" s="34"/>
      <c r="Q153" s="34"/>
      <c r="R153" s="29"/>
      <c r="S153" s="29"/>
      <c r="T153" s="29"/>
      <c r="U153" s="29"/>
      <c r="V153" s="29"/>
      <c r="W153" s="29"/>
    </row>
    <row r="154" hidden="1" spans="1:23">
      <c r="A154" s="25"/>
      <c r="B154" s="25"/>
      <c r="C154" s="25"/>
      <c r="D154" s="26"/>
      <c r="E154" s="25"/>
      <c r="F154" s="27"/>
      <c r="G154" s="27"/>
      <c r="H154" s="28"/>
      <c r="I154" s="25"/>
      <c r="J154" s="28"/>
      <c r="K154" s="25"/>
      <c r="L154" s="28"/>
      <c r="M154" s="25"/>
      <c r="N154" s="28"/>
      <c r="O154" s="25"/>
      <c r="P154" s="33"/>
      <c r="Q154" s="33"/>
      <c r="R154" s="25"/>
      <c r="S154" s="25"/>
      <c r="T154" s="25"/>
      <c r="U154" s="25"/>
      <c r="V154" s="25"/>
      <c r="W154" s="25"/>
    </row>
    <row r="155" hidden="1" spans="1:23">
      <c r="A155" s="29"/>
      <c r="B155" s="29"/>
      <c r="C155" s="29"/>
      <c r="D155" s="30"/>
      <c r="E155" s="29"/>
      <c r="F155" s="31"/>
      <c r="G155" s="31"/>
      <c r="H155" s="32"/>
      <c r="I155" s="29"/>
      <c r="J155" s="32"/>
      <c r="K155" s="29"/>
      <c r="L155" s="32"/>
      <c r="M155" s="29"/>
      <c r="N155" s="32"/>
      <c r="O155" s="29"/>
      <c r="P155" s="34"/>
      <c r="Q155" s="34"/>
      <c r="R155" s="29"/>
      <c r="S155" s="29"/>
      <c r="T155" s="29"/>
      <c r="U155" s="29"/>
      <c r="V155" s="29"/>
      <c r="W155" s="29"/>
    </row>
    <row r="156" hidden="1" spans="1:23">
      <c r="A156" s="25"/>
      <c r="B156" s="25"/>
      <c r="C156" s="25"/>
      <c r="D156" s="26"/>
      <c r="E156" s="25"/>
      <c r="F156" s="27"/>
      <c r="G156" s="27"/>
      <c r="H156" s="28"/>
      <c r="I156" s="25"/>
      <c r="J156" s="28"/>
      <c r="K156" s="25"/>
      <c r="L156" s="28"/>
      <c r="M156" s="25"/>
      <c r="N156" s="28"/>
      <c r="O156" s="25"/>
      <c r="P156" s="33"/>
      <c r="Q156" s="33"/>
      <c r="R156" s="25"/>
      <c r="S156" s="25"/>
      <c r="T156" s="25"/>
      <c r="U156" s="25"/>
      <c r="V156" s="25"/>
      <c r="W156" s="25"/>
    </row>
    <row r="157" hidden="1" spans="1:23">
      <c r="A157" s="29"/>
      <c r="B157" s="29"/>
      <c r="C157" s="29"/>
      <c r="D157" s="30"/>
      <c r="E157" s="29"/>
      <c r="F157" s="31"/>
      <c r="G157" s="31"/>
      <c r="H157" s="32"/>
      <c r="I157" s="29"/>
      <c r="J157" s="32"/>
      <c r="K157" s="29"/>
      <c r="L157" s="32"/>
      <c r="M157" s="29"/>
      <c r="N157" s="32"/>
      <c r="O157" s="29"/>
      <c r="P157" s="34"/>
      <c r="Q157" s="34"/>
      <c r="R157" s="29"/>
      <c r="S157" s="29"/>
      <c r="T157" s="29"/>
      <c r="U157" s="29"/>
      <c r="V157" s="29"/>
      <c r="W157" s="29"/>
    </row>
    <row r="158" hidden="1" spans="1:23">
      <c r="A158" s="25"/>
      <c r="B158" s="25"/>
      <c r="C158" s="25"/>
      <c r="D158" s="26"/>
      <c r="E158" s="25"/>
      <c r="F158" s="27"/>
      <c r="G158" s="27"/>
      <c r="H158" s="28"/>
      <c r="I158" s="25"/>
      <c r="J158" s="28"/>
      <c r="K158" s="25"/>
      <c r="L158" s="28"/>
      <c r="M158" s="25"/>
      <c r="N158" s="28"/>
      <c r="O158" s="25"/>
      <c r="P158" s="33"/>
      <c r="Q158" s="33"/>
      <c r="R158" s="25"/>
      <c r="S158" s="25"/>
      <c r="T158" s="25"/>
      <c r="U158" s="25"/>
      <c r="V158" s="25"/>
      <c r="W158" s="25"/>
    </row>
    <row r="159" hidden="1" spans="1:23">
      <c r="A159" s="29"/>
      <c r="B159" s="29"/>
      <c r="C159" s="29"/>
      <c r="D159" s="30"/>
      <c r="E159" s="29"/>
      <c r="F159" s="31"/>
      <c r="G159" s="31"/>
      <c r="H159" s="32"/>
      <c r="I159" s="29"/>
      <c r="J159" s="32"/>
      <c r="K159" s="29"/>
      <c r="L159" s="32"/>
      <c r="M159" s="29"/>
      <c r="N159" s="32"/>
      <c r="O159" s="29"/>
      <c r="P159" s="34"/>
      <c r="Q159" s="34"/>
      <c r="R159" s="29"/>
      <c r="S159" s="29"/>
      <c r="T159" s="29"/>
      <c r="U159" s="29"/>
      <c r="V159" s="29"/>
      <c r="W159" s="29"/>
    </row>
    <row r="160" hidden="1" spans="1:23">
      <c r="A160" s="25"/>
      <c r="B160" s="25"/>
      <c r="C160" s="25"/>
      <c r="D160" s="26"/>
      <c r="E160" s="25"/>
      <c r="F160" s="27"/>
      <c r="G160" s="27"/>
      <c r="H160" s="28"/>
      <c r="I160" s="25"/>
      <c r="J160" s="28"/>
      <c r="K160" s="25"/>
      <c r="L160" s="28"/>
      <c r="M160" s="25"/>
      <c r="N160" s="28"/>
      <c r="O160" s="25"/>
      <c r="P160" s="33"/>
      <c r="Q160" s="33"/>
      <c r="R160" s="25"/>
      <c r="S160" s="25"/>
      <c r="T160" s="25"/>
      <c r="U160" s="25"/>
      <c r="V160" s="25"/>
      <c r="W160" s="25"/>
    </row>
    <row r="161" hidden="1" spans="1:23">
      <c r="A161" s="29"/>
      <c r="B161" s="29"/>
      <c r="C161" s="29"/>
      <c r="D161" s="30"/>
      <c r="E161" s="29"/>
      <c r="F161" s="31"/>
      <c r="G161" s="31"/>
      <c r="H161" s="32"/>
      <c r="I161" s="29"/>
      <c r="J161" s="32"/>
      <c r="K161" s="29"/>
      <c r="L161" s="32"/>
      <c r="M161" s="29"/>
      <c r="N161" s="32"/>
      <c r="O161" s="29"/>
      <c r="P161" s="34"/>
      <c r="Q161" s="34"/>
      <c r="R161" s="29"/>
      <c r="S161" s="29"/>
      <c r="T161" s="29"/>
      <c r="U161" s="29"/>
      <c r="V161" s="29"/>
      <c r="W161" s="29"/>
    </row>
    <row r="162" hidden="1" spans="1:23">
      <c r="A162" s="25"/>
      <c r="B162" s="25"/>
      <c r="C162" s="25"/>
      <c r="D162" s="26"/>
      <c r="E162" s="25"/>
      <c r="F162" s="27"/>
      <c r="G162" s="27"/>
      <c r="H162" s="28"/>
      <c r="I162" s="25"/>
      <c r="J162" s="28"/>
      <c r="K162" s="25"/>
      <c r="L162" s="28"/>
      <c r="M162" s="25"/>
      <c r="N162" s="28"/>
      <c r="O162" s="25"/>
      <c r="P162" s="33"/>
      <c r="Q162" s="33"/>
      <c r="R162" s="25"/>
      <c r="S162" s="25"/>
      <c r="T162" s="25"/>
      <c r="U162" s="25"/>
      <c r="V162" s="25"/>
      <c r="W162" s="25"/>
    </row>
    <row r="163" hidden="1" spans="1:23">
      <c r="A163" s="29"/>
      <c r="B163" s="29"/>
      <c r="C163" s="29"/>
      <c r="D163" s="30"/>
      <c r="E163" s="29"/>
      <c r="F163" s="31"/>
      <c r="G163" s="31"/>
      <c r="H163" s="32"/>
      <c r="I163" s="29"/>
      <c r="J163" s="32"/>
      <c r="K163" s="29"/>
      <c r="L163" s="32"/>
      <c r="M163" s="29"/>
      <c r="N163" s="32"/>
      <c r="O163" s="29"/>
      <c r="P163" s="34"/>
      <c r="Q163" s="34"/>
      <c r="R163" s="29"/>
      <c r="S163" s="29"/>
      <c r="T163" s="29"/>
      <c r="U163" s="29"/>
      <c r="V163" s="29"/>
      <c r="W163" s="29"/>
    </row>
    <row r="164" hidden="1" spans="1:23">
      <c r="A164" s="25"/>
      <c r="B164" s="25"/>
      <c r="C164" s="25"/>
      <c r="D164" s="26"/>
      <c r="E164" s="25"/>
      <c r="F164" s="27"/>
      <c r="G164" s="27"/>
      <c r="H164" s="28"/>
      <c r="I164" s="25"/>
      <c r="J164" s="28"/>
      <c r="K164" s="25"/>
      <c r="L164" s="28"/>
      <c r="M164" s="25"/>
      <c r="N164" s="28"/>
      <c r="O164" s="25"/>
      <c r="P164" s="33"/>
      <c r="Q164" s="33"/>
      <c r="R164" s="25"/>
      <c r="S164" s="25"/>
      <c r="T164" s="25"/>
      <c r="U164" s="25"/>
      <c r="V164" s="25"/>
      <c r="W164" s="25"/>
    </row>
    <row r="165" hidden="1" spans="1:23">
      <c r="A165" s="29"/>
      <c r="B165" s="29"/>
      <c r="C165" s="29"/>
      <c r="D165" s="30"/>
      <c r="E165" s="29"/>
      <c r="F165" s="31"/>
      <c r="G165" s="31"/>
      <c r="H165" s="32"/>
      <c r="I165" s="29"/>
      <c r="J165" s="32"/>
      <c r="K165" s="29"/>
      <c r="L165" s="32"/>
      <c r="M165" s="29"/>
      <c r="N165" s="32"/>
      <c r="O165" s="29"/>
      <c r="P165" s="34"/>
      <c r="Q165" s="34"/>
      <c r="R165" s="29"/>
      <c r="S165" s="29"/>
      <c r="T165" s="29"/>
      <c r="U165" s="29"/>
      <c r="V165" s="29"/>
      <c r="W165" s="29"/>
    </row>
    <row r="166" hidden="1" spans="1:23">
      <c r="A166" s="25"/>
      <c r="B166" s="25"/>
      <c r="C166" s="25"/>
      <c r="D166" s="26"/>
      <c r="E166" s="25"/>
      <c r="F166" s="27"/>
      <c r="G166" s="27"/>
      <c r="H166" s="28"/>
      <c r="I166" s="25"/>
      <c r="J166" s="28"/>
      <c r="K166" s="25"/>
      <c r="L166" s="28"/>
      <c r="M166" s="25"/>
      <c r="N166" s="28"/>
      <c r="O166" s="25"/>
      <c r="P166" s="33"/>
      <c r="Q166" s="33"/>
      <c r="R166" s="25"/>
      <c r="S166" s="25"/>
      <c r="T166" s="25"/>
      <c r="U166" s="25"/>
      <c r="V166" s="25"/>
      <c r="W166" s="25"/>
    </row>
    <row r="167" hidden="1" spans="1:23">
      <c r="A167" s="29"/>
      <c r="B167" s="29"/>
      <c r="C167" s="29"/>
      <c r="D167" s="30"/>
      <c r="E167" s="29"/>
      <c r="F167" s="31"/>
      <c r="G167" s="31"/>
      <c r="H167" s="32"/>
      <c r="I167" s="29"/>
      <c r="J167" s="32"/>
      <c r="K167" s="29"/>
      <c r="L167" s="32"/>
      <c r="M167" s="29"/>
      <c r="N167" s="32"/>
      <c r="O167" s="29"/>
      <c r="P167" s="34"/>
      <c r="Q167" s="34"/>
      <c r="R167" s="29"/>
      <c r="S167" s="29"/>
      <c r="T167" s="29"/>
      <c r="U167" s="29"/>
      <c r="V167" s="29"/>
      <c r="W167" s="29"/>
    </row>
    <row r="168" hidden="1" spans="1:23">
      <c r="A168" s="25"/>
      <c r="B168" s="25"/>
      <c r="C168" s="25"/>
      <c r="D168" s="26"/>
      <c r="E168" s="25"/>
      <c r="F168" s="27"/>
      <c r="G168" s="27"/>
      <c r="H168" s="28"/>
      <c r="I168" s="25"/>
      <c r="J168" s="28"/>
      <c r="K168" s="25"/>
      <c r="L168" s="28"/>
      <c r="M168" s="25"/>
      <c r="N168" s="28"/>
      <c r="O168" s="25"/>
      <c r="P168" s="33"/>
      <c r="Q168" s="33"/>
      <c r="R168" s="25"/>
      <c r="S168" s="25"/>
      <c r="T168" s="25"/>
      <c r="U168" s="25"/>
      <c r="V168" s="25"/>
      <c r="W168" s="25"/>
    </row>
    <row r="169" hidden="1" spans="1:23">
      <c r="A169" s="29"/>
      <c r="B169" s="29"/>
      <c r="C169" s="29"/>
      <c r="D169" s="30"/>
      <c r="E169" s="29"/>
      <c r="F169" s="31"/>
      <c r="G169" s="31"/>
      <c r="H169" s="32"/>
      <c r="I169" s="29"/>
      <c r="J169" s="32"/>
      <c r="K169" s="29"/>
      <c r="L169" s="32"/>
      <c r="M169" s="29"/>
      <c r="N169" s="32"/>
      <c r="O169" s="29"/>
      <c r="P169" s="34"/>
      <c r="Q169" s="34"/>
      <c r="R169" s="29"/>
      <c r="S169" s="29"/>
      <c r="T169" s="29"/>
      <c r="U169" s="29"/>
      <c r="V169" s="29"/>
      <c r="W169" s="29"/>
    </row>
    <row r="170" hidden="1" spans="1:23">
      <c r="A170" s="25"/>
      <c r="B170" s="25"/>
      <c r="C170" s="25"/>
      <c r="D170" s="26"/>
      <c r="E170" s="25"/>
      <c r="F170" s="27"/>
      <c r="G170" s="27"/>
      <c r="H170" s="28"/>
      <c r="I170" s="25"/>
      <c r="J170" s="28"/>
      <c r="K170" s="25"/>
      <c r="L170" s="28"/>
      <c r="M170" s="25"/>
      <c r="N170" s="28"/>
      <c r="O170" s="25"/>
      <c r="P170" s="33"/>
      <c r="Q170" s="33"/>
      <c r="R170" s="25"/>
      <c r="S170" s="25"/>
      <c r="T170" s="25"/>
      <c r="U170" s="25"/>
      <c r="V170" s="25"/>
      <c r="W170" s="25"/>
    </row>
    <row r="171" hidden="1" spans="1:23">
      <c r="A171" s="29"/>
      <c r="B171" s="29"/>
      <c r="C171" s="29"/>
      <c r="D171" s="30"/>
      <c r="E171" s="29"/>
      <c r="F171" s="31"/>
      <c r="G171" s="31"/>
      <c r="H171" s="32"/>
      <c r="I171" s="29"/>
      <c r="J171" s="32"/>
      <c r="K171" s="29"/>
      <c r="L171" s="32"/>
      <c r="M171" s="29"/>
      <c r="N171" s="32"/>
      <c r="O171" s="29"/>
      <c r="P171" s="34"/>
      <c r="Q171" s="34"/>
      <c r="R171" s="29"/>
      <c r="S171" s="29"/>
      <c r="T171" s="29"/>
      <c r="U171" s="29"/>
      <c r="V171" s="29"/>
      <c r="W171" s="29"/>
    </row>
    <row r="172" hidden="1" spans="1:23">
      <c r="A172" s="25"/>
      <c r="B172" s="25"/>
      <c r="C172" s="25"/>
      <c r="D172" s="26"/>
      <c r="E172" s="25"/>
      <c r="F172" s="27"/>
      <c r="G172" s="27"/>
      <c r="H172" s="28"/>
      <c r="I172" s="25"/>
      <c r="J172" s="28"/>
      <c r="K172" s="25"/>
      <c r="L172" s="28"/>
      <c r="M172" s="25"/>
      <c r="N172" s="28"/>
      <c r="O172" s="25"/>
      <c r="P172" s="33"/>
      <c r="Q172" s="33"/>
      <c r="R172" s="25"/>
      <c r="S172" s="25"/>
      <c r="T172" s="25"/>
      <c r="U172" s="25"/>
      <c r="V172" s="25"/>
      <c r="W172" s="25"/>
    </row>
    <row r="173" hidden="1" spans="1:23">
      <c r="A173" s="29"/>
      <c r="B173" s="29"/>
      <c r="C173" s="29"/>
      <c r="D173" s="30"/>
      <c r="E173" s="29"/>
      <c r="F173" s="31"/>
      <c r="G173" s="31"/>
      <c r="H173" s="32"/>
      <c r="I173" s="29"/>
      <c r="J173" s="32"/>
      <c r="K173" s="29"/>
      <c r="L173" s="32"/>
      <c r="M173" s="29"/>
      <c r="N173" s="32"/>
      <c r="O173" s="29"/>
      <c r="P173" s="34"/>
      <c r="Q173" s="34"/>
      <c r="R173" s="29"/>
      <c r="S173" s="29"/>
      <c r="T173" s="29"/>
      <c r="U173" s="29"/>
      <c r="V173" s="29"/>
      <c r="W173" s="29"/>
    </row>
    <row r="174" hidden="1" spans="1:23">
      <c r="A174" s="25"/>
      <c r="B174" s="25"/>
      <c r="C174" s="25"/>
      <c r="D174" s="26"/>
      <c r="E174" s="25"/>
      <c r="F174" s="27"/>
      <c r="G174" s="27"/>
      <c r="H174" s="28"/>
      <c r="I174" s="25"/>
      <c r="J174" s="28"/>
      <c r="K174" s="25"/>
      <c r="L174" s="28"/>
      <c r="M174" s="25"/>
      <c r="N174" s="28"/>
      <c r="O174" s="25"/>
      <c r="P174" s="33"/>
      <c r="Q174" s="33"/>
      <c r="R174" s="25"/>
      <c r="S174" s="25"/>
      <c r="T174" s="25"/>
      <c r="U174" s="25"/>
      <c r="V174" s="25"/>
      <c r="W174" s="25"/>
    </row>
    <row r="175" hidden="1" spans="1:23">
      <c r="A175" s="29"/>
      <c r="B175" s="29"/>
      <c r="C175" s="29"/>
      <c r="D175" s="30"/>
      <c r="E175" s="29"/>
      <c r="F175" s="31"/>
      <c r="G175" s="31"/>
      <c r="H175" s="32"/>
      <c r="I175" s="29"/>
      <c r="J175" s="32"/>
      <c r="K175" s="29"/>
      <c r="L175" s="32"/>
      <c r="M175" s="29"/>
      <c r="N175" s="32"/>
      <c r="O175" s="29"/>
      <c r="P175" s="34"/>
      <c r="Q175" s="34"/>
      <c r="R175" s="29"/>
      <c r="S175" s="29"/>
      <c r="T175" s="29"/>
      <c r="U175" s="29"/>
      <c r="V175" s="29"/>
      <c r="W175" s="29"/>
    </row>
    <row r="176" hidden="1" spans="1:23">
      <c r="A176" s="25"/>
      <c r="B176" s="25"/>
      <c r="C176" s="25"/>
      <c r="D176" s="26"/>
      <c r="E176" s="25"/>
      <c r="F176" s="27"/>
      <c r="G176" s="27"/>
      <c r="H176" s="28"/>
      <c r="I176" s="25"/>
      <c r="J176" s="28"/>
      <c r="K176" s="25"/>
      <c r="L176" s="28"/>
      <c r="M176" s="25"/>
      <c r="N176" s="28"/>
      <c r="O176" s="25"/>
      <c r="P176" s="33"/>
      <c r="Q176" s="33"/>
      <c r="R176" s="25"/>
      <c r="S176" s="25"/>
      <c r="T176" s="25"/>
      <c r="U176" s="25"/>
      <c r="V176" s="25"/>
      <c r="W176" s="25"/>
    </row>
    <row r="177" hidden="1" spans="1:23">
      <c r="A177" s="29"/>
      <c r="B177" s="29"/>
      <c r="C177" s="29"/>
      <c r="D177" s="30"/>
      <c r="E177" s="29"/>
      <c r="F177" s="31"/>
      <c r="G177" s="31"/>
      <c r="H177" s="32"/>
      <c r="I177" s="29"/>
      <c r="J177" s="32"/>
      <c r="K177" s="29"/>
      <c r="L177" s="32"/>
      <c r="M177" s="29"/>
      <c r="N177" s="32"/>
      <c r="O177" s="29"/>
      <c r="P177" s="34"/>
      <c r="Q177" s="34"/>
      <c r="R177" s="29"/>
      <c r="S177" s="29"/>
      <c r="T177" s="29"/>
      <c r="U177" s="29"/>
      <c r="V177" s="29"/>
      <c r="W177" s="29"/>
    </row>
    <row r="178" hidden="1" spans="1:23">
      <c r="A178" s="25"/>
      <c r="B178" s="25"/>
      <c r="C178" s="25"/>
      <c r="D178" s="26"/>
      <c r="E178" s="25"/>
      <c r="F178" s="27"/>
      <c r="G178" s="27"/>
      <c r="H178" s="28"/>
      <c r="I178" s="25"/>
      <c r="J178" s="28"/>
      <c r="K178" s="25"/>
      <c r="L178" s="28"/>
      <c r="M178" s="25"/>
      <c r="N178" s="28"/>
      <c r="O178" s="25"/>
      <c r="P178" s="33"/>
      <c r="Q178" s="33"/>
      <c r="R178" s="25"/>
      <c r="S178" s="25"/>
      <c r="T178" s="25"/>
      <c r="U178" s="25"/>
      <c r="V178" s="25"/>
      <c r="W178" s="25"/>
    </row>
    <row r="179" hidden="1" spans="1:23">
      <c r="A179" s="29"/>
      <c r="B179" s="29"/>
      <c r="C179" s="29"/>
      <c r="D179" s="30"/>
      <c r="E179" s="29"/>
      <c r="F179" s="31"/>
      <c r="G179" s="31"/>
      <c r="H179" s="32"/>
      <c r="I179" s="29"/>
      <c r="J179" s="32"/>
      <c r="K179" s="29"/>
      <c r="L179" s="32"/>
      <c r="M179" s="29"/>
      <c r="N179" s="32"/>
      <c r="O179" s="29"/>
      <c r="P179" s="34"/>
      <c r="Q179" s="34"/>
      <c r="R179" s="29"/>
      <c r="S179" s="29"/>
      <c r="T179" s="29"/>
      <c r="U179" s="29"/>
      <c r="V179" s="29"/>
      <c r="W179" s="29"/>
    </row>
    <row r="180" hidden="1" spans="1:23">
      <c r="A180" s="25"/>
      <c r="B180" s="25"/>
      <c r="C180" s="25"/>
      <c r="D180" s="26"/>
      <c r="E180" s="25"/>
      <c r="F180" s="27"/>
      <c r="G180" s="27"/>
      <c r="H180" s="28"/>
      <c r="I180" s="25"/>
      <c r="J180" s="28"/>
      <c r="K180" s="25"/>
      <c r="L180" s="28"/>
      <c r="M180" s="25"/>
      <c r="N180" s="28"/>
      <c r="O180" s="25"/>
      <c r="P180" s="33"/>
      <c r="Q180" s="33"/>
      <c r="R180" s="25"/>
      <c r="S180" s="25"/>
      <c r="T180" s="25"/>
      <c r="U180" s="25"/>
      <c r="V180" s="25"/>
      <c r="W180" s="25"/>
    </row>
  </sheetData>
  <autoFilter xmlns:etc="http://www.wps.cn/officeDocument/2017/etCustomData" ref="A1:W180" etc:filterBottomFollowUsedRange="0">
    <filterColumn colId="18">
      <customFilters>
        <customFilter operator="equal" val="汇阅（上海）新材料科技有限公"/>
      </customFilters>
    </filterColumn>
    <extLst/>
  </autoFilter>
  <pageMargins left="0.75" right="0.75" top="1" bottom="1" header="0.5" footer="0.5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/>
  <dimension ref="A1:Y180"/>
  <sheetViews>
    <sheetView topLeftCell="H1" workbookViewId="0">
      <selection activeCell="O16" sqref="O16"/>
    </sheetView>
  </sheetViews>
  <sheetFormatPr defaultColWidth="9" defaultRowHeight="14.25"/>
  <cols>
    <col min="1" max="1" width="12.625" style="1" customWidth="1"/>
    <col min="2" max="2" width="10.875" style="1" customWidth="1"/>
    <col min="3" max="3" width="15.5" style="1" customWidth="1"/>
    <col min="4" max="4" width="6.25" style="1" customWidth="1"/>
    <col min="5" max="5" width="9.375" style="1" customWidth="1"/>
    <col min="6" max="7" width="10.875" style="1" customWidth="1"/>
    <col min="8" max="8" width="7.75" style="1" customWidth="1"/>
    <col min="9" max="10" width="10.875" style="1" customWidth="1"/>
    <col min="11" max="11" width="12.375" style="1" customWidth="1"/>
    <col min="12" max="12" width="10.875" style="1" customWidth="1"/>
    <col min="13" max="13" width="14" style="1" customWidth="1"/>
    <col min="14" max="14" width="7.75" style="1" customWidth="1"/>
    <col min="15" max="15" width="16.875" style="1" customWidth="1"/>
    <col min="16" max="17" width="10.875" style="1" customWidth="1"/>
    <col min="18" max="18" width="7.75" style="1" customWidth="1"/>
    <col min="19" max="19" width="23.125" style="1" customWidth="1"/>
    <col min="20" max="21" width="10.875" style="1" customWidth="1"/>
    <col min="22" max="22" width="7.75" style="1" customWidth="1"/>
    <col min="23" max="23" width="9.5" style="1" customWidth="1"/>
    <col min="24" max="24" width="31.75" style="3" customWidth="1"/>
    <col min="25" max="25" width="13.625" style="3" customWidth="1"/>
    <col min="26" max="16384" width="9" style="3"/>
  </cols>
  <sheetData>
    <row r="1" spans="1:24">
      <c r="A1" s="4" t="s">
        <v>640</v>
      </c>
      <c r="B1" s="4" t="s">
        <v>0</v>
      </c>
      <c r="C1" s="4" t="s">
        <v>980</v>
      </c>
      <c r="D1" s="5" t="s">
        <v>12</v>
      </c>
      <c r="E1" s="4" t="s">
        <v>641</v>
      </c>
      <c r="F1" s="5" t="s">
        <v>642</v>
      </c>
      <c r="G1" s="5" t="s">
        <v>2</v>
      </c>
      <c r="H1" s="4" t="s">
        <v>429</v>
      </c>
      <c r="I1" s="4" t="s">
        <v>643</v>
      </c>
      <c r="J1" s="4" t="s">
        <v>644</v>
      </c>
      <c r="K1" s="4" t="s">
        <v>645</v>
      </c>
      <c r="L1" s="4" t="s">
        <v>646</v>
      </c>
      <c r="M1" s="4" t="s">
        <v>647</v>
      </c>
      <c r="N1" s="4" t="s">
        <v>648</v>
      </c>
      <c r="O1" s="4" t="s">
        <v>649</v>
      </c>
      <c r="P1" s="5" t="s">
        <v>650</v>
      </c>
      <c r="Q1" s="5" t="s">
        <v>651</v>
      </c>
      <c r="R1" s="4" t="s">
        <v>652</v>
      </c>
      <c r="S1" s="4" t="s">
        <v>653</v>
      </c>
      <c r="T1" s="4" t="s">
        <v>654</v>
      </c>
      <c r="U1" s="4" t="s">
        <v>655</v>
      </c>
      <c r="V1" s="4" t="s">
        <v>656</v>
      </c>
      <c r="W1" s="4" t="s">
        <v>657</v>
      </c>
      <c r="X1" s="3" t="str" cm="1">
        <f t="array" ref="X1:X39">_xlfn.UNIQUE(S:S)</f>
        <v>名称</v>
      </c>
    </row>
    <row r="2" spans="1:25">
      <c r="A2" s="8" t="s">
        <v>2650</v>
      </c>
      <c r="B2" s="8" t="s">
        <v>32</v>
      </c>
      <c r="C2" s="8" t="s">
        <v>2651</v>
      </c>
      <c r="D2" s="9">
        <v>1</v>
      </c>
      <c r="E2" s="8" t="s">
        <v>2652</v>
      </c>
      <c r="F2" s="10">
        <v>45848</v>
      </c>
      <c r="G2" s="10">
        <v>45848</v>
      </c>
      <c r="H2" s="11" t="s">
        <v>444</v>
      </c>
      <c r="I2" s="8" t="s">
        <v>445</v>
      </c>
      <c r="J2" s="11" t="s">
        <v>41</v>
      </c>
      <c r="K2" s="8" t="s">
        <v>660</v>
      </c>
      <c r="L2" s="11" t="s">
        <v>41</v>
      </c>
      <c r="M2" s="8" t="s">
        <v>492</v>
      </c>
      <c r="N2" s="11" t="s">
        <v>41</v>
      </c>
      <c r="O2" s="8" t="s">
        <v>2653</v>
      </c>
      <c r="P2" s="19">
        <v>29659.42</v>
      </c>
      <c r="Q2" s="19">
        <v>0</v>
      </c>
      <c r="R2" s="8" t="s">
        <v>662</v>
      </c>
      <c r="S2" s="8" t="s">
        <v>274</v>
      </c>
      <c r="T2" s="8" t="s">
        <v>36</v>
      </c>
      <c r="U2" s="8" t="s">
        <v>663</v>
      </c>
      <c r="V2" s="8" t="s">
        <v>2654</v>
      </c>
      <c r="W2" s="8" t="s">
        <v>665</v>
      </c>
      <c r="X2" s="3" t="str">
        <v>湖南裕腾兴汽车配件有限公司</v>
      </c>
      <c r="Y2" s="3" t="str">
        <f>_xlfn.XLOOKUP(X2,'7月份计划'!A:A,'7月份计划'!A:A)</f>
        <v>湖南裕腾兴汽车配件有限公司</v>
      </c>
    </row>
    <row r="3" spans="1:25">
      <c r="A3" s="12" t="s">
        <v>2655</v>
      </c>
      <c r="B3" s="12" t="s">
        <v>32</v>
      </c>
      <c r="C3" s="12" t="s">
        <v>2656</v>
      </c>
      <c r="D3" s="13">
        <v>1</v>
      </c>
      <c r="E3" s="12" t="s">
        <v>2657</v>
      </c>
      <c r="F3" s="14">
        <v>45848</v>
      </c>
      <c r="G3" s="14">
        <v>45848</v>
      </c>
      <c r="H3" s="15" t="s">
        <v>444</v>
      </c>
      <c r="I3" s="12" t="s">
        <v>445</v>
      </c>
      <c r="J3" s="15" t="s">
        <v>41</v>
      </c>
      <c r="K3" s="12" t="s">
        <v>660</v>
      </c>
      <c r="L3" s="15" t="s">
        <v>41</v>
      </c>
      <c r="M3" s="12" t="s">
        <v>492</v>
      </c>
      <c r="N3" s="15" t="s">
        <v>41</v>
      </c>
      <c r="O3" s="12" t="s">
        <v>2658</v>
      </c>
      <c r="P3" s="21">
        <v>0</v>
      </c>
      <c r="Q3" s="21">
        <v>29659.42</v>
      </c>
      <c r="R3" s="12" t="s">
        <v>816</v>
      </c>
      <c r="S3" s="12" t="s">
        <v>301</v>
      </c>
      <c r="T3" s="12" t="s">
        <v>36</v>
      </c>
      <c r="U3" s="12" t="s">
        <v>663</v>
      </c>
      <c r="V3" s="12" t="s">
        <v>2659</v>
      </c>
      <c r="W3" s="12" t="s">
        <v>665</v>
      </c>
      <c r="X3" s="3" t="str">
        <v>醴陵广仁环保科技有限公司</v>
      </c>
      <c r="Y3" s="3" t="str">
        <f>_xlfn.XLOOKUP(X3,'7月份计划'!A:A,'7月份计划'!A:A)</f>
        <v>醴陵广仁环保科技有限公司</v>
      </c>
    </row>
    <row r="4" spans="1:25">
      <c r="A4" s="8" t="s">
        <v>2660</v>
      </c>
      <c r="B4" s="8" t="s">
        <v>32</v>
      </c>
      <c r="C4" s="8" t="s">
        <v>2661</v>
      </c>
      <c r="D4" s="9">
        <v>1</v>
      </c>
      <c r="E4" s="8" t="s">
        <v>2662</v>
      </c>
      <c r="F4" s="10">
        <v>45861</v>
      </c>
      <c r="G4" s="10">
        <v>45861</v>
      </c>
      <c r="H4" s="11" t="s">
        <v>444</v>
      </c>
      <c r="I4" s="8" t="s">
        <v>445</v>
      </c>
      <c r="J4" s="11" t="s">
        <v>41</v>
      </c>
      <c r="K4" s="8" t="s">
        <v>660</v>
      </c>
      <c r="L4" s="11" t="s">
        <v>41</v>
      </c>
      <c r="M4" s="8" t="s">
        <v>492</v>
      </c>
      <c r="N4" s="11" t="s">
        <v>41</v>
      </c>
      <c r="O4" s="8" t="s">
        <v>1278</v>
      </c>
      <c r="P4" s="19">
        <v>0</v>
      </c>
      <c r="Q4" s="19">
        <v>439386.94</v>
      </c>
      <c r="R4" s="8" t="s">
        <v>961</v>
      </c>
      <c r="S4" s="8" t="s">
        <v>254</v>
      </c>
      <c r="T4" s="8" t="s">
        <v>36</v>
      </c>
      <c r="U4" s="8" t="s">
        <v>663</v>
      </c>
      <c r="V4" s="8" t="s">
        <v>2663</v>
      </c>
      <c r="W4" s="8" t="s">
        <v>665</v>
      </c>
      <c r="X4" s="3" t="str">
        <v>湖南凌天汽车零部件有限公司</v>
      </c>
      <c r="Y4" s="3" t="str">
        <f>_xlfn.XLOOKUP(X4,'7月份计划'!A:A,'7月份计划'!A:A)</f>
        <v>湖南凌天汽车零部件有限公司</v>
      </c>
    </row>
    <row r="5" spans="1:25">
      <c r="A5" s="12" t="s">
        <v>2660</v>
      </c>
      <c r="B5" s="12" t="s">
        <v>32</v>
      </c>
      <c r="C5" s="12" t="s">
        <v>2661</v>
      </c>
      <c r="D5" s="13">
        <v>3</v>
      </c>
      <c r="E5" s="12" t="s">
        <v>2662</v>
      </c>
      <c r="F5" s="14">
        <v>45861</v>
      </c>
      <c r="G5" s="14">
        <v>45861</v>
      </c>
      <c r="H5" s="15" t="s">
        <v>444</v>
      </c>
      <c r="I5" s="12" t="s">
        <v>445</v>
      </c>
      <c r="J5" s="15" t="s">
        <v>41</v>
      </c>
      <c r="K5" s="12" t="s">
        <v>660</v>
      </c>
      <c r="L5" s="15" t="s">
        <v>41</v>
      </c>
      <c r="M5" s="12" t="s">
        <v>492</v>
      </c>
      <c r="N5" s="15" t="s">
        <v>41</v>
      </c>
      <c r="O5" s="12" t="s">
        <v>1278</v>
      </c>
      <c r="P5" s="21">
        <v>9.66</v>
      </c>
      <c r="Q5" s="21">
        <v>0</v>
      </c>
      <c r="R5" s="12" t="s">
        <v>961</v>
      </c>
      <c r="S5" s="12" t="s">
        <v>254</v>
      </c>
      <c r="T5" s="12" t="s">
        <v>36</v>
      </c>
      <c r="U5" s="12" t="s">
        <v>663</v>
      </c>
      <c r="V5" s="12" t="s">
        <v>2663</v>
      </c>
      <c r="W5" s="12" t="s">
        <v>665</v>
      </c>
      <c r="X5" s="3" t="str">
        <v>湖南中道机械设备有限公司</v>
      </c>
      <c r="Y5" s="3" t="str">
        <f>_xlfn.XLOOKUP(X5,'7月份计划'!A:A,'7月份计划'!A:A)</f>
        <v>湖南中道机械设备有限公司</v>
      </c>
    </row>
    <row r="6" spans="1:25">
      <c r="A6" s="8" t="s">
        <v>2664</v>
      </c>
      <c r="B6" s="8" t="s">
        <v>32</v>
      </c>
      <c r="C6" s="8" t="s">
        <v>2665</v>
      </c>
      <c r="D6" s="9">
        <v>1</v>
      </c>
      <c r="E6" s="8" t="s">
        <v>2666</v>
      </c>
      <c r="F6" s="10">
        <v>45861</v>
      </c>
      <c r="G6" s="10">
        <v>45861</v>
      </c>
      <c r="H6" s="11" t="s">
        <v>444</v>
      </c>
      <c r="I6" s="8" t="s">
        <v>445</v>
      </c>
      <c r="J6" s="11" t="s">
        <v>41</v>
      </c>
      <c r="K6" s="8" t="s">
        <v>660</v>
      </c>
      <c r="L6" s="11" t="s">
        <v>41</v>
      </c>
      <c r="M6" s="8" t="s">
        <v>492</v>
      </c>
      <c r="N6" s="11" t="s">
        <v>41</v>
      </c>
      <c r="O6" s="8" t="s">
        <v>2667</v>
      </c>
      <c r="P6" s="19">
        <v>0.02</v>
      </c>
      <c r="Q6" s="19">
        <v>0</v>
      </c>
      <c r="R6" s="8" t="s">
        <v>961</v>
      </c>
      <c r="S6" s="8" t="s">
        <v>254</v>
      </c>
      <c r="T6" s="8" t="s">
        <v>36</v>
      </c>
      <c r="U6" s="8" t="s">
        <v>663</v>
      </c>
      <c r="V6" s="8" t="s">
        <v>2668</v>
      </c>
      <c r="W6" s="8" t="s">
        <v>665</v>
      </c>
      <c r="X6" s="3" t="str">
        <v>俱泰(上海)汽车零部件有限公司</v>
      </c>
      <c r="Y6" s="3" t="str">
        <f>_xlfn.XLOOKUP(X6,'7月份计划'!A:A,'7月份计划'!A:A)</f>
        <v>俱泰(上海)汽车零部件有限公司</v>
      </c>
    </row>
    <row r="7" spans="1:25">
      <c r="A7" s="12" t="s">
        <v>2669</v>
      </c>
      <c r="B7" s="12" t="s">
        <v>32</v>
      </c>
      <c r="C7" s="12" t="s">
        <v>2670</v>
      </c>
      <c r="D7" s="13">
        <v>1</v>
      </c>
      <c r="E7" s="12" t="s">
        <v>2671</v>
      </c>
      <c r="F7" s="14">
        <v>45861</v>
      </c>
      <c r="G7" s="14">
        <v>45861</v>
      </c>
      <c r="H7" s="15" t="s">
        <v>444</v>
      </c>
      <c r="I7" s="12" t="s">
        <v>445</v>
      </c>
      <c r="J7" s="15" t="s">
        <v>41</v>
      </c>
      <c r="K7" s="12" t="s">
        <v>660</v>
      </c>
      <c r="L7" s="15" t="s">
        <v>41</v>
      </c>
      <c r="M7" s="12" t="s">
        <v>492</v>
      </c>
      <c r="N7" s="15" t="s">
        <v>41</v>
      </c>
      <c r="O7" s="12" t="s">
        <v>2272</v>
      </c>
      <c r="P7" s="21">
        <v>0</v>
      </c>
      <c r="Q7" s="21">
        <v>18533.2</v>
      </c>
      <c r="R7" s="12" t="s">
        <v>853</v>
      </c>
      <c r="S7" s="12" t="s">
        <v>265</v>
      </c>
      <c r="T7" s="12" t="s">
        <v>36</v>
      </c>
      <c r="U7" s="12" t="s">
        <v>663</v>
      </c>
      <c r="V7" s="12" t="s">
        <v>2672</v>
      </c>
      <c r="W7" s="12" t="s">
        <v>665</v>
      </c>
      <c r="X7" s="3" t="str">
        <v>长春超力内饰件有限公司</v>
      </c>
      <c r="Y7" s="3" t="str">
        <f>_xlfn.XLOOKUP(X7,'7月份计划'!A:A,'7月份计划'!A:A)</f>
        <v>长春超力内饰件有限公司</v>
      </c>
    </row>
    <row r="8" spans="1:25">
      <c r="A8" s="8" t="s">
        <v>2673</v>
      </c>
      <c r="B8" s="8" t="s">
        <v>32</v>
      </c>
      <c r="C8" s="8" t="s">
        <v>2674</v>
      </c>
      <c r="D8" s="9">
        <v>1</v>
      </c>
      <c r="E8" s="8" t="s">
        <v>2675</v>
      </c>
      <c r="F8" s="10">
        <v>45862</v>
      </c>
      <c r="G8" s="10">
        <v>45862</v>
      </c>
      <c r="H8" s="11" t="s">
        <v>444</v>
      </c>
      <c r="I8" s="8" t="s">
        <v>445</v>
      </c>
      <c r="J8" s="11" t="s">
        <v>41</v>
      </c>
      <c r="K8" s="8" t="s">
        <v>660</v>
      </c>
      <c r="L8" s="11" t="s">
        <v>41</v>
      </c>
      <c r="M8" s="8" t="s">
        <v>492</v>
      </c>
      <c r="N8" s="11" t="s">
        <v>41</v>
      </c>
      <c r="O8" s="8" t="s">
        <v>2134</v>
      </c>
      <c r="P8" s="19">
        <v>0</v>
      </c>
      <c r="Q8" s="19">
        <v>12420.96</v>
      </c>
      <c r="R8" s="8" t="s">
        <v>1057</v>
      </c>
      <c r="S8" s="8" t="s">
        <v>286</v>
      </c>
      <c r="T8" s="8" t="s">
        <v>36</v>
      </c>
      <c r="U8" s="8" t="s">
        <v>663</v>
      </c>
      <c r="V8" s="8" t="s">
        <v>2676</v>
      </c>
      <c r="W8" s="8" t="s">
        <v>665</v>
      </c>
      <c r="X8" s="3" t="str">
        <v>黄骅市广亿汽车部件有限公司</v>
      </c>
      <c r="Y8" s="3" t="str">
        <f>_xlfn.XLOOKUP(X8,'7月份计划'!A:A,'7月份计划'!A:A)</f>
        <v>黄骅市广亿汽车部件有限公司</v>
      </c>
    </row>
    <row r="9" spans="1:25">
      <c r="A9" s="12" t="s">
        <v>2677</v>
      </c>
      <c r="B9" s="12" t="s">
        <v>32</v>
      </c>
      <c r="C9" s="12" t="s">
        <v>2678</v>
      </c>
      <c r="D9" s="13">
        <v>1</v>
      </c>
      <c r="E9" s="12" t="s">
        <v>2679</v>
      </c>
      <c r="F9" s="14">
        <v>45862</v>
      </c>
      <c r="G9" s="14">
        <v>45862</v>
      </c>
      <c r="H9" s="15" t="s">
        <v>444</v>
      </c>
      <c r="I9" s="12" t="s">
        <v>445</v>
      </c>
      <c r="J9" s="15" t="s">
        <v>41</v>
      </c>
      <c r="K9" s="12" t="s">
        <v>660</v>
      </c>
      <c r="L9" s="15" t="s">
        <v>41</v>
      </c>
      <c r="M9" s="12" t="s">
        <v>492</v>
      </c>
      <c r="N9" s="15" t="s">
        <v>41</v>
      </c>
      <c r="O9" s="12" t="s">
        <v>2134</v>
      </c>
      <c r="P9" s="21">
        <v>0</v>
      </c>
      <c r="Q9" s="21">
        <v>94202.45</v>
      </c>
      <c r="R9" s="12" t="s">
        <v>1546</v>
      </c>
      <c r="S9" s="12" t="s">
        <v>273</v>
      </c>
      <c r="T9" s="12" t="s">
        <v>36</v>
      </c>
      <c r="U9" s="12" t="s">
        <v>663</v>
      </c>
      <c r="V9" s="12" t="s">
        <v>2680</v>
      </c>
      <c r="W9" s="12" t="s">
        <v>665</v>
      </c>
      <c r="X9" s="3" t="str">
        <v>德阳光华荣昌汽车科技有限公司</v>
      </c>
      <c r="Y9" s="3" t="e">
        <f>_xlfn.XLOOKUP(X9,'7月份计划'!A:A,'7月份计划'!A:A)</f>
        <v>#N/A</v>
      </c>
    </row>
    <row r="10" spans="1:25">
      <c r="A10" s="8" t="s">
        <v>2681</v>
      </c>
      <c r="B10" s="8" t="s">
        <v>32</v>
      </c>
      <c r="C10" s="8" t="s">
        <v>2682</v>
      </c>
      <c r="D10" s="9">
        <v>1</v>
      </c>
      <c r="E10" s="8" t="s">
        <v>2683</v>
      </c>
      <c r="F10" s="10">
        <v>45862</v>
      </c>
      <c r="G10" s="10">
        <v>45862</v>
      </c>
      <c r="H10" s="11" t="s">
        <v>444</v>
      </c>
      <c r="I10" s="8" t="s">
        <v>445</v>
      </c>
      <c r="J10" s="11" t="s">
        <v>41</v>
      </c>
      <c r="K10" s="8" t="s">
        <v>660</v>
      </c>
      <c r="L10" s="11" t="s">
        <v>41</v>
      </c>
      <c r="M10" s="8" t="s">
        <v>492</v>
      </c>
      <c r="N10" s="11" t="s">
        <v>41</v>
      </c>
      <c r="O10" s="8" t="s">
        <v>1994</v>
      </c>
      <c r="P10" s="19">
        <v>0</v>
      </c>
      <c r="Q10" s="19">
        <v>24398.45</v>
      </c>
      <c r="R10" s="8" t="s">
        <v>909</v>
      </c>
      <c r="S10" s="8" t="s">
        <v>242</v>
      </c>
      <c r="T10" s="8" t="s">
        <v>36</v>
      </c>
      <c r="U10" s="8" t="s">
        <v>663</v>
      </c>
      <c r="V10" s="8" t="s">
        <v>2684</v>
      </c>
      <c r="W10" s="8" t="s">
        <v>665</v>
      </c>
      <c r="X10" s="3" t="str">
        <v>湘潭湘和汽车零部件制造有限公</v>
      </c>
      <c r="Y10" s="3" t="str">
        <f>_xlfn.XLOOKUP(X10,'7月份计划'!A:A,'7月份计划'!A:A)</f>
        <v>湘潭湘和汽车零部件制造有限公</v>
      </c>
    </row>
    <row r="11" spans="1:25">
      <c r="A11" s="12" t="s">
        <v>2685</v>
      </c>
      <c r="B11" s="12" t="s">
        <v>32</v>
      </c>
      <c r="C11" s="12" t="s">
        <v>2686</v>
      </c>
      <c r="D11" s="13">
        <v>1</v>
      </c>
      <c r="E11" s="12" t="s">
        <v>2687</v>
      </c>
      <c r="F11" s="14">
        <v>45862</v>
      </c>
      <c r="G11" s="14">
        <v>45862</v>
      </c>
      <c r="H11" s="15" t="s">
        <v>444</v>
      </c>
      <c r="I11" s="12" t="s">
        <v>445</v>
      </c>
      <c r="J11" s="15" t="s">
        <v>41</v>
      </c>
      <c r="K11" s="12" t="s">
        <v>660</v>
      </c>
      <c r="L11" s="15" t="s">
        <v>41</v>
      </c>
      <c r="M11" s="12" t="s">
        <v>492</v>
      </c>
      <c r="N11" s="15" t="s">
        <v>41</v>
      </c>
      <c r="O11" s="12" t="s">
        <v>2688</v>
      </c>
      <c r="P11" s="21">
        <v>0</v>
      </c>
      <c r="Q11" s="21">
        <v>266166.64</v>
      </c>
      <c r="R11" s="12" t="s">
        <v>2326</v>
      </c>
      <c r="S11" s="12" t="s">
        <v>600</v>
      </c>
      <c r="T11" s="12" t="s">
        <v>36</v>
      </c>
      <c r="U11" s="12" t="s">
        <v>663</v>
      </c>
      <c r="V11" s="12" t="s">
        <v>2689</v>
      </c>
      <c r="W11" s="12" t="s">
        <v>665</v>
      </c>
      <c r="X11" s="3" t="str">
        <v>天津市鹰力目标新材料有限公司</v>
      </c>
      <c r="Y11" s="3" t="str">
        <f>_xlfn.XLOOKUP(X11,'7月份计划'!A:A,'7月份计划'!A:A)</f>
        <v>天津市鹰力目标新材料有限公司</v>
      </c>
    </row>
    <row r="12" spans="1:25">
      <c r="A12" s="8" t="s">
        <v>2685</v>
      </c>
      <c r="B12" s="8" t="s">
        <v>32</v>
      </c>
      <c r="C12" s="8" t="s">
        <v>2686</v>
      </c>
      <c r="D12" s="9">
        <v>3</v>
      </c>
      <c r="E12" s="8" t="s">
        <v>2687</v>
      </c>
      <c r="F12" s="10">
        <v>45862</v>
      </c>
      <c r="G12" s="10">
        <v>45862</v>
      </c>
      <c r="H12" s="11" t="s">
        <v>444</v>
      </c>
      <c r="I12" s="8" t="s">
        <v>445</v>
      </c>
      <c r="J12" s="11" t="s">
        <v>41</v>
      </c>
      <c r="K12" s="8" t="s">
        <v>660</v>
      </c>
      <c r="L12" s="11" t="s">
        <v>41</v>
      </c>
      <c r="M12" s="8" t="s">
        <v>492</v>
      </c>
      <c r="N12" s="11" t="s">
        <v>41</v>
      </c>
      <c r="O12" s="8" t="s">
        <v>2688</v>
      </c>
      <c r="P12" s="19">
        <v>2586</v>
      </c>
      <c r="Q12" s="19">
        <v>0</v>
      </c>
      <c r="R12" s="8" t="s">
        <v>2326</v>
      </c>
      <c r="S12" s="8" t="s">
        <v>600</v>
      </c>
      <c r="T12" s="8" t="s">
        <v>36</v>
      </c>
      <c r="U12" s="8" t="s">
        <v>663</v>
      </c>
      <c r="V12" s="8" t="s">
        <v>2689</v>
      </c>
      <c r="W12" s="8" t="s">
        <v>665</v>
      </c>
      <c r="X12" s="3" t="str">
        <v>江阴同威科技有限公司</v>
      </c>
      <c r="Y12" s="3" t="str">
        <f>_xlfn.XLOOKUP(X12,'7月份计划'!A:A,'7月份计划'!A:A)</f>
        <v>江阴同威科技有限公司</v>
      </c>
    </row>
    <row r="13" spans="1:25">
      <c r="A13" s="12" t="s">
        <v>2690</v>
      </c>
      <c r="B13" s="12" t="s">
        <v>32</v>
      </c>
      <c r="C13" s="12" t="s">
        <v>2691</v>
      </c>
      <c r="D13" s="13">
        <v>1</v>
      </c>
      <c r="E13" s="12" t="s">
        <v>2692</v>
      </c>
      <c r="F13" s="14">
        <v>45862</v>
      </c>
      <c r="G13" s="14">
        <v>45862</v>
      </c>
      <c r="H13" s="15" t="s">
        <v>444</v>
      </c>
      <c r="I13" s="12" t="s">
        <v>445</v>
      </c>
      <c r="J13" s="15" t="s">
        <v>41</v>
      </c>
      <c r="K13" s="12" t="s">
        <v>660</v>
      </c>
      <c r="L13" s="15" t="s">
        <v>41</v>
      </c>
      <c r="M13" s="12" t="s">
        <v>492</v>
      </c>
      <c r="N13" s="15" t="s">
        <v>41</v>
      </c>
      <c r="O13" s="12" t="s">
        <v>2134</v>
      </c>
      <c r="P13" s="21">
        <v>0</v>
      </c>
      <c r="Q13" s="21">
        <v>16416.43</v>
      </c>
      <c r="R13" s="12" t="s">
        <v>952</v>
      </c>
      <c r="S13" s="12" t="s">
        <v>264</v>
      </c>
      <c r="T13" s="12" t="s">
        <v>36</v>
      </c>
      <c r="U13" s="12" t="s">
        <v>663</v>
      </c>
      <c r="V13" s="12" t="s">
        <v>2693</v>
      </c>
      <c r="W13" s="12" t="s">
        <v>665</v>
      </c>
      <c r="X13" s="3" t="str">
        <v>武汉德锐隆科技有限公司</v>
      </c>
      <c r="Y13" s="3" t="str">
        <f>_xlfn.XLOOKUP(X13,'7月份计划'!A:A,'7月份计划'!A:A)</f>
        <v>武汉德锐隆科技有限公司</v>
      </c>
    </row>
    <row r="14" spans="1:25">
      <c r="A14" s="8" t="s">
        <v>2690</v>
      </c>
      <c r="B14" s="8" t="s">
        <v>32</v>
      </c>
      <c r="C14" s="8" t="s">
        <v>2691</v>
      </c>
      <c r="D14" s="9">
        <v>3</v>
      </c>
      <c r="E14" s="8" t="s">
        <v>2692</v>
      </c>
      <c r="F14" s="10">
        <v>45862</v>
      </c>
      <c r="G14" s="10">
        <v>45862</v>
      </c>
      <c r="H14" s="11" t="s">
        <v>444</v>
      </c>
      <c r="I14" s="8" t="s">
        <v>445</v>
      </c>
      <c r="J14" s="11" t="s">
        <v>41</v>
      </c>
      <c r="K14" s="8" t="s">
        <v>660</v>
      </c>
      <c r="L14" s="11" t="s">
        <v>41</v>
      </c>
      <c r="M14" s="8" t="s">
        <v>492</v>
      </c>
      <c r="N14" s="11" t="s">
        <v>41</v>
      </c>
      <c r="O14" s="8" t="s">
        <v>2134</v>
      </c>
      <c r="P14" s="19">
        <v>5190.9</v>
      </c>
      <c r="Q14" s="19">
        <v>0</v>
      </c>
      <c r="R14" s="8" t="s">
        <v>952</v>
      </c>
      <c r="S14" s="8" t="s">
        <v>264</v>
      </c>
      <c r="T14" s="8" t="s">
        <v>36</v>
      </c>
      <c r="U14" s="8" t="s">
        <v>663</v>
      </c>
      <c r="V14" s="8" t="s">
        <v>2693</v>
      </c>
      <c r="W14" s="8" t="s">
        <v>665</v>
      </c>
      <c r="X14" s="3" t="str">
        <v>湘乡简美工贸有限公司</v>
      </c>
      <c r="Y14" s="3" t="str">
        <f>_xlfn.XLOOKUP(X14,'7月份计划'!A:A,'7月份计划'!A:A)</f>
        <v>湘乡简美工贸有限公司</v>
      </c>
    </row>
    <row r="15" spans="1:25">
      <c r="A15" s="12" t="s">
        <v>2694</v>
      </c>
      <c r="B15" s="12" t="s">
        <v>32</v>
      </c>
      <c r="C15" s="12" t="s">
        <v>2695</v>
      </c>
      <c r="D15" s="13">
        <v>1</v>
      </c>
      <c r="E15" s="12" t="s">
        <v>2696</v>
      </c>
      <c r="F15" s="14">
        <v>45862</v>
      </c>
      <c r="G15" s="14">
        <v>45862</v>
      </c>
      <c r="H15" s="15" t="s">
        <v>444</v>
      </c>
      <c r="I15" s="12" t="s">
        <v>445</v>
      </c>
      <c r="J15" s="15" t="s">
        <v>41</v>
      </c>
      <c r="K15" s="12" t="s">
        <v>660</v>
      </c>
      <c r="L15" s="15" t="s">
        <v>41</v>
      </c>
      <c r="M15" s="12" t="s">
        <v>492</v>
      </c>
      <c r="N15" s="15" t="s">
        <v>41</v>
      </c>
      <c r="O15" s="12" t="s">
        <v>2688</v>
      </c>
      <c r="P15" s="21">
        <v>0</v>
      </c>
      <c r="Q15" s="21">
        <v>428070.15</v>
      </c>
      <c r="R15" s="12" t="s">
        <v>2326</v>
      </c>
      <c r="S15" s="12" t="s">
        <v>600</v>
      </c>
      <c r="T15" s="12" t="s">
        <v>36</v>
      </c>
      <c r="U15" s="12" t="s">
        <v>663</v>
      </c>
      <c r="V15" s="12" t="s">
        <v>2697</v>
      </c>
      <c r="W15" s="12" t="s">
        <v>665</v>
      </c>
      <c r="X15" s="3" t="str">
        <v>广州市三泰汽车内饰材料有限公</v>
      </c>
      <c r="Y15" s="3" t="str">
        <f>_xlfn.XLOOKUP(X15,'7月份计划'!A:A,'7月份计划'!A:A)</f>
        <v>广州市三泰汽车内饰材料有限公</v>
      </c>
    </row>
    <row r="16" spans="1:25">
      <c r="A16" s="8" t="s">
        <v>2694</v>
      </c>
      <c r="B16" s="8" t="s">
        <v>32</v>
      </c>
      <c r="C16" s="8" t="s">
        <v>2695</v>
      </c>
      <c r="D16" s="9">
        <v>3</v>
      </c>
      <c r="E16" s="8" t="s">
        <v>2696</v>
      </c>
      <c r="F16" s="10">
        <v>45862</v>
      </c>
      <c r="G16" s="10">
        <v>45862</v>
      </c>
      <c r="H16" s="11" t="s">
        <v>444</v>
      </c>
      <c r="I16" s="8" t="s">
        <v>445</v>
      </c>
      <c r="J16" s="11" t="s">
        <v>41</v>
      </c>
      <c r="K16" s="8" t="s">
        <v>660</v>
      </c>
      <c r="L16" s="11" t="s">
        <v>41</v>
      </c>
      <c r="M16" s="8" t="s">
        <v>492</v>
      </c>
      <c r="N16" s="11" t="s">
        <v>41</v>
      </c>
      <c r="O16" s="8" t="s">
        <v>2688</v>
      </c>
      <c r="P16" s="19">
        <v>85736.2</v>
      </c>
      <c r="Q16" s="19">
        <v>0</v>
      </c>
      <c r="R16" s="8" t="s">
        <v>2326</v>
      </c>
      <c r="S16" s="8" t="s">
        <v>600</v>
      </c>
      <c r="T16" s="8" t="s">
        <v>36</v>
      </c>
      <c r="U16" s="8" t="s">
        <v>663</v>
      </c>
      <c r="V16" s="8" t="s">
        <v>2697</v>
      </c>
      <c r="W16" s="8" t="s">
        <v>665</v>
      </c>
      <c r="X16" s="3" t="str">
        <v>汇阅（上海）新材料科技有限公</v>
      </c>
      <c r="Y16" s="3" t="str">
        <f>_xlfn.XLOOKUP(X16,'7月份计划'!A:A,'7月份计划'!A:A)</f>
        <v>汇阅（上海）新材料科技有限公</v>
      </c>
    </row>
    <row r="17" spans="1:25">
      <c r="A17" s="12" t="s">
        <v>2698</v>
      </c>
      <c r="B17" s="12" t="s">
        <v>32</v>
      </c>
      <c r="C17" s="12" t="s">
        <v>2699</v>
      </c>
      <c r="D17" s="13">
        <v>1</v>
      </c>
      <c r="E17" s="12" t="s">
        <v>2700</v>
      </c>
      <c r="F17" s="14">
        <v>45862</v>
      </c>
      <c r="G17" s="14">
        <v>45862</v>
      </c>
      <c r="H17" s="15" t="s">
        <v>444</v>
      </c>
      <c r="I17" s="12" t="s">
        <v>445</v>
      </c>
      <c r="J17" s="15" t="s">
        <v>41</v>
      </c>
      <c r="K17" s="12" t="s">
        <v>660</v>
      </c>
      <c r="L17" s="15" t="s">
        <v>41</v>
      </c>
      <c r="M17" s="12" t="s">
        <v>492</v>
      </c>
      <c r="N17" s="15" t="s">
        <v>41</v>
      </c>
      <c r="O17" s="12" t="s">
        <v>2325</v>
      </c>
      <c r="P17" s="21">
        <v>0</v>
      </c>
      <c r="Q17" s="21">
        <v>266578.34</v>
      </c>
      <c r="R17" s="12" t="s">
        <v>2326</v>
      </c>
      <c r="S17" s="12" t="s">
        <v>600</v>
      </c>
      <c r="T17" s="12" t="s">
        <v>36</v>
      </c>
      <c r="U17" s="12" t="s">
        <v>663</v>
      </c>
      <c r="V17" s="12" t="s">
        <v>2701</v>
      </c>
      <c r="W17" s="12" t="s">
        <v>665</v>
      </c>
      <c r="X17" s="3" t="str">
        <v>廊坊市烁鑫汽车配件有限公司</v>
      </c>
      <c r="Y17" s="3" t="str">
        <f>_xlfn.XLOOKUP(X17,'7月份计划'!A:A,'7月份计划'!A:A)</f>
        <v>廊坊市烁鑫汽车配件有限公司</v>
      </c>
    </row>
    <row r="18" spans="1:25">
      <c r="A18" s="8" t="s">
        <v>2698</v>
      </c>
      <c r="B18" s="8" t="s">
        <v>32</v>
      </c>
      <c r="C18" s="8" t="s">
        <v>2699</v>
      </c>
      <c r="D18" s="9">
        <v>3</v>
      </c>
      <c r="E18" s="8" t="s">
        <v>2700</v>
      </c>
      <c r="F18" s="10">
        <v>45862</v>
      </c>
      <c r="G18" s="10">
        <v>45862</v>
      </c>
      <c r="H18" s="11" t="s">
        <v>444</v>
      </c>
      <c r="I18" s="8" t="s">
        <v>445</v>
      </c>
      <c r="J18" s="11" t="s">
        <v>41</v>
      </c>
      <c r="K18" s="8" t="s">
        <v>660</v>
      </c>
      <c r="L18" s="11" t="s">
        <v>41</v>
      </c>
      <c r="M18" s="8" t="s">
        <v>492</v>
      </c>
      <c r="N18" s="11" t="s">
        <v>41</v>
      </c>
      <c r="O18" s="8" t="s">
        <v>2325</v>
      </c>
      <c r="P18" s="19">
        <v>2590</v>
      </c>
      <c r="Q18" s="19">
        <v>0</v>
      </c>
      <c r="R18" s="8" t="s">
        <v>2326</v>
      </c>
      <c r="S18" s="8" t="s">
        <v>600</v>
      </c>
      <c r="T18" s="8" t="s">
        <v>36</v>
      </c>
      <c r="U18" s="8" t="s">
        <v>663</v>
      </c>
      <c r="V18" s="8" t="s">
        <v>2701</v>
      </c>
      <c r="W18" s="8" t="s">
        <v>665</v>
      </c>
      <c r="X18" s="3" t="str">
        <v>湖南兴天宏实业有限公司</v>
      </c>
      <c r="Y18" s="3" t="str">
        <f>_xlfn.XLOOKUP(X18,'7月份计划'!A:A,'7月份计划'!A:A)</f>
        <v>湖南兴天宏实业有限公司</v>
      </c>
    </row>
    <row r="19" spans="1:25">
      <c r="A19" s="12" t="s">
        <v>2702</v>
      </c>
      <c r="B19" s="12" t="s">
        <v>32</v>
      </c>
      <c r="C19" s="12" t="s">
        <v>2703</v>
      </c>
      <c r="D19" s="13">
        <v>1</v>
      </c>
      <c r="E19" s="12" t="s">
        <v>2704</v>
      </c>
      <c r="F19" s="14">
        <v>45862</v>
      </c>
      <c r="G19" s="14">
        <v>45862</v>
      </c>
      <c r="H19" s="15" t="s">
        <v>444</v>
      </c>
      <c r="I19" s="12" t="s">
        <v>445</v>
      </c>
      <c r="J19" s="15" t="s">
        <v>41</v>
      </c>
      <c r="K19" s="12" t="s">
        <v>660</v>
      </c>
      <c r="L19" s="15" t="s">
        <v>41</v>
      </c>
      <c r="M19" s="12" t="s">
        <v>492</v>
      </c>
      <c r="N19" s="15" t="s">
        <v>41</v>
      </c>
      <c r="O19" s="12" t="s">
        <v>2325</v>
      </c>
      <c r="P19" s="21">
        <v>0</v>
      </c>
      <c r="Q19" s="21">
        <v>35030</v>
      </c>
      <c r="R19" s="12" t="s">
        <v>2352</v>
      </c>
      <c r="S19" s="12" t="s">
        <v>292</v>
      </c>
      <c r="T19" s="12" t="s">
        <v>36</v>
      </c>
      <c r="U19" s="12" t="s">
        <v>663</v>
      </c>
      <c r="V19" s="12" t="s">
        <v>2705</v>
      </c>
      <c r="W19" s="12" t="s">
        <v>665</v>
      </c>
      <c r="X19" s="3" t="str">
        <v>厦门凯平化工有限公司</v>
      </c>
      <c r="Y19" s="3" t="str">
        <f>_xlfn.XLOOKUP(X19,'7月份计划'!A:A,'7月份计划'!A:A)</f>
        <v>厦门凯平化工有限公司</v>
      </c>
    </row>
    <row r="20" spans="1:25">
      <c r="A20" s="8" t="s">
        <v>2706</v>
      </c>
      <c r="B20" s="8" t="s">
        <v>32</v>
      </c>
      <c r="C20" s="8" t="s">
        <v>2707</v>
      </c>
      <c r="D20" s="9">
        <v>1</v>
      </c>
      <c r="E20" s="8" t="s">
        <v>2708</v>
      </c>
      <c r="F20" s="10">
        <v>45862</v>
      </c>
      <c r="G20" s="10">
        <v>45862</v>
      </c>
      <c r="H20" s="11" t="s">
        <v>444</v>
      </c>
      <c r="I20" s="8" t="s">
        <v>445</v>
      </c>
      <c r="J20" s="11" t="s">
        <v>41</v>
      </c>
      <c r="K20" s="8" t="s">
        <v>660</v>
      </c>
      <c r="L20" s="11" t="s">
        <v>41</v>
      </c>
      <c r="M20" s="8" t="s">
        <v>492</v>
      </c>
      <c r="N20" s="11" t="s">
        <v>41</v>
      </c>
      <c r="O20" s="8" t="s">
        <v>2325</v>
      </c>
      <c r="P20" s="19">
        <v>0</v>
      </c>
      <c r="Q20" s="19">
        <v>43202.16</v>
      </c>
      <c r="R20" s="8" t="s">
        <v>1610</v>
      </c>
      <c r="S20" s="8" t="s">
        <v>290</v>
      </c>
      <c r="T20" s="8" t="s">
        <v>36</v>
      </c>
      <c r="U20" s="8" t="s">
        <v>663</v>
      </c>
      <c r="V20" s="8" t="s">
        <v>2709</v>
      </c>
      <c r="W20" s="8" t="s">
        <v>665</v>
      </c>
      <c r="X20" s="3" t="str">
        <v>株洲铖亿轨道交通技术有限</v>
      </c>
      <c r="Y20" s="3" t="str">
        <f>_xlfn.XLOOKUP(X20,'7月份计划'!A:A,'7月份计划'!A:A)</f>
        <v>株洲铖亿轨道交通技术有限</v>
      </c>
    </row>
    <row r="21" spans="1:25">
      <c r="A21" s="12" t="s">
        <v>2710</v>
      </c>
      <c r="B21" s="12" t="s">
        <v>32</v>
      </c>
      <c r="C21" s="12" t="s">
        <v>2711</v>
      </c>
      <c r="D21" s="13">
        <v>1</v>
      </c>
      <c r="E21" s="12" t="s">
        <v>2712</v>
      </c>
      <c r="F21" s="14">
        <v>45862</v>
      </c>
      <c r="G21" s="14">
        <v>45862</v>
      </c>
      <c r="H21" s="15" t="s">
        <v>444</v>
      </c>
      <c r="I21" s="12" t="s">
        <v>445</v>
      </c>
      <c r="J21" s="15" t="s">
        <v>41</v>
      </c>
      <c r="K21" s="12" t="s">
        <v>660</v>
      </c>
      <c r="L21" s="15" t="s">
        <v>41</v>
      </c>
      <c r="M21" s="12" t="s">
        <v>492</v>
      </c>
      <c r="N21" s="15" t="s">
        <v>41</v>
      </c>
      <c r="O21" s="12" t="s">
        <v>2325</v>
      </c>
      <c r="P21" s="21">
        <v>0</v>
      </c>
      <c r="Q21" s="21">
        <v>127389.05</v>
      </c>
      <c r="R21" s="12" t="s">
        <v>890</v>
      </c>
      <c r="S21" s="12" t="s">
        <v>263</v>
      </c>
      <c r="T21" s="12" t="s">
        <v>36</v>
      </c>
      <c r="U21" s="12" t="s">
        <v>663</v>
      </c>
      <c r="V21" s="12" t="s">
        <v>2713</v>
      </c>
      <c r="W21" s="12" t="s">
        <v>665</v>
      </c>
      <c r="X21" s="3" t="str">
        <v>天津鑫淼塑料制品有限公司</v>
      </c>
      <c r="Y21" s="3" t="str">
        <f>_xlfn.XLOOKUP(X21,'7月份计划'!A:A,'7月份计划'!A:A)</f>
        <v>天津鑫淼塑料制品有限公司</v>
      </c>
    </row>
    <row r="22" spans="1:25">
      <c r="A22" s="8" t="s">
        <v>2710</v>
      </c>
      <c r="B22" s="8" t="s">
        <v>32</v>
      </c>
      <c r="C22" s="8" t="s">
        <v>2711</v>
      </c>
      <c r="D22" s="9">
        <v>3</v>
      </c>
      <c r="E22" s="8" t="s">
        <v>2712</v>
      </c>
      <c r="F22" s="10">
        <v>45862</v>
      </c>
      <c r="G22" s="10">
        <v>45862</v>
      </c>
      <c r="H22" s="11" t="s">
        <v>444</v>
      </c>
      <c r="I22" s="8" t="s">
        <v>445</v>
      </c>
      <c r="J22" s="11" t="s">
        <v>41</v>
      </c>
      <c r="K22" s="8" t="s">
        <v>660</v>
      </c>
      <c r="L22" s="11" t="s">
        <v>41</v>
      </c>
      <c r="M22" s="8" t="s">
        <v>492</v>
      </c>
      <c r="N22" s="11" t="s">
        <v>41</v>
      </c>
      <c r="O22" s="8" t="s">
        <v>2325</v>
      </c>
      <c r="P22" s="19">
        <v>2011.07</v>
      </c>
      <c r="Q22" s="19">
        <v>0</v>
      </c>
      <c r="R22" s="8" t="s">
        <v>890</v>
      </c>
      <c r="S22" s="8" t="s">
        <v>263</v>
      </c>
      <c r="T22" s="8" t="s">
        <v>36</v>
      </c>
      <c r="U22" s="8" t="s">
        <v>663</v>
      </c>
      <c r="V22" s="8" t="s">
        <v>2713</v>
      </c>
      <c r="W22" s="8" t="s">
        <v>665</v>
      </c>
      <c r="X22" s="3" t="str">
        <v>深州市晶立泰机械配件有限公司</v>
      </c>
      <c r="Y22" s="3" t="str">
        <f>_xlfn.XLOOKUP(X22,'7月份计划'!A:A,'7月份计划'!A:A)</f>
        <v>深州市晶立泰机械配件有限公司</v>
      </c>
    </row>
    <row r="23" spans="1:25">
      <c r="A23" s="12" t="s">
        <v>2714</v>
      </c>
      <c r="B23" s="12" t="s">
        <v>32</v>
      </c>
      <c r="C23" s="12" t="s">
        <v>2715</v>
      </c>
      <c r="D23" s="13">
        <v>1</v>
      </c>
      <c r="E23" s="12" t="s">
        <v>2716</v>
      </c>
      <c r="F23" s="14">
        <v>45862</v>
      </c>
      <c r="G23" s="14">
        <v>45862</v>
      </c>
      <c r="H23" s="15" t="s">
        <v>444</v>
      </c>
      <c r="I23" s="12" t="s">
        <v>445</v>
      </c>
      <c r="J23" s="15" t="s">
        <v>41</v>
      </c>
      <c r="K23" s="12" t="s">
        <v>660</v>
      </c>
      <c r="L23" s="15" t="s">
        <v>41</v>
      </c>
      <c r="M23" s="12" t="s">
        <v>492</v>
      </c>
      <c r="N23" s="15" t="s">
        <v>41</v>
      </c>
      <c r="O23" s="12" t="s">
        <v>2134</v>
      </c>
      <c r="P23" s="21">
        <v>0</v>
      </c>
      <c r="Q23" s="21">
        <v>683398.02</v>
      </c>
      <c r="R23" s="12" t="s">
        <v>1552</v>
      </c>
      <c r="S23" s="12" t="s">
        <v>256</v>
      </c>
      <c r="T23" s="12" t="s">
        <v>36</v>
      </c>
      <c r="U23" s="12" t="s">
        <v>663</v>
      </c>
      <c r="V23" s="12" t="s">
        <v>2717</v>
      </c>
      <c r="W23" s="12" t="s">
        <v>665</v>
      </c>
      <c r="X23" s="3" t="str">
        <v>天津琪安科技有限公司</v>
      </c>
      <c r="Y23" s="3" t="str">
        <f>_xlfn.XLOOKUP(X23,'7月份计划'!A:A,'7月份计划'!A:A)</f>
        <v>天津琪安科技有限公司</v>
      </c>
    </row>
    <row r="24" spans="1:25">
      <c r="A24" s="8" t="s">
        <v>2714</v>
      </c>
      <c r="B24" s="8" t="s">
        <v>32</v>
      </c>
      <c r="C24" s="8" t="s">
        <v>2715</v>
      </c>
      <c r="D24" s="9">
        <v>6</v>
      </c>
      <c r="E24" s="8" t="s">
        <v>2716</v>
      </c>
      <c r="F24" s="10">
        <v>45862</v>
      </c>
      <c r="G24" s="10">
        <v>45862</v>
      </c>
      <c r="H24" s="11" t="s">
        <v>444</v>
      </c>
      <c r="I24" s="8" t="s">
        <v>445</v>
      </c>
      <c r="J24" s="11" t="s">
        <v>41</v>
      </c>
      <c r="K24" s="8" t="s">
        <v>660</v>
      </c>
      <c r="L24" s="11" t="s">
        <v>41</v>
      </c>
      <c r="M24" s="8" t="s">
        <v>492</v>
      </c>
      <c r="N24" s="11" t="s">
        <v>41</v>
      </c>
      <c r="O24" s="8" t="s">
        <v>2134</v>
      </c>
      <c r="P24" s="19">
        <v>135002.15</v>
      </c>
      <c r="Q24" s="19">
        <v>0</v>
      </c>
      <c r="R24" s="8" t="s">
        <v>1552</v>
      </c>
      <c r="S24" s="8" t="s">
        <v>256</v>
      </c>
      <c r="T24" s="8" t="s">
        <v>36</v>
      </c>
      <c r="U24" s="8" t="s">
        <v>663</v>
      </c>
      <c r="V24" s="8" t="s">
        <v>2717</v>
      </c>
      <c r="W24" s="8" t="s">
        <v>665</v>
      </c>
      <c r="X24" s="3" t="str">
        <v>黄骅市雍丰塑料制品有限公司</v>
      </c>
      <c r="Y24" s="3" t="str">
        <f>_xlfn.XLOOKUP(X24,'7月份计划'!A:A,'7月份计划'!A:A)</f>
        <v>黄骅市雍丰塑料制品有限公司</v>
      </c>
    </row>
    <row r="25" spans="1:25">
      <c r="A25" s="12" t="s">
        <v>2718</v>
      </c>
      <c r="B25" s="12" t="s">
        <v>32</v>
      </c>
      <c r="C25" s="12" t="s">
        <v>2719</v>
      </c>
      <c r="D25" s="13">
        <v>1</v>
      </c>
      <c r="E25" s="12" t="s">
        <v>2720</v>
      </c>
      <c r="F25" s="14">
        <v>45862</v>
      </c>
      <c r="G25" s="14">
        <v>45862</v>
      </c>
      <c r="H25" s="15" t="s">
        <v>444</v>
      </c>
      <c r="I25" s="12" t="s">
        <v>445</v>
      </c>
      <c r="J25" s="15" t="s">
        <v>41</v>
      </c>
      <c r="K25" s="12" t="s">
        <v>660</v>
      </c>
      <c r="L25" s="15" t="s">
        <v>41</v>
      </c>
      <c r="M25" s="12" t="s">
        <v>492</v>
      </c>
      <c r="N25" s="15" t="s">
        <v>41</v>
      </c>
      <c r="O25" s="12" t="s">
        <v>2721</v>
      </c>
      <c r="P25" s="21">
        <v>0.01</v>
      </c>
      <c r="Q25" s="21">
        <v>0</v>
      </c>
      <c r="R25" s="12" t="s">
        <v>1552</v>
      </c>
      <c r="S25" s="12" t="s">
        <v>256</v>
      </c>
      <c r="T25" s="12" t="s">
        <v>36</v>
      </c>
      <c r="U25" s="12" t="s">
        <v>663</v>
      </c>
      <c r="V25" s="12" t="s">
        <v>2722</v>
      </c>
      <c r="W25" s="12" t="s">
        <v>665</v>
      </c>
      <c r="X25" s="3" t="str">
        <v>沧州临港明康汽车配件有限公司</v>
      </c>
      <c r="Y25" s="3" t="str">
        <f>_xlfn.XLOOKUP(X25,'7月份计划'!A:A,'7月份计划'!A:A)</f>
        <v>沧州临港明康汽车配件有限公司</v>
      </c>
    </row>
    <row r="26" spans="1:25">
      <c r="A26" s="8" t="s">
        <v>2723</v>
      </c>
      <c r="B26" s="8" t="s">
        <v>32</v>
      </c>
      <c r="C26" s="8" t="s">
        <v>2724</v>
      </c>
      <c r="D26" s="9">
        <v>1</v>
      </c>
      <c r="E26" s="8" t="s">
        <v>2725</v>
      </c>
      <c r="F26" s="10">
        <v>45862</v>
      </c>
      <c r="G26" s="10">
        <v>45862</v>
      </c>
      <c r="H26" s="11" t="s">
        <v>444</v>
      </c>
      <c r="I26" s="8" t="s">
        <v>445</v>
      </c>
      <c r="J26" s="11" t="s">
        <v>41</v>
      </c>
      <c r="K26" s="8" t="s">
        <v>660</v>
      </c>
      <c r="L26" s="11" t="s">
        <v>41</v>
      </c>
      <c r="M26" s="8" t="s">
        <v>492</v>
      </c>
      <c r="N26" s="11" t="s">
        <v>41</v>
      </c>
      <c r="O26" s="8" t="s">
        <v>2272</v>
      </c>
      <c r="P26" s="19">
        <v>0</v>
      </c>
      <c r="Q26" s="19">
        <v>42888.96</v>
      </c>
      <c r="R26" s="8" t="s">
        <v>662</v>
      </c>
      <c r="S26" s="8" t="s">
        <v>274</v>
      </c>
      <c r="T26" s="8" t="s">
        <v>36</v>
      </c>
      <c r="U26" s="8" t="s">
        <v>663</v>
      </c>
      <c r="V26" s="8" t="s">
        <v>2726</v>
      </c>
      <c r="W26" s="8" t="s">
        <v>665</v>
      </c>
      <c r="X26" s="3" t="str">
        <v>重庆光大产业有限公司</v>
      </c>
      <c r="Y26" s="3" t="str">
        <f>_xlfn.XLOOKUP(X26,'7月份计划'!A:A,'7月份计划'!A:A)</f>
        <v>重庆光大产业有限公司</v>
      </c>
    </row>
    <row r="27" spans="1:25">
      <c r="A27" s="12" t="s">
        <v>2723</v>
      </c>
      <c r="B27" s="12" t="s">
        <v>32</v>
      </c>
      <c r="C27" s="12" t="s">
        <v>2724</v>
      </c>
      <c r="D27" s="13">
        <v>3</v>
      </c>
      <c r="E27" s="12" t="s">
        <v>2725</v>
      </c>
      <c r="F27" s="14">
        <v>45862</v>
      </c>
      <c r="G27" s="14">
        <v>45862</v>
      </c>
      <c r="H27" s="15" t="s">
        <v>444</v>
      </c>
      <c r="I27" s="12" t="s">
        <v>445</v>
      </c>
      <c r="J27" s="15" t="s">
        <v>41</v>
      </c>
      <c r="K27" s="12" t="s">
        <v>660</v>
      </c>
      <c r="L27" s="15" t="s">
        <v>41</v>
      </c>
      <c r="M27" s="12" t="s">
        <v>492</v>
      </c>
      <c r="N27" s="15" t="s">
        <v>41</v>
      </c>
      <c r="O27" s="12" t="s">
        <v>2272</v>
      </c>
      <c r="P27" s="21">
        <v>327.22</v>
      </c>
      <c r="Q27" s="21">
        <v>0</v>
      </c>
      <c r="R27" s="12" t="s">
        <v>662</v>
      </c>
      <c r="S27" s="12" t="s">
        <v>274</v>
      </c>
      <c r="T27" s="12" t="s">
        <v>36</v>
      </c>
      <c r="U27" s="12" t="s">
        <v>663</v>
      </c>
      <c r="V27" s="12" t="s">
        <v>2726</v>
      </c>
      <c r="W27" s="12" t="s">
        <v>665</v>
      </c>
      <c r="X27" s="3" t="str">
        <v>重庆厚元汽车配件有限公司</v>
      </c>
      <c r="Y27" s="3" t="str">
        <f>_xlfn.XLOOKUP(X27,'7月份计划'!A:A,'7月份计划'!A:A)</f>
        <v>重庆厚元汽车配件有限公司</v>
      </c>
    </row>
    <row r="28" spans="1:25">
      <c r="A28" s="8" t="s">
        <v>2727</v>
      </c>
      <c r="B28" s="8" t="s">
        <v>32</v>
      </c>
      <c r="C28" s="8" t="s">
        <v>2728</v>
      </c>
      <c r="D28" s="9">
        <v>1</v>
      </c>
      <c r="E28" s="8" t="s">
        <v>2729</v>
      </c>
      <c r="F28" s="10">
        <v>45862</v>
      </c>
      <c r="G28" s="10">
        <v>45862</v>
      </c>
      <c r="H28" s="11" t="s">
        <v>444</v>
      </c>
      <c r="I28" s="8" t="s">
        <v>445</v>
      </c>
      <c r="J28" s="11" t="s">
        <v>41</v>
      </c>
      <c r="K28" s="8" t="s">
        <v>660</v>
      </c>
      <c r="L28" s="11" t="s">
        <v>41</v>
      </c>
      <c r="M28" s="8" t="s">
        <v>492</v>
      </c>
      <c r="N28" s="11" t="s">
        <v>41</v>
      </c>
      <c r="O28" s="8" t="s">
        <v>2730</v>
      </c>
      <c r="P28" s="19">
        <v>0</v>
      </c>
      <c r="Q28" s="19">
        <v>0.01</v>
      </c>
      <c r="R28" s="8" t="s">
        <v>662</v>
      </c>
      <c r="S28" s="8" t="s">
        <v>274</v>
      </c>
      <c r="T28" s="8" t="s">
        <v>36</v>
      </c>
      <c r="U28" s="8" t="s">
        <v>663</v>
      </c>
      <c r="V28" s="8" t="s">
        <v>2731</v>
      </c>
      <c r="W28" s="8" t="s">
        <v>665</v>
      </c>
      <c r="X28" s="3" t="str">
        <v>湖南诺亿科技有限公司</v>
      </c>
      <c r="Y28" s="3" t="str">
        <f>_xlfn.XLOOKUP(X28,'7月份计划'!A:A,'7月份计划'!A:A)</f>
        <v>湖南诺亿科技有限公司</v>
      </c>
    </row>
    <row r="29" spans="1:25">
      <c r="A29" s="12" t="s">
        <v>2732</v>
      </c>
      <c r="B29" s="12" t="s">
        <v>32</v>
      </c>
      <c r="C29" s="12" t="s">
        <v>2733</v>
      </c>
      <c r="D29" s="13">
        <v>1</v>
      </c>
      <c r="E29" s="12" t="s">
        <v>2734</v>
      </c>
      <c r="F29" s="14">
        <v>45862</v>
      </c>
      <c r="G29" s="14">
        <v>45862</v>
      </c>
      <c r="H29" s="15" t="s">
        <v>444</v>
      </c>
      <c r="I29" s="12" t="s">
        <v>445</v>
      </c>
      <c r="J29" s="15" t="s">
        <v>41</v>
      </c>
      <c r="K29" s="12" t="s">
        <v>660</v>
      </c>
      <c r="L29" s="15" t="s">
        <v>41</v>
      </c>
      <c r="M29" s="12" t="s">
        <v>492</v>
      </c>
      <c r="N29" s="15" t="s">
        <v>41</v>
      </c>
      <c r="O29" s="12" t="s">
        <v>1998</v>
      </c>
      <c r="P29" s="21">
        <v>0</v>
      </c>
      <c r="Q29" s="21">
        <v>18025.97</v>
      </c>
      <c r="R29" s="12" t="s">
        <v>662</v>
      </c>
      <c r="S29" s="12" t="s">
        <v>274</v>
      </c>
      <c r="T29" s="12" t="s">
        <v>36</v>
      </c>
      <c r="U29" s="12" t="s">
        <v>663</v>
      </c>
      <c r="V29" s="12" t="s">
        <v>2735</v>
      </c>
      <c r="W29" s="12" t="s">
        <v>665</v>
      </c>
      <c r="X29" s="3" t="str">
        <v>溧阳鑫岩汽车零部件有限公司</v>
      </c>
      <c r="Y29" s="3" t="str">
        <f>_xlfn.XLOOKUP(X29,'7月份计划'!A:A,'7月份计划'!A:A)</f>
        <v>溧阳鑫岩汽车零部件有限公司</v>
      </c>
    </row>
    <row r="30" spans="1:25">
      <c r="A30" s="8" t="s">
        <v>2732</v>
      </c>
      <c r="B30" s="8" t="s">
        <v>32</v>
      </c>
      <c r="C30" s="8" t="s">
        <v>2733</v>
      </c>
      <c r="D30" s="9">
        <v>4</v>
      </c>
      <c r="E30" s="8" t="s">
        <v>2734</v>
      </c>
      <c r="F30" s="10">
        <v>45862</v>
      </c>
      <c r="G30" s="10">
        <v>45862</v>
      </c>
      <c r="H30" s="11" t="s">
        <v>444</v>
      </c>
      <c r="I30" s="8" t="s">
        <v>445</v>
      </c>
      <c r="J30" s="11" t="s">
        <v>41</v>
      </c>
      <c r="K30" s="8" t="s">
        <v>660</v>
      </c>
      <c r="L30" s="11" t="s">
        <v>41</v>
      </c>
      <c r="M30" s="8" t="s">
        <v>492</v>
      </c>
      <c r="N30" s="11" t="s">
        <v>41</v>
      </c>
      <c r="O30" s="8" t="s">
        <v>1998</v>
      </c>
      <c r="P30" s="19">
        <v>354.87</v>
      </c>
      <c r="Q30" s="19">
        <v>0</v>
      </c>
      <c r="R30" s="8" t="s">
        <v>662</v>
      </c>
      <c r="S30" s="8" t="s">
        <v>274</v>
      </c>
      <c r="T30" s="8" t="s">
        <v>36</v>
      </c>
      <c r="U30" s="8" t="s">
        <v>663</v>
      </c>
      <c r="V30" s="8" t="s">
        <v>2735</v>
      </c>
      <c r="W30" s="8" t="s">
        <v>665</v>
      </c>
      <c r="X30" s="3" t="str">
        <v>黄骅市汇铭汽车部件有限公司</v>
      </c>
      <c r="Y30" s="3" t="str">
        <f>_xlfn.XLOOKUP(X30,'7月份计划'!A:A,'7月份计划'!A:A)</f>
        <v>黄骅市汇铭汽车部件有限公司</v>
      </c>
    </row>
    <row r="31" spans="1:25">
      <c r="A31" s="12" t="s">
        <v>2736</v>
      </c>
      <c r="B31" s="12" t="s">
        <v>32</v>
      </c>
      <c r="C31" s="12" t="s">
        <v>2737</v>
      </c>
      <c r="D31" s="13">
        <v>1</v>
      </c>
      <c r="E31" s="12" t="s">
        <v>2738</v>
      </c>
      <c r="F31" s="14">
        <v>45862</v>
      </c>
      <c r="G31" s="14">
        <v>45862</v>
      </c>
      <c r="H31" s="15" t="s">
        <v>444</v>
      </c>
      <c r="I31" s="12" t="s">
        <v>445</v>
      </c>
      <c r="J31" s="15" t="s">
        <v>41</v>
      </c>
      <c r="K31" s="12" t="s">
        <v>660</v>
      </c>
      <c r="L31" s="15" t="s">
        <v>41</v>
      </c>
      <c r="M31" s="12" t="s">
        <v>492</v>
      </c>
      <c r="N31" s="15" t="s">
        <v>41</v>
      </c>
      <c r="O31" s="12" t="s">
        <v>2739</v>
      </c>
      <c r="P31" s="21">
        <v>0.01</v>
      </c>
      <c r="Q31" s="21">
        <v>0</v>
      </c>
      <c r="R31" s="12" t="s">
        <v>662</v>
      </c>
      <c r="S31" s="12" t="s">
        <v>274</v>
      </c>
      <c r="T31" s="12" t="s">
        <v>36</v>
      </c>
      <c r="U31" s="12" t="s">
        <v>663</v>
      </c>
      <c r="V31" s="12" t="s">
        <v>2740</v>
      </c>
      <c r="W31" s="12" t="s">
        <v>665</v>
      </c>
      <c r="X31" s="3" t="str">
        <v>黄骅市成卓汽车部件厂</v>
      </c>
      <c r="Y31" s="3" t="str">
        <f>_xlfn.XLOOKUP(X31,'7月份计划'!A:A,'7月份计划'!A:A)</f>
        <v>黄骅市成卓汽车部件厂</v>
      </c>
    </row>
    <row r="32" spans="1:25">
      <c r="A32" s="8" t="s">
        <v>2741</v>
      </c>
      <c r="B32" s="8" t="s">
        <v>32</v>
      </c>
      <c r="C32" s="8" t="s">
        <v>2742</v>
      </c>
      <c r="D32" s="9">
        <v>1</v>
      </c>
      <c r="E32" s="8" t="s">
        <v>2743</v>
      </c>
      <c r="F32" s="10">
        <v>45862</v>
      </c>
      <c r="G32" s="10">
        <v>45862</v>
      </c>
      <c r="H32" s="11" t="s">
        <v>444</v>
      </c>
      <c r="I32" s="8" t="s">
        <v>445</v>
      </c>
      <c r="J32" s="11" t="s">
        <v>41</v>
      </c>
      <c r="K32" s="8" t="s">
        <v>660</v>
      </c>
      <c r="L32" s="11" t="s">
        <v>41</v>
      </c>
      <c r="M32" s="8" t="s">
        <v>492</v>
      </c>
      <c r="N32" s="11" t="s">
        <v>41</v>
      </c>
      <c r="O32" s="8" t="s">
        <v>1994</v>
      </c>
      <c r="P32" s="19">
        <v>0</v>
      </c>
      <c r="Q32" s="19">
        <v>501.92</v>
      </c>
      <c r="R32" s="8" t="s">
        <v>662</v>
      </c>
      <c r="S32" s="8" t="s">
        <v>274</v>
      </c>
      <c r="T32" s="8" t="s">
        <v>36</v>
      </c>
      <c r="U32" s="8" t="s">
        <v>663</v>
      </c>
      <c r="V32" s="8" t="s">
        <v>2744</v>
      </c>
      <c r="W32" s="8" t="s">
        <v>665</v>
      </c>
      <c r="X32" s="3" t="str">
        <v>黄骅市建昌塑料制品有限公司</v>
      </c>
      <c r="Y32" s="3" t="str">
        <f>_xlfn.XLOOKUP(X32,'7月份计划'!A:A,'7月份计划'!A:A)</f>
        <v>黄骅市建昌塑料制品有限公司</v>
      </c>
    </row>
    <row r="33" spans="1:25">
      <c r="A33" s="12" t="s">
        <v>2741</v>
      </c>
      <c r="B33" s="12" t="s">
        <v>32</v>
      </c>
      <c r="C33" s="12" t="s">
        <v>2742</v>
      </c>
      <c r="D33" s="13">
        <v>3</v>
      </c>
      <c r="E33" s="12" t="s">
        <v>2743</v>
      </c>
      <c r="F33" s="14">
        <v>45862</v>
      </c>
      <c r="G33" s="14">
        <v>45862</v>
      </c>
      <c r="H33" s="15" t="s">
        <v>444</v>
      </c>
      <c r="I33" s="12" t="s">
        <v>445</v>
      </c>
      <c r="J33" s="15" t="s">
        <v>41</v>
      </c>
      <c r="K33" s="12" t="s">
        <v>660</v>
      </c>
      <c r="L33" s="15" t="s">
        <v>41</v>
      </c>
      <c r="M33" s="12" t="s">
        <v>492</v>
      </c>
      <c r="N33" s="15" t="s">
        <v>41</v>
      </c>
      <c r="O33" s="12" t="s">
        <v>1994</v>
      </c>
      <c r="P33" s="21">
        <v>28.39</v>
      </c>
      <c r="Q33" s="21">
        <v>0</v>
      </c>
      <c r="R33" s="12" t="s">
        <v>662</v>
      </c>
      <c r="S33" s="12" t="s">
        <v>274</v>
      </c>
      <c r="T33" s="12" t="s">
        <v>36</v>
      </c>
      <c r="U33" s="12" t="s">
        <v>663</v>
      </c>
      <c r="V33" s="12" t="s">
        <v>2744</v>
      </c>
      <c r="W33" s="12" t="s">
        <v>665</v>
      </c>
      <c r="X33" s="3" t="str">
        <v>武汉凯密科汽车零部件有限公司</v>
      </c>
      <c r="Y33" s="3" t="str">
        <f>_xlfn.XLOOKUP(X33,'7月份计划'!A:A,'7月份计划'!A:A)</f>
        <v>武汉凯密科汽车零部件有限公司</v>
      </c>
    </row>
    <row r="34" spans="1:25">
      <c r="A34" s="8" t="s">
        <v>2745</v>
      </c>
      <c r="B34" s="8" t="s">
        <v>32</v>
      </c>
      <c r="C34" s="8" t="s">
        <v>2746</v>
      </c>
      <c r="D34" s="9">
        <v>1</v>
      </c>
      <c r="E34" s="8" t="s">
        <v>2747</v>
      </c>
      <c r="F34" s="10">
        <v>45862</v>
      </c>
      <c r="G34" s="10">
        <v>45862</v>
      </c>
      <c r="H34" s="11" t="s">
        <v>444</v>
      </c>
      <c r="I34" s="8" t="s">
        <v>445</v>
      </c>
      <c r="J34" s="11" t="s">
        <v>41</v>
      </c>
      <c r="K34" s="8" t="s">
        <v>660</v>
      </c>
      <c r="L34" s="11" t="s">
        <v>41</v>
      </c>
      <c r="M34" s="8" t="s">
        <v>492</v>
      </c>
      <c r="N34" s="11" t="s">
        <v>41</v>
      </c>
      <c r="O34" s="8" t="s">
        <v>2325</v>
      </c>
      <c r="P34" s="19">
        <v>0</v>
      </c>
      <c r="Q34" s="19">
        <v>20181.8</v>
      </c>
      <c r="R34" s="8" t="s">
        <v>1074</v>
      </c>
      <c r="S34" s="8" t="s">
        <v>288</v>
      </c>
      <c r="T34" s="8" t="s">
        <v>36</v>
      </c>
      <c r="U34" s="8" t="s">
        <v>663</v>
      </c>
      <c r="V34" s="8" t="s">
        <v>2748</v>
      </c>
      <c r="W34" s="8" t="s">
        <v>665</v>
      </c>
      <c r="X34" s="3" t="str">
        <v>吉林省德邦汽车电子有限公司</v>
      </c>
      <c r="Y34" s="3" t="str">
        <f>_xlfn.XLOOKUP(X34,'7月份计划'!A:A,'7月份计划'!A:A)</f>
        <v>吉林省德邦汽车电子有限公司</v>
      </c>
    </row>
    <row r="35" spans="1:25">
      <c r="A35" s="12" t="s">
        <v>2749</v>
      </c>
      <c r="B35" s="12" t="s">
        <v>32</v>
      </c>
      <c r="C35" s="12" t="s">
        <v>2750</v>
      </c>
      <c r="D35" s="13">
        <v>1</v>
      </c>
      <c r="E35" s="12" t="s">
        <v>2751</v>
      </c>
      <c r="F35" s="14">
        <v>45862</v>
      </c>
      <c r="G35" s="14">
        <v>45862</v>
      </c>
      <c r="H35" s="15" t="s">
        <v>444</v>
      </c>
      <c r="I35" s="12" t="s">
        <v>445</v>
      </c>
      <c r="J35" s="15" t="s">
        <v>41</v>
      </c>
      <c r="K35" s="12" t="s">
        <v>660</v>
      </c>
      <c r="L35" s="15" t="s">
        <v>41</v>
      </c>
      <c r="M35" s="12" t="s">
        <v>492</v>
      </c>
      <c r="N35" s="15" t="s">
        <v>41</v>
      </c>
      <c r="O35" s="12" t="s">
        <v>2325</v>
      </c>
      <c r="P35" s="21">
        <v>0</v>
      </c>
      <c r="Q35" s="21">
        <v>167128.19</v>
      </c>
      <c r="R35" s="12" t="s">
        <v>34</v>
      </c>
      <c r="S35" s="12" t="s">
        <v>277</v>
      </c>
      <c r="T35" s="12" t="s">
        <v>36</v>
      </c>
      <c r="U35" s="12" t="s">
        <v>663</v>
      </c>
      <c r="V35" s="12" t="s">
        <v>107</v>
      </c>
      <c r="W35" s="12" t="s">
        <v>665</v>
      </c>
      <c r="X35" s="3" t="str">
        <v>衡阳县标准件厂株洲销售处</v>
      </c>
      <c r="Y35" s="3" t="str">
        <f>_xlfn.XLOOKUP(X35,'7月份计划'!A:A,'7月份计划'!A:A)</f>
        <v>衡阳县标准件厂株洲销售处</v>
      </c>
    </row>
    <row r="36" spans="1:25">
      <c r="A36" s="8" t="s">
        <v>2749</v>
      </c>
      <c r="B36" s="8" t="s">
        <v>32</v>
      </c>
      <c r="C36" s="8" t="s">
        <v>2750</v>
      </c>
      <c r="D36" s="9">
        <v>4</v>
      </c>
      <c r="E36" s="8" t="s">
        <v>2751</v>
      </c>
      <c r="F36" s="10">
        <v>45862</v>
      </c>
      <c r="G36" s="10">
        <v>45862</v>
      </c>
      <c r="H36" s="11" t="s">
        <v>444</v>
      </c>
      <c r="I36" s="8" t="s">
        <v>445</v>
      </c>
      <c r="J36" s="11" t="s">
        <v>41</v>
      </c>
      <c r="K36" s="8" t="s">
        <v>660</v>
      </c>
      <c r="L36" s="11" t="s">
        <v>41</v>
      </c>
      <c r="M36" s="8" t="s">
        <v>492</v>
      </c>
      <c r="N36" s="11" t="s">
        <v>41</v>
      </c>
      <c r="O36" s="8" t="s">
        <v>2325</v>
      </c>
      <c r="P36" s="19">
        <v>5001.82</v>
      </c>
      <c r="Q36" s="19">
        <v>0</v>
      </c>
      <c r="R36" s="8" t="s">
        <v>34</v>
      </c>
      <c r="S36" s="8" t="s">
        <v>277</v>
      </c>
      <c r="T36" s="8" t="s">
        <v>36</v>
      </c>
      <c r="U36" s="8" t="s">
        <v>663</v>
      </c>
      <c r="V36" s="8" t="s">
        <v>107</v>
      </c>
      <c r="W36" s="8" t="s">
        <v>665</v>
      </c>
      <c r="X36" s="3" t="str">
        <v>上海明芳汽车零件有限公司</v>
      </c>
      <c r="Y36" s="3" t="str">
        <f>_xlfn.XLOOKUP(X36,'7月份计划'!A:A,'7月份计划'!A:A)</f>
        <v>上海明芳汽车零件有限公司</v>
      </c>
    </row>
    <row r="37" spans="1:25">
      <c r="A37" s="12" t="s">
        <v>2752</v>
      </c>
      <c r="B37" s="12" t="s">
        <v>32</v>
      </c>
      <c r="C37" s="12" t="s">
        <v>2753</v>
      </c>
      <c r="D37" s="13">
        <v>1</v>
      </c>
      <c r="E37" s="12" t="s">
        <v>2754</v>
      </c>
      <c r="F37" s="14">
        <v>45862</v>
      </c>
      <c r="G37" s="14">
        <v>45862</v>
      </c>
      <c r="H37" s="15" t="s">
        <v>444</v>
      </c>
      <c r="I37" s="12" t="s">
        <v>445</v>
      </c>
      <c r="J37" s="15" t="s">
        <v>41</v>
      </c>
      <c r="K37" s="12" t="s">
        <v>660</v>
      </c>
      <c r="L37" s="15" t="s">
        <v>41</v>
      </c>
      <c r="M37" s="12" t="s">
        <v>492</v>
      </c>
      <c r="N37" s="15" t="s">
        <v>41</v>
      </c>
      <c r="O37" s="12" t="s">
        <v>2755</v>
      </c>
      <c r="P37" s="21">
        <v>14746.43</v>
      </c>
      <c r="Q37" s="21">
        <v>0</v>
      </c>
      <c r="R37" s="12" t="s">
        <v>34</v>
      </c>
      <c r="S37" s="12" t="s">
        <v>277</v>
      </c>
      <c r="T37" s="12" t="s">
        <v>36</v>
      </c>
      <c r="U37" s="12" t="s">
        <v>663</v>
      </c>
      <c r="V37" s="12" t="s">
        <v>2756</v>
      </c>
      <c r="W37" s="12" t="s">
        <v>665</v>
      </c>
      <c r="X37" s="3" t="str">
        <v>河北光华荣昌汽车部件有限公司</v>
      </c>
      <c r="Y37" s="3" t="e">
        <f>_xlfn.XLOOKUP(X37,'7月份计划'!A:A,'7月份计划'!A:A)</f>
        <v>#N/A</v>
      </c>
    </row>
    <row r="38" spans="1:25">
      <c r="A38" s="8" t="s">
        <v>2757</v>
      </c>
      <c r="B38" s="8" t="s">
        <v>32</v>
      </c>
      <c r="C38" s="8" t="s">
        <v>2758</v>
      </c>
      <c r="D38" s="9">
        <v>1</v>
      </c>
      <c r="E38" s="8" t="s">
        <v>2759</v>
      </c>
      <c r="F38" s="10">
        <v>45862</v>
      </c>
      <c r="G38" s="10">
        <v>45862</v>
      </c>
      <c r="H38" s="11" t="s">
        <v>444</v>
      </c>
      <c r="I38" s="8" t="s">
        <v>445</v>
      </c>
      <c r="J38" s="11" t="s">
        <v>41</v>
      </c>
      <c r="K38" s="8" t="s">
        <v>660</v>
      </c>
      <c r="L38" s="11" t="s">
        <v>41</v>
      </c>
      <c r="M38" s="8" t="s">
        <v>492</v>
      </c>
      <c r="N38" s="11" t="s">
        <v>41</v>
      </c>
      <c r="O38" s="8" t="s">
        <v>2325</v>
      </c>
      <c r="P38" s="19">
        <v>0</v>
      </c>
      <c r="Q38" s="19">
        <v>8280.64</v>
      </c>
      <c r="R38" s="8" t="s">
        <v>1057</v>
      </c>
      <c r="S38" s="8" t="s">
        <v>286</v>
      </c>
      <c r="T38" s="8" t="s">
        <v>36</v>
      </c>
      <c r="U38" s="8" t="s">
        <v>663</v>
      </c>
      <c r="V38" s="8" t="s">
        <v>2760</v>
      </c>
      <c r="W38" s="8" t="s">
        <v>665</v>
      </c>
      <c r="X38" s="3" t="str">
        <v>北京光华荣昌汽车部件有限公司</v>
      </c>
      <c r="Y38" s="3" t="e">
        <f>_xlfn.XLOOKUP(X38,'7月份计划'!A:A,'7月份计划'!A:A)</f>
        <v>#N/A</v>
      </c>
    </row>
    <row r="39" spans="1:25">
      <c r="A39" s="12" t="s">
        <v>2761</v>
      </c>
      <c r="B39" s="12" t="s">
        <v>32</v>
      </c>
      <c r="C39" s="12" t="s">
        <v>2762</v>
      </c>
      <c r="D39" s="13">
        <v>1</v>
      </c>
      <c r="E39" s="12" t="s">
        <v>2763</v>
      </c>
      <c r="F39" s="14">
        <v>45862</v>
      </c>
      <c r="G39" s="14">
        <v>45862</v>
      </c>
      <c r="H39" s="15" t="s">
        <v>444</v>
      </c>
      <c r="I39" s="12" t="s">
        <v>445</v>
      </c>
      <c r="J39" s="15" t="s">
        <v>41</v>
      </c>
      <c r="K39" s="12" t="s">
        <v>660</v>
      </c>
      <c r="L39" s="15" t="s">
        <v>41</v>
      </c>
      <c r="M39" s="12" t="s">
        <v>492</v>
      </c>
      <c r="N39" s="15" t="s">
        <v>41</v>
      </c>
      <c r="O39" s="12" t="s">
        <v>2325</v>
      </c>
      <c r="P39" s="21">
        <v>0</v>
      </c>
      <c r="Q39" s="21">
        <v>10766.75</v>
      </c>
      <c r="R39" s="12" t="s">
        <v>871</v>
      </c>
      <c r="S39" s="12" t="s">
        <v>246</v>
      </c>
      <c r="T39" s="12" t="s">
        <v>36</v>
      </c>
      <c r="U39" s="12" t="s">
        <v>663</v>
      </c>
      <c r="V39" s="12" t="s">
        <v>2764</v>
      </c>
      <c r="W39" s="12" t="s">
        <v>665</v>
      </c>
      <c r="X39" s="3">
        <v>0</v>
      </c>
      <c r="Y39" s="3" t="e">
        <f>_xlfn.XLOOKUP(X39,'7月份计划'!A:A,'7月份计划'!A:A)</f>
        <v>#N/A</v>
      </c>
    </row>
    <row r="40" spans="1:25">
      <c r="A40" s="8" t="s">
        <v>2765</v>
      </c>
      <c r="B40" s="8" t="s">
        <v>32</v>
      </c>
      <c r="C40" s="8" t="s">
        <v>2766</v>
      </c>
      <c r="D40" s="9">
        <v>1</v>
      </c>
      <c r="E40" s="8" t="s">
        <v>2767</v>
      </c>
      <c r="F40" s="10">
        <v>45862</v>
      </c>
      <c r="G40" s="10">
        <v>45862</v>
      </c>
      <c r="H40" s="11" t="s">
        <v>444</v>
      </c>
      <c r="I40" s="8" t="s">
        <v>445</v>
      </c>
      <c r="J40" s="11" t="s">
        <v>41</v>
      </c>
      <c r="K40" s="8" t="s">
        <v>660</v>
      </c>
      <c r="L40" s="11" t="s">
        <v>41</v>
      </c>
      <c r="M40" s="8" t="s">
        <v>492</v>
      </c>
      <c r="N40" s="11" t="s">
        <v>41</v>
      </c>
      <c r="O40" s="8" t="s">
        <v>2325</v>
      </c>
      <c r="P40" s="19">
        <v>0</v>
      </c>
      <c r="Q40" s="19">
        <v>6871.4</v>
      </c>
      <c r="R40" s="8" t="s">
        <v>1289</v>
      </c>
      <c r="S40" s="8" t="s">
        <v>284</v>
      </c>
      <c r="T40" s="8" t="s">
        <v>36</v>
      </c>
      <c r="U40" s="8" t="s">
        <v>663</v>
      </c>
      <c r="V40" s="8" t="s">
        <v>2768</v>
      </c>
      <c r="W40" s="8" t="s">
        <v>665</v>
      </c>
      <c r="Y40" s="3">
        <f>_xlfn.XLOOKUP(X40,'7月份计划'!A:A,'7月份计划'!A:A)</f>
        <v>0</v>
      </c>
    </row>
    <row r="41" spans="1:25">
      <c r="A41" s="12" t="s">
        <v>2769</v>
      </c>
      <c r="B41" s="12" t="s">
        <v>32</v>
      </c>
      <c r="C41" s="12" t="s">
        <v>2770</v>
      </c>
      <c r="D41" s="13">
        <v>1</v>
      </c>
      <c r="E41" s="12" t="s">
        <v>2771</v>
      </c>
      <c r="F41" s="14">
        <v>45862</v>
      </c>
      <c r="G41" s="14">
        <v>45862</v>
      </c>
      <c r="H41" s="15" t="s">
        <v>444</v>
      </c>
      <c r="I41" s="12" t="s">
        <v>445</v>
      </c>
      <c r="J41" s="15" t="s">
        <v>41</v>
      </c>
      <c r="K41" s="12" t="s">
        <v>660</v>
      </c>
      <c r="L41" s="15" t="s">
        <v>41</v>
      </c>
      <c r="M41" s="12" t="s">
        <v>492</v>
      </c>
      <c r="N41" s="15" t="s">
        <v>41</v>
      </c>
      <c r="O41" s="12" t="s">
        <v>2772</v>
      </c>
      <c r="P41" s="21">
        <v>0</v>
      </c>
      <c r="Q41" s="21">
        <v>0.01</v>
      </c>
      <c r="R41" s="12" t="s">
        <v>1289</v>
      </c>
      <c r="S41" s="12" t="s">
        <v>284</v>
      </c>
      <c r="T41" s="12" t="s">
        <v>36</v>
      </c>
      <c r="U41" s="12" t="s">
        <v>663</v>
      </c>
      <c r="V41" s="12" t="s">
        <v>2773</v>
      </c>
      <c r="W41" s="12" t="s">
        <v>665</v>
      </c>
      <c r="Y41" s="3">
        <f>_xlfn.XLOOKUP(X41,'7月份计划'!A:A,'7月份计划'!A:A)</f>
        <v>0</v>
      </c>
    </row>
    <row r="42" spans="1:25">
      <c r="A42" s="8" t="s">
        <v>2774</v>
      </c>
      <c r="B42" s="8" t="s">
        <v>32</v>
      </c>
      <c r="C42" s="8" t="s">
        <v>2775</v>
      </c>
      <c r="D42" s="9">
        <v>1</v>
      </c>
      <c r="E42" s="8" t="s">
        <v>2776</v>
      </c>
      <c r="F42" s="10">
        <v>45863</v>
      </c>
      <c r="G42" s="10">
        <v>45863</v>
      </c>
      <c r="H42" s="11" t="s">
        <v>444</v>
      </c>
      <c r="I42" s="8" t="s">
        <v>445</v>
      </c>
      <c r="J42" s="11" t="s">
        <v>41</v>
      </c>
      <c r="K42" s="8" t="s">
        <v>660</v>
      </c>
      <c r="L42" s="11" t="s">
        <v>41</v>
      </c>
      <c r="M42" s="8" t="s">
        <v>492</v>
      </c>
      <c r="N42" s="11" t="s">
        <v>41</v>
      </c>
      <c r="O42" s="8" t="s">
        <v>2325</v>
      </c>
      <c r="P42" s="19">
        <v>0</v>
      </c>
      <c r="Q42" s="19">
        <v>220454.3</v>
      </c>
      <c r="R42" s="8" t="s">
        <v>149</v>
      </c>
      <c r="S42" s="8" t="s">
        <v>251</v>
      </c>
      <c r="T42" s="8" t="s">
        <v>36</v>
      </c>
      <c r="U42" s="8" t="s">
        <v>663</v>
      </c>
      <c r="V42" s="8" t="s">
        <v>197</v>
      </c>
      <c r="W42" s="8" t="s">
        <v>665</v>
      </c>
      <c r="Y42" s="3">
        <f>_xlfn.XLOOKUP(X42,'7月份计划'!A:A,'7月份计划'!A:A)</f>
        <v>0</v>
      </c>
    </row>
    <row r="43" spans="1:25">
      <c r="A43" s="12" t="s">
        <v>2777</v>
      </c>
      <c r="B43" s="12" t="s">
        <v>32</v>
      </c>
      <c r="C43" s="12" t="s">
        <v>2778</v>
      </c>
      <c r="D43" s="13">
        <v>1</v>
      </c>
      <c r="E43" s="12" t="s">
        <v>2779</v>
      </c>
      <c r="F43" s="14">
        <v>45863</v>
      </c>
      <c r="G43" s="14">
        <v>45863</v>
      </c>
      <c r="H43" s="15" t="s">
        <v>444</v>
      </c>
      <c r="I43" s="12" t="s">
        <v>445</v>
      </c>
      <c r="J43" s="15" t="s">
        <v>41</v>
      </c>
      <c r="K43" s="12" t="s">
        <v>660</v>
      </c>
      <c r="L43" s="15" t="s">
        <v>41</v>
      </c>
      <c r="M43" s="12" t="s">
        <v>492</v>
      </c>
      <c r="N43" s="15" t="s">
        <v>41</v>
      </c>
      <c r="O43" s="12" t="s">
        <v>2134</v>
      </c>
      <c r="P43" s="21">
        <v>0</v>
      </c>
      <c r="Q43" s="21">
        <v>148770.71</v>
      </c>
      <c r="R43" s="12" t="s">
        <v>149</v>
      </c>
      <c r="S43" s="12" t="s">
        <v>251</v>
      </c>
      <c r="T43" s="12" t="s">
        <v>36</v>
      </c>
      <c r="U43" s="12" t="s">
        <v>663</v>
      </c>
      <c r="V43" s="12" t="s">
        <v>203</v>
      </c>
      <c r="W43" s="12" t="s">
        <v>665</v>
      </c>
      <c r="Y43" s="3">
        <f>_xlfn.XLOOKUP(X43,'7月份计划'!A:A,'7月份计划'!A:A)</f>
        <v>0</v>
      </c>
    </row>
    <row r="44" spans="1:25">
      <c r="A44" s="8" t="s">
        <v>2780</v>
      </c>
      <c r="B44" s="8" t="s">
        <v>32</v>
      </c>
      <c r="C44" s="8" t="s">
        <v>2781</v>
      </c>
      <c r="D44" s="9">
        <v>1</v>
      </c>
      <c r="E44" s="8" t="s">
        <v>2782</v>
      </c>
      <c r="F44" s="10">
        <v>45863</v>
      </c>
      <c r="G44" s="10">
        <v>45863</v>
      </c>
      <c r="H44" s="11" t="s">
        <v>444</v>
      </c>
      <c r="I44" s="8" t="s">
        <v>445</v>
      </c>
      <c r="J44" s="11" t="s">
        <v>41</v>
      </c>
      <c r="K44" s="8" t="s">
        <v>660</v>
      </c>
      <c r="L44" s="11" t="s">
        <v>41</v>
      </c>
      <c r="M44" s="8" t="s">
        <v>492</v>
      </c>
      <c r="N44" s="11" t="s">
        <v>41</v>
      </c>
      <c r="O44" s="8" t="s">
        <v>2325</v>
      </c>
      <c r="P44" s="19">
        <v>0</v>
      </c>
      <c r="Q44" s="19">
        <v>41457.67</v>
      </c>
      <c r="R44" s="8" t="s">
        <v>1269</v>
      </c>
      <c r="S44" s="8" t="s">
        <v>285</v>
      </c>
      <c r="T44" s="8" t="s">
        <v>36</v>
      </c>
      <c r="U44" s="8" t="s">
        <v>663</v>
      </c>
      <c r="V44" s="8" t="s">
        <v>2783</v>
      </c>
      <c r="W44" s="8" t="s">
        <v>665</v>
      </c>
      <c r="Y44" s="3">
        <f>_xlfn.XLOOKUP(X44,'7月份计划'!A:A,'7月份计划'!A:A)</f>
        <v>0</v>
      </c>
    </row>
    <row r="45" spans="1:25">
      <c r="A45" s="12" t="s">
        <v>2784</v>
      </c>
      <c r="B45" s="12" t="s">
        <v>32</v>
      </c>
      <c r="C45" s="12" t="s">
        <v>2785</v>
      </c>
      <c r="D45" s="13">
        <v>1</v>
      </c>
      <c r="E45" s="12" t="s">
        <v>2786</v>
      </c>
      <c r="F45" s="14">
        <v>45863</v>
      </c>
      <c r="G45" s="14">
        <v>45863</v>
      </c>
      <c r="H45" s="15" t="s">
        <v>444</v>
      </c>
      <c r="I45" s="12" t="s">
        <v>445</v>
      </c>
      <c r="J45" s="15" t="s">
        <v>41</v>
      </c>
      <c r="K45" s="12" t="s">
        <v>660</v>
      </c>
      <c r="L45" s="15" t="s">
        <v>41</v>
      </c>
      <c r="M45" s="12" t="s">
        <v>492</v>
      </c>
      <c r="N45" s="15" t="s">
        <v>41</v>
      </c>
      <c r="O45" s="12" t="s">
        <v>2325</v>
      </c>
      <c r="P45" s="21">
        <v>0</v>
      </c>
      <c r="Q45" s="21">
        <v>25425</v>
      </c>
      <c r="R45" s="12" t="s">
        <v>1149</v>
      </c>
      <c r="S45" s="12" t="s">
        <v>282</v>
      </c>
      <c r="T45" s="12" t="s">
        <v>36</v>
      </c>
      <c r="U45" s="12" t="s">
        <v>663</v>
      </c>
      <c r="V45" s="12" t="s">
        <v>2787</v>
      </c>
      <c r="W45" s="12" t="s">
        <v>665</v>
      </c>
      <c r="Y45" s="3">
        <f>_xlfn.XLOOKUP(X45,'7月份计划'!A:A,'7月份计划'!A:A)</f>
        <v>0</v>
      </c>
    </row>
    <row r="46" spans="1:25">
      <c r="A46" s="8" t="s">
        <v>2788</v>
      </c>
      <c r="B46" s="8" t="s">
        <v>32</v>
      </c>
      <c r="C46" s="8" t="s">
        <v>2789</v>
      </c>
      <c r="D46" s="9">
        <v>1</v>
      </c>
      <c r="E46" s="8" t="s">
        <v>2790</v>
      </c>
      <c r="F46" s="10">
        <v>45863</v>
      </c>
      <c r="G46" s="10">
        <v>45863</v>
      </c>
      <c r="H46" s="11" t="s">
        <v>444</v>
      </c>
      <c r="I46" s="8" t="s">
        <v>445</v>
      </c>
      <c r="J46" s="11" t="s">
        <v>41</v>
      </c>
      <c r="K46" s="8" t="s">
        <v>660</v>
      </c>
      <c r="L46" s="11" t="s">
        <v>41</v>
      </c>
      <c r="M46" s="8" t="s">
        <v>492</v>
      </c>
      <c r="N46" s="11" t="s">
        <v>41</v>
      </c>
      <c r="O46" s="8" t="s">
        <v>2325</v>
      </c>
      <c r="P46" s="19">
        <v>0</v>
      </c>
      <c r="Q46" s="19">
        <v>69983.16</v>
      </c>
      <c r="R46" s="8" t="s">
        <v>1546</v>
      </c>
      <c r="S46" s="8" t="s">
        <v>273</v>
      </c>
      <c r="T46" s="8" t="s">
        <v>36</v>
      </c>
      <c r="U46" s="8" t="s">
        <v>663</v>
      </c>
      <c r="V46" s="8" t="s">
        <v>2791</v>
      </c>
      <c r="W46" s="8" t="s">
        <v>665</v>
      </c>
      <c r="Y46" s="3">
        <f>_xlfn.XLOOKUP(X46,'7月份计划'!A:A,'7月份计划'!A:A)</f>
        <v>0</v>
      </c>
    </row>
    <row r="47" spans="1:25">
      <c r="A47" s="12" t="s">
        <v>2792</v>
      </c>
      <c r="B47" s="12" t="s">
        <v>32</v>
      </c>
      <c r="C47" s="12" t="s">
        <v>2793</v>
      </c>
      <c r="D47" s="13">
        <v>1</v>
      </c>
      <c r="E47" s="12" t="s">
        <v>2794</v>
      </c>
      <c r="F47" s="14">
        <v>45863</v>
      </c>
      <c r="G47" s="14">
        <v>45863</v>
      </c>
      <c r="H47" s="15" t="s">
        <v>444</v>
      </c>
      <c r="I47" s="12" t="s">
        <v>445</v>
      </c>
      <c r="J47" s="15" t="s">
        <v>41</v>
      </c>
      <c r="K47" s="12" t="s">
        <v>660</v>
      </c>
      <c r="L47" s="15" t="s">
        <v>41</v>
      </c>
      <c r="M47" s="12" t="s">
        <v>492</v>
      </c>
      <c r="N47" s="15" t="s">
        <v>41</v>
      </c>
      <c r="O47" s="12" t="s">
        <v>2325</v>
      </c>
      <c r="P47" s="21">
        <v>0</v>
      </c>
      <c r="Q47" s="21">
        <v>1251.12</v>
      </c>
      <c r="R47" s="12" t="s">
        <v>914</v>
      </c>
      <c r="S47" s="12" t="s">
        <v>270</v>
      </c>
      <c r="T47" s="12" t="s">
        <v>36</v>
      </c>
      <c r="U47" s="12" t="s">
        <v>663</v>
      </c>
      <c r="V47" s="12" t="s">
        <v>2795</v>
      </c>
      <c r="W47" s="12" t="s">
        <v>665</v>
      </c>
      <c r="Y47" s="3">
        <f>_xlfn.XLOOKUP(X47,'7月份计划'!A:A,'7月份计划'!A:A)</f>
        <v>0</v>
      </c>
    </row>
    <row r="48" spans="1:25">
      <c r="A48" s="8" t="s">
        <v>2792</v>
      </c>
      <c r="B48" s="8" t="s">
        <v>32</v>
      </c>
      <c r="C48" s="8" t="s">
        <v>2793</v>
      </c>
      <c r="D48" s="9">
        <v>3</v>
      </c>
      <c r="E48" s="8" t="s">
        <v>2794</v>
      </c>
      <c r="F48" s="10">
        <v>45863</v>
      </c>
      <c r="G48" s="10">
        <v>45863</v>
      </c>
      <c r="H48" s="11" t="s">
        <v>444</v>
      </c>
      <c r="I48" s="8" t="s">
        <v>445</v>
      </c>
      <c r="J48" s="11" t="s">
        <v>41</v>
      </c>
      <c r="K48" s="8" t="s">
        <v>660</v>
      </c>
      <c r="L48" s="11" t="s">
        <v>41</v>
      </c>
      <c r="M48" s="8" t="s">
        <v>492</v>
      </c>
      <c r="N48" s="11" t="s">
        <v>41</v>
      </c>
      <c r="O48" s="8" t="s">
        <v>2325</v>
      </c>
      <c r="P48" s="19">
        <v>36.35</v>
      </c>
      <c r="Q48" s="19">
        <v>0</v>
      </c>
      <c r="R48" s="8" t="s">
        <v>914</v>
      </c>
      <c r="S48" s="8" t="s">
        <v>270</v>
      </c>
      <c r="T48" s="8" t="s">
        <v>36</v>
      </c>
      <c r="U48" s="8" t="s">
        <v>663</v>
      </c>
      <c r="V48" s="8" t="s">
        <v>2795</v>
      </c>
      <c r="W48" s="8" t="s">
        <v>665</v>
      </c>
      <c r="Y48" s="3">
        <f>_xlfn.XLOOKUP(X48,'7月份计划'!A:A,'7月份计划'!A:A)</f>
        <v>0</v>
      </c>
    </row>
    <row r="49" spans="1:25">
      <c r="A49" s="12" t="s">
        <v>2796</v>
      </c>
      <c r="B49" s="12" t="s">
        <v>32</v>
      </c>
      <c r="C49" s="12" t="s">
        <v>2797</v>
      </c>
      <c r="D49" s="13">
        <v>1</v>
      </c>
      <c r="E49" s="12" t="s">
        <v>2798</v>
      </c>
      <c r="F49" s="14">
        <v>45863</v>
      </c>
      <c r="G49" s="14">
        <v>45863</v>
      </c>
      <c r="H49" s="15" t="s">
        <v>444</v>
      </c>
      <c r="I49" s="12" t="s">
        <v>445</v>
      </c>
      <c r="J49" s="15" t="s">
        <v>41</v>
      </c>
      <c r="K49" s="12" t="s">
        <v>660</v>
      </c>
      <c r="L49" s="15" t="s">
        <v>41</v>
      </c>
      <c r="M49" s="12" t="s">
        <v>492</v>
      </c>
      <c r="N49" s="15" t="s">
        <v>41</v>
      </c>
      <c r="O49" s="12" t="s">
        <v>2325</v>
      </c>
      <c r="P49" s="21">
        <v>0</v>
      </c>
      <c r="Q49" s="21">
        <v>4931.2</v>
      </c>
      <c r="R49" s="12" t="s">
        <v>928</v>
      </c>
      <c r="S49" s="12" t="s">
        <v>241</v>
      </c>
      <c r="T49" s="12" t="s">
        <v>36</v>
      </c>
      <c r="U49" s="12" t="s">
        <v>663</v>
      </c>
      <c r="V49" s="12" t="s">
        <v>2799</v>
      </c>
      <c r="W49" s="12" t="s">
        <v>665</v>
      </c>
      <c r="Y49" s="3">
        <f>_xlfn.XLOOKUP(X49,'7月份计划'!A:A,'7月份计划'!A:A)</f>
        <v>0</v>
      </c>
    </row>
    <row r="50" spans="1:25">
      <c r="A50" s="8" t="s">
        <v>2800</v>
      </c>
      <c r="B50" s="8" t="s">
        <v>32</v>
      </c>
      <c r="C50" s="8" t="s">
        <v>2801</v>
      </c>
      <c r="D50" s="9">
        <v>1</v>
      </c>
      <c r="E50" s="8" t="s">
        <v>2802</v>
      </c>
      <c r="F50" s="10">
        <v>45863</v>
      </c>
      <c r="G50" s="10">
        <v>45863</v>
      </c>
      <c r="H50" s="11" t="s">
        <v>444</v>
      </c>
      <c r="I50" s="8" t="s">
        <v>445</v>
      </c>
      <c r="J50" s="11" t="s">
        <v>41</v>
      </c>
      <c r="K50" s="8" t="s">
        <v>660</v>
      </c>
      <c r="L50" s="11" t="s">
        <v>41</v>
      </c>
      <c r="M50" s="8" t="s">
        <v>492</v>
      </c>
      <c r="N50" s="11" t="s">
        <v>41</v>
      </c>
      <c r="O50" s="8" t="s">
        <v>2325</v>
      </c>
      <c r="P50" s="19">
        <v>0</v>
      </c>
      <c r="Q50" s="19">
        <v>22884.17</v>
      </c>
      <c r="R50" s="8" t="s">
        <v>919</v>
      </c>
      <c r="S50" s="8" t="s">
        <v>260</v>
      </c>
      <c r="T50" s="8" t="s">
        <v>36</v>
      </c>
      <c r="U50" s="8" t="s">
        <v>663</v>
      </c>
      <c r="V50" s="8" t="s">
        <v>2803</v>
      </c>
      <c r="W50" s="8" t="s">
        <v>665</v>
      </c>
      <c r="Y50" s="3">
        <f>_xlfn.XLOOKUP(X50,'7月份计划'!A:A,'7月份计划'!A:A)</f>
        <v>0</v>
      </c>
    </row>
    <row r="51" spans="1:25">
      <c r="A51" s="12" t="s">
        <v>2800</v>
      </c>
      <c r="B51" s="12" t="s">
        <v>32</v>
      </c>
      <c r="C51" s="12" t="s">
        <v>2801</v>
      </c>
      <c r="D51" s="13">
        <v>3</v>
      </c>
      <c r="E51" s="12" t="s">
        <v>2802</v>
      </c>
      <c r="F51" s="14">
        <v>45863</v>
      </c>
      <c r="G51" s="14">
        <v>45863</v>
      </c>
      <c r="H51" s="15" t="s">
        <v>444</v>
      </c>
      <c r="I51" s="12" t="s">
        <v>445</v>
      </c>
      <c r="J51" s="15" t="s">
        <v>41</v>
      </c>
      <c r="K51" s="12" t="s">
        <v>660</v>
      </c>
      <c r="L51" s="15" t="s">
        <v>41</v>
      </c>
      <c r="M51" s="12" t="s">
        <v>492</v>
      </c>
      <c r="N51" s="15" t="s">
        <v>41</v>
      </c>
      <c r="O51" s="12" t="s">
        <v>2325</v>
      </c>
      <c r="P51" s="21">
        <v>414.05</v>
      </c>
      <c r="Q51" s="21">
        <v>0</v>
      </c>
      <c r="R51" s="12" t="s">
        <v>919</v>
      </c>
      <c r="S51" s="12" t="s">
        <v>260</v>
      </c>
      <c r="T51" s="12" t="s">
        <v>36</v>
      </c>
      <c r="U51" s="12" t="s">
        <v>663</v>
      </c>
      <c r="V51" s="12" t="s">
        <v>2803</v>
      </c>
      <c r="W51" s="12" t="s">
        <v>665</v>
      </c>
      <c r="Y51" s="3">
        <f>_xlfn.XLOOKUP(X51,'7月份计划'!A:A,'7月份计划'!A:A)</f>
        <v>0</v>
      </c>
    </row>
    <row r="52" spans="1:25">
      <c r="A52" s="8" t="s">
        <v>2804</v>
      </c>
      <c r="B52" s="8" t="s">
        <v>32</v>
      </c>
      <c r="C52" s="8" t="s">
        <v>2805</v>
      </c>
      <c r="D52" s="9">
        <v>1</v>
      </c>
      <c r="E52" s="8" t="s">
        <v>2806</v>
      </c>
      <c r="F52" s="10">
        <v>45863</v>
      </c>
      <c r="G52" s="10">
        <v>45863</v>
      </c>
      <c r="H52" s="11" t="s">
        <v>444</v>
      </c>
      <c r="I52" s="8" t="s">
        <v>445</v>
      </c>
      <c r="J52" s="11" t="s">
        <v>41</v>
      </c>
      <c r="K52" s="8" t="s">
        <v>660</v>
      </c>
      <c r="L52" s="11" t="s">
        <v>41</v>
      </c>
      <c r="M52" s="8" t="s">
        <v>492</v>
      </c>
      <c r="N52" s="11" t="s">
        <v>41</v>
      </c>
      <c r="O52" s="8" t="s">
        <v>2325</v>
      </c>
      <c r="P52" s="19">
        <v>0</v>
      </c>
      <c r="Q52" s="19">
        <v>7259.01</v>
      </c>
      <c r="R52" s="8" t="s">
        <v>861</v>
      </c>
      <c r="S52" s="8" t="s">
        <v>244</v>
      </c>
      <c r="T52" s="8" t="s">
        <v>36</v>
      </c>
      <c r="U52" s="8" t="s">
        <v>663</v>
      </c>
      <c r="V52" s="8" t="s">
        <v>2807</v>
      </c>
      <c r="W52" s="8" t="s">
        <v>665</v>
      </c>
      <c r="Y52" s="3">
        <f>_xlfn.XLOOKUP(X52,'7月份计划'!A:A,'7月份计划'!A:A)</f>
        <v>0</v>
      </c>
    </row>
    <row r="53" spans="1:25">
      <c r="A53" s="12" t="s">
        <v>2808</v>
      </c>
      <c r="B53" s="12" t="s">
        <v>32</v>
      </c>
      <c r="C53" s="12" t="s">
        <v>2809</v>
      </c>
      <c r="D53" s="13">
        <v>1</v>
      </c>
      <c r="E53" s="12" t="s">
        <v>2810</v>
      </c>
      <c r="F53" s="14">
        <v>45863</v>
      </c>
      <c r="G53" s="14">
        <v>45863</v>
      </c>
      <c r="H53" s="15" t="s">
        <v>444</v>
      </c>
      <c r="I53" s="12" t="s">
        <v>445</v>
      </c>
      <c r="J53" s="15" t="s">
        <v>41</v>
      </c>
      <c r="K53" s="12" t="s">
        <v>660</v>
      </c>
      <c r="L53" s="15" t="s">
        <v>41</v>
      </c>
      <c r="M53" s="12" t="s">
        <v>492</v>
      </c>
      <c r="N53" s="15" t="s">
        <v>41</v>
      </c>
      <c r="O53" s="12" t="s">
        <v>2325</v>
      </c>
      <c r="P53" s="21">
        <v>0</v>
      </c>
      <c r="Q53" s="21">
        <v>43327.62</v>
      </c>
      <c r="R53" s="12" t="s">
        <v>1191</v>
      </c>
      <c r="S53" s="12" t="s">
        <v>255</v>
      </c>
      <c r="T53" s="12" t="s">
        <v>36</v>
      </c>
      <c r="U53" s="12" t="s">
        <v>663</v>
      </c>
      <c r="V53" s="12" t="s">
        <v>2811</v>
      </c>
      <c r="W53" s="12" t="s">
        <v>665</v>
      </c>
      <c r="Y53" s="3">
        <f>_xlfn.XLOOKUP(X53,'7月份计划'!A:A,'7月份计划'!A:A)</f>
        <v>0</v>
      </c>
    </row>
    <row r="54" spans="1:25">
      <c r="A54" s="8" t="s">
        <v>2808</v>
      </c>
      <c r="B54" s="8" t="s">
        <v>32</v>
      </c>
      <c r="C54" s="8" t="s">
        <v>2809</v>
      </c>
      <c r="D54" s="9">
        <v>3</v>
      </c>
      <c r="E54" s="8" t="s">
        <v>2810</v>
      </c>
      <c r="F54" s="10">
        <v>45863</v>
      </c>
      <c r="G54" s="10">
        <v>45863</v>
      </c>
      <c r="H54" s="11" t="s">
        <v>444</v>
      </c>
      <c r="I54" s="8" t="s">
        <v>445</v>
      </c>
      <c r="J54" s="11" t="s">
        <v>41</v>
      </c>
      <c r="K54" s="8" t="s">
        <v>660</v>
      </c>
      <c r="L54" s="11" t="s">
        <v>41</v>
      </c>
      <c r="M54" s="8" t="s">
        <v>492</v>
      </c>
      <c r="N54" s="11" t="s">
        <v>41</v>
      </c>
      <c r="O54" s="8" t="s">
        <v>2325</v>
      </c>
      <c r="P54" s="19">
        <v>1336.24</v>
      </c>
      <c r="Q54" s="19">
        <v>0</v>
      </c>
      <c r="R54" s="8" t="s">
        <v>1191</v>
      </c>
      <c r="S54" s="8" t="s">
        <v>255</v>
      </c>
      <c r="T54" s="8" t="s">
        <v>36</v>
      </c>
      <c r="U54" s="8" t="s">
        <v>663</v>
      </c>
      <c r="V54" s="8" t="s">
        <v>2811</v>
      </c>
      <c r="W54" s="8" t="s">
        <v>665</v>
      </c>
      <c r="Y54" s="3">
        <f>_xlfn.XLOOKUP(X54,'7月份计划'!A:A,'7月份计划'!A:A)</f>
        <v>0</v>
      </c>
    </row>
    <row r="55" spans="1:25">
      <c r="A55" s="12" t="s">
        <v>2812</v>
      </c>
      <c r="B55" s="12" t="s">
        <v>32</v>
      </c>
      <c r="C55" s="12" t="s">
        <v>2813</v>
      </c>
      <c r="D55" s="13">
        <v>1</v>
      </c>
      <c r="E55" s="12" t="s">
        <v>2814</v>
      </c>
      <c r="F55" s="14">
        <v>45863</v>
      </c>
      <c r="G55" s="14">
        <v>45863</v>
      </c>
      <c r="H55" s="15" t="s">
        <v>444</v>
      </c>
      <c r="I55" s="12" t="s">
        <v>445</v>
      </c>
      <c r="J55" s="15" t="s">
        <v>41</v>
      </c>
      <c r="K55" s="12" t="s">
        <v>660</v>
      </c>
      <c r="L55" s="15" t="s">
        <v>41</v>
      </c>
      <c r="M55" s="12" t="s">
        <v>492</v>
      </c>
      <c r="N55" s="15" t="s">
        <v>41</v>
      </c>
      <c r="O55" s="12" t="s">
        <v>2325</v>
      </c>
      <c r="P55" s="21">
        <v>0</v>
      </c>
      <c r="Q55" s="21">
        <v>137719.16</v>
      </c>
      <c r="R55" s="12" t="s">
        <v>706</v>
      </c>
      <c r="S55" s="12" t="s">
        <v>240</v>
      </c>
      <c r="T55" s="12" t="s">
        <v>36</v>
      </c>
      <c r="U55" s="12" t="s">
        <v>663</v>
      </c>
      <c r="V55" s="12" t="s">
        <v>2815</v>
      </c>
      <c r="W55" s="12" t="s">
        <v>665</v>
      </c>
      <c r="Y55" s="3">
        <f>_xlfn.XLOOKUP(X55,'7月份计划'!A:A,'7月份计划'!A:A)</f>
        <v>0</v>
      </c>
    </row>
    <row r="56" spans="1:25">
      <c r="A56" s="8" t="s">
        <v>2812</v>
      </c>
      <c r="B56" s="8" t="s">
        <v>32</v>
      </c>
      <c r="C56" s="8" t="s">
        <v>2813</v>
      </c>
      <c r="D56" s="9">
        <v>3</v>
      </c>
      <c r="E56" s="8" t="s">
        <v>2814</v>
      </c>
      <c r="F56" s="10">
        <v>45863</v>
      </c>
      <c r="G56" s="10">
        <v>45863</v>
      </c>
      <c r="H56" s="11" t="s">
        <v>444</v>
      </c>
      <c r="I56" s="8" t="s">
        <v>445</v>
      </c>
      <c r="J56" s="11" t="s">
        <v>41</v>
      </c>
      <c r="K56" s="8" t="s">
        <v>660</v>
      </c>
      <c r="L56" s="11" t="s">
        <v>41</v>
      </c>
      <c r="M56" s="8" t="s">
        <v>492</v>
      </c>
      <c r="N56" s="11" t="s">
        <v>41</v>
      </c>
      <c r="O56" s="8" t="s">
        <v>2325</v>
      </c>
      <c r="P56" s="19">
        <v>408</v>
      </c>
      <c r="Q56" s="19">
        <v>0</v>
      </c>
      <c r="R56" s="8" t="s">
        <v>706</v>
      </c>
      <c r="S56" s="8" t="s">
        <v>240</v>
      </c>
      <c r="T56" s="8" t="s">
        <v>36</v>
      </c>
      <c r="U56" s="8" t="s">
        <v>663</v>
      </c>
      <c r="V56" s="8" t="s">
        <v>2815</v>
      </c>
      <c r="W56" s="8" t="s">
        <v>665</v>
      </c>
      <c r="Y56" s="3">
        <f>_xlfn.XLOOKUP(X56,'7月份计划'!A:A,'7月份计划'!A:A)</f>
        <v>0</v>
      </c>
    </row>
    <row r="57" spans="1:25">
      <c r="A57" s="12" t="s">
        <v>2816</v>
      </c>
      <c r="B57" s="12" t="s">
        <v>32</v>
      </c>
      <c r="C57" s="12" t="s">
        <v>2817</v>
      </c>
      <c r="D57" s="13">
        <v>1</v>
      </c>
      <c r="E57" s="12" t="s">
        <v>2818</v>
      </c>
      <c r="F57" s="14">
        <v>45863</v>
      </c>
      <c r="G57" s="14">
        <v>45863</v>
      </c>
      <c r="H57" s="15" t="s">
        <v>444</v>
      </c>
      <c r="I57" s="12" t="s">
        <v>445</v>
      </c>
      <c r="J57" s="15" t="s">
        <v>41</v>
      </c>
      <c r="K57" s="12" t="s">
        <v>660</v>
      </c>
      <c r="L57" s="15" t="s">
        <v>41</v>
      </c>
      <c r="M57" s="12" t="s">
        <v>492</v>
      </c>
      <c r="N57" s="15" t="s">
        <v>41</v>
      </c>
      <c r="O57" s="12" t="s">
        <v>2325</v>
      </c>
      <c r="P57" s="21">
        <v>0</v>
      </c>
      <c r="Q57" s="21">
        <v>17003.42</v>
      </c>
      <c r="R57" s="12" t="s">
        <v>876</v>
      </c>
      <c r="S57" s="12" t="s">
        <v>272</v>
      </c>
      <c r="T57" s="12" t="s">
        <v>36</v>
      </c>
      <c r="U57" s="12" t="s">
        <v>663</v>
      </c>
      <c r="V57" s="12" t="s">
        <v>2819</v>
      </c>
      <c r="W57" s="12" t="s">
        <v>665</v>
      </c>
      <c r="Y57" s="3">
        <f>_xlfn.XLOOKUP(X57,'7月份计划'!A:A,'7月份计划'!A:A)</f>
        <v>0</v>
      </c>
    </row>
    <row r="58" spans="1:25">
      <c r="A58" s="8" t="s">
        <v>2820</v>
      </c>
      <c r="B58" s="8" t="s">
        <v>32</v>
      </c>
      <c r="C58" s="8" t="s">
        <v>2821</v>
      </c>
      <c r="D58" s="9">
        <v>1</v>
      </c>
      <c r="E58" s="8" t="s">
        <v>2822</v>
      </c>
      <c r="F58" s="10">
        <v>45863</v>
      </c>
      <c r="G58" s="10">
        <v>45863</v>
      </c>
      <c r="H58" s="11" t="s">
        <v>444</v>
      </c>
      <c r="I58" s="8" t="s">
        <v>445</v>
      </c>
      <c r="J58" s="11" t="s">
        <v>41</v>
      </c>
      <c r="K58" s="8" t="s">
        <v>660</v>
      </c>
      <c r="L58" s="11" t="s">
        <v>41</v>
      </c>
      <c r="M58" s="8" t="s">
        <v>492</v>
      </c>
      <c r="N58" s="11" t="s">
        <v>41</v>
      </c>
      <c r="O58" s="8" t="s">
        <v>2325</v>
      </c>
      <c r="P58" s="19">
        <v>0</v>
      </c>
      <c r="Q58" s="19">
        <v>55463.98</v>
      </c>
      <c r="R58" s="8" t="s">
        <v>866</v>
      </c>
      <c r="S58" s="8" t="s">
        <v>250</v>
      </c>
      <c r="T58" s="8" t="s">
        <v>36</v>
      </c>
      <c r="U58" s="8" t="s">
        <v>663</v>
      </c>
      <c r="V58" s="8" t="s">
        <v>2823</v>
      </c>
      <c r="W58" s="8" t="s">
        <v>665</v>
      </c>
      <c r="Y58" s="3">
        <f>_xlfn.XLOOKUP(X58,'7月份计划'!A:A,'7月份计划'!A:A)</f>
        <v>0</v>
      </c>
    </row>
    <row r="59" spans="1:25">
      <c r="A59" s="12" t="s">
        <v>2820</v>
      </c>
      <c r="B59" s="12" t="s">
        <v>32</v>
      </c>
      <c r="C59" s="12" t="s">
        <v>2821</v>
      </c>
      <c r="D59" s="13">
        <v>3</v>
      </c>
      <c r="E59" s="12" t="s">
        <v>2822</v>
      </c>
      <c r="F59" s="14">
        <v>45863</v>
      </c>
      <c r="G59" s="14">
        <v>45863</v>
      </c>
      <c r="H59" s="15" t="s">
        <v>444</v>
      </c>
      <c r="I59" s="12" t="s">
        <v>445</v>
      </c>
      <c r="J59" s="15" t="s">
        <v>41</v>
      </c>
      <c r="K59" s="12" t="s">
        <v>660</v>
      </c>
      <c r="L59" s="15" t="s">
        <v>41</v>
      </c>
      <c r="M59" s="12" t="s">
        <v>492</v>
      </c>
      <c r="N59" s="15" t="s">
        <v>41</v>
      </c>
      <c r="O59" s="12" t="s">
        <v>2325</v>
      </c>
      <c r="P59" s="21">
        <v>3.2</v>
      </c>
      <c r="Q59" s="21">
        <v>0</v>
      </c>
      <c r="R59" s="12" t="s">
        <v>866</v>
      </c>
      <c r="S59" s="12" t="s">
        <v>250</v>
      </c>
      <c r="T59" s="12" t="s">
        <v>36</v>
      </c>
      <c r="U59" s="12" t="s">
        <v>663</v>
      </c>
      <c r="V59" s="12" t="s">
        <v>2823</v>
      </c>
      <c r="W59" s="12" t="s">
        <v>665</v>
      </c>
      <c r="Y59" s="3">
        <f>_xlfn.XLOOKUP(X59,'7月份计划'!A:A,'7月份计划'!A:A)</f>
        <v>0</v>
      </c>
    </row>
    <row r="60" spans="1:25">
      <c r="A60" s="8" t="s">
        <v>2824</v>
      </c>
      <c r="B60" s="8" t="s">
        <v>32</v>
      </c>
      <c r="C60" s="8" t="s">
        <v>2825</v>
      </c>
      <c r="D60" s="9">
        <v>1</v>
      </c>
      <c r="E60" s="8" t="s">
        <v>2826</v>
      </c>
      <c r="F60" s="10">
        <v>45863</v>
      </c>
      <c r="G60" s="10">
        <v>45863</v>
      </c>
      <c r="H60" s="11" t="s">
        <v>444</v>
      </c>
      <c r="I60" s="8" t="s">
        <v>445</v>
      </c>
      <c r="J60" s="11" t="s">
        <v>41</v>
      </c>
      <c r="K60" s="8" t="s">
        <v>660</v>
      </c>
      <c r="L60" s="11" t="s">
        <v>41</v>
      </c>
      <c r="M60" s="8" t="s">
        <v>492</v>
      </c>
      <c r="N60" s="11" t="s">
        <v>41</v>
      </c>
      <c r="O60" s="8" t="s">
        <v>685</v>
      </c>
      <c r="P60" s="19">
        <v>5481.7</v>
      </c>
      <c r="Q60" s="19">
        <v>0</v>
      </c>
      <c r="R60" s="8" t="s">
        <v>866</v>
      </c>
      <c r="S60" s="8" t="s">
        <v>250</v>
      </c>
      <c r="T60" s="8" t="s">
        <v>36</v>
      </c>
      <c r="U60" s="8" t="s">
        <v>663</v>
      </c>
      <c r="V60" s="8" t="s">
        <v>2827</v>
      </c>
      <c r="W60" s="8" t="s">
        <v>665</v>
      </c>
      <c r="Y60" s="3">
        <f>_xlfn.XLOOKUP(X60,'7月份计划'!A:A,'7月份计划'!A:A)</f>
        <v>0</v>
      </c>
    </row>
    <row r="61" spans="1:25">
      <c r="A61" s="12" t="s">
        <v>2828</v>
      </c>
      <c r="B61" s="12" t="s">
        <v>32</v>
      </c>
      <c r="C61" s="12" t="s">
        <v>2829</v>
      </c>
      <c r="D61" s="13">
        <v>1</v>
      </c>
      <c r="E61" s="12" t="s">
        <v>2830</v>
      </c>
      <c r="F61" s="14">
        <v>45863</v>
      </c>
      <c r="G61" s="14">
        <v>45863</v>
      </c>
      <c r="H61" s="15" t="s">
        <v>444</v>
      </c>
      <c r="I61" s="12" t="s">
        <v>445</v>
      </c>
      <c r="J61" s="15" t="s">
        <v>41</v>
      </c>
      <c r="K61" s="12" t="s">
        <v>660</v>
      </c>
      <c r="L61" s="15" t="s">
        <v>41</v>
      </c>
      <c r="M61" s="12" t="s">
        <v>492</v>
      </c>
      <c r="N61" s="15" t="s">
        <v>41</v>
      </c>
      <c r="O61" s="12" t="s">
        <v>2831</v>
      </c>
      <c r="P61" s="21">
        <v>0</v>
      </c>
      <c r="Q61" s="21">
        <v>0.07</v>
      </c>
      <c r="R61" s="12" t="s">
        <v>866</v>
      </c>
      <c r="S61" s="12" t="s">
        <v>250</v>
      </c>
      <c r="T61" s="12" t="s">
        <v>36</v>
      </c>
      <c r="U61" s="12" t="s">
        <v>663</v>
      </c>
      <c r="V61" s="12" t="s">
        <v>2832</v>
      </c>
      <c r="W61" s="12" t="s">
        <v>665</v>
      </c>
      <c r="Y61" s="3">
        <f>_xlfn.XLOOKUP(X61,'7月份计划'!A:A,'7月份计划'!A:A)</f>
        <v>0</v>
      </c>
    </row>
    <row r="62" spans="1:25">
      <c r="A62" s="8" t="s">
        <v>2833</v>
      </c>
      <c r="B62" s="8" t="s">
        <v>32</v>
      </c>
      <c r="C62" s="8" t="s">
        <v>2834</v>
      </c>
      <c r="D62" s="9">
        <v>1</v>
      </c>
      <c r="E62" s="8" t="s">
        <v>2835</v>
      </c>
      <c r="F62" s="10">
        <v>45863</v>
      </c>
      <c r="G62" s="10">
        <v>45863</v>
      </c>
      <c r="H62" s="11" t="s">
        <v>444</v>
      </c>
      <c r="I62" s="8" t="s">
        <v>445</v>
      </c>
      <c r="J62" s="11" t="s">
        <v>41</v>
      </c>
      <c r="K62" s="8" t="s">
        <v>660</v>
      </c>
      <c r="L62" s="11" t="s">
        <v>41</v>
      </c>
      <c r="M62" s="8" t="s">
        <v>492</v>
      </c>
      <c r="N62" s="11" t="s">
        <v>41</v>
      </c>
      <c r="O62" s="8" t="s">
        <v>2325</v>
      </c>
      <c r="P62" s="19">
        <v>0</v>
      </c>
      <c r="Q62" s="19">
        <v>27863.56</v>
      </c>
      <c r="R62" s="8" t="s">
        <v>1586</v>
      </c>
      <c r="S62" s="8" t="s">
        <v>247</v>
      </c>
      <c r="T62" s="8" t="s">
        <v>36</v>
      </c>
      <c r="U62" s="8" t="s">
        <v>663</v>
      </c>
      <c r="V62" s="8" t="s">
        <v>2836</v>
      </c>
      <c r="W62" s="8" t="s">
        <v>665</v>
      </c>
      <c r="Y62" s="3">
        <f>_xlfn.XLOOKUP(X62,'7月份计划'!A:A,'7月份计划'!A:A)</f>
        <v>0</v>
      </c>
    </row>
    <row r="63" spans="1:25">
      <c r="A63" s="12" t="s">
        <v>2837</v>
      </c>
      <c r="B63" s="12" t="s">
        <v>32</v>
      </c>
      <c r="C63" s="12" t="s">
        <v>2838</v>
      </c>
      <c r="D63" s="13">
        <v>1</v>
      </c>
      <c r="E63" s="12" t="s">
        <v>2839</v>
      </c>
      <c r="F63" s="14">
        <v>45863</v>
      </c>
      <c r="G63" s="14">
        <v>45863</v>
      </c>
      <c r="H63" s="15" t="s">
        <v>444</v>
      </c>
      <c r="I63" s="12" t="s">
        <v>445</v>
      </c>
      <c r="J63" s="15" t="s">
        <v>41</v>
      </c>
      <c r="K63" s="12" t="s">
        <v>660</v>
      </c>
      <c r="L63" s="15" t="s">
        <v>41</v>
      </c>
      <c r="M63" s="12" t="s">
        <v>492</v>
      </c>
      <c r="N63" s="15" t="s">
        <v>41</v>
      </c>
      <c r="O63" s="12" t="s">
        <v>2325</v>
      </c>
      <c r="P63" s="21">
        <v>0</v>
      </c>
      <c r="Q63" s="21">
        <v>436980.64</v>
      </c>
      <c r="R63" s="12" t="s">
        <v>853</v>
      </c>
      <c r="S63" s="12" t="s">
        <v>265</v>
      </c>
      <c r="T63" s="12" t="s">
        <v>36</v>
      </c>
      <c r="U63" s="12" t="s">
        <v>663</v>
      </c>
      <c r="V63" s="12" t="s">
        <v>2840</v>
      </c>
      <c r="W63" s="12" t="s">
        <v>665</v>
      </c>
      <c r="Y63" s="3">
        <f>_xlfn.XLOOKUP(X63,'7月份计划'!A:A,'7月份计划'!A:A)</f>
        <v>0</v>
      </c>
    </row>
    <row r="64" spans="1:25">
      <c r="A64" s="8" t="s">
        <v>2837</v>
      </c>
      <c r="B64" s="8" t="s">
        <v>32</v>
      </c>
      <c r="C64" s="8" t="s">
        <v>2838</v>
      </c>
      <c r="D64" s="9">
        <v>5</v>
      </c>
      <c r="E64" s="8" t="s">
        <v>2839</v>
      </c>
      <c r="F64" s="10">
        <v>45863</v>
      </c>
      <c r="G64" s="10">
        <v>45863</v>
      </c>
      <c r="H64" s="11" t="s">
        <v>444</v>
      </c>
      <c r="I64" s="8" t="s">
        <v>445</v>
      </c>
      <c r="J64" s="11" t="s">
        <v>41</v>
      </c>
      <c r="K64" s="8" t="s">
        <v>660</v>
      </c>
      <c r="L64" s="11" t="s">
        <v>41</v>
      </c>
      <c r="M64" s="8" t="s">
        <v>492</v>
      </c>
      <c r="N64" s="11" t="s">
        <v>41</v>
      </c>
      <c r="O64" s="8" t="s">
        <v>2325</v>
      </c>
      <c r="P64" s="19">
        <v>10.72</v>
      </c>
      <c r="Q64" s="19">
        <v>0</v>
      </c>
      <c r="R64" s="8" t="s">
        <v>853</v>
      </c>
      <c r="S64" s="8" t="s">
        <v>265</v>
      </c>
      <c r="T64" s="8" t="s">
        <v>36</v>
      </c>
      <c r="U64" s="8" t="s">
        <v>663</v>
      </c>
      <c r="V64" s="8" t="s">
        <v>2840</v>
      </c>
      <c r="W64" s="8" t="s">
        <v>665</v>
      </c>
      <c r="Y64" s="3">
        <f>_xlfn.XLOOKUP(X64,'7月份计划'!A:A,'7月份计划'!A:A)</f>
        <v>0</v>
      </c>
    </row>
    <row r="65" spans="1:25">
      <c r="A65" s="12" t="s">
        <v>2841</v>
      </c>
      <c r="B65" s="12" t="s">
        <v>32</v>
      </c>
      <c r="C65" s="12" t="s">
        <v>2842</v>
      </c>
      <c r="D65" s="13">
        <v>1</v>
      </c>
      <c r="E65" s="12" t="s">
        <v>2843</v>
      </c>
      <c r="F65" s="14">
        <v>45863</v>
      </c>
      <c r="G65" s="14">
        <v>45863</v>
      </c>
      <c r="H65" s="15" t="s">
        <v>444</v>
      </c>
      <c r="I65" s="12" t="s">
        <v>445</v>
      </c>
      <c r="J65" s="15" t="s">
        <v>41</v>
      </c>
      <c r="K65" s="12" t="s">
        <v>660</v>
      </c>
      <c r="L65" s="15" t="s">
        <v>41</v>
      </c>
      <c r="M65" s="12" t="s">
        <v>492</v>
      </c>
      <c r="N65" s="15" t="s">
        <v>41</v>
      </c>
      <c r="O65" s="12" t="s">
        <v>2325</v>
      </c>
      <c r="P65" s="21">
        <v>0</v>
      </c>
      <c r="Q65" s="21">
        <v>6722.96</v>
      </c>
      <c r="R65" s="12" t="s">
        <v>729</v>
      </c>
      <c r="S65" s="12" t="s">
        <v>283</v>
      </c>
      <c r="T65" s="12" t="s">
        <v>36</v>
      </c>
      <c r="U65" s="12" t="s">
        <v>663</v>
      </c>
      <c r="V65" s="12" t="s">
        <v>2844</v>
      </c>
      <c r="W65" s="12" t="s">
        <v>665</v>
      </c>
      <c r="Y65" s="3">
        <f>_xlfn.XLOOKUP(X65,'7月份计划'!A:A,'7月份计划'!A:A)</f>
        <v>0</v>
      </c>
    </row>
    <row r="66" spans="1:25">
      <c r="A66" s="8" t="s">
        <v>2841</v>
      </c>
      <c r="B66" s="8" t="s">
        <v>32</v>
      </c>
      <c r="C66" s="8" t="s">
        <v>2842</v>
      </c>
      <c r="D66" s="9">
        <v>3</v>
      </c>
      <c r="E66" s="8" t="s">
        <v>2843</v>
      </c>
      <c r="F66" s="10">
        <v>45863</v>
      </c>
      <c r="G66" s="10">
        <v>45863</v>
      </c>
      <c r="H66" s="11" t="s">
        <v>444</v>
      </c>
      <c r="I66" s="8" t="s">
        <v>445</v>
      </c>
      <c r="J66" s="11" t="s">
        <v>41</v>
      </c>
      <c r="K66" s="8" t="s">
        <v>660</v>
      </c>
      <c r="L66" s="11" t="s">
        <v>41</v>
      </c>
      <c r="M66" s="8" t="s">
        <v>492</v>
      </c>
      <c r="N66" s="11" t="s">
        <v>41</v>
      </c>
      <c r="O66" s="8" t="s">
        <v>2325</v>
      </c>
      <c r="P66" s="19">
        <v>154.95</v>
      </c>
      <c r="Q66" s="19">
        <v>0</v>
      </c>
      <c r="R66" s="8" t="s">
        <v>729</v>
      </c>
      <c r="S66" s="8" t="s">
        <v>283</v>
      </c>
      <c r="T66" s="8" t="s">
        <v>36</v>
      </c>
      <c r="U66" s="8" t="s">
        <v>663</v>
      </c>
      <c r="V66" s="8" t="s">
        <v>2844</v>
      </c>
      <c r="W66" s="8" t="s">
        <v>665</v>
      </c>
      <c r="Y66" s="3">
        <f>_xlfn.XLOOKUP(X66,'7月份计划'!A:A,'7月份计划'!A:A)</f>
        <v>0</v>
      </c>
    </row>
    <row r="67" spans="1:25">
      <c r="A67" s="12" t="s">
        <v>2845</v>
      </c>
      <c r="B67" s="12" t="s">
        <v>32</v>
      </c>
      <c r="C67" s="12" t="s">
        <v>2846</v>
      </c>
      <c r="D67" s="13">
        <v>1</v>
      </c>
      <c r="E67" s="12" t="s">
        <v>2847</v>
      </c>
      <c r="F67" s="14">
        <v>45863</v>
      </c>
      <c r="G67" s="14">
        <v>45863</v>
      </c>
      <c r="H67" s="15" t="s">
        <v>444</v>
      </c>
      <c r="I67" s="12" t="s">
        <v>445</v>
      </c>
      <c r="J67" s="15" t="s">
        <v>41</v>
      </c>
      <c r="K67" s="12" t="s">
        <v>660</v>
      </c>
      <c r="L67" s="15" t="s">
        <v>41</v>
      </c>
      <c r="M67" s="12" t="s">
        <v>492</v>
      </c>
      <c r="N67" s="15" t="s">
        <v>41</v>
      </c>
      <c r="O67" s="12" t="s">
        <v>2848</v>
      </c>
      <c r="P67" s="21">
        <v>0</v>
      </c>
      <c r="Q67" s="21">
        <v>2110359.92</v>
      </c>
      <c r="R67" s="12" t="s">
        <v>34</v>
      </c>
      <c r="S67" s="12" t="s">
        <v>277</v>
      </c>
      <c r="T67" s="12" t="s">
        <v>36</v>
      </c>
      <c r="U67" s="12" t="s">
        <v>663</v>
      </c>
      <c r="V67" s="12" t="s">
        <v>112</v>
      </c>
      <c r="W67" s="12" t="s">
        <v>665</v>
      </c>
      <c r="Y67" s="3">
        <f>_xlfn.XLOOKUP(X67,'7月份计划'!A:A,'7月份计划'!A:A)</f>
        <v>0</v>
      </c>
    </row>
    <row r="68" spans="1:25">
      <c r="A68" s="8" t="s">
        <v>2845</v>
      </c>
      <c r="B68" s="8" t="s">
        <v>32</v>
      </c>
      <c r="C68" s="8" t="s">
        <v>2846</v>
      </c>
      <c r="D68" s="9">
        <v>3</v>
      </c>
      <c r="E68" s="8" t="s">
        <v>2847</v>
      </c>
      <c r="F68" s="10">
        <v>45863</v>
      </c>
      <c r="G68" s="10">
        <v>45863</v>
      </c>
      <c r="H68" s="11" t="s">
        <v>444</v>
      </c>
      <c r="I68" s="8" t="s">
        <v>445</v>
      </c>
      <c r="J68" s="11" t="s">
        <v>41</v>
      </c>
      <c r="K68" s="8" t="s">
        <v>660</v>
      </c>
      <c r="L68" s="11" t="s">
        <v>41</v>
      </c>
      <c r="M68" s="8" t="s">
        <v>492</v>
      </c>
      <c r="N68" s="11" t="s">
        <v>41</v>
      </c>
      <c r="O68" s="8" t="s">
        <v>2848</v>
      </c>
      <c r="P68" s="19">
        <v>334695.92</v>
      </c>
      <c r="Q68" s="19">
        <v>0</v>
      </c>
      <c r="R68" s="8" t="s">
        <v>34</v>
      </c>
      <c r="S68" s="8" t="s">
        <v>277</v>
      </c>
      <c r="T68" s="8" t="s">
        <v>36</v>
      </c>
      <c r="U68" s="8" t="s">
        <v>663</v>
      </c>
      <c r="V68" s="8" t="s">
        <v>112</v>
      </c>
      <c r="W68" s="8" t="s">
        <v>665</v>
      </c>
      <c r="Y68" s="3">
        <f>_xlfn.XLOOKUP(X68,'7月份计划'!A:A,'7月份计划'!A:A)</f>
        <v>0</v>
      </c>
    </row>
    <row r="69" spans="1:25">
      <c r="A69" s="12" t="s">
        <v>2849</v>
      </c>
      <c r="B69" s="12" t="s">
        <v>32</v>
      </c>
      <c r="C69" s="12" t="s">
        <v>2850</v>
      </c>
      <c r="D69" s="13">
        <v>1</v>
      </c>
      <c r="E69" s="12" t="s">
        <v>2851</v>
      </c>
      <c r="F69" s="14">
        <v>45863</v>
      </c>
      <c r="G69" s="14">
        <v>45863</v>
      </c>
      <c r="H69" s="15" t="s">
        <v>444</v>
      </c>
      <c r="I69" s="12" t="s">
        <v>445</v>
      </c>
      <c r="J69" s="15" t="s">
        <v>41</v>
      </c>
      <c r="K69" s="12" t="s">
        <v>660</v>
      </c>
      <c r="L69" s="15" t="s">
        <v>41</v>
      </c>
      <c r="M69" s="12" t="s">
        <v>492</v>
      </c>
      <c r="N69" s="15" t="s">
        <v>41</v>
      </c>
      <c r="O69" s="12" t="s">
        <v>2325</v>
      </c>
      <c r="P69" s="21">
        <v>0</v>
      </c>
      <c r="Q69" s="21">
        <v>354871.61</v>
      </c>
      <c r="R69" s="12" t="s">
        <v>952</v>
      </c>
      <c r="S69" s="12" t="s">
        <v>264</v>
      </c>
      <c r="T69" s="12" t="s">
        <v>36</v>
      </c>
      <c r="U69" s="12" t="s">
        <v>663</v>
      </c>
      <c r="V69" s="12" t="s">
        <v>2852</v>
      </c>
      <c r="W69" s="12" t="s">
        <v>665</v>
      </c>
      <c r="Y69" s="3">
        <f>_xlfn.XLOOKUP(X69,'7月份计划'!A:A,'7月份计划'!A:A)</f>
        <v>0</v>
      </c>
    </row>
    <row r="70" spans="1:25">
      <c r="A70" s="8" t="s">
        <v>2849</v>
      </c>
      <c r="B70" s="8" t="s">
        <v>32</v>
      </c>
      <c r="C70" s="8" t="s">
        <v>2850</v>
      </c>
      <c r="D70" s="9">
        <v>3</v>
      </c>
      <c r="E70" s="8" t="s">
        <v>2851</v>
      </c>
      <c r="F70" s="10">
        <v>45863</v>
      </c>
      <c r="G70" s="10">
        <v>45863</v>
      </c>
      <c r="H70" s="11" t="s">
        <v>444</v>
      </c>
      <c r="I70" s="8" t="s">
        <v>445</v>
      </c>
      <c r="J70" s="11" t="s">
        <v>41</v>
      </c>
      <c r="K70" s="8" t="s">
        <v>660</v>
      </c>
      <c r="L70" s="11" t="s">
        <v>41</v>
      </c>
      <c r="M70" s="8" t="s">
        <v>492</v>
      </c>
      <c r="N70" s="11" t="s">
        <v>41</v>
      </c>
      <c r="O70" s="8" t="s">
        <v>2325</v>
      </c>
      <c r="P70" s="19">
        <v>5948.54</v>
      </c>
      <c r="Q70" s="19">
        <v>0</v>
      </c>
      <c r="R70" s="8" t="s">
        <v>952</v>
      </c>
      <c r="S70" s="8" t="s">
        <v>264</v>
      </c>
      <c r="T70" s="8" t="s">
        <v>36</v>
      </c>
      <c r="U70" s="8" t="s">
        <v>663</v>
      </c>
      <c r="V70" s="8" t="s">
        <v>2852</v>
      </c>
      <c r="W70" s="8" t="s">
        <v>665</v>
      </c>
      <c r="Y70" s="3">
        <f>_xlfn.XLOOKUP(X70,'7月份计划'!A:A,'7月份计划'!A:A)</f>
        <v>0</v>
      </c>
    </row>
    <row r="71" spans="1:25">
      <c r="A71" s="12" t="s">
        <v>2853</v>
      </c>
      <c r="B71" s="12" t="s">
        <v>32</v>
      </c>
      <c r="C71" s="12" t="s">
        <v>2854</v>
      </c>
      <c r="D71" s="13">
        <v>1</v>
      </c>
      <c r="E71" s="12" t="s">
        <v>2855</v>
      </c>
      <c r="F71" s="14">
        <v>45863</v>
      </c>
      <c r="G71" s="14">
        <v>45863</v>
      </c>
      <c r="H71" s="15" t="s">
        <v>444</v>
      </c>
      <c r="I71" s="12" t="s">
        <v>445</v>
      </c>
      <c r="J71" s="15" t="s">
        <v>41</v>
      </c>
      <c r="K71" s="12" t="s">
        <v>660</v>
      </c>
      <c r="L71" s="15" t="s">
        <v>41</v>
      </c>
      <c r="M71" s="12" t="s">
        <v>492</v>
      </c>
      <c r="N71" s="15" t="s">
        <v>41</v>
      </c>
      <c r="O71" s="12" t="s">
        <v>2325</v>
      </c>
      <c r="P71" s="21">
        <v>0</v>
      </c>
      <c r="Q71" s="21">
        <v>15229.86</v>
      </c>
      <c r="R71" s="12" t="s">
        <v>899</v>
      </c>
      <c r="S71" s="12" t="s">
        <v>245</v>
      </c>
      <c r="T71" s="12" t="s">
        <v>36</v>
      </c>
      <c r="U71" s="12" t="s">
        <v>663</v>
      </c>
      <c r="V71" s="12" t="s">
        <v>2856</v>
      </c>
      <c r="W71" s="12" t="s">
        <v>665</v>
      </c>
      <c r="Y71" s="3">
        <f>_xlfn.XLOOKUP(X71,'7月份计划'!A:A,'7月份计划'!A:A)</f>
        <v>0</v>
      </c>
    </row>
    <row r="72" spans="1:25">
      <c r="A72" s="8" t="s">
        <v>2853</v>
      </c>
      <c r="B72" s="8" t="s">
        <v>32</v>
      </c>
      <c r="C72" s="8" t="s">
        <v>2854</v>
      </c>
      <c r="D72" s="9">
        <v>3</v>
      </c>
      <c r="E72" s="8" t="s">
        <v>2855</v>
      </c>
      <c r="F72" s="10">
        <v>45863</v>
      </c>
      <c r="G72" s="10">
        <v>45863</v>
      </c>
      <c r="H72" s="11" t="s">
        <v>444</v>
      </c>
      <c r="I72" s="8" t="s">
        <v>445</v>
      </c>
      <c r="J72" s="11" t="s">
        <v>41</v>
      </c>
      <c r="K72" s="8" t="s">
        <v>660</v>
      </c>
      <c r="L72" s="11" t="s">
        <v>41</v>
      </c>
      <c r="M72" s="8" t="s">
        <v>492</v>
      </c>
      <c r="N72" s="11" t="s">
        <v>41</v>
      </c>
      <c r="O72" s="8" t="s">
        <v>2325</v>
      </c>
      <c r="P72" s="19">
        <v>0.82</v>
      </c>
      <c r="Q72" s="19">
        <v>0</v>
      </c>
      <c r="R72" s="8" t="s">
        <v>899</v>
      </c>
      <c r="S72" s="8" t="s">
        <v>245</v>
      </c>
      <c r="T72" s="8" t="s">
        <v>36</v>
      </c>
      <c r="U72" s="8" t="s">
        <v>663</v>
      </c>
      <c r="V72" s="8" t="s">
        <v>2856</v>
      </c>
      <c r="W72" s="8" t="s">
        <v>665</v>
      </c>
      <c r="Y72" s="3">
        <f>_xlfn.XLOOKUP(X72,'7月份计划'!A:A,'7月份计划'!A:A)</f>
        <v>0</v>
      </c>
    </row>
    <row r="73" spans="1:25">
      <c r="A73" s="12" t="s">
        <v>2857</v>
      </c>
      <c r="B73" s="12" t="s">
        <v>32</v>
      </c>
      <c r="C73" s="12" t="s">
        <v>2858</v>
      </c>
      <c r="D73" s="13">
        <v>1</v>
      </c>
      <c r="E73" s="12" t="s">
        <v>2859</v>
      </c>
      <c r="F73" s="14">
        <v>45863</v>
      </c>
      <c r="G73" s="14">
        <v>45863</v>
      </c>
      <c r="H73" s="15" t="s">
        <v>444</v>
      </c>
      <c r="I73" s="12" t="s">
        <v>445</v>
      </c>
      <c r="J73" s="15" t="s">
        <v>41</v>
      </c>
      <c r="K73" s="12" t="s">
        <v>660</v>
      </c>
      <c r="L73" s="15" t="s">
        <v>41</v>
      </c>
      <c r="M73" s="12" t="s">
        <v>492</v>
      </c>
      <c r="N73" s="15" t="s">
        <v>41</v>
      </c>
      <c r="O73" s="12" t="s">
        <v>2325</v>
      </c>
      <c r="P73" s="21">
        <v>0</v>
      </c>
      <c r="Q73" s="21">
        <v>3640.86</v>
      </c>
      <c r="R73" s="12" t="s">
        <v>1365</v>
      </c>
      <c r="S73" s="12" t="s">
        <v>320</v>
      </c>
      <c r="T73" s="12" t="s">
        <v>36</v>
      </c>
      <c r="U73" s="12" t="s">
        <v>663</v>
      </c>
      <c r="V73" s="12" t="s">
        <v>2860</v>
      </c>
      <c r="W73" s="12" t="s">
        <v>665</v>
      </c>
      <c r="Y73" s="3">
        <f>_xlfn.XLOOKUP(X73,'7月份计划'!A:A,'7月份计划'!A:A)</f>
        <v>0</v>
      </c>
    </row>
    <row r="74" spans="1:25">
      <c r="A74" s="8" t="s">
        <v>2861</v>
      </c>
      <c r="B74" s="8" t="s">
        <v>32</v>
      </c>
      <c r="C74" s="8" t="s">
        <v>2862</v>
      </c>
      <c r="D74" s="9">
        <v>1</v>
      </c>
      <c r="E74" s="8" t="s">
        <v>2863</v>
      </c>
      <c r="F74" s="10">
        <v>45863</v>
      </c>
      <c r="G74" s="10">
        <v>45863</v>
      </c>
      <c r="H74" s="11" t="s">
        <v>444</v>
      </c>
      <c r="I74" s="8" t="s">
        <v>445</v>
      </c>
      <c r="J74" s="11" t="s">
        <v>41</v>
      </c>
      <c r="K74" s="8" t="s">
        <v>660</v>
      </c>
      <c r="L74" s="11" t="s">
        <v>41</v>
      </c>
      <c r="M74" s="8" t="s">
        <v>492</v>
      </c>
      <c r="N74" s="11" t="s">
        <v>41</v>
      </c>
      <c r="O74" s="8" t="s">
        <v>2325</v>
      </c>
      <c r="P74" s="19">
        <v>0</v>
      </c>
      <c r="Q74" s="19">
        <v>14727.41</v>
      </c>
      <c r="R74" s="8" t="s">
        <v>909</v>
      </c>
      <c r="S74" s="8" t="s">
        <v>242</v>
      </c>
      <c r="T74" s="8" t="s">
        <v>36</v>
      </c>
      <c r="U74" s="8" t="s">
        <v>663</v>
      </c>
      <c r="V74" s="8" t="s">
        <v>2864</v>
      </c>
      <c r="W74" s="8" t="s">
        <v>665</v>
      </c>
      <c r="Y74" s="3">
        <f>_xlfn.XLOOKUP(X74,'7月份计划'!A:A,'7月份计划'!A:A)</f>
        <v>0</v>
      </c>
    </row>
    <row r="75" spans="1:25">
      <c r="A75" s="12" t="s">
        <v>2861</v>
      </c>
      <c r="B75" s="12" t="s">
        <v>32</v>
      </c>
      <c r="C75" s="12" t="s">
        <v>2862</v>
      </c>
      <c r="D75" s="13">
        <v>3</v>
      </c>
      <c r="E75" s="12" t="s">
        <v>2863</v>
      </c>
      <c r="F75" s="14">
        <v>45863</v>
      </c>
      <c r="G75" s="14">
        <v>45863</v>
      </c>
      <c r="H75" s="15" t="s">
        <v>444</v>
      </c>
      <c r="I75" s="12" t="s">
        <v>445</v>
      </c>
      <c r="J75" s="15" t="s">
        <v>41</v>
      </c>
      <c r="K75" s="12" t="s">
        <v>660</v>
      </c>
      <c r="L75" s="15" t="s">
        <v>41</v>
      </c>
      <c r="M75" s="12" t="s">
        <v>492</v>
      </c>
      <c r="N75" s="15" t="s">
        <v>41</v>
      </c>
      <c r="O75" s="12" t="s">
        <v>2325</v>
      </c>
      <c r="P75" s="21">
        <v>139.38</v>
      </c>
      <c r="Q75" s="21">
        <v>0</v>
      </c>
      <c r="R75" s="12" t="s">
        <v>909</v>
      </c>
      <c r="S75" s="12" t="s">
        <v>242</v>
      </c>
      <c r="T75" s="12" t="s">
        <v>36</v>
      </c>
      <c r="U75" s="12" t="s">
        <v>663</v>
      </c>
      <c r="V75" s="12" t="s">
        <v>2864</v>
      </c>
      <c r="W75" s="12" t="s">
        <v>665</v>
      </c>
      <c r="Y75" s="3">
        <f>_xlfn.XLOOKUP(X75,'7月份计划'!A:A,'7月份计划'!A:A)</f>
        <v>0</v>
      </c>
    </row>
    <row r="76" spans="1:25">
      <c r="A76" s="8" t="s">
        <v>2865</v>
      </c>
      <c r="B76" s="8" t="s">
        <v>32</v>
      </c>
      <c r="C76" s="8" t="s">
        <v>2866</v>
      </c>
      <c r="D76" s="9">
        <v>1</v>
      </c>
      <c r="E76" s="8" t="s">
        <v>2867</v>
      </c>
      <c r="F76" s="10">
        <v>45866</v>
      </c>
      <c r="G76" s="10">
        <v>45866</v>
      </c>
      <c r="H76" s="11" t="s">
        <v>444</v>
      </c>
      <c r="I76" s="8" t="s">
        <v>445</v>
      </c>
      <c r="J76" s="11" t="s">
        <v>41</v>
      </c>
      <c r="K76" s="8" t="s">
        <v>660</v>
      </c>
      <c r="L76" s="11" t="s">
        <v>41</v>
      </c>
      <c r="M76" s="8" t="s">
        <v>492</v>
      </c>
      <c r="N76" s="11" t="s">
        <v>41</v>
      </c>
      <c r="O76" s="8" t="s">
        <v>2868</v>
      </c>
      <c r="P76" s="19">
        <v>0</v>
      </c>
      <c r="Q76" s="19">
        <v>45176.45</v>
      </c>
      <c r="R76" s="8" t="s">
        <v>904</v>
      </c>
      <c r="S76" s="8" t="s">
        <v>258</v>
      </c>
      <c r="T76" s="8" t="s">
        <v>36</v>
      </c>
      <c r="U76" s="8" t="s">
        <v>663</v>
      </c>
      <c r="V76" s="8" t="s">
        <v>2869</v>
      </c>
      <c r="W76" s="8" t="s">
        <v>665</v>
      </c>
      <c r="Y76" s="3">
        <f>_xlfn.XLOOKUP(X76,'7月份计划'!A:A,'7月份计划'!A:A)</f>
        <v>0</v>
      </c>
    </row>
    <row r="77" spans="1:25">
      <c r="A77" s="12" t="s">
        <v>2865</v>
      </c>
      <c r="B77" s="12" t="s">
        <v>32</v>
      </c>
      <c r="C77" s="12" t="s">
        <v>2866</v>
      </c>
      <c r="D77" s="13">
        <v>3</v>
      </c>
      <c r="E77" s="12" t="s">
        <v>2867</v>
      </c>
      <c r="F77" s="14">
        <v>45866</v>
      </c>
      <c r="G77" s="14">
        <v>45866</v>
      </c>
      <c r="H77" s="15" t="s">
        <v>444</v>
      </c>
      <c r="I77" s="12" t="s">
        <v>445</v>
      </c>
      <c r="J77" s="15" t="s">
        <v>41</v>
      </c>
      <c r="K77" s="12" t="s">
        <v>660</v>
      </c>
      <c r="L77" s="15" t="s">
        <v>41</v>
      </c>
      <c r="M77" s="12" t="s">
        <v>492</v>
      </c>
      <c r="N77" s="15" t="s">
        <v>41</v>
      </c>
      <c r="O77" s="12" t="s">
        <v>2868</v>
      </c>
      <c r="P77" s="21">
        <v>906.44</v>
      </c>
      <c r="Q77" s="21">
        <v>0</v>
      </c>
      <c r="R77" s="12" t="s">
        <v>904</v>
      </c>
      <c r="S77" s="12" t="s">
        <v>258</v>
      </c>
      <c r="T77" s="12" t="s">
        <v>36</v>
      </c>
      <c r="U77" s="12" t="s">
        <v>663</v>
      </c>
      <c r="V77" s="12" t="s">
        <v>2869</v>
      </c>
      <c r="W77" s="12" t="s">
        <v>665</v>
      </c>
      <c r="Y77" s="3">
        <f>_xlfn.XLOOKUP(X77,'7月份计划'!A:A,'7月份计划'!A:A)</f>
        <v>0</v>
      </c>
    </row>
    <row r="78" spans="1:25">
      <c r="A78" s="8" t="s">
        <v>2870</v>
      </c>
      <c r="B78" s="8" t="s">
        <v>32</v>
      </c>
      <c r="C78" s="8" t="s">
        <v>2871</v>
      </c>
      <c r="D78" s="9">
        <v>1</v>
      </c>
      <c r="E78" s="8" t="s">
        <v>2872</v>
      </c>
      <c r="F78" s="10">
        <v>45868</v>
      </c>
      <c r="G78" s="10">
        <v>45868</v>
      </c>
      <c r="H78" s="11" t="s">
        <v>444</v>
      </c>
      <c r="I78" s="8" t="s">
        <v>445</v>
      </c>
      <c r="J78" s="11" t="s">
        <v>41</v>
      </c>
      <c r="K78" s="8" t="s">
        <v>660</v>
      </c>
      <c r="L78" s="11" t="s">
        <v>41</v>
      </c>
      <c r="M78" s="8" t="s">
        <v>492</v>
      </c>
      <c r="N78" s="11" t="s">
        <v>41</v>
      </c>
      <c r="O78" s="8" t="s">
        <v>2325</v>
      </c>
      <c r="P78" s="19">
        <v>0</v>
      </c>
      <c r="Q78" s="19">
        <v>21491.09</v>
      </c>
      <c r="R78" s="8" t="s">
        <v>938</v>
      </c>
      <c r="S78" s="8" t="s">
        <v>253</v>
      </c>
      <c r="T78" s="8" t="s">
        <v>36</v>
      </c>
      <c r="U78" s="8" t="s">
        <v>663</v>
      </c>
      <c r="V78" s="8" t="s">
        <v>2873</v>
      </c>
      <c r="W78" s="8" t="s">
        <v>665</v>
      </c>
      <c r="Y78" s="3">
        <f>_xlfn.XLOOKUP(X78,'7月份计划'!A:A,'7月份计划'!A:A)</f>
        <v>0</v>
      </c>
    </row>
    <row r="79" spans="1:25">
      <c r="A79" s="12" t="s">
        <v>2870</v>
      </c>
      <c r="B79" s="12" t="s">
        <v>32</v>
      </c>
      <c r="C79" s="12" t="s">
        <v>2871</v>
      </c>
      <c r="D79" s="13">
        <v>3</v>
      </c>
      <c r="E79" s="12" t="s">
        <v>2872</v>
      </c>
      <c r="F79" s="14">
        <v>45868</v>
      </c>
      <c r="G79" s="14">
        <v>45868</v>
      </c>
      <c r="H79" s="15" t="s">
        <v>444</v>
      </c>
      <c r="I79" s="12" t="s">
        <v>445</v>
      </c>
      <c r="J79" s="15" t="s">
        <v>41</v>
      </c>
      <c r="K79" s="12" t="s">
        <v>660</v>
      </c>
      <c r="L79" s="15" t="s">
        <v>41</v>
      </c>
      <c r="M79" s="12" t="s">
        <v>492</v>
      </c>
      <c r="N79" s="15" t="s">
        <v>41</v>
      </c>
      <c r="O79" s="12" t="s">
        <v>2325</v>
      </c>
      <c r="P79" s="21">
        <v>408.71</v>
      </c>
      <c r="Q79" s="21">
        <v>0</v>
      </c>
      <c r="R79" s="12" t="s">
        <v>938</v>
      </c>
      <c r="S79" s="12" t="s">
        <v>253</v>
      </c>
      <c r="T79" s="12" t="s">
        <v>36</v>
      </c>
      <c r="U79" s="12" t="s">
        <v>663</v>
      </c>
      <c r="V79" s="12" t="s">
        <v>2873</v>
      </c>
      <c r="W79" s="12" t="s">
        <v>665</v>
      </c>
      <c r="Y79" s="3">
        <f>_xlfn.XLOOKUP(X79,'7月份计划'!A:A,'7月份计划'!A:A)</f>
        <v>0</v>
      </c>
    </row>
    <row r="80" spans="1:25">
      <c r="A80" s="8" t="s">
        <v>2874</v>
      </c>
      <c r="B80" s="8" t="s">
        <v>32</v>
      </c>
      <c r="C80" s="8" t="s">
        <v>2875</v>
      </c>
      <c r="D80" s="9">
        <v>1</v>
      </c>
      <c r="E80" s="8" t="s">
        <v>2876</v>
      </c>
      <c r="F80" s="10">
        <v>45868</v>
      </c>
      <c r="G80" s="10">
        <v>45868</v>
      </c>
      <c r="H80" s="11" t="s">
        <v>444</v>
      </c>
      <c r="I80" s="8" t="s">
        <v>445</v>
      </c>
      <c r="J80" s="11" t="s">
        <v>41</v>
      </c>
      <c r="K80" s="8" t="s">
        <v>660</v>
      </c>
      <c r="L80" s="11" t="s">
        <v>41</v>
      </c>
      <c r="M80" s="8" t="s">
        <v>492</v>
      </c>
      <c r="N80" s="11" t="s">
        <v>41</v>
      </c>
      <c r="O80" s="8" t="s">
        <v>2877</v>
      </c>
      <c r="P80" s="19">
        <v>16301.24</v>
      </c>
      <c r="Q80" s="19">
        <v>0</v>
      </c>
      <c r="R80" s="8" t="s">
        <v>938</v>
      </c>
      <c r="S80" s="8" t="s">
        <v>253</v>
      </c>
      <c r="T80" s="8" t="s">
        <v>36</v>
      </c>
      <c r="U80" s="8" t="s">
        <v>663</v>
      </c>
      <c r="V80" s="8" t="s">
        <v>2878</v>
      </c>
      <c r="W80" s="8" t="s">
        <v>665</v>
      </c>
      <c r="Y80" s="3">
        <f>_xlfn.XLOOKUP(X80,'7月份计划'!A:A,'7月份计划'!A:A)</f>
        <v>0</v>
      </c>
    </row>
    <row r="81" spans="1:25">
      <c r="A81" s="12" t="s">
        <v>2879</v>
      </c>
      <c r="B81" s="12" t="s">
        <v>32</v>
      </c>
      <c r="C81" s="12" t="s">
        <v>2880</v>
      </c>
      <c r="D81" s="13">
        <v>1</v>
      </c>
      <c r="E81" s="12" t="s">
        <v>2881</v>
      </c>
      <c r="F81" s="14">
        <v>45869</v>
      </c>
      <c r="G81" s="14">
        <v>45869</v>
      </c>
      <c r="H81" s="15" t="s">
        <v>444</v>
      </c>
      <c r="I81" s="12" t="s">
        <v>445</v>
      </c>
      <c r="J81" s="15" t="s">
        <v>41</v>
      </c>
      <c r="K81" s="12" t="s">
        <v>660</v>
      </c>
      <c r="L81" s="15" t="s">
        <v>41</v>
      </c>
      <c r="M81" s="12" t="s">
        <v>492</v>
      </c>
      <c r="N81" s="15" t="s">
        <v>41</v>
      </c>
      <c r="O81" s="12" t="s">
        <v>2325</v>
      </c>
      <c r="P81" s="21">
        <v>0</v>
      </c>
      <c r="Q81" s="21">
        <v>156040.34</v>
      </c>
      <c r="R81" s="12" t="s">
        <v>696</v>
      </c>
      <c r="S81" s="12" t="s">
        <v>248</v>
      </c>
      <c r="T81" s="12" t="s">
        <v>36</v>
      </c>
      <c r="U81" s="12" t="s">
        <v>663</v>
      </c>
      <c r="V81" s="12" t="s">
        <v>2882</v>
      </c>
      <c r="W81" s="12" t="s">
        <v>665</v>
      </c>
      <c r="Y81" s="3">
        <f>_xlfn.XLOOKUP(X81,'7月份计划'!A:A,'7月份计划'!A:A)</f>
        <v>0</v>
      </c>
    </row>
    <row r="82" spans="1:25">
      <c r="A82" s="8" t="s">
        <v>2883</v>
      </c>
      <c r="B82" s="8" t="s">
        <v>32</v>
      </c>
      <c r="C82" s="8" t="s">
        <v>2884</v>
      </c>
      <c r="D82" s="9">
        <v>1</v>
      </c>
      <c r="E82" s="8" t="s">
        <v>2885</v>
      </c>
      <c r="F82" s="10">
        <v>45869</v>
      </c>
      <c r="G82" s="10">
        <v>45869</v>
      </c>
      <c r="H82" s="11" t="s">
        <v>444</v>
      </c>
      <c r="I82" s="8" t="s">
        <v>445</v>
      </c>
      <c r="J82" s="11" t="s">
        <v>41</v>
      </c>
      <c r="K82" s="8" t="s">
        <v>660</v>
      </c>
      <c r="L82" s="11" t="s">
        <v>41</v>
      </c>
      <c r="M82" s="8" t="s">
        <v>492</v>
      </c>
      <c r="N82" s="11" t="s">
        <v>41</v>
      </c>
      <c r="O82" s="8" t="s">
        <v>2325</v>
      </c>
      <c r="P82" s="19">
        <v>0</v>
      </c>
      <c r="Q82" s="19">
        <v>586763.52</v>
      </c>
      <c r="R82" s="8" t="s">
        <v>673</v>
      </c>
      <c r="S82" s="8" t="s">
        <v>451</v>
      </c>
      <c r="T82" s="8" t="s">
        <v>36</v>
      </c>
      <c r="U82" s="8" t="s">
        <v>663</v>
      </c>
      <c r="V82" s="8" t="s">
        <v>2886</v>
      </c>
      <c r="W82" s="8" t="s">
        <v>665</v>
      </c>
      <c r="Y82" s="3">
        <f>_xlfn.XLOOKUP(X82,'7月份计划'!A:A,'7月份计划'!A:A)</f>
        <v>0</v>
      </c>
    </row>
    <row r="83" spans="1:25">
      <c r="A83" s="12" t="s">
        <v>2883</v>
      </c>
      <c r="B83" s="12" t="s">
        <v>32</v>
      </c>
      <c r="C83" s="12" t="s">
        <v>2884</v>
      </c>
      <c r="D83" s="13">
        <v>3</v>
      </c>
      <c r="E83" s="12" t="s">
        <v>2885</v>
      </c>
      <c r="F83" s="14">
        <v>45869</v>
      </c>
      <c r="G83" s="14">
        <v>45869</v>
      </c>
      <c r="H83" s="15" t="s">
        <v>444</v>
      </c>
      <c r="I83" s="12" t="s">
        <v>445</v>
      </c>
      <c r="J83" s="15" t="s">
        <v>41</v>
      </c>
      <c r="K83" s="12" t="s">
        <v>660</v>
      </c>
      <c r="L83" s="15" t="s">
        <v>41</v>
      </c>
      <c r="M83" s="12" t="s">
        <v>492</v>
      </c>
      <c r="N83" s="15" t="s">
        <v>41</v>
      </c>
      <c r="O83" s="12" t="s">
        <v>2325</v>
      </c>
      <c r="P83" s="21">
        <v>12593.76</v>
      </c>
      <c r="Q83" s="21">
        <v>0</v>
      </c>
      <c r="R83" s="12" t="s">
        <v>673</v>
      </c>
      <c r="S83" s="12" t="s">
        <v>451</v>
      </c>
      <c r="T83" s="12" t="s">
        <v>36</v>
      </c>
      <c r="U83" s="12" t="s">
        <v>663</v>
      </c>
      <c r="V83" s="12" t="s">
        <v>2886</v>
      </c>
      <c r="W83" s="12" t="s">
        <v>665</v>
      </c>
      <c r="Y83" s="3">
        <f>_xlfn.XLOOKUP(X83,'7月份计划'!A:A,'7月份计划'!A:A)</f>
        <v>0</v>
      </c>
    </row>
    <row r="84" spans="1:25">
      <c r="A84" s="8" t="s">
        <v>2887</v>
      </c>
      <c r="B84" s="8" t="s">
        <v>32</v>
      </c>
      <c r="C84" s="8" t="s">
        <v>2888</v>
      </c>
      <c r="D84" s="9">
        <v>1</v>
      </c>
      <c r="E84" s="8" t="s">
        <v>2889</v>
      </c>
      <c r="F84" s="10">
        <v>45869</v>
      </c>
      <c r="G84" s="10">
        <v>45869</v>
      </c>
      <c r="H84" s="11" t="s">
        <v>444</v>
      </c>
      <c r="I84" s="8" t="s">
        <v>445</v>
      </c>
      <c r="J84" s="11" t="s">
        <v>41</v>
      </c>
      <c r="K84" s="8" t="s">
        <v>660</v>
      </c>
      <c r="L84" s="11" t="s">
        <v>41</v>
      </c>
      <c r="M84" s="8" t="s">
        <v>492</v>
      </c>
      <c r="N84" s="11" t="s">
        <v>41</v>
      </c>
      <c r="O84" s="8" t="s">
        <v>2890</v>
      </c>
      <c r="P84" s="19">
        <v>0.02</v>
      </c>
      <c r="Q84" s="19">
        <v>0</v>
      </c>
      <c r="R84" s="8" t="s">
        <v>673</v>
      </c>
      <c r="S84" s="8" t="s">
        <v>451</v>
      </c>
      <c r="T84" s="8" t="s">
        <v>36</v>
      </c>
      <c r="U84" s="8" t="s">
        <v>663</v>
      </c>
      <c r="V84" s="8" t="s">
        <v>2891</v>
      </c>
      <c r="W84" s="8" t="s">
        <v>665</v>
      </c>
      <c r="Y84" s="3">
        <f>_xlfn.XLOOKUP(X84,'7月份计划'!A:A,'7月份计划'!A:A)</f>
        <v>0</v>
      </c>
    </row>
    <row r="85" spans="1:25">
      <c r="A85" s="12" t="s">
        <v>2892</v>
      </c>
      <c r="B85" s="12" t="s">
        <v>32</v>
      </c>
      <c r="C85" s="12" t="s">
        <v>2893</v>
      </c>
      <c r="D85" s="13">
        <v>1</v>
      </c>
      <c r="E85" s="12" t="s">
        <v>2894</v>
      </c>
      <c r="F85" s="14">
        <v>45869</v>
      </c>
      <c r="G85" s="14">
        <v>45869</v>
      </c>
      <c r="H85" s="15" t="s">
        <v>444</v>
      </c>
      <c r="I85" s="12" t="s">
        <v>445</v>
      </c>
      <c r="J85" s="15" t="s">
        <v>41</v>
      </c>
      <c r="K85" s="12" t="s">
        <v>660</v>
      </c>
      <c r="L85" s="15" t="s">
        <v>41</v>
      </c>
      <c r="M85" s="12" t="s">
        <v>492</v>
      </c>
      <c r="N85" s="15" t="s">
        <v>41</v>
      </c>
      <c r="O85" s="12" t="s">
        <v>2895</v>
      </c>
      <c r="P85" s="21">
        <v>0</v>
      </c>
      <c r="Q85" s="21">
        <v>574169.74</v>
      </c>
      <c r="R85" s="12" t="s">
        <v>686</v>
      </c>
      <c r="S85" s="12" t="s">
        <v>446</v>
      </c>
      <c r="T85" s="12" t="s">
        <v>36</v>
      </c>
      <c r="U85" s="12" t="s">
        <v>663</v>
      </c>
      <c r="V85" s="12" t="s">
        <v>2896</v>
      </c>
      <c r="W85" s="12" t="s">
        <v>665</v>
      </c>
      <c r="Y85" s="3">
        <f>_xlfn.XLOOKUP(X85,'7月份计划'!A:A,'7月份计划'!A:A)</f>
        <v>0</v>
      </c>
    </row>
    <row r="86" spans="1:25">
      <c r="A86" s="8" t="s">
        <v>2897</v>
      </c>
      <c r="B86" s="8" t="s">
        <v>32</v>
      </c>
      <c r="C86" s="8" t="s">
        <v>2898</v>
      </c>
      <c r="D86" s="9">
        <v>1</v>
      </c>
      <c r="E86" s="8" t="s">
        <v>2899</v>
      </c>
      <c r="F86" s="10">
        <v>45869</v>
      </c>
      <c r="G86" s="10">
        <v>45869</v>
      </c>
      <c r="H86" s="11" t="s">
        <v>444</v>
      </c>
      <c r="I86" s="8" t="s">
        <v>445</v>
      </c>
      <c r="J86" s="11" t="s">
        <v>41</v>
      </c>
      <c r="K86" s="8" t="s">
        <v>660</v>
      </c>
      <c r="L86" s="11" t="s">
        <v>41</v>
      </c>
      <c r="M86" s="8" t="s">
        <v>492</v>
      </c>
      <c r="N86" s="11" t="s">
        <v>41</v>
      </c>
      <c r="O86" s="8" t="s">
        <v>2900</v>
      </c>
      <c r="P86" s="19">
        <v>574169.74</v>
      </c>
      <c r="Q86" s="19">
        <v>0</v>
      </c>
      <c r="R86" s="8" t="s">
        <v>673</v>
      </c>
      <c r="S86" s="8" t="s">
        <v>451</v>
      </c>
      <c r="T86" s="8" t="s">
        <v>36</v>
      </c>
      <c r="U86" s="8" t="s">
        <v>663</v>
      </c>
      <c r="V86" s="8" t="s">
        <v>2901</v>
      </c>
      <c r="W86" s="8" t="s">
        <v>665</v>
      </c>
      <c r="Y86" s="3">
        <f>_xlfn.XLOOKUP(X86,'7月份计划'!A:A,'7月份计划'!A:A)</f>
        <v>0</v>
      </c>
    </row>
    <row r="87" spans="1:25">
      <c r="A87" s="12" t="s">
        <v>2902</v>
      </c>
      <c r="B87" s="12" t="s">
        <v>32</v>
      </c>
      <c r="C87" s="12" t="s">
        <v>2903</v>
      </c>
      <c r="D87" s="13">
        <v>1</v>
      </c>
      <c r="E87" s="12" t="s">
        <v>2904</v>
      </c>
      <c r="F87" s="14">
        <v>45869</v>
      </c>
      <c r="G87" s="14">
        <v>45869</v>
      </c>
      <c r="H87" s="15" t="s">
        <v>444</v>
      </c>
      <c r="I87" s="12" t="s">
        <v>445</v>
      </c>
      <c r="J87" s="15" t="s">
        <v>41</v>
      </c>
      <c r="K87" s="12" t="s">
        <v>660</v>
      </c>
      <c r="L87" s="15" t="s">
        <v>41</v>
      </c>
      <c r="M87" s="12" t="s">
        <v>492</v>
      </c>
      <c r="N87" s="15" t="s">
        <v>41</v>
      </c>
      <c r="O87" s="12" t="s">
        <v>2905</v>
      </c>
      <c r="P87" s="21">
        <v>0</v>
      </c>
      <c r="Q87" s="21">
        <v>676594.89</v>
      </c>
      <c r="R87" s="12" t="s">
        <v>1552</v>
      </c>
      <c r="S87" s="12" t="s">
        <v>256</v>
      </c>
      <c r="T87" s="12" t="s">
        <v>36</v>
      </c>
      <c r="U87" s="12" t="s">
        <v>663</v>
      </c>
      <c r="V87" s="12" t="s">
        <v>2906</v>
      </c>
      <c r="W87" s="12" t="s">
        <v>665</v>
      </c>
      <c r="Y87" s="3">
        <f>_xlfn.XLOOKUP(X87,'7月份计划'!A:A,'7月份计划'!A:A)</f>
        <v>0</v>
      </c>
    </row>
    <row r="88" spans="1:25">
      <c r="A88" s="8" t="s">
        <v>2902</v>
      </c>
      <c r="B88" s="8" t="s">
        <v>32</v>
      </c>
      <c r="C88" s="8" t="s">
        <v>2903</v>
      </c>
      <c r="D88" s="9">
        <v>3</v>
      </c>
      <c r="E88" s="8" t="s">
        <v>2904</v>
      </c>
      <c r="F88" s="10">
        <v>45869</v>
      </c>
      <c r="G88" s="10">
        <v>45869</v>
      </c>
      <c r="H88" s="11" t="s">
        <v>444</v>
      </c>
      <c r="I88" s="8" t="s">
        <v>445</v>
      </c>
      <c r="J88" s="11" t="s">
        <v>41</v>
      </c>
      <c r="K88" s="8" t="s">
        <v>660</v>
      </c>
      <c r="L88" s="11" t="s">
        <v>41</v>
      </c>
      <c r="M88" s="8" t="s">
        <v>492</v>
      </c>
      <c r="N88" s="11" t="s">
        <v>41</v>
      </c>
      <c r="O88" s="8" t="s">
        <v>2905</v>
      </c>
      <c r="P88" s="19">
        <v>257525.55</v>
      </c>
      <c r="Q88" s="19">
        <v>0</v>
      </c>
      <c r="R88" s="8" t="s">
        <v>1552</v>
      </c>
      <c r="S88" s="8" t="s">
        <v>256</v>
      </c>
      <c r="T88" s="8" t="s">
        <v>36</v>
      </c>
      <c r="U88" s="8" t="s">
        <v>663</v>
      </c>
      <c r="V88" s="8" t="s">
        <v>2906</v>
      </c>
      <c r="W88" s="8" t="s">
        <v>665</v>
      </c>
      <c r="Y88" s="3">
        <f>_xlfn.XLOOKUP(X88,'7月份计划'!A:A,'7月份计划'!A:A)</f>
        <v>0</v>
      </c>
    </row>
    <row r="89" spans="1:25">
      <c r="A89" s="12" t="s">
        <v>2907</v>
      </c>
      <c r="B89" s="12" t="s">
        <v>32</v>
      </c>
      <c r="C89" s="12" t="s">
        <v>2908</v>
      </c>
      <c r="D89" s="13">
        <v>1</v>
      </c>
      <c r="E89" s="12" t="s">
        <v>2909</v>
      </c>
      <c r="F89" s="14">
        <v>45869</v>
      </c>
      <c r="G89" s="14">
        <v>45869</v>
      </c>
      <c r="H89" s="15" t="s">
        <v>444</v>
      </c>
      <c r="I89" s="12" t="s">
        <v>445</v>
      </c>
      <c r="J89" s="15" t="s">
        <v>41</v>
      </c>
      <c r="K89" s="12" t="s">
        <v>660</v>
      </c>
      <c r="L89" s="15" t="s">
        <v>41</v>
      </c>
      <c r="M89" s="12" t="s">
        <v>492</v>
      </c>
      <c r="N89" s="15" t="s">
        <v>41</v>
      </c>
      <c r="O89" s="12" t="s">
        <v>2910</v>
      </c>
      <c r="P89" s="21">
        <v>0.09</v>
      </c>
      <c r="Q89" s="21">
        <v>0</v>
      </c>
      <c r="R89" s="12" t="s">
        <v>1552</v>
      </c>
      <c r="S89" s="12" t="s">
        <v>256</v>
      </c>
      <c r="T89" s="12" t="s">
        <v>36</v>
      </c>
      <c r="U89" s="12" t="s">
        <v>663</v>
      </c>
      <c r="V89" s="12" t="s">
        <v>2911</v>
      </c>
      <c r="W89" s="12" t="s">
        <v>665</v>
      </c>
      <c r="Y89" s="3">
        <f>_xlfn.XLOOKUP(X89,'7月份计划'!A:A,'7月份计划'!A:A)</f>
        <v>0</v>
      </c>
    </row>
    <row r="90" spans="1:25">
      <c r="A90" s="8" t="s">
        <v>2912</v>
      </c>
      <c r="B90" s="8" t="s">
        <v>32</v>
      </c>
      <c r="C90" s="8" t="s">
        <v>2913</v>
      </c>
      <c r="D90" s="9">
        <v>1</v>
      </c>
      <c r="E90" s="8" t="s">
        <v>2914</v>
      </c>
      <c r="F90" s="10">
        <v>45869</v>
      </c>
      <c r="G90" s="10">
        <v>45869</v>
      </c>
      <c r="H90" s="11" t="s">
        <v>444</v>
      </c>
      <c r="I90" s="8" t="s">
        <v>445</v>
      </c>
      <c r="J90" s="11" t="s">
        <v>41</v>
      </c>
      <c r="K90" s="8" t="s">
        <v>660</v>
      </c>
      <c r="L90" s="11" t="s">
        <v>41</v>
      </c>
      <c r="M90" s="8" t="s">
        <v>492</v>
      </c>
      <c r="N90" s="11" t="s">
        <v>41</v>
      </c>
      <c r="O90" s="8" t="s">
        <v>2688</v>
      </c>
      <c r="P90" s="19">
        <v>0</v>
      </c>
      <c r="Q90" s="19">
        <v>427242.7</v>
      </c>
      <c r="R90" s="8" t="s">
        <v>2326</v>
      </c>
      <c r="S90" s="8" t="s">
        <v>600</v>
      </c>
      <c r="T90" s="8" t="s">
        <v>36</v>
      </c>
      <c r="U90" s="8" t="s">
        <v>663</v>
      </c>
      <c r="V90" s="8" t="s">
        <v>2915</v>
      </c>
      <c r="W90" s="8" t="s">
        <v>665</v>
      </c>
      <c r="Y90" s="3">
        <f>_xlfn.XLOOKUP(X90,'7月份计划'!A:A,'7月份计划'!A:A)</f>
        <v>0</v>
      </c>
    </row>
    <row r="91" spans="1:25">
      <c r="A91" s="12" t="s">
        <v>2912</v>
      </c>
      <c r="B91" s="12" t="s">
        <v>32</v>
      </c>
      <c r="C91" s="12" t="s">
        <v>2913</v>
      </c>
      <c r="D91" s="13">
        <v>3</v>
      </c>
      <c r="E91" s="12" t="s">
        <v>2914</v>
      </c>
      <c r="F91" s="14">
        <v>45869</v>
      </c>
      <c r="G91" s="14">
        <v>45869</v>
      </c>
      <c r="H91" s="15" t="s">
        <v>444</v>
      </c>
      <c r="I91" s="12" t="s">
        <v>445</v>
      </c>
      <c r="J91" s="15" t="s">
        <v>41</v>
      </c>
      <c r="K91" s="12" t="s">
        <v>660</v>
      </c>
      <c r="L91" s="15" t="s">
        <v>41</v>
      </c>
      <c r="M91" s="12" t="s">
        <v>492</v>
      </c>
      <c r="N91" s="15" t="s">
        <v>41</v>
      </c>
      <c r="O91" s="12" t="s">
        <v>2688</v>
      </c>
      <c r="P91" s="21">
        <v>85570.48</v>
      </c>
      <c r="Q91" s="21">
        <v>0</v>
      </c>
      <c r="R91" s="12" t="s">
        <v>2326</v>
      </c>
      <c r="S91" s="12" t="s">
        <v>600</v>
      </c>
      <c r="T91" s="12" t="s">
        <v>36</v>
      </c>
      <c r="U91" s="12" t="s">
        <v>663</v>
      </c>
      <c r="V91" s="12" t="s">
        <v>2915</v>
      </c>
      <c r="W91" s="12" t="s">
        <v>665</v>
      </c>
      <c r="Y91" s="3">
        <f>_xlfn.XLOOKUP(X91,'7月份计划'!A:A,'7月份计划'!A:A)</f>
        <v>0</v>
      </c>
    </row>
    <row r="92" spans="1:25">
      <c r="A92" s="8" t="s">
        <v>2916</v>
      </c>
      <c r="B92" s="8" t="s">
        <v>32</v>
      </c>
      <c r="C92" s="8" t="s">
        <v>2917</v>
      </c>
      <c r="D92" s="9">
        <v>1</v>
      </c>
      <c r="E92" s="8" t="s">
        <v>2918</v>
      </c>
      <c r="F92" s="10">
        <v>45869</v>
      </c>
      <c r="G92" s="10">
        <v>45869</v>
      </c>
      <c r="H92" s="11" t="s">
        <v>444</v>
      </c>
      <c r="I92" s="8" t="s">
        <v>445</v>
      </c>
      <c r="J92" s="11" t="s">
        <v>41</v>
      </c>
      <c r="K92" s="8" t="s">
        <v>660</v>
      </c>
      <c r="L92" s="11" t="s">
        <v>41</v>
      </c>
      <c r="M92" s="8" t="s">
        <v>492</v>
      </c>
      <c r="N92" s="11" t="s">
        <v>41</v>
      </c>
      <c r="O92" s="8" t="s">
        <v>2688</v>
      </c>
      <c r="P92" s="19">
        <v>0</v>
      </c>
      <c r="Q92" s="19">
        <v>266784.19</v>
      </c>
      <c r="R92" s="8" t="s">
        <v>2326</v>
      </c>
      <c r="S92" s="8" t="s">
        <v>600</v>
      </c>
      <c r="T92" s="8" t="s">
        <v>36</v>
      </c>
      <c r="U92" s="8" t="s">
        <v>663</v>
      </c>
      <c r="V92" s="8" t="s">
        <v>2919</v>
      </c>
      <c r="W92" s="8" t="s">
        <v>665</v>
      </c>
      <c r="Y92" s="3">
        <f>_xlfn.XLOOKUP(X92,'7月份计划'!A:A,'7月份计划'!A:A)</f>
        <v>0</v>
      </c>
    </row>
    <row r="93" spans="1:25">
      <c r="A93" s="12" t="s">
        <v>2916</v>
      </c>
      <c r="B93" s="12" t="s">
        <v>32</v>
      </c>
      <c r="C93" s="12" t="s">
        <v>2917</v>
      </c>
      <c r="D93" s="13">
        <v>3</v>
      </c>
      <c r="E93" s="12" t="s">
        <v>2918</v>
      </c>
      <c r="F93" s="14">
        <v>45869</v>
      </c>
      <c r="G93" s="14">
        <v>45869</v>
      </c>
      <c r="H93" s="15" t="s">
        <v>444</v>
      </c>
      <c r="I93" s="12" t="s">
        <v>445</v>
      </c>
      <c r="J93" s="15" t="s">
        <v>41</v>
      </c>
      <c r="K93" s="12" t="s">
        <v>660</v>
      </c>
      <c r="L93" s="15" t="s">
        <v>41</v>
      </c>
      <c r="M93" s="12" t="s">
        <v>492</v>
      </c>
      <c r="N93" s="15" t="s">
        <v>41</v>
      </c>
      <c r="O93" s="12" t="s">
        <v>2688</v>
      </c>
      <c r="P93" s="21">
        <v>2592</v>
      </c>
      <c r="Q93" s="21">
        <v>0</v>
      </c>
      <c r="R93" s="12" t="s">
        <v>2326</v>
      </c>
      <c r="S93" s="12" t="s">
        <v>600</v>
      </c>
      <c r="T93" s="12" t="s">
        <v>36</v>
      </c>
      <c r="U93" s="12" t="s">
        <v>663</v>
      </c>
      <c r="V93" s="12" t="s">
        <v>2919</v>
      </c>
      <c r="W93" s="12" t="s">
        <v>665</v>
      </c>
      <c r="Y93" s="3">
        <f>_xlfn.XLOOKUP(X93,'7月份计划'!A:A,'7月份计划'!A:A)</f>
        <v>0</v>
      </c>
    </row>
    <row r="94" spans="1:25">
      <c r="A94" s="8" t="s">
        <v>2920</v>
      </c>
      <c r="B94" s="8" t="s">
        <v>32</v>
      </c>
      <c r="C94" s="8" t="s">
        <v>2921</v>
      </c>
      <c r="D94" s="9">
        <v>1</v>
      </c>
      <c r="E94" s="8" t="s">
        <v>2922</v>
      </c>
      <c r="F94" s="10">
        <v>45869</v>
      </c>
      <c r="G94" s="10">
        <v>45869</v>
      </c>
      <c r="H94" s="11" t="s">
        <v>444</v>
      </c>
      <c r="I94" s="8" t="s">
        <v>445</v>
      </c>
      <c r="J94" s="11" t="s">
        <v>41</v>
      </c>
      <c r="K94" s="8" t="s">
        <v>660</v>
      </c>
      <c r="L94" s="11" t="s">
        <v>41</v>
      </c>
      <c r="M94" s="8" t="s">
        <v>492</v>
      </c>
      <c r="N94" s="11" t="s">
        <v>41</v>
      </c>
      <c r="O94" s="8" t="s">
        <v>2688</v>
      </c>
      <c r="P94" s="19">
        <v>0</v>
      </c>
      <c r="Q94" s="19">
        <v>257315</v>
      </c>
      <c r="R94" s="8" t="s">
        <v>2326</v>
      </c>
      <c r="S94" s="8" t="s">
        <v>600</v>
      </c>
      <c r="T94" s="8" t="s">
        <v>36</v>
      </c>
      <c r="U94" s="8" t="s">
        <v>663</v>
      </c>
      <c r="V94" s="8" t="s">
        <v>2923</v>
      </c>
      <c r="W94" s="8" t="s">
        <v>665</v>
      </c>
      <c r="Y94" s="3">
        <f>_xlfn.XLOOKUP(X94,'7月份计划'!A:A,'7月份计划'!A:A)</f>
        <v>0</v>
      </c>
    </row>
    <row r="95" spans="1:25">
      <c r="A95" s="12" t="s">
        <v>2920</v>
      </c>
      <c r="B95" s="12" t="s">
        <v>32</v>
      </c>
      <c r="C95" s="12" t="s">
        <v>2921</v>
      </c>
      <c r="D95" s="13">
        <v>3</v>
      </c>
      <c r="E95" s="12" t="s">
        <v>2922</v>
      </c>
      <c r="F95" s="14">
        <v>45869</v>
      </c>
      <c r="G95" s="14">
        <v>45869</v>
      </c>
      <c r="H95" s="15" t="s">
        <v>444</v>
      </c>
      <c r="I95" s="12" t="s">
        <v>445</v>
      </c>
      <c r="J95" s="15" t="s">
        <v>41</v>
      </c>
      <c r="K95" s="12" t="s">
        <v>660</v>
      </c>
      <c r="L95" s="15" t="s">
        <v>41</v>
      </c>
      <c r="M95" s="12" t="s">
        <v>492</v>
      </c>
      <c r="N95" s="15" t="s">
        <v>41</v>
      </c>
      <c r="O95" s="12" t="s">
        <v>2688</v>
      </c>
      <c r="P95" s="21">
        <v>2500</v>
      </c>
      <c r="Q95" s="21">
        <v>0</v>
      </c>
      <c r="R95" s="12" t="s">
        <v>2326</v>
      </c>
      <c r="S95" s="12" t="s">
        <v>600</v>
      </c>
      <c r="T95" s="12" t="s">
        <v>36</v>
      </c>
      <c r="U95" s="12" t="s">
        <v>663</v>
      </c>
      <c r="V95" s="12" t="s">
        <v>2923</v>
      </c>
      <c r="W95" s="12" t="s">
        <v>665</v>
      </c>
      <c r="Y95" s="3">
        <f>_xlfn.XLOOKUP(X95,'7月份计划'!A:A,'7月份计划'!A:A)</f>
        <v>0</v>
      </c>
    </row>
    <row r="96" spans="1:25">
      <c r="A96" s="8"/>
      <c r="B96" s="8"/>
      <c r="C96" s="8"/>
      <c r="D96" s="9"/>
      <c r="E96" s="8"/>
      <c r="F96" s="10"/>
      <c r="G96" s="10"/>
      <c r="H96" s="11"/>
      <c r="I96" s="8"/>
      <c r="J96" s="11"/>
      <c r="K96" s="8"/>
      <c r="L96" s="11"/>
      <c r="M96" s="8"/>
      <c r="N96" s="11"/>
      <c r="O96" s="8"/>
      <c r="P96" s="19">
        <f>SUBTOTAL(9,P2:P95)</f>
        <v>1584442.07</v>
      </c>
      <c r="Q96" s="19">
        <f>SUBTOTAL(9,Q2:Q95)</f>
        <v>9537403.19</v>
      </c>
      <c r="R96" s="8"/>
      <c r="S96" s="8"/>
      <c r="T96" s="8"/>
      <c r="U96" s="8"/>
      <c r="V96" s="8"/>
      <c r="W96" s="8"/>
      <c r="Y96" s="3">
        <f>_xlfn.XLOOKUP(X96,'7月份计划'!A:A,'7月份计划'!A:A)</f>
        <v>0</v>
      </c>
    </row>
    <row r="97" spans="1:25">
      <c r="A97" s="12"/>
      <c r="B97" s="12"/>
      <c r="C97" s="12"/>
      <c r="D97" s="13"/>
      <c r="E97" s="12"/>
      <c r="F97" s="14"/>
      <c r="G97" s="14"/>
      <c r="H97" s="15"/>
      <c r="I97" s="12"/>
      <c r="J97" s="15"/>
      <c r="K97" s="12"/>
      <c r="L97" s="15"/>
      <c r="M97" s="12"/>
      <c r="N97" s="15"/>
      <c r="O97" s="12"/>
      <c r="P97" s="21"/>
      <c r="Q97" s="21">
        <f>Q96-P96</f>
        <v>7952961.12</v>
      </c>
      <c r="R97" s="12"/>
      <c r="S97" s="12"/>
      <c r="T97" s="12"/>
      <c r="U97" s="12"/>
      <c r="V97" s="12"/>
      <c r="W97" s="12"/>
      <c r="Y97" s="3">
        <f>_xlfn.XLOOKUP(X97,'7月份计划'!A:A,'7月份计划'!A:A)</f>
        <v>0</v>
      </c>
    </row>
    <row r="98" spans="1:25">
      <c r="A98" s="8"/>
      <c r="B98" s="8"/>
      <c r="C98" s="8"/>
      <c r="D98" s="9"/>
      <c r="E98" s="8"/>
      <c r="F98" s="10"/>
      <c r="G98" s="10"/>
      <c r="H98" s="11"/>
      <c r="I98" s="8"/>
      <c r="J98" s="11"/>
      <c r="K98" s="8"/>
      <c r="L98" s="11"/>
      <c r="M98" s="8"/>
      <c r="N98" s="11"/>
      <c r="O98" s="8"/>
      <c r="P98" s="19"/>
      <c r="Q98" s="19"/>
      <c r="R98" s="8"/>
      <c r="S98" s="8"/>
      <c r="T98" s="8"/>
      <c r="U98" s="8"/>
      <c r="V98" s="8"/>
      <c r="W98" s="8"/>
      <c r="Y98" s="3">
        <f>_xlfn.XLOOKUP(X98,'7月份计划'!A:A,'7月份计划'!A:A)</f>
        <v>0</v>
      </c>
    </row>
    <row r="99" spans="1:25">
      <c r="A99" s="12"/>
      <c r="B99" s="12"/>
      <c r="C99" s="12"/>
      <c r="D99" s="13"/>
      <c r="E99" s="12"/>
      <c r="F99" s="14"/>
      <c r="G99" s="14"/>
      <c r="H99" s="15"/>
      <c r="I99" s="12"/>
      <c r="J99" s="15"/>
      <c r="K99" s="12"/>
      <c r="L99" s="15"/>
      <c r="M99" s="12"/>
      <c r="N99" s="15"/>
      <c r="O99" s="12"/>
      <c r="P99" s="21"/>
      <c r="Q99" s="21"/>
      <c r="R99" s="12"/>
      <c r="S99" s="12"/>
      <c r="T99" s="12"/>
      <c r="U99" s="12"/>
      <c r="V99" s="12"/>
      <c r="W99" s="12"/>
      <c r="Y99" s="3">
        <f>_xlfn.XLOOKUP(X99,'7月份计划'!A:A,'7月份计划'!A:A)</f>
        <v>0</v>
      </c>
    </row>
    <row r="100" spans="1:25">
      <c r="A100" s="8"/>
      <c r="B100" s="8"/>
      <c r="C100" s="8"/>
      <c r="D100" s="9"/>
      <c r="E100" s="8"/>
      <c r="F100" s="10"/>
      <c r="G100" s="10"/>
      <c r="H100" s="11"/>
      <c r="I100" s="8"/>
      <c r="J100" s="11"/>
      <c r="K100" s="8"/>
      <c r="L100" s="11"/>
      <c r="M100" s="8"/>
      <c r="N100" s="11"/>
      <c r="O100" s="8"/>
      <c r="P100" s="19"/>
      <c r="Q100" s="19"/>
      <c r="R100" s="8"/>
      <c r="S100" s="8"/>
      <c r="T100" s="8"/>
      <c r="U100" s="8"/>
      <c r="V100" s="8"/>
      <c r="W100" s="8"/>
      <c r="Y100" s="3">
        <f>_xlfn.XLOOKUP(X100,'7月份计划'!A:A,'7月份计划'!A:A)</f>
        <v>0</v>
      </c>
    </row>
    <row r="101" spans="1:25">
      <c r="A101" s="12"/>
      <c r="B101" s="12"/>
      <c r="C101" s="12"/>
      <c r="D101" s="13"/>
      <c r="E101" s="12"/>
      <c r="F101" s="14"/>
      <c r="G101" s="14"/>
      <c r="H101" s="15"/>
      <c r="I101" s="12"/>
      <c r="J101" s="15"/>
      <c r="K101" s="12"/>
      <c r="L101" s="15"/>
      <c r="M101" s="12"/>
      <c r="N101" s="15"/>
      <c r="O101" s="12"/>
      <c r="P101" s="21"/>
      <c r="Q101" s="21"/>
      <c r="R101" s="12"/>
      <c r="S101" s="12"/>
      <c r="T101" s="12"/>
      <c r="U101" s="12"/>
      <c r="V101" s="12"/>
      <c r="W101" s="12"/>
      <c r="Y101" s="3">
        <f>_xlfn.XLOOKUP(X101,'7月份计划'!A:A,'7月份计划'!A:A)</f>
        <v>0</v>
      </c>
    </row>
    <row r="102" spans="1:25">
      <c r="A102" s="8"/>
      <c r="B102" s="8"/>
      <c r="C102" s="8"/>
      <c r="D102" s="9"/>
      <c r="E102" s="8"/>
      <c r="F102" s="10"/>
      <c r="G102" s="10"/>
      <c r="H102" s="11"/>
      <c r="I102" s="8"/>
      <c r="J102" s="11"/>
      <c r="K102" s="8"/>
      <c r="L102" s="11"/>
      <c r="M102" s="8"/>
      <c r="N102" s="11"/>
      <c r="O102" s="8"/>
      <c r="P102" s="19"/>
      <c r="Q102" s="19"/>
      <c r="R102" s="8"/>
      <c r="S102" s="8"/>
      <c r="T102" s="8"/>
      <c r="U102" s="8"/>
      <c r="V102" s="8"/>
      <c r="W102" s="8"/>
      <c r="Y102" s="3">
        <f>_xlfn.XLOOKUP(X102,'7月份计划'!A:A,'7月份计划'!A:A)</f>
        <v>0</v>
      </c>
    </row>
    <row r="103" spans="1:25">
      <c r="A103" s="12"/>
      <c r="B103" s="12"/>
      <c r="C103" s="12"/>
      <c r="D103" s="13"/>
      <c r="E103" s="12"/>
      <c r="F103" s="14"/>
      <c r="G103" s="14"/>
      <c r="H103" s="15"/>
      <c r="I103" s="12"/>
      <c r="J103" s="15"/>
      <c r="K103" s="12"/>
      <c r="L103" s="15"/>
      <c r="M103" s="12"/>
      <c r="N103" s="15"/>
      <c r="O103" s="12"/>
      <c r="P103" s="21"/>
      <c r="Q103" s="21"/>
      <c r="R103" s="12"/>
      <c r="S103" s="12"/>
      <c r="T103" s="12"/>
      <c r="U103" s="12"/>
      <c r="V103" s="12"/>
      <c r="W103" s="12"/>
      <c r="Y103" s="3">
        <f>_xlfn.XLOOKUP(X103,'7月份计划'!A:A,'7月份计划'!A:A)</f>
        <v>0</v>
      </c>
    </row>
    <row r="104" spans="1:25">
      <c r="A104" s="8"/>
      <c r="B104" s="8"/>
      <c r="C104" s="8"/>
      <c r="D104" s="9"/>
      <c r="E104" s="8"/>
      <c r="F104" s="10"/>
      <c r="G104" s="10"/>
      <c r="H104" s="11"/>
      <c r="I104" s="8"/>
      <c r="J104" s="11"/>
      <c r="K104" s="8"/>
      <c r="L104" s="11"/>
      <c r="M104" s="8"/>
      <c r="N104" s="11"/>
      <c r="O104" s="8"/>
      <c r="P104" s="19"/>
      <c r="Q104" s="19"/>
      <c r="R104" s="8"/>
      <c r="S104" s="8"/>
      <c r="T104" s="8"/>
      <c r="U104" s="8"/>
      <c r="V104" s="8"/>
      <c r="W104" s="8"/>
      <c r="Y104" s="3">
        <f>_xlfn.XLOOKUP(X104,'7月份计划'!A:A,'7月份计划'!A:A)</f>
        <v>0</v>
      </c>
    </row>
    <row r="105" spans="1:25">
      <c r="A105" s="12"/>
      <c r="B105" s="12"/>
      <c r="C105" s="12"/>
      <c r="D105" s="13"/>
      <c r="E105" s="12"/>
      <c r="F105" s="14"/>
      <c r="G105" s="14"/>
      <c r="H105" s="15"/>
      <c r="I105" s="12"/>
      <c r="J105" s="15"/>
      <c r="K105" s="12"/>
      <c r="L105" s="15"/>
      <c r="M105" s="12"/>
      <c r="N105" s="15"/>
      <c r="O105" s="12"/>
      <c r="P105" s="21"/>
      <c r="Q105" s="21"/>
      <c r="R105" s="12"/>
      <c r="S105" s="12"/>
      <c r="T105" s="12"/>
      <c r="U105" s="12"/>
      <c r="V105" s="12"/>
      <c r="W105" s="12"/>
      <c r="Y105" s="3">
        <f>_xlfn.XLOOKUP(X105,'7月份计划'!A:A,'7月份计划'!A:A)</f>
        <v>0</v>
      </c>
    </row>
    <row r="106" spans="1:25">
      <c r="A106" s="8"/>
      <c r="B106" s="8"/>
      <c r="C106" s="8"/>
      <c r="D106" s="9"/>
      <c r="E106" s="8"/>
      <c r="F106" s="10"/>
      <c r="G106" s="10"/>
      <c r="H106" s="11"/>
      <c r="I106" s="8"/>
      <c r="J106" s="11"/>
      <c r="K106" s="8"/>
      <c r="L106" s="11"/>
      <c r="M106" s="8"/>
      <c r="N106" s="11"/>
      <c r="O106" s="8"/>
      <c r="P106" s="19"/>
      <c r="Q106" s="19"/>
      <c r="R106" s="8"/>
      <c r="S106" s="8"/>
      <c r="T106" s="8"/>
      <c r="U106" s="8"/>
      <c r="V106" s="8"/>
      <c r="W106" s="8"/>
      <c r="Y106" s="3">
        <f>_xlfn.XLOOKUP(X106,'7月份计划'!A:A,'7月份计划'!A:A)</f>
        <v>0</v>
      </c>
    </row>
    <row r="107" spans="1:25">
      <c r="A107" s="12"/>
      <c r="B107" s="12"/>
      <c r="C107" s="12"/>
      <c r="D107" s="13"/>
      <c r="E107" s="12"/>
      <c r="F107" s="14"/>
      <c r="G107" s="14"/>
      <c r="H107" s="15"/>
      <c r="I107" s="12"/>
      <c r="J107" s="15"/>
      <c r="K107" s="12"/>
      <c r="L107" s="15"/>
      <c r="M107" s="12"/>
      <c r="N107" s="15"/>
      <c r="O107" s="12"/>
      <c r="P107" s="21"/>
      <c r="Q107" s="21"/>
      <c r="R107" s="12"/>
      <c r="S107" s="12"/>
      <c r="T107" s="12"/>
      <c r="U107" s="12"/>
      <c r="V107" s="12"/>
      <c r="W107" s="12"/>
      <c r="Y107" s="3">
        <f>_xlfn.XLOOKUP(X107,'7月份计划'!A:A,'7月份计划'!A:A)</f>
        <v>0</v>
      </c>
    </row>
    <row r="108" spans="1:25">
      <c r="A108" s="8"/>
      <c r="B108" s="8"/>
      <c r="C108" s="8"/>
      <c r="D108" s="9"/>
      <c r="E108" s="8"/>
      <c r="F108" s="10"/>
      <c r="G108" s="10"/>
      <c r="H108" s="11"/>
      <c r="I108" s="8"/>
      <c r="J108" s="11"/>
      <c r="K108" s="8"/>
      <c r="L108" s="11"/>
      <c r="M108" s="8"/>
      <c r="N108" s="11"/>
      <c r="O108" s="8"/>
      <c r="P108" s="19"/>
      <c r="Q108" s="19"/>
      <c r="R108" s="8"/>
      <c r="S108" s="8"/>
      <c r="T108" s="8"/>
      <c r="U108" s="8"/>
      <c r="V108" s="8"/>
      <c r="W108" s="8"/>
      <c r="Y108" s="3">
        <f>_xlfn.XLOOKUP(X108,'7月份计划'!A:A,'7月份计划'!A:A)</f>
        <v>0</v>
      </c>
    </row>
    <row r="109" spans="1:25">
      <c r="A109" s="12"/>
      <c r="B109" s="12"/>
      <c r="C109" s="12"/>
      <c r="D109" s="13"/>
      <c r="E109" s="12"/>
      <c r="F109" s="14"/>
      <c r="G109" s="14"/>
      <c r="H109" s="15"/>
      <c r="I109" s="12"/>
      <c r="J109" s="15"/>
      <c r="K109" s="12"/>
      <c r="L109" s="15"/>
      <c r="M109" s="12"/>
      <c r="N109" s="15"/>
      <c r="O109" s="12"/>
      <c r="P109" s="21"/>
      <c r="Q109" s="21"/>
      <c r="R109" s="12"/>
      <c r="S109" s="12"/>
      <c r="T109" s="12"/>
      <c r="U109" s="12"/>
      <c r="V109" s="12"/>
      <c r="W109" s="12"/>
      <c r="Y109" s="3">
        <f>_xlfn.XLOOKUP(X109,'7月份计划'!A:A,'7月份计划'!A:A)</f>
        <v>0</v>
      </c>
    </row>
    <row r="110" spans="1:25">
      <c r="A110" s="8"/>
      <c r="B110" s="8"/>
      <c r="C110" s="8"/>
      <c r="D110" s="9"/>
      <c r="E110" s="8"/>
      <c r="F110" s="10"/>
      <c r="G110" s="10"/>
      <c r="H110" s="11"/>
      <c r="I110" s="8"/>
      <c r="J110" s="11"/>
      <c r="K110" s="8"/>
      <c r="L110" s="11"/>
      <c r="M110" s="8"/>
      <c r="N110" s="11"/>
      <c r="O110" s="8"/>
      <c r="P110" s="19"/>
      <c r="Q110" s="19"/>
      <c r="R110" s="8"/>
      <c r="S110" s="8"/>
      <c r="T110" s="8"/>
      <c r="U110" s="8"/>
      <c r="V110" s="8"/>
      <c r="W110" s="8"/>
      <c r="Y110" s="3">
        <f>_xlfn.XLOOKUP(X110,'7月份计划'!A:A,'7月份计划'!A:A)</f>
        <v>0</v>
      </c>
    </row>
    <row r="111" spans="1:25">
      <c r="A111" s="12"/>
      <c r="B111" s="12"/>
      <c r="C111" s="12"/>
      <c r="D111" s="13"/>
      <c r="E111" s="12"/>
      <c r="F111" s="14"/>
      <c r="G111" s="14"/>
      <c r="H111" s="15"/>
      <c r="I111" s="12"/>
      <c r="J111" s="15"/>
      <c r="K111" s="12"/>
      <c r="L111" s="15"/>
      <c r="M111" s="12"/>
      <c r="N111" s="15"/>
      <c r="O111" s="12"/>
      <c r="P111" s="21"/>
      <c r="Q111" s="21"/>
      <c r="R111" s="12"/>
      <c r="S111" s="12"/>
      <c r="T111" s="12"/>
      <c r="U111" s="12"/>
      <c r="V111" s="12"/>
      <c r="W111" s="12"/>
      <c r="Y111" s="3">
        <f>_xlfn.XLOOKUP(X111,'7月份计划'!A:A,'7月份计划'!A:A)</f>
        <v>0</v>
      </c>
    </row>
    <row r="112" spans="1:25">
      <c r="A112" s="8"/>
      <c r="B112" s="8"/>
      <c r="C112" s="8"/>
      <c r="D112" s="9"/>
      <c r="E112" s="8"/>
      <c r="F112" s="10"/>
      <c r="G112" s="10"/>
      <c r="H112" s="11"/>
      <c r="I112" s="8"/>
      <c r="J112" s="11"/>
      <c r="K112" s="8"/>
      <c r="L112" s="11"/>
      <c r="M112" s="8"/>
      <c r="N112" s="11"/>
      <c r="O112" s="8"/>
      <c r="P112" s="19"/>
      <c r="Q112" s="19"/>
      <c r="R112" s="8"/>
      <c r="S112" s="8"/>
      <c r="T112" s="8"/>
      <c r="U112" s="8"/>
      <c r="V112" s="8"/>
      <c r="W112" s="8"/>
      <c r="Y112" s="3">
        <f>_xlfn.XLOOKUP(X112,'7月份计划'!A:A,'7月份计划'!A:A)</f>
        <v>0</v>
      </c>
    </row>
    <row r="113" spans="1:25">
      <c r="A113" s="12"/>
      <c r="B113" s="12"/>
      <c r="C113" s="12"/>
      <c r="D113" s="13"/>
      <c r="E113" s="12"/>
      <c r="F113" s="14"/>
      <c r="G113" s="14"/>
      <c r="H113" s="15"/>
      <c r="I113" s="12"/>
      <c r="J113" s="15"/>
      <c r="K113" s="12"/>
      <c r="L113" s="15"/>
      <c r="M113" s="12"/>
      <c r="N113" s="15"/>
      <c r="O113" s="12"/>
      <c r="P113" s="21"/>
      <c r="Q113" s="21"/>
      <c r="R113" s="12"/>
      <c r="S113" s="12"/>
      <c r="T113" s="12"/>
      <c r="U113" s="12"/>
      <c r="V113" s="12"/>
      <c r="W113" s="12"/>
      <c r="Y113" s="3">
        <f>_xlfn.XLOOKUP(X113,'7月份计划'!A:A,'7月份计划'!A:A)</f>
        <v>0</v>
      </c>
    </row>
    <row r="114" spans="1:25">
      <c r="A114" s="8"/>
      <c r="B114" s="8"/>
      <c r="C114" s="8"/>
      <c r="D114" s="9"/>
      <c r="E114" s="8"/>
      <c r="F114" s="10"/>
      <c r="G114" s="10"/>
      <c r="H114" s="11"/>
      <c r="I114" s="8"/>
      <c r="J114" s="11"/>
      <c r="K114" s="8"/>
      <c r="L114" s="11"/>
      <c r="M114" s="8"/>
      <c r="N114" s="11"/>
      <c r="O114" s="8"/>
      <c r="P114" s="19"/>
      <c r="Q114" s="19"/>
      <c r="R114" s="8"/>
      <c r="S114" s="8"/>
      <c r="T114" s="8"/>
      <c r="U114" s="8"/>
      <c r="V114" s="8"/>
      <c r="W114" s="8"/>
      <c r="Y114" s="3">
        <f>_xlfn.XLOOKUP(X114,'7月份计划'!A:A,'7月份计划'!A:A)</f>
        <v>0</v>
      </c>
    </row>
    <row r="115" spans="1:25">
      <c r="A115" s="12"/>
      <c r="B115" s="12"/>
      <c r="C115" s="12"/>
      <c r="D115" s="13"/>
      <c r="E115" s="12"/>
      <c r="F115" s="14"/>
      <c r="G115" s="14"/>
      <c r="H115" s="15"/>
      <c r="I115" s="12"/>
      <c r="J115" s="15"/>
      <c r="K115" s="12"/>
      <c r="L115" s="15"/>
      <c r="M115" s="12"/>
      <c r="N115" s="15"/>
      <c r="O115" s="12"/>
      <c r="P115" s="21"/>
      <c r="Q115" s="21"/>
      <c r="R115" s="12"/>
      <c r="S115" s="12"/>
      <c r="T115" s="12"/>
      <c r="U115" s="12"/>
      <c r="V115" s="12"/>
      <c r="W115" s="12"/>
      <c r="Y115" s="3">
        <f>_xlfn.XLOOKUP(X115,'7月份计划'!A:A,'7月份计划'!A:A)</f>
        <v>0</v>
      </c>
    </row>
    <row r="116" spans="1:25">
      <c r="A116" s="8"/>
      <c r="B116" s="8"/>
      <c r="C116" s="8"/>
      <c r="D116" s="9"/>
      <c r="E116" s="8"/>
      <c r="F116" s="10"/>
      <c r="G116" s="10"/>
      <c r="H116" s="11"/>
      <c r="I116" s="8"/>
      <c r="J116" s="11"/>
      <c r="K116" s="8"/>
      <c r="L116" s="11"/>
      <c r="M116" s="8"/>
      <c r="N116" s="11"/>
      <c r="O116" s="8"/>
      <c r="P116" s="19"/>
      <c r="Q116" s="19"/>
      <c r="R116" s="8"/>
      <c r="S116" s="8"/>
      <c r="T116" s="8"/>
      <c r="U116" s="8"/>
      <c r="V116" s="8"/>
      <c r="W116" s="8"/>
      <c r="Y116" s="3">
        <f>_xlfn.XLOOKUP(X116,'7月份计划'!A:A,'7月份计划'!A:A)</f>
        <v>0</v>
      </c>
    </row>
    <row r="117" spans="1:25">
      <c r="A117" s="12"/>
      <c r="B117" s="12"/>
      <c r="C117" s="12"/>
      <c r="D117" s="13"/>
      <c r="E117" s="12"/>
      <c r="F117" s="14"/>
      <c r="G117" s="14"/>
      <c r="H117" s="15"/>
      <c r="I117" s="12"/>
      <c r="J117" s="15"/>
      <c r="K117" s="12"/>
      <c r="L117" s="15"/>
      <c r="M117" s="12"/>
      <c r="N117" s="15"/>
      <c r="O117" s="12"/>
      <c r="P117" s="21"/>
      <c r="Q117" s="21"/>
      <c r="R117" s="12"/>
      <c r="S117" s="12"/>
      <c r="T117" s="12"/>
      <c r="U117" s="12"/>
      <c r="V117" s="12"/>
      <c r="W117" s="12"/>
      <c r="Y117" s="3">
        <f>_xlfn.XLOOKUP(X117,'7月份计划'!A:A,'7月份计划'!A:A)</f>
        <v>0</v>
      </c>
    </row>
    <row r="118" spans="1:25">
      <c r="A118" s="8"/>
      <c r="B118" s="8"/>
      <c r="C118" s="8"/>
      <c r="D118" s="9"/>
      <c r="E118" s="8"/>
      <c r="F118" s="10"/>
      <c r="G118" s="10"/>
      <c r="H118" s="11"/>
      <c r="I118" s="8"/>
      <c r="J118" s="11"/>
      <c r="K118" s="8"/>
      <c r="L118" s="11"/>
      <c r="M118" s="8"/>
      <c r="N118" s="11"/>
      <c r="O118" s="8"/>
      <c r="P118" s="19"/>
      <c r="Q118" s="19"/>
      <c r="R118" s="8"/>
      <c r="S118" s="8"/>
      <c r="T118" s="8"/>
      <c r="U118" s="8"/>
      <c r="V118" s="8"/>
      <c r="W118" s="8"/>
      <c r="Y118" s="3">
        <f>_xlfn.XLOOKUP(X118,'7月份计划'!A:A,'7月份计划'!A:A)</f>
        <v>0</v>
      </c>
    </row>
    <row r="119" spans="1:25">
      <c r="A119" s="12"/>
      <c r="B119" s="12"/>
      <c r="C119" s="12"/>
      <c r="D119" s="13"/>
      <c r="E119" s="12"/>
      <c r="F119" s="14"/>
      <c r="G119" s="14"/>
      <c r="H119" s="15"/>
      <c r="I119" s="12"/>
      <c r="J119" s="15"/>
      <c r="K119" s="12"/>
      <c r="L119" s="15"/>
      <c r="M119" s="12"/>
      <c r="N119" s="15"/>
      <c r="O119" s="12"/>
      <c r="P119" s="21"/>
      <c r="Q119" s="21"/>
      <c r="R119" s="12"/>
      <c r="S119" s="12"/>
      <c r="T119" s="12"/>
      <c r="U119" s="12"/>
      <c r="V119" s="12"/>
      <c r="W119" s="12"/>
      <c r="Y119" s="3">
        <f>_xlfn.XLOOKUP(X119,'7月份计划'!A:A,'7月份计划'!A:A)</f>
        <v>0</v>
      </c>
    </row>
    <row r="120" spans="1:25">
      <c r="A120" s="8"/>
      <c r="B120" s="8"/>
      <c r="C120" s="8"/>
      <c r="D120" s="9"/>
      <c r="E120" s="8"/>
      <c r="F120" s="10"/>
      <c r="G120" s="10"/>
      <c r="H120" s="11"/>
      <c r="I120" s="8"/>
      <c r="J120" s="11"/>
      <c r="K120" s="8"/>
      <c r="L120" s="11"/>
      <c r="M120" s="8"/>
      <c r="N120" s="11"/>
      <c r="O120" s="8"/>
      <c r="P120" s="19"/>
      <c r="Q120" s="19"/>
      <c r="R120" s="8"/>
      <c r="S120" s="8"/>
      <c r="T120" s="8"/>
      <c r="U120" s="8"/>
      <c r="V120" s="8"/>
      <c r="W120" s="8"/>
      <c r="Y120" s="3">
        <f>_xlfn.XLOOKUP(X120,'7月份计划'!A:A,'7月份计划'!A:A)</f>
        <v>0</v>
      </c>
    </row>
    <row r="121" spans="1:25">
      <c r="A121" s="12"/>
      <c r="B121" s="12"/>
      <c r="C121" s="12"/>
      <c r="D121" s="13"/>
      <c r="E121" s="12"/>
      <c r="F121" s="14"/>
      <c r="G121" s="14"/>
      <c r="H121" s="15"/>
      <c r="I121" s="12"/>
      <c r="J121" s="15"/>
      <c r="K121" s="12"/>
      <c r="L121" s="15"/>
      <c r="M121" s="12"/>
      <c r="N121" s="15"/>
      <c r="O121" s="12"/>
      <c r="P121" s="21"/>
      <c r="Q121" s="21"/>
      <c r="R121" s="12"/>
      <c r="S121" s="12"/>
      <c r="T121" s="12"/>
      <c r="U121" s="12"/>
      <c r="V121" s="12"/>
      <c r="W121" s="12"/>
      <c r="Y121" s="3">
        <f>_xlfn.XLOOKUP(X121,'7月份计划'!A:A,'7月份计划'!A:A)</f>
        <v>0</v>
      </c>
    </row>
    <row r="122" spans="1:25">
      <c r="A122" s="8"/>
      <c r="B122" s="8"/>
      <c r="C122" s="8"/>
      <c r="D122" s="9"/>
      <c r="E122" s="8"/>
      <c r="F122" s="10"/>
      <c r="G122" s="10"/>
      <c r="H122" s="11"/>
      <c r="I122" s="8"/>
      <c r="J122" s="11"/>
      <c r="K122" s="8"/>
      <c r="L122" s="11"/>
      <c r="M122" s="8"/>
      <c r="N122" s="11"/>
      <c r="O122" s="8"/>
      <c r="P122" s="19"/>
      <c r="Q122" s="19"/>
      <c r="R122" s="8"/>
      <c r="S122" s="8"/>
      <c r="T122" s="8"/>
      <c r="U122" s="8"/>
      <c r="V122" s="8"/>
      <c r="W122" s="8"/>
      <c r="Y122" s="3">
        <f>_xlfn.XLOOKUP(X122,'7月份计划'!A:A,'7月份计划'!A:A)</f>
        <v>0</v>
      </c>
    </row>
    <row r="123" spans="1:25">
      <c r="A123" s="12"/>
      <c r="B123" s="12"/>
      <c r="C123" s="12"/>
      <c r="D123" s="13"/>
      <c r="E123" s="12"/>
      <c r="F123" s="14"/>
      <c r="G123" s="14"/>
      <c r="H123" s="15"/>
      <c r="I123" s="12"/>
      <c r="J123" s="15"/>
      <c r="K123" s="12"/>
      <c r="L123" s="15"/>
      <c r="M123" s="12"/>
      <c r="N123" s="15"/>
      <c r="O123" s="12"/>
      <c r="P123" s="21"/>
      <c r="Q123" s="21"/>
      <c r="R123" s="12"/>
      <c r="S123" s="12"/>
      <c r="T123" s="12"/>
      <c r="U123" s="12"/>
      <c r="V123" s="12"/>
      <c r="W123" s="12"/>
      <c r="Y123" s="3">
        <f>_xlfn.XLOOKUP(X123,'7月份计划'!A:A,'7月份计划'!A:A)</f>
        <v>0</v>
      </c>
    </row>
    <row r="124" spans="1:25">
      <c r="A124" s="8"/>
      <c r="B124" s="8"/>
      <c r="C124" s="8"/>
      <c r="D124" s="9"/>
      <c r="E124" s="8"/>
      <c r="F124" s="10"/>
      <c r="G124" s="10"/>
      <c r="H124" s="11"/>
      <c r="I124" s="8"/>
      <c r="J124" s="11"/>
      <c r="K124" s="8"/>
      <c r="L124" s="11"/>
      <c r="M124" s="8"/>
      <c r="N124" s="11"/>
      <c r="O124" s="8"/>
      <c r="P124" s="19"/>
      <c r="Q124" s="19"/>
      <c r="R124" s="8"/>
      <c r="S124" s="8"/>
      <c r="T124" s="8"/>
      <c r="U124" s="8"/>
      <c r="V124" s="8"/>
      <c r="W124" s="8"/>
      <c r="Y124" s="3">
        <f>_xlfn.XLOOKUP(X124,'7月份计划'!A:A,'7月份计划'!A:A)</f>
        <v>0</v>
      </c>
    </row>
    <row r="125" spans="1:25">
      <c r="A125" s="12"/>
      <c r="B125" s="12"/>
      <c r="C125" s="12"/>
      <c r="D125" s="13"/>
      <c r="E125" s="12"/>
      <c r="F125" s="14"/>
      <c r="G125" s="14"/>
      <c r="H125" s="15"/>
      <c r="I125" s="12"/>
      <c r="J125" s="15"/>
      <c r="K125" s="12"/>
      <c r="L125" s="15"/>
      <c r="M125" s="12"/>
      <c r="N125" s="15"/>
      <c r="O125" s="12"/>
      <c r="P125" s="21"/>
      <c r="Q125" s="21"/>
      <c r="R125" s="12"/>
      <c r="S125" s="12"/>
      <c r="T125" s="12"/>
      <c r="U125" s="12"/>
      <c r="V125" s="12"/>
      <c r="W125" s="12"/>
      <c r="Y125" s="3">
        <f>_xlfn.XLOOKUP(X125,'7月份计划'!A:A,'7月份计划'!A:A)</f>
        <v>0</v>
      </c>
    </row>
    <row r="126" spans="1:25">
      <c r="A126" s="8"/>
      <c r="B126" s="8"/>
      <c r="C126" s="8"/>
      <c r="D126" s="9"/>
      <c r="E126" s="8"/>
      <c r="F126" s="10"/>
      <c r="G126" s="10"/>
      <c r="H126" s="11"/>
      <c r="I126" s="8"/>
      <c r="J126" s="11"/>
      <c r="K126" s="8"/>
      <c r="L126" s="11"/>
      <c r="M126" s="8"/>
      <c r="N126" s="11"/>
      <c r="O126" s="8"/>
      <c r="P126" s="19"/>
      <c r="Q126" s="19"/>
      <c r="R126" s="8"/>
      <c r="S126" s="8"/>
      <c r="T126" s="8"/>
      <c r="U126" s="8"/>
      <c r="V126" s="8"/>
      <c r="W126" s="8"/>
      <c r="Y126" s="3">
        <f>_xlfn.XLOOKUP(X126,'7月份计划'!A:A,'7月份计划'!A:A)</f>
        <v>0</v>
      </c>
    </row>
    <row r="127" spans="1:25">
      <c r="A127" s="12"/>
      <c r="B127" s="12"/>
      <c r="C127" s="12"/>
      <c r="D127" s="13"/>
      <c r="E127" s="12"/>
      <c r="F127" s="14"/>
      <c r="G127" s="14"/>
      <c r="H127" s="15"/>
      <c r="I127" s="12"/>
      <c r="J127" s="15"/>
      <c r="K127" s="12"/>
      <c r="L127" s="15"/>
      <c r="M127" s="12"/>
      <c r="N127" s="15"/>
      <c r="O127" s="12"/>
      <c r="P127" s="21"/>
      <c r="Q127" s="21"/>
      <c r="R127" s="12"/>
      <c r="S127" s="12"/>
      <c r="T127" s="12"/>
      <c r="U127" s="12"/>
      <c r="V127" s="12"/>
      <c r="W127" s="12"/>
      <c r="Y127" s="3">
        <f>_xlfn.XLOOKUP(X127,'7月份计划'!A:A,'7月份计划'!A:A)</f>
        <v>0</v>
      </c>
    </row>
    <row r="128" spans="1:25">
      <c r="A128" s="8"/>
      <c r="B128" s="8"/>
      <c r="C128" s="8"/>
      <c r="D128" s="9"/>
      <c r="E128" s="8"/>
      <c r="F128" s="10"/>
      <c r="G128" s="10"/>
      <c r="H128" s="11"/>
      <c r="I128" s="8"/>
      <c r="J128" s="11"/>
      <c r="K128" s="8"/>
      <c r="L128" s="11"/>
      <c r="M128" s="8"/>
      <c r="N128" s="11"/>
      <c r="O128" s="8"/>
      <c r="P128" s="19"/>
      <c r="Q128" s="19"/>
      <c r="R128" s="8"/>
      <c r="S128" s="8"/>
      <c r="T128" s="8"/>
      <c r="U128" s="8"/>
      <c r="V128" s="8"/>
      <c r="W128" s="8"/>
      <c r="Y128" s="3">
        <f>_xlfn.XLOOKUP(X128,'7月份计划'!A:A,'7月份计划'!A:A)</f>
        <v>0</v>
      </c>
    </row>
    <row r="129" spans="1:25">
      <c r="A129" s="12"/>
      <c r="B129" s="12"/>
      <c r="C129" s="12"/>
      <c r="D129" s="13"/>
      <c r="E129" s="12"/>
      <c r="F129" s="14"/>
      <c r="G129" s="14"/>
      <c r="H129" s="15"/>
      <c r="I129" s="12"/>
      <c r="J129" s="15"/>
      <c r="K129" s="12"/>
      <c r="L129" s="15"/>
      <c r="M129" s="12"/>
      <c r="N129" s="15"/>
      <c r="O129" s="12"/>
      <c r="P129" s="21"/>
      <c r="Q129" s="21"/>
      <c r="R129" s="12"/>
      <c r="S129" s="12"/>
      <c r="T129" s="12"/>
      <c r="U129" s="12"/>
      <c r="V129" s="12"/>
      <c r="W129" s="12"/>
      <c r="Y129" s="3">
        <f>_xlfn.XLOOKUP(X129,'7月份计划'!A:A,'7月份计划'!A:A)</f>
        <v>0</v>
      </c>
    </row>
    <row r="130" spans="1:25">
      <c r="A130" s="8"/>
      <c r="B130" s="8"/>
      <c r="C130" s="8"/>
      <c r="D130" s="9"/>
      <c r="E130" s="8"/>
      <c r="F130" s="10"/>
      <c r="G130" s="10"/>
      <c r="H130" s="11"/>
      <c r="I130" s="8"/>
      <c r="J130" s="11"/>
      <c r="K130" s="8"/>
      <c r="L130" s="11"/>
      <c r="M130" s="8"/>
      <c r="N130" s="11"/>
      <c r="O130" s="8"/>
      <c r="P130" s="19"/>
      <c r="Q130" s="19"/>
      <c r="R130" s="8"/>
      <c r="S130" s="8"/>
      <c r="T130" s="8"/>
      <c r="U130" s="8"/>
      <c r="V130" s="8"/>
      <c r="W130" s="8"/>
      <c r="Y130" s="3">
        <f>_xlfn.XLOOKUP(X130,'7月份计划'!A:A,'7月份计划'!A:A)</f>
        <v>0</v>
      </c>
    </row>
    <row r="131" spans="1:25">
      <c r="A131" s="12"/>
      <c r="B131" s="12"/>
      <c r="C131" s="12"/>
      <c r="D131" s="13"/>
      <c r="E131" s="12"/>
      <c r="F131" s="14"/>
      <c r="G131" s="14"/>
      <c r="H131" s="15"/>
      <c r="I131" s="12"/>
      <c r="J131" s="15"/>
      <c r="K131" s="12"/>
      <c r="L131" s="15"/>
      <c r="M131" s="12"/>
      <c r="N131" s="15"/>
      <c r="O131" s="12"/>
      <c r="P131" s="21"/>
      <c r="Q131" s="21"/>
      <c r="R131" s="12"/>
      <c r="S131" s="12"/>
      <c r="T131" s="12"/>
      <c r="U131" s="12"/>
      <c r="V131" s="12"/>
      <c r="W131" s="12"/>
      <c r="Y131" s="3">
        <f>_xlfn.XLOOKUP(X131,'7月份计划'!A:A,'7月份计划'!A:A)</f>
        <v>0</v>
      </c>
    </row>
    <row r="132" spans="1:25">
      <c r="A132" s="8"/>
      <c r="B132" s="8"/>
      <c r="C132" s="8"/>
      <c r="D132" s="9"/>
      <c r="E132" s="8"/>
      <c r="F132" s="10"/>
      <c r="G132" s="10"/>
      <c r="H132" s="11"/>
      <c r="I132" s="8"/>
      <c r="J132" s="11"/>
      <c r="K132" s="8"/>
      <c r="L132" s="11"/>
      <c r="M132" s="8"/>
      <c r="N132" s="11"/>
      <c r="O132" s="8"/>
      <c r="P132" s="19"/>
      <c r="Q132" s="19"/>
      <c r="R132" s="8"/>
      <c r="S132" s="8"/>
      <c r="T132" s="8"/>
      <c r="U132" s="8"/>
      <c r="V132" s="8"/>
      <c r="W132" s="8"/>
      <c r="Y132" s="3">
        <f>_xlfn.XLOOKUP(X132,'7月份计划'!A:A,'7月份计划'!A:A)</f>
        <v>0</v>
      </c>
    </row>
    <row r="133" spans="1:25">
      <c r="A133" s="12"/>
      <c r="B133" s="12"/>
      <c r="C133" s="12"/>
      <c r="D133" s="13"/>
      <c r="E133" s="12"/>
      <c r="F133" s="14"/>
      <c r="G133" s="14"/>
      <c r="H133" s="15"/>
      <c r="I133" s="12"/>
      <c r="J133" s="15"/>
      <c r="K133" s="12"/>
      <c r="L133" s="15"/>
      <c r="M133" s="12"/>
      <c r="N133" s="15"/>
      <c r="O133" s="12"/>
      <c r="P133" s="21"/>
      <c r="Q133" s="21"/>
      <c r="R133" s="12"/>
      <c r="S133" s="12"/>
      <c r="T133" s="12"/>
      <c r="U133" s="12"/>
      <c r="V133" s="12"/>
      <c r="W133" s="12"/>
      <c r="Y133" s="3">
        <f>_xlfn.XLOOKUP(X133,'7月份计划'!A:A,'7月份计划'!A:A)</f>
        <v>0</v>
      </c>
    </row>
    <row r="134" spans="1:25">
      <c r="A134" s="8"/>
      <c r="B134" s="8"/>
      <c r="C134" s="8"/>
      <c r="D134" s="9"/>
      <c r="E134" s="8"/>
      <c r="F134" s="10"/>
      <c r="G134" s="10"/>
      <c r="H134" s="11"/>
      <c r="I134" s="8"/>
      <c r="J134" s="11"/>
      <c r="K134" s="8"/>
      <c r="L134" s="11"/>
      <c r="M134" s="8"/>
      <c r="N134" s="11"/>
      <c r="O134" s="8"/>
      <c r="P134" s="19"/>
      <c r="Q134" s="19"/>
      <c r="R134" s="8"/>
      <c r="S134" s="8"/>
      <c r="T134" s="8"/>
      <c r="U134" s="8"/>
      <c r="V134" s="8"/>
      <c r="W134" s="8"/>
      <c r="Y134" s="3">
        <f>_xlfn.XLOOKUP(X134,'7月份计划'!A:A,'7月份计划'!A:A)</f>
        <v>0</v>
      </c>
    </row>
    <row r="135" spans="1:25">
      <c r="A135" s="12"/>
      <c r="B135" s="12"/>
      <c r="C135" s="12"/>
      <c r="D135" s="13"/>
      <c r="E135" s="12"/>
      <c r="F135" s="14"/>
      <c r="G135" s="14"/>
      <c r="H135" s="15"/>
      <c r="I135" s="12"/>
      <c r="J135" s="15"/>
      <c r="K135" s="12"/>
      <c r="L135" s="15"/>
      <c r="M135" s="12"/>
      <c r="N135" s="15"/>
      <c r="O135" s="12"/>
      <c r="P135" s="21"/>
      <c r="Q135" s="21"/>
      <c r="R135" s="12"/>
      <c r="S135" s="12"/>
      <c r="T135" s="12"/>
      <c r="U135" s="12"/>
      <c r="V135" s="12"/>
      <c r="W135" s="12"/>
      <c r="Y135" s="3">
        <f>_xlfn.XLOOKUP(X135,'7月份计划'!A:A,'7月份计划'!A:A)</f>
        <v>0</v>
      </c>
    </row>
    <row r="136" spans="1:25">
      <c r="A136" s="8"/>
      <c r="B136" s="8"/>
      <c r="C136" s="8"/>
      <c r="D136" s="9"/>
      <c r="E136" s="8"/>
      <c r="F136" s="10"/>
      <c r="G136" s="10"/>
      <c r="H136" s="11"/>
      <c r="I136" s="8"/>
      <c r="J136" s="11"/>
      <c r="K136" s="8"/>
      <c r="L136" s="11"/>
      <c r="M136" s="8"/>
      <c r="N136" s="11"/>
      <c r="O136" s="8"/>
      <c r="P136" s="19"/>
      <c r="Q136" s="19"/>
      <c r="R136" s="8"/>
      <c r="S136" s="8"/>
      <c r="T136" s="8"/>
      <c r="U136" s="8"/>
      <c r="V136" s="8"/>
      <c r="W136" s="8"/>
      <c r="Y136" s="3">
        <f>_xlfn.XLOOKUP(X136,'7月份计划'!A:A,'7月份计划'!A:A)</f>
        <v>0</v>
      </c>
    </row>
    <row r="137" spans="1:25">
      <c r="A137" s="12"/>
      <c r="B137" s="12"/>
      <c r="C137" s="12"/>
      <c r="D137" s="13"/>
      <c r="E137" s="12"/>
      <c r="F137" s="14"/>
      <c r="G137" s="14"/>
      <c r="H137" s="15"/>
      <c r="I137" s="12"/>
      <c r="J137" s="15"/>
      <c r="K137" s="12"/>
      <c r="L137" s="15"/>
      <c r="M137" s="12"/>
      <c r="N137" s="15"/>
      <c r="O137" s="12"/>
      <c r="P137" s="21"/>
      <c r="Q137" s="21"/>
      <c r="R137" s="12"/>
      <c r="S137" s="12"/>
      <c r="T137" s="12"/>
      <c r="U137" s="12"/>
      <c r="V137" s="12"/>
      <c r="W137" s="12"/>
      <c r="Y137" s="3">
        <f>_xlfn.XLOOKUP(X137,'7月份计划'!A:A,'7月份计划'!A:A)</f>
        <v>0</v>
      </c>
    </row>
    <row r="138" spans="1:25">
      <c r="A138" s="8"/>
      <c r="B138" s="8"/>
      <c r="C138" s="8"/>
      <c r="D138" s="9"/>
      <c r="E138" s="8"/>
      <c r="F138" s="10"/>
      <c r="G138" s="10"/>
      <c r="H138" s="11"/>
      <c r="I138" s="8"/>
      <c r="J138" s="11"/>
      <c r="K138" s="8"/>
      <c r="L138" s="11"/>
      <c r="M138" s="8"/>
      <c r="N138" s="11"/>
      <c r="O138" s="8"/>
      <c r="P138" s="19"/>
      <c r="Q138" s="19"/>
      <c r="R138" s="8"/>
      <c r="S138" s="8"/>
      <c r="T138" s="8"/>
      <c r="U138" s="8"/>
      <c r="V138" s="8"/>
      <c r="W138" s="8"/>
      <c r="Y138" s="3">
        <f>_xlfn.XLOOKUP(X138,'7月份计划'!A:A,'7月份计划'!A:A)</f>
        <v>0</v>
      </c>
    </row>
    <row r="139" spans="1:25">
      <c r="A139" s="12"/>
      <c r="B139" s="12"/>
      <c r="C139" s="12"/>
      <c r="D139" s="13"/>
      <c r="E139" s="12"/>
      <c r="F139" s="14"/>
      <c r="G139" s="14"/>
      <c r="H139" s="15"/>
      <c r="I139" s="12"/>
      <c r="J139" s="15"/>
      <c r="K139" s="12"/>
      <c r="L139" s="15"/>
      <c r="M139" s="12"/>
      <c r="N139" s="15"/>
      <c r="O139" s="12"/>
      <c r="P139" s="21"/>
      <c r="Q139" s="21"/>
      <c r="R139" s="12"/>
      <c r="S139" s="12"/>
      <c r="T139" s="12"/>
      <c r="U139" s="12"/>
      <c r="V139" s="12"/>
      <c r="W139" s="12"/>
      <c r="Y139" s="3">
        <f>_xlfn.XLOOKUP(X139,'7月份计划'!A:A,'7月份计划'!A:A)</f>
        <v>0</v>
      </c>
    </row>
    <row r="140" spans="1:25">
      <c r="A140" s="8"/>
      <c r="B140" s="8"/>
      <c r="C140" s="8"/>
      <c r="D140" s="9"/>
      <c r="E140" s="8"/>
      <c r="F140" s="10"/>
      <c r="G140" s="10"/>
      <c r="H140" s="11"/>
      <c r="I140" s="8"/>
      <c r="J140" s="11"/>
      <c r="K140" s="8"/>
      <c r="L140" s="11"/>
      <c r="M140" s="8"/>
      <c r="N140" s="11"/>
      <c r="O140" s="8"/>
      <c r="P140" s="19"/>
      <c r="Q140" s="19"/>
      <c r="R140" s="8"/>
      <c r="S140" s="8"/>
      <c r="T140" s="8"/>
      <c r="U140" s="8"/>
      <c r="V140" s="8"/>
      <c r="W140" s="8"/>
      <c r="Y140" s="3">
        <f>_xlfn.XLOOKUP(X140,'7月份计划'!A:A,'7月份计划'!A:A)</f>
        <v>0</v>
      </c>
    </row>
    <row r="141" spans="1:25">
      <c r="A141" s="12"/>
      <c r="B141" s="12"/>
      <c r="C141" s="12"/>
      <c r="D141" s="13"/>
      <c r="E141" s="12"/>
      <c r="F141" s="14"/>
      <c r="G141" s="14"/>
      <c r="H141" s="15"/>
      <c r="I141" s="12"/>
      <c r="J141" s="15"/>
      <c r="K141" s="12"/>
      <c r="L141" s="15"/>
      <c r="M141" s="12"/>
      <c r="N141" s="15"/>
      <c r="O141" s="12"/>
      <c r="P141" s="21"/>
      <c r="Q141" s="21"/>
      <c r="R141" s="12"/>
      <c r="S141" s="12"/>
      <c r="T141" s="12"/>
      <c r="U141" s="12"/>
      <c r="V141" s="12"/>
      <c r="W141" s="12"/>
      <c r="Y141" s="3">
        <f>_xlfn.XLOOKUP(X141,'7月份计划'!A:A,'7月份计划'!A:A)</f>
        <v>0</v>
      </c>
    </row>
    <row r="142" spans="1:25">
      <c r="A142" s="8"/>
      <c r="B142" s="8"/>
      <c r="C142" s="8"/>
      <c r="D142" s="9"/>
      <c r="E142" s="8"/>
      <c r="F142" s="10"/>
      <c r="G142" s="10"/>
      <c r="H142" s="11"/>
      <c r="I142" s="8"/>
      <c r="J142" s="11"/>
      <c r="K142" s="8"/>
      <c r="L142" s="11"/>
      <c r="M142" s="8"/>
      <c r="N142" s="11"/>
      <c r="O142" s="8"/>
      <c r="P142" s="19"/>
      <c r="Q142" s="19"/>
      <c r="R142" s="8"/>
      <c r="S142" s="8"/>
      <c r="T142" s="8"/>
      <c r="U142" s="8"/>
      <c r="V142" s="8"/>
      <c r="W142" s="8"/>
      <c r="Y142" s="3">
        <f>_xlfn.XLOOKUP(X142,'7月份计划'!A:A,'7月份计划'!A:A)</f>
        <v>0</v>
      </c>
    </row>
    <row r="143" spans="1:25">
      <c r="A143" s="12"/>
      <c r="B143" s="12"/>
      <c r="C143" s="12"/>
      <c r="D143" s="13"/>
      <c r="E143" s="12"/>
      <c r="F143" s="14"/>
      <c r="G143" s="14"/>
      <c r="H143" s="15"/>
      <c r="I143" s="12"/>
      <c r="J143" s="15"/>
      <c r="K143" s="12"/>
      <c r="L143" s="15"/>
      <c r="M143" s="12"/>
      <c r="N143" s="15"/>
      <c r="O143" s="12"/>
      <c r="P143" s="21"/>
      <c r="Q143" s="21"/>
      <c r="R143" s="12"/>
      <c r="S143" s="12"/>
      <c r="T143" s="12"/>
      <c r="U143" s="12"/>
      <c r="V143" s="12"/>
      <c r="W143" s="12"/>
      <c r="Y143" s="3">
        <f>_xlfn.XLOOKUP(X143,'7月份计划'!A:A,'7月份计划'!A:A)</f>
        <v>0</v>
      </c>
    </row>
    <row r="144" spans="1:25">
      <c r="A144" s="8"/>
      <c r="B144" s="8"/>
      <c r="C144" s="8"/>
      <c r="D144" s="9"/>
      <c r="E144" s="8"/>
      <c r="F144" s="10"/>
      <c r="G144" s="10"/>
      <c r="H144" s="11"/>
      <c r="I144" s="8"/>
      <c r="J144" s="11"/>
      <c r="K144" s="8"/>
      <c r="L144" s="11"/>
      <c r="M144" s="8"/>
      <c r="N144" s="11"/>
      <c r="O144" s="8"/>
      <c r="P144" s="19"/>
      <c r="Q144" s="19"/>
      <c r="R144" s="8"/>
      <c r="S144" s="8"/>
      <c r="T144" s="8"/>
      <c r="U144" s="8"/>
      <c r="V144" s="8"/>
      <c r="W144" s="8"/>
      <c r="Y144" s="3">
        <f>_xlfn.XLOOKUP(X144,'7月份计划'!A:A,'7月份计划'!A:A)</f>
        <v>0</v>
      </c>
    </row>
    <row r="145" spans="1:25">
      <c r="A145" s="12"/>
      <c r="B145" s="12"/>
      <c r="C145" s="12"/>
      <c r="D145" s="13"/>
      <c r="E145" s="12"/>
      <c r="F145" s="14"/>
      <c r="G145" s="14"/>
      <c r="H145" s="15"/>
      <c r="I145" s="12"/>
      <c r="J145" s="15"/>
      <c r="K145" s="12"/>
      <c r="L145" s="15"/>
      <c r="M145" s="12"/>
      <c r="N145" s="15"/>
      <c r="O145" s="12"/>
      <c r="P145" s="21"/>
      <c r="Q145" s="21"/>
      <c r="R145" s="12"/>
      <c r="S145" s="12"/>
      <c r="T145" s="12"/>
      <c r="U145" s="12"/>
      <c r="V145" s="12"/>
      <c r="W145" s="12"/>
      <c r="Y145" s="3">
        <f>_xlfn.XLOOKUP(X145,'7月份计划'!A:A,'7月份计划'!A:A)</f>
        <v>0</v>
      </c>
    </row>
    <row r="146" spans="1:25">
      <c r="A146" s="8"/>
      <c r="B146" s="8"/>
      <c r="C146" s="8"/>
      <c r="D146" s="9"/>
      <c r="E146" s="8"/>
      <c r="F146" s="10"/>
      <c r="G146" s="10"/>
      <c r="H146" s="11"/>
      <c r="I146" s="8"/>
      <c r="J146" s="11"/>
      <c r="K146" s="8"/>
      <c r="L146" s="11"/>
      <c r="M146" s="8"/>
      <c r="N146" s="11"/>
      <c r="O146" s="8"/>
      <c r="P146" s="19"/>
      <c r="Q146" s="19"/>
      <c r="R146" s="8"/>
      <c r="S146" s="8"/>
      <c r="T146" s="8"/>
      <c r="U146" s="8"/>
      <c r="V146" s="8"/>
      <c r="W146" s="8"/>
      <c r="Y146" s="3">
        <f>_xlfn.XLOOKUP(X146,'7月份计划'!A:A,'7月份计划'!A:A)</f>
        <v>0</v>
      </c>
    </row>
    <row r="147" spans="1:25">
      <c r="A147" s="12"/>
      <c r="B147" s="12"/>
      <c r="C147" s="12"/>
      <c r="D147" s="13"/>
      <c r="E147" s="12"/>
      <c r="F147" s="14"/>
      <c r="G147" s="14"/>
      <c r="H147" s="15"/>
      <c r="I147" s="12"/>
      <c r="J147" s="15"/>
      <c r="K147" s="12"/>
      <c r="L147" s="15"/>
      <c r="M147" s="12"/>
      <c r="N147" s="15"/>
      <c r="O147" s="12"/>
      <c r="P147" s="21"/>
      <c r="Q147" s="21"/>
      <c r="R147" s="12"/>
      <c r="S147" s="12"/>
      <c r="T147" s="12"/>
      <c r="U147" s="12"/>
      <c r="V147" s="12"/>
      <c r="W147" s="12"/>
      <c r="Y147" s="3">
        <f>_xlfn.XLOOKUP(X147,'7月份计划'!A:A,'7月份计划'!A:A)</f>
        <v>0</v>
      </c>
    </row>
    <row r="148" spans="1:25">
      <c r="A148" s="8"/>
      <c r="B148" s="8"/>
      <c r="C148" s="8"/>
      <c r="D148" s="9"/>
      <c r="E148" s="8"/>
      <c r="F148" s="10"/>
      <c r="G148" s="10"/>
      <c r="H148" s="11"/>
      <c r="I148" s="8"/>
      <c r="J148" s="11"/>
      <c r="K148" s="8"/>
      <c r="L148" s="11"/>
      <c r="M148" s="8"/>
      <c r="N148" s="11"/>
      <c r="O148" s="8"/>
      <c r="P148" s="19"/>
      <c r="Q148" s="19"/>
      <c r="R148" s="8"/>
      <c r="S148" s="8"/>
      <c r="T148" s="8"/>
      <c r="U148" s="8"/>
      <c r="V148" s="8"/>
      <c r="W148" s="8"/>
      <c r="Y148" s="3">
        <f>_xlfn.XLOOKUP(X148,'7月份计划'!A:A,'7月份计划'!A:A)</f>
        <v>0</v>
      </c>
    </row>
    <row r="149" spans="1:25">
      <c r="A149" s="12"/>
      <c r="B149" s="12"/>
      <c r="C149" s="12"/>
      <c r="D149" s="13"/>
      <c r="E149" s="12"/>
      <c r="F149" s="14"/>
      <c r="G149" s="14"/>
      <c r="H149" s="15"/>
      <c r="I149" s="12"/>
      <c r="J149" s="15"/>
      <c r="K149" s="12"/>
      <c r="L149" s="15"/>
      <c r="M149" s="12"/>
      <c r="N149" s="15"/>
      <c r="O149" s="12"/>
      <c r="P149" s="21"/>
      <c r="Q149" s="21"/>
      <c r="R149" s="12"/>
      <c r="S149" s="12"/>
      <c r="T149" s="12"/>
      <c r="U149" s="12"/>
      <c r="V149" s="12"/>
      <c r="W149" s="12"/>
      <c r="Y149" s="3">
        <f>_xlfn.XLOOKUP(X149,'7月份计划'!A:A,'7月份计划'!A:A)</f>
        <v>0</v>
      </c>
    </row>
    <row r="150" spans="1:25">
      <c r="A150" s="8"/>
      <c r="B150" s="8"/>
      <c r="C150" s="8"/>
      <c r="D150" s="9"/>
      <c r="E150" s="8"/>
      <c r="F150" s="10"/>
      <c r="G150" s="10"/>
      <c r="H150" s="11"/>
      <c r="I150" s="8"/>
      <c r="J150" s="11"/>
      <c r="K150" s="8"/>
      <c r="L150" s="11"/>
      <c r="M150" s="8"/>
      <c r="N150" s="11"/>
      <c r="O150" s="8"/>
      <c r="P150" s="19"/>
      <c r="Q150" s="19"/>
      <c r="R150" s="8"/>
      <c r="S150" s="8"/>
      <c r="T150" s="8"/>
      <c r="U150" s="8"/>
      <c r="V150" s="8"/>
      <c r="W150" s="8"/>
      <c r="Y150" s="3">
        <f>_xlfn.XLOOKUP(X150,'7月份计划'!A:A,'7月份计划'!A:A)</f>
        <v>0</v>
      </c>
    </row>
    <row r="151" spans="1:23">
      <c r="A151" s="12"/>
      <c r="B151" s="12"/>
      <c r="C151" s="12"/>
      <c r="D151" s="13"/>
      <c r="E151" s="12"/>
      <c r="F151" s="14"/>
      <c r="G151" s="14"/>
      <c r="H151" s="15"/>
      <c r="I151" s="12"/>
      <c r="J151" s="15"/>
      <c r="K151" s="12"/>
      <c r="L151" s="15"/>
      <c r="M151" s="12"/>
      <c r="N151" s="15"/>
      <c r="O151" s="12"/>
      <c r="P151" s="21"/>
      <c r="Q151" s="21"/>
      <c r="R151" s="12"/>
      <c r="S151" s="12"/>
      <c r="T151" s="12"/>
      <c r="U151" s="12"/>
      <c r="V151" s="12"/>
      <c r="W151" s="12"/>
    </row>
    <row r="152" spans="1:23">
      <c r="A152" s="8"/>
      <c r="B152" s="8"/>
      <c r="C152" s="8"/>
      <c r="D152" s="9"/>
      <c r="E152" s="8"/>
      <c r="F152" s="10"/>
      <c r="G152" s="10"/>
      <c r="H152" s="11"/>
      <c r="I152" s="8"/>
      <c r="J152" s="11"/>
      <c r="K152" s="8"/>
      <c r="L152" s="11"/>
      <c r="M152" s="8"/>
      <c r="N152" s="11"/>
      <c r="O152" s="8"/>
      <c r="P152" s="19"/>
      <c r="Q152" s="19"/>
      <c r="R152" s="8"/>
      <c r="S152" s="8"/>
      <c r="T152" s="8"/>
      <c r="U152" s="8"/>
      <c r="V152" s="8"/>
      <c r="W152" s="8"/>
    </row>
    <row r="153" spans="1:23">
      <c r="A153" s="12"/>
      <c r="B153" s="12"/>
      <c r="C153" s="12"/>
      <c r="D153" s="13"/>
      <c r="E153" s="12"/>
      <c r="F153" s="14"/>
      <c r="G153" s="14"/>
      <c r="H153" s="15"/>
      <c r="I153" s="12"/>
      <c r="J153" s="15"/>
      <c r="K153" s="12"/>
      <c r="L153" s="15"/>
      <c r="M153" s="12"/>
      <c r="N153" s="15"/>
      <c r="O153" s="12"/>
      <c r="P153" s="21"/>
      <c r="Q153" s="21"/>
      <c r="R153" s="12"/>
      <c r="S153" s="12"/>
      <c r="T153" s="12"/>
      <c r="U153" s="12"/>
      <c r="V153" s="12"/>
      <c r="W153" s="12"/>
    </row>
    <row r="154" spans="1:23">
      <c r="A154" s="8"/>
      <c r="B154" s="8"/>
      <c r="C154" s="8"/>
      <c r="D154" s="9"/>
      <c r="E154" s="8"/>
      <c r="F154" s="10"/>
      <c r="G154" s="10"/>
      <c r="H154" s="11"/>
      <c r="I154" s="8"/>
      <c r="J154" s="11"/>
      <c r="K154" s="8"/>
      <c r="L154" s="11"/>
      <c r="M154" s="8"/>
      <c r="N154" s="11"/>
      <c r="O154" s="8"/>
      <c r="P154" s="19"/>
      <c r="Q154" s="19"/>
      <c r="R154" s="8"/>
      <c r="S154" s="8"/>
      <c r="T154" s="8"/>
      <c r="U154" s="8"/>
      <c r="V154" s="8"/>
      <c r="W154" s="8"/>
    </row>
    <row r="155" spans="1:23">
      <c r="A155" s="12"/>
      <c r="B155" s="12"/>
      <c r="C155" s="12"/>
      <c r="D155" s="13"/>
      <c r="E155" s="12"/>
      <c r="F155" s="14"/>
      <c r="G155" s="14"/>
      <c r="H155" s="15"/>
      <c r="I155" s="12"/>
      <c r="J155" s="15"/>
      <c r="K155" s="12"/>
      <c r="L155" s="15"/>
      <c r="M155" s="12"/>
      <c r="N155" s="15"/>
      <c r="O155" s="12"/>
      <c r="P155" s="21"/>
      <c r="Q155" s="21"/>
      <c r="R155" s="12"/>
      <c r="S155" s="12"/>
      <c r="T155" s="12"/>
      <c r="U155" s="12"/>
      <c r="V155" s="12"/>
      <c r="W155" s="12"/>
    </row>
    <row r="156" spans="1:23">
      <c r="A156" s="8"/>
      <c r="B156" s="8"/>
      <c r="C156" s="8"/>
      <c r="D156" s="9"/>
      <c r="E156" s="8"/>
      <c r="F156" s="10"/>
      <c r="G156" s="10"/>
      <c r="H156" s="11"/>
      <c r="I156" s="8"/>
      <c r="J156" s="11"/>
      <c r="K156" s="8"/>
      <c r="L156" s="11"/>
      <c r="M156" s="8"/>
      <c r="N156" s="11"/>
      <c r="O156" s="8"/>
      <c r="P156" s="19"/>
      <c r="Q156" s="19"/>
      <c r="R156" s="8"/>
      <c r="S156" s="8"/>
      <c r="T156" s="8"/>
      <c r="U156" s="8"/>
      <c r="V156" s="8"/>
      <c r="W156" s="8"/>
    </row>
    <row r="157" spans="1:23">
      <c r="A157" s="12"/>
      <c r="B157" s="12"/>
      <c r="C157" s="12"/>
      <c r="D157" s="13"/>
      <c r="E157" s="12"/>
      <c r="F157" s="14"/>
      <c r="G157" s="14"/>
      <c r="H157" s="15"/>
      <c r="I157" s="12"/>
      <c r="J157" s="15"/>
      <c r="K157" s="12"/>
      <c r="L157" s="15"/>
      <c r="M157" s="12"/>
      <c r="N157" s="15"/>
      <c r="O157" s="12"/>
      <c r="P157" s="21"/>
      <c r="Q157" s="21"/>
      <c r="R157" s="12"/>
      <c r="S157" s="12"/>
      <c r="T157" s="12"/>
      <c r="U157" s="12"/>
      <c r="V157" s="12"/>
      <c r="W157" s="12"/>
    </row>
    <row r="158" spans="1:23">
      <c r="A158" s="8"/>
      <c r="B158" s="8"/>
      <c r="C158" s="8"/>
      <c r="D158" s="9"/>
      <c r="E158" s="8"/>
      <c r="F158" s="10"/>
      <c r="G158" s="10"/>
      <c r="H158" s="11"/>
      <c r="I158" s="8"/>
      <c r="J158" s="11"/>
      <c r="K158" s="8"/>
      <c r="L158" s="11"/>
      <c r="M158" s="8"/>
      <c r="N158" s="11"/>
      <c r="O158" s="8"/>
      <c r="P158" s="19"/>
      <c r="Q158" s="19"/>
      <c r="R158" s="8"/>
      <c r="S158" s="8"/>
      <c r="T158" s="8"/>
      <c r="U158" s="8"/>
      <c r="V158" s="8"/>
      <c r="W158" s="8"/>
    </row>
    <row r="159" spans="1:23">
      <c r="A159" s="12"/>
      <c r="B159" s="12"/>
      <c r="C159" s="12"/>
      <c r="D159" s="13"/>
      <c r="E159" s="12"/>
      <c r="F159" s="14"/>
      <c r="G159" s="14"/>
      <c r="H159" s="15"/>
      <c r="I159" s="12"/>
      <c r="J159" s="15"/>
      <c r="K159" s="12"/>
      <c r="L159" s="15"/>
      <c r="M159" s="12"/>
      <c r="N159" s="15"/>
      <c r="O159" s="12"/>
      <c r="P159" s="21"/>
      <c r="Q159" s="21"/>
      <c r="R159" s="12"/>
      <c r="S159" s="12"/>
      <c r="T159" s="12"/>
      <c r="U159" s="12"/>
      <c r="V159" s="12"/>
      <c r="W159" s="12"/>
    </row>
    <row r="160" spans="1:23">
      <c r="A160" s="8"/>
      <c r="B160" s="8"/>
      <c r="C160" s="8"/>
      <c r="D160" s="9"/>
      <c r="E160" s="8"/>
      <c r="F160" s="10"/>
      <c r="G160" s="10"/>
      <c r="H160" s="11"/>
      <c r="I160" s="8"/>
      <c r="J160" s="11"/>
      <c r="K160" s="8"/>
      <c r="L160" s="11"/>
      <c r="M160" s="8"/>
      <c r="N160" s="11"/>
      <c r="O160" s="8"/>
      <c r="P160" s="19"/>
      <c r="Q160" s="19"/>
      <c r="R160" s="8"/>
      <c r="S160" s="8"/>
      <c r="T160" s="8"/>
      <c r="U160" s="8"/>
      <c r="V160" s="8"/>
      <c r="W160" s="8"/>
    </row>
    <row r="161" spans="1:23">
      <c r="A161" s="12"/>
      <c r="B161" s="12"/>
      <c r="C161" s="12"/>
      <c r="D161" s="13"/>
      <c r="E161" s="12"/>
      <c r="F161" s="14"/>
      <c r="G161" s="14"/>
      <c r="H161" s="15"/>
      <c r="I161" s="12"/>
      <c r="J161" s="15"/>
      <c r="K161" s="12"/>
      <c r="L161" s="15"/>
      <c r="M161" s="12"/>
      <c r="N161" s="15"/>
      <c r="O161" s="12"/>
      <c r="P161" s="21"/>
      <c r="Q161" s="21"/>
      <c r="R161" s="12"/>
      <c r="S161" s="12"/>
      <c r="T161" s="12"/>
      <c r="U161" s="12"/>
      <c r="V161" s="12"/>
      <c r="W161" s="12"/>
    </row>
    <row r="162" spans="1:23">
      <c r="A162" s="8"/>
      <c r="B162" s="8"/>
      <c r="C162" s="8"/>
      <c r="D162" s="9"/>
      <c r="E162" s="8"/>
      <c r="F162" s="10"/>
      <c r="G162" s="10"/>
      <c r="H162" s="11"/>
      <c r="I162" s="8"/>
      <c r="J162" s="11"/>
      <c r="K162" s="8"/>
      <c r="L162" s="11"/>
      <c r="M162" s="8"/>
      <c r="N162" s="11"/>
      <c r="O162" s="8"/>
      <c r="P162" s="19"/>
      <c r="Q162" s="19"/>
      <c r="R162" s="8"/>
      <c r="S162" s="8"/>
      <c r="T162" s="8"/>
      <c r="U162" s="8"/>
      <c r="V162" s="8"/>
      <c r="W162" s="8"/>
    </row>
    <row r="163" spans="1:23">
      <c r="A163" s="12"/>
      <c r="B163" s="12"/>
      <c r="C163" s="12"/>
      <c r="D163" s="13"/>
      <c r="E163" s="12"/>
      <c r="F163" s="14"/>
      <c r="G163" s="14"/>
      <c r="H163" s="15"/>
      <c r="I163" s="12"/>
      <c r="J163" s="15"/>
      <c r="K163" s="12"/>
      <c r="L163" s="15"/>
      <c r="M163" s="12"/>
      <c r="N163" s="15"/>
      <c r="O163" s="12"/>
      <c r="P163" s="21"/>
      <c r="Q163" s="21"/>
      <c r="R163" s="12"/>
      <c r="S163" s="12"/>
      <c r="T163" s="12"/>
      <c r="U163" s="12"/>
      <c r="V163" s="12"/>
      <c r="W163" s="12"/>
    </row>
    <row r="164" spans="1:23">
      <c r="A164" s="8"/>
      <c r="B164" s="8"/>
      <c r="C164" s="8"/>
      <c r="D164" s="9"/>
      <c r="E164" s="8"/>
      <c r="F164" s="10"/>
      <c r="G164" s="10"/>
      <c r="H164" s="11"/>
      <c r="I164" s="8"/>
      <c r="J164" s="11"/>
      <c r="K164" s="8"/>
      <c r="L164" s="11"/>
      <c r="M164" s="8"/>
      <c r="N164" s="11"/>
      <c r="O164" s="8"/>
      <c r="P164" s="19"/>
      <c r="Q164" s="19"/>
      <c r="R164" s="8"/>
      <c r="S164" s="8"/>
      <c r="T164" s="8"/>
      <c r="U164" s="8"/>
      <c r="V164" s="8"/>
      <c r="W164" s="8"/>
    </row>
    <row r="165" spans="1:23">
      <c r="A165" s="12"/>
      <c r="B165" s="12"/>
      <c r="C165" s="12"/>
      <c r="D165" s="13"/>
      <c r="E165" s="12"/>
      <c r="F165" s="14"/>
      <c r="G165" s="14"/>
      <c r="H165" s="15"/>
      <c r="I165" s="12"/>
      <c r="J165" s="15"/>
      <c r="K165" s="12"/>
      <c r="L165" s="15"/>
      <c r="M165" s="12"/>
      <c r="N165" s="15"/>
      <c r="O165" s="12"/>
      <c r="P165" s="21"/>
      <c r="Q165" s="21"/>
      <c r="R165" s="12"/>
      <c r="S165" s="12"/>
      <c r="T165" s="12"/>
      <c r="U165" s="12"/>
      <c r="V165" s="12"/>
      <c r="W165" s="12"/>
    </row>
    <row r="166" spans="1:23">
      <c r="A166" s="8"/>
      <c r="B166" s="8"/>
      <c r="C166" s="8"/>
      <c r="D166" s="9"/>
      <c r="E166" s="8"/>
      <c r="F166" s="10"/>
      <c r="G166" s="10"/>
      <c r="H166" s="11"/>
      <c r="I166" s="8"/>
      <c r="J166" s="11"/>
      <c r="K166" s="8"/>
      <c r="L166" s="11"/>
      <c r="M166" s="8"/>
      <c r="N166" s="11"/>
      <c r="O166" s="8"/>
      <c r="P166" s="19"/>
      <c r="Q166" s="19"/>
      <c r="R166" s="8"/>
      <c r="S166" s="8"/>
      <c r="T166" s="8"/>
      <c r="U166" s="8"/>
      <c r="V166" s="8"/>
      <c r="W166" s="8"/>
    </row>
    <row r="167" spans="1:23">
      <c r="A167" s="12"/>
      <c r="B167" s="12"/>
      <c r="C167" s="12"/>
      <c r="D167" s="13"/>
      <c r="E167" s="12"/>
      <c r="F167" s="14"/>
      <c r="G167" s="14"/>
      <c r="H167" s="15"/>
      <c r="I167" s="12"/>
      <c r="J167" s="15"/>
      <c r="K167" s="12"/>
      <c r="L167" s="15"/>
      <c r="M167" s="12"/>
      <c r="N167" s="15"/>
      <c r="O167" s="12"/>
      <c r="P167" s="21"/>
      <c r="Q167" s="21"/>
      <c r="R167" s="12"/>
      <c r="S167" s="12"/>
      <c r="T167" s="12"/>
      <c r="U167" s="12"/>
      <c r="V167" s="12"/>
      <c r="W167" s="12"/>
    </row>
    <row r="168" spans="1:23">
      <c r="A168" s="8"/>
      <c r="B168" s="8"/>
      <c r="C168" s="8"/>
      <c r="D168" s="9"/>
      <c r="E168" s="8"/>
      <c r="F168" s="10"/>
      <c r="G168" s="10"/>
      <c r="H168" s="11"/>
      <c r="I168" s="8"/>
      <c r="J168" s="11"/>
      <c r="K168" s="8"/>
      <c r="L168" s="11"/>
      <c r="M168" s="8"/>
      <c r="N168" s="11"/>
      <c r="O168" s="8"/>
      <c r="P168" s="19"/>
      <c r="Q168" s="19"/>
      <c r="R168" s="8"/>
      <c r="S168" s="8"/>
      <c r="T168" s="8"/>
      <c r="U168" s="8"/>
      <c r="V168" s="8"/>
      <c r="W168" s="8"/>
    </row>
    <row r="169" spans="1:23">
      <c r="A169" s="12"/>
      <c r="B169" s="12"/>
      <c r="C169" s="12"/>
      <c r="D169" s="13"/>
      <c r="E169" s="12"/>
      <c r="F169" s="14"/>
      <c r="G169" s="14"/>
      <c r="H169" s="15"/>
      <c r="I169" s="12"/>
      <c r="J169" s="15"/>
      <c r="K169" s="12"/>
      <c r="L169" s="15"/>
      <c r="M169" s="12"/>
      <c r="N169" s="15"/>
      <c r="O169" s="12"/>
      <c r="P169" s="21"/>
      <c r="Q169" s="21"/>
      <c r="R169" s="12"/>
      <c r="S169" s="12"/>
      <c r="T169" s="12"/>
      <c r="U169" s="12"/>
      <c r="V169" s="12"/>
      <c r="W169" s="12"/>
    </row>
    <row r="170" spans="1:23">
      <c r="A170" s="8"/>
      <c r="B170" s="8"/>
      <c r="C170" s="8"/>
      <c r="D170" s="9"/>
      <c r="E170" s="8"/>
      <c r="F170" s="10"/>
      <c r="G170" s="10"/>
      <c r="H170" s="11"/>
      <c r="I170" s="8"/>
      <c r="J170" s="11"/>
      <c r="K170" s="8"/>
      <c r="L170" s="11"/>
      <c r="M170" s="8"/>
      <c r="N170" s="11"/>
      <c r="O170" s="8"/>
      <c r="P170" s="19"/>
      <c r="Q170" s="19"/>
      <c r="R170" s="8"/>
      <c r="S170" s="8"/>
      <c r="T170" s="8"/>
      <c r="U170" s="8"/>
      <c r="V170" s="8"/>
      <c r="W170" s="8"/>
    </row>
    <row r="171" spans="1:23">
      <c r="A171" s="12"/>
      <c r="B171" s="12"/>
      <c r="C171" s="12"/>
      <c r="D171" s="13"/>
      <c r="E171" s="12"/>
      <c r="F171" s="14"/>
      <c r="G171" s="14"/>
      <c r="H171" s="15"/>
      <c r="I171" s="12"/>
      <c r="J171" s="15"/>
      <c r="K171" s="12"/>
      <c r="L171" s="15"/>
      <c r="M171" s="12"/>
      <c r="N171" s="15"/>
      <c r="O171" s="12"/>
      <c r="P171" s="21"/>
      <c r="Q171" s="21"/>
      <c r="R171" s="12"/>
      <c r="S171" s="12"/>
      <c r="T171" s="12"/>
      <c r="U171" s="12"/>
      <c r="V171" s="12"/>
      <c r="W171" s="12"/>
    </row>
    <row r="172" spans="1:23">
      <c r="A172" s="8"/>
      <c r="B172" s="8"/>
      <c r="C172" s="8"/>
      <c r="D172" s="9"/>
      <c r="E172" s="8"/>
      <c r="F172" s="10"/>
      <c r="G172" s="10"/>
      <c r="H172" s="11"/>
      <c r="I172" s="8"/>
      <c r="J172" s="11"/>
      <c r="K172" s="8"/>
      <c r="L172" s="11"/>
      <c r="M172" s="8"/>
      <c r="N172" s="11"/>
      <c r="O172" s="8"/>
      <c r="P172" s="19"/>
      <c r="Q172" s="19"/>
      <c r="R172" s="8"/>
      <c r="S172" s="8"/>
      <c r="T172" s="8"/>
      <c r="U172" s="8"/>
      <c r="V172" s="8"/>
      <c r="W172" s="8"/>
    </row>
    <row r="173" spans="1:23">
      <c r="A173" s="12"/>
      <c r="B173" s="12"/>
      <c r="C173" s="12"/>
      <c r="D173" s="13"/>
      <c r="E173" s="12"/>
      <c r="F173" s="14"/>
      <c r="G173" s="14"/>
      <c r="H173" s="15"/>
      <c r="I173" s="12"/>
      <c r="J173" s="15"/>
      <c r="K173" s="12"/>
      <c r="L173" s="15"/>
      <c r="M173" s="12"/>
      <c r="N173" s="15"/>
      <c r="O173" s="12"/>
      <c r="P173" s="21"/>
      <c r="Q173" s="21"/>
      <c r="R173" s="12"/>
      <c r="S173" s="12"/>
      <c r="T173" s="12"/>
      <c r="U173" s="12"/>
      <c r="V173" s="12"/>
      <c r="W173" s="12"/>
    </row>
    <row r="174" spans="1:23">
      <c r="A174" s="8"/>
      <c r="B174" s="8"/>
      <c r="C174" s="8"/>
      <c r="D174" s="9"/>
      <c r="E174" s="8"/>
      <c r="F174" s="10"/>
      <c r="G174" s="10"/>
      <c r="H174" s="11"/>
      <c r="I174" s="8"/>
      <c r="J174" s="11"/>
      <c r="K174" s="8"/>
      <c r="L174" s="11"/>
      <c r="M174" s="8"/>
      <c r="N174" s="11"/>
      <c r="O174" s="8"/>
      <c r="P174" s="19"/>
      <c r="Q174" s="19"/>
      <c r="R174" s="8"/>
      <c r="S174" s="8"/>
      <c r="T174" s="8"/>
      <c r="U174" s="8"/>
      <c r="V174" s="8"/>
      <c r="W174" s="8"/>
    </row>
    <row r="175" spans="1:23">
      <c r="A175" s="12"/>
      <c r="B175" s="12"/>
      <c r="C175" s="12"/>
      <c r="D175" s="13"/>
      <c r="E175" s="12"/>
      <c r="F175" s="14"/>
      <c r="G175" s="14"/>
      <c r="H175" s="15"/>
      <c r="I175" s="12"/>
      <c r="J175" s="15"/>
      <c r="K175" s="12"/>
      <c r="L175" s="15"/>
      <c r="M175" s="12"/>
      <c r="N175" s="15"/>
      <c r="O175" s="12"/>
      <c r="P175" s="21"/>
      <c r="Q175" s="21"/>
      <c r="R175" s="12"/>
      <c r="S175" s="12"/>
      <c r="T175" s="12"/>
      <c r="U175" s="12"/>
      <c r="V175" s="12"/>
      <c r="W175" s="12"/>
    </row>
    <row r="176" spans="1:23">
      <c r="A176" s="8"/>
      <c r="B176" s="8"/>
      <c r="C176" s="8"/>
      <c r="D176" s="9"/>
      <c r="E176" s="8"/>
      <c r="F176" s="10"/>
      <c r="G176" s="10"/>
      <c r="H176" s="11"/>
      <c r="I176" s="8"/>
      <c r="J176" s="11"/>
      <c r="K176" s="8"/>
      <c r="L176" s="11"/>
      <c r="M176" s="8"/>
      <c r="N176" s="11"/>
      <c r="O176" s="8"/>
      <c r="P176" s="19"/>
      <c r="Q176" s="19"/>
      <c r="R176" s="8"/>
      <c r="S176" s="8"/>
      <c r="T176" s="8"/>
      <c r="U176" s="8"/>
      <c r="V176" s="8"/>
      <c r="W176" s="8"/>
    </row>
    <row r="177" spans="1:23">
      <c r="A177" s="12"/>
      <c r="B177" s="12"/>
      <c r="C177" s="12"/>
      <c r="D177" s="13"/>
      <c r="E177" s="12"/>
      <c r="F177" s="14"/>
      <c r="G177" s="14"/>
      <c r="H177" s="15"/>
      <c r="I177" s="12"/>
      <c r="J177" s="15"/>
      <c r="K177" s="12"/>
      <c r="L177" s="15"/>
      <c r="M177" s="12"/>
      <c r="N177" s="15"/>
      <c r="O177" s="12"/>
      <c r="P177" s="21"/>
      <c r="Q177" s="21"/>
      <c r="R177" s="12"/>
      <c r="S177" s="12"/>
      <c r="T177" s="12"/>
      <c r="U177" s="12"/>
      <c r="V177" s="12"/>
      <c r="W177" s="12"/>
    </row>
    <row r="178" spans="1:23">
      <c r="A178" s="8"/>
      <c r="B178" s="8"/>
      <c r="C178" s="8"/>
      <c r="D178" s="9"/>
      <c r="E178" s="8"/>
      <c r="F178" s="10"/>
      <c r="G178" s="10"/>
      <c r="H178" s="11"/>
      <c r="I178" s="8"/>
      <c r="J178" s="11"/>
      <c r="K178" s="8"/>
      <c r="L178" s="11"/>
      <c r="M178" s="8"/>
      <c r="N178" s="11"/>
      <c r="O178" s="8"/>
      <c r="P178" s="19"/>
      <c r="Q178" s="19"/>
      <c r="R178" s="8"/>
      <c r="S178" s="8"/>
      <c r="T178" s="8"/>
      <c r="U178" s="8"/>
      <c r="V178" s="8"/>
      <c r="W178" s="8"/>
    </row>
    <row r="179" spans="1:23">
      <c r="A179" s="12"/>
      <c r="B179" s="12"/>
      <c r="C179" s="12"/>
      <c r="D179" s="13"/>
      <c r="E179" s="12"/>
      <c r="F179" s="14"/>
      <c r="G179" s="14"/>
      <c r="H179" s="15"/>
      <c r="I179" s="12"/>
      <c r="J179" s="15"/>
      <c r="K179" s="12"/>
      <c r="L179" s="15"/>
      <c r="M179" s="12"/>
      <c r="N179" s="15"/>
      <c r="O179" s="12"/>
      <c r="P179" s="21"/>
      <c r="Q179" s="21"/>
      <c r="R179" s="12"/>
      <c r="S179" s="12"/>
      <c r="T179" s="12"/>
      <c r="U179" s="12"/>
      <c r="V179" s="12"/>
      <c r="W179" s="12"/>
    </row>
    <row r="180" spans="1:23">
      <c r="A180" s="8"/>
      <c r="B180" s="8"/>
      <c r="C180" s="8"/>
      <c r="D180" s="9"/>
      <c r="E180" s="8"/>
      <c r="F180" s="10"/>
      <c r="G180" s="10"/>
      <c r="H180" s="11"/>
      <c r="I180" s="8"/>
      <c r="J180" s="11"/>
      <c r="K180" s="8"/>
      <c r="L180" s="11"/>
      <c r="M180" s="8"/>
      <c r="N180" s="11"/>
      <c r="O180" s="8"/>
      <c r="P180" s="19"/>
      <c r="Q180" s="19"/>
      <c r="R180" s="8"/>
      <c r="S180" s="8"/>
      <c r="T180" s="8"/>
      <c r="U180" s="8"/>
      <c r="V180" s="8"/>
      <c r="W180" s="8"/>
    </row>
  </sheetData>
  <autoFilter xmlns:etc="http://www.wps.cn/officeDocument/2017/etCustomData" ref="A1:W180" etc:filterBottomFollowUsedRange="0">
    <extLst/>
  </autoFilter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BC51"/>
  <sheetViews>
    <sheetView topLeftCell="W1" workbookViewId="0">
      <selection activeCell="AD14" sqref="AD14"/>
    </sheetView>
  </sheetViews>
  <sheetFormatPr defaultColWidth="8" defaultRowHeight="14.25"/>
  <cols>
    <col min="1" max="1" width="10.875" style="127" customWidth="1"/>
    <col min="2" max="2" width="7.75" style="127" customWidth="1"/>
    <col min="3" max="3" width="10.875" style="127" customWidth="1"/>
    <col min="4" max="4" width="9.375" style="127" customWidth="1"/>
    <col min="5" max="5" width="10.875" style="127" customWidth="1"/>
    <col min="6" max="6" width="17.125" style="127" customWidth="1"/>
    <col min="7" max="7" width="10.875" style="127" customWidth="1"/>
    <col min="8" max="8" width="7.25" style="128" customWidth="1"/>
    <col min="9" max="9" width="7.75" style="127" customWidth="1"/>
    <col min="10" max="10" width="18.875" style="127" customWidth="1"/>
    <col min="11" max="11" width="10.875" style="127" customWidth="1"/>
    <col min="12" max="12" width="14" style="127" customWidth="1"/>
    <col min="13" max="13" width="6.25" style="127" customWidth="1"/>
    <col min="14" max="14" width="9.375" style="127" customWidth="1"/>
    <col min="15" max="15" width="12.125" style="127" customWidth="1"/>
    <col min="16" max="16" width="10.375" style="127" customWidth="1"/>
    <col min="17" max="17" width="10.875" style="127" customWidth="1"/>
    <col min="18" max="18" width="9.375" style="127" customWidth="1"/>
    <col min="19" max="20" width="10.875" style="127" customWidth="1"/>
    <col min="21" max="21" width="14" style="127" customWidth="1"/>
    <col min="22" max="22" width="10.625" style="127" customWidth="1"/>
    <col min="23" max="23" width="10" style="127" customWidth="1"/>
    <col min="24" max="24" width="10.875" style="127" customWidth="1"/>
    <col min="25" max="25" width="9.375" style="127" customWidth="1"/>
    <col min="26" max="26" width="10.875" style="129" customWidth="1"/>
    <col min="27" max="27" width="11.5" style="130" customWidth="1"/>
    <col min="28" max="34" width="11.875" style="131" customWidth="1"/>
    <col min="35" max="35" width="10.875" style="131" customWidth="1"/>
    <col min="36" max="36" width="11" style="131" customWidth="1"/>
    <col min="37" max="37" width="9.375" style="131" customWidth="1"/>
    <col min="38" max="55" width="10.25" style="131" customWidth="1"/>
    <col min="56" max="16384" width="8" style="127"/>
  </cols>
  <sheetData>
    <row r="1" s="127" customFormat="1" ht="26" customHeight="1" spans="1:55">
      <c r="A1" s="132" t="s">
        <v>0</v>
      </c>
      <c r="B1" s="132" t="s">
        <v>1</v>
      </c>
      <c r="C1" s="133" t="s">
        <v>2</v>
      </c>
      <c r="D1" s="132" t="s">
        <v>3</v>
      </c>
      <c r="E1" s="133" t="s">
        <v>4</v>
      </c>
      <c r="F1" s="133" t="s">
        <v>5</v>
      </c>
      <c r="G1" s="132" t="s">
        <v>6</v>
      </c>
      <c r="H1" s="134" t="s">
        <v>7</v>
      </c>
      <c r="I1" s="132" t="s">
        <v>8</v>
      </c>
      <c r="J1" s="132" t="s">
        <v>9</v>
      </c>
      <c r="K1" s="133" t="s">
        <v>10</v>
      </c>
      <c r="L1" s="132" t="s">
        <v>11</v>
      </c>
      <c r="M1" s="133" t="s">
        <v>12</v>
      </c>
      <c r="N1" s="132" t="s">
        <v>13</v>
      </c>
      <c r="O1" s="132" t="s">
        <v>14</v>
      </c>
      <c r="P1" s="132" t="s">
        <v>14</v>
      </c>
      <c r="Q1" s="133" t="s">
        <v>15</v>
      </c>
      <c r="R1" s="132" t="s">
        <v>16</v>
      </c>
      <c r="S1" s="133" t="s">
        <v>17</v>
      </c>
      <c r="T1" s="133" t="s">
        <v>18</v>
      </c>
      <c r="U1" s="133" t="s">
        <v>19</v>
      </c>
      <c r="V1" s="133" t="s">
        <v>20</v>
      </c>
      <c r="W1" s="133" t="s">
        <v>21</v>
      </c>
      <c r="X1" s="132" t="s">
        <v>22</v>
      </c>
      <c r="Y1" s="133" t="s">
        <v>23</v>
      </c>
      <c r="Z1" s="166" t="s">
        <v>24</v>
      </c>
      <c r="AA1" s="167" t="s">
        <v>25</v>
      </c>
      <c r="AB1" s="168">
        <v>9</v>
      </c>
      <c r="AC1" s="169">
        <f>AB1</f>
        <v>9</v>
      </c>
      <c r="AD1" s="169"/>
      <c r="AE1" s="170"/>
      <c r="AF1" s="171" t="s">
        <v>26</v>
      </c>
      <c r="AG1" s="185"/>
      <c r="AH1" s="186"/>
      <c r="AI1" s="187">
        <v>6</v>
      </c>
      <c r="AJ1" s="188"/>
      <c r="AK1" s="188"/>
      <c r="AL1" s="187">
        <v>7</v>
      </c>
      <c r="AM1" s="188"/>
      <c r="AN1" s="188"/>
      <c r="AO1" s="187">
        <v>8</v>
      </c>
      <c r="AP1" s="188"/>
      <c r="AQ1" s="188"/>
      <c r="AR1" s="187">
        <v>9</v>
      </c>
      <c r="AS1" s="188"/>
      <c r="AT1" s="188"/>
      <c r="AU1" s="187">
        <v>10</v>
      </c>
      <c r="AV1" s="188"/>
      <c r="AW1" s="188"/>
      <c r="AX1" s="187">
        <v>11</v>
      </c>
      <c r="AY1" s="188"/>
      <c r="AZ1" s="188"/>
      <c r="BA1" s="187">
        <v>12</v>
      </c>
      <c r="BB1" s="188"/>
      <c r="BC1" s="188"/>
    </row>
    <row r="2" s="127" customFormat="1" ht="26" customHeight="1" spans="1:55">
      <c r="A2" s="135" t="s">
        <v>32</v>
      </c>
      <c r="B2" s="135" t="s">
        <v>148</v>
      </c>
      <c r="C2" s="136">
        <v>45688</v>
      </c>
      <c r="D2" s="135" t="s">
        <v>149</v>
      </c>
      <c r="E2" s="136">
        <v>82490</v>
      </c>
      <c r="F2" s="136">
        <v>82490</v>
      </c>
      <c r="G2" s="135" t="s">
        <v>150</v>
      </c>
      <c r="H2" s="137" t="str">
        <f t="shared" ref="H2:H44" si="0">TEXT(K2,"M")</f>
        <v>1</v>
      </c>
      <c r="I2" s="135" t="s">
        <v>36</v>
      </c>
      <c r="J2" s="135" t="s">
        <v>151</v>
      </c>
      <c r="K2" s="136">
        <v>45688</v>
      </c>
      <c r="L2" s="135" t="s">
        <v>152</v>
      </c>
      <c r="M2" s="136">
        <v>2</v>
      </c>
      <c r="N2" s="135" t="s">
        <v>153</v>
      </c>
      <c r="O2" s="135" t="s">
        <v>154</v>
      </c>
      <c r="P2" s="135" t="s">
        <v>41</v>
      </c>
      <c r="Q2" s="136">
        <v>1050</v>
      </c>
      <c r="R2" s="135" t="s">
        <v>42</v>
      </c>
      <c r="S2" s="136">
        <v>16.64</v>
      </c>
      <c r="T2" s="136">
        <v>16.64</v>
      </c>
      <c r="U2" s="136">
        <v>16.64</v>
      </c>
      <c r="V2" s="136">
        <v>0</v>
      </c>
      <c r="W2" s="136">
        <v>0</v>
      </c>
      <c r="X2" s="135" t="s">
        <v>43</v>
      </c>
      <c r="Y2" s="133" t="s">
        <v>44</v>
      </c>
      <c r="Z2" s="172">
        <v>45650</v>
      </c>
      <c r="AA2" s="130"/>
      <c r="AB2" s="173"/>
      <c r="AC2" s="174" t="s">
        <v>155</v>
      </c>
      <c r="AD2" s="174" t="s">
        <v>28</v>
      </c>
      <c r="AE2" s="175" t="s">
        <v>29</v>
      </c>
      <c r="AF2" s="176" t="s">
        <v>155</v>
      </c>
      <c r="AG2" s="176" t="s">
        <v>31</v>
      </c>
      <c r="AH2" s="189" t="s">
        <v>29</v>
      </c>
      <c r="AI2" s="190" t="s">
        <v>155</v>
      </c>
      <c r="AJ2" s="190" t="s">
        <v>31</v>
      </c>
      <c r="AK2" s="190" t="s">
        <v>29</v>
      </c>
      <c r="AL2" s="190" t="s">
        <v>155</v>
      </c>
      <c r="AM2" s="190" t="s">
        <v>31</v>
      </c>
      <c r="AN2" s="190" t="s">
        <v>29</v>
      </c>
      <c r="AO2" s="190" t="s">
        <v>155</v>
      </c>
      <c r="AP2" s="190" t="s">
        <v>31</v>
      </c>
      <c r="AQ2" s="190" t="s">
        <v>29</v>
      </c>
      <c r="AR2" s="190" t="s">
        <v>155</v>
      </c>
      <c r="AS2" s="190" t="s">
        <v>31</v>
      </c>
      <c r="AT2" s="190" t="s">
        <v>29</v>
      </c>
      <c r="AU2" s="190" t="s">
        <v>155</v>
      </c>
      <c r="AV2" s="190" t="s">
        <v>31</v>
      </c>
      <c r="AW2" s="190" t="s">
        <v>29</v>
      </c>
      <c r="AX2" s="190" t="s">
        <v>155</v>
      </c>
      <c r="AY2" s="190" t="s">
        <v>31</v>
      </c>
      <c r="AZ2" s="190" t="s">
        <v>29</v>
      </c>
      <c r="BA2" s="190" t="s">
        <v>155</v>
      </c>
      <c r="BB2" s="190" t="s">
        <v>31</v>
      </c>
      <c r="BC2" s="190" t="s">
        <v>29</v>
      </c>
    </row>
    <row r="3" s="127" customFormat="1" ht="16.5" customHeight="1" spans="1:55">
      <c r="A3" s="138" t="s">
        <v>32</v>
      </c>
      <c r="B3" s="139" t="s">
        <v>148</v>
      </c>
      <c r="C3" s="140">
        <v>45688</v>
      </c>
      <c r="D3" s="138" t="s">
        <v>149</v>
      </c>
      <c r="E3" s="141">
        <v>82490</v>
      </c>
      <c r="F3" s="141">
        <v>82490</v>
      </c>
      <c r="G3" s="139" t="s">
        <v>150</v>
      </c>
      <c r="H3" s="137" t="str">
        <f t="shared" si="0"/>
        <v>1</v>
      </c>
      <c r="I3" s="139" t="s">
        <v>36</v>
      </c>
      <c r="J3" s="138" t="s">
        <v>151</v>
      </c>
      <c r="K3" s="140">
        <v>45688</v>
      </c>
      <c r="L3" s="139" t="s">
        <v>152</v>
      </c>
      <c r="M3" s="148">
        <v>4</v>
      </c>
      <c r="N3" s="139" t="s">
        <v>156</v>
      </c>
      <c r="O3" s="138" t="s">
        <v>157</v>
      </c>
      <c r="P3" s="139" t="s">
        <v>41</v>
      </c>
      <c r="Q3" s="152">
        <v>1200</v>
      </c>
      <c r="R3" s="138" t="s">
        <v>42</v>
      </c>
      <c r="S3" s="153">
        <v>12.29</v>
      </c>
      <c r="T3" s="153">
        <v>12.29</v>
      </c>
      <c r="U3" s="154">
        <v>12.29</v>
      </c>
      <c r="V3" s="155">
        <v>0</v>
      </c>
      <c r="W3" s="155">
        <v>0</v>
      </c>
      <c r="X3" s="139" t="s">
        <v>43</v>
      </c>
      <c r="Y3" s="133" t="s">
        <v>44</v>
      </c>
      <c r="Z3" s="177">
        <v>45650</v>
      </c>
      <c r="AA3" s="130">
        <f t="shared" ref="AA3:AA44" si="1">Q3*S3*1.13</f>
        <v>16665.24</v>
      </c>
      <c r="AB3" s="178" cm="1">
        <f ca="1" t="array" ref="AB3">_xlfn.XLOOKUP("*凯平*",INDIRECT("'"&amp;$AB$1&amp;"月份计划'!A:A"),INDIRECT("'"&amp;$AB$1&amp;"月份计划'!C:C"),,2)</f>
        <v>624316.86</v>
      </c>
      <c r="AC3" s="178">
        <f ca="1">AE3-AD3</f>
        <v>-0.00400000001536682</v>
      </c>
      <c r="AD3" s="178">
        <f ca="1">OFFSET($AJ$3,,(AB1-8)*3)</f>
        <v>369225.014</v>
      </c>
      <c r="AE3" s="178">
        <f ca="1">$AB$3-$AH$3</f>
        <v>369225.01</v>
      </c>
      <c r="AF3" s="178"/>
      <c r="AG3" s="191">
        <f ca="1">OFFSET($AJ$3,,($AC$1-$AI$1)*3-3)+OFFSET($AM$3,,($AC$1-$AL$1+1)*3-3)</f>
        <v>255091.85</v>
      </c>
      <c r="AH3" s="178">
        <f ca="1">SUM(AF3:AG3)</f>
        <v>255091.85</v>
      </c>
      <c r="AI3" s="192">
        <f>SUMIFS($AA:$AA,$O:$O,"聚醚3405",$H:$H,AI1)</f>
        <v>0</v>
      </c>
      <c r="AJ3" s="192">
        <f>SUMIFS($AA:$AA,$H:$H,AI1)-AI3</f>
        <v>105955.1619</v>
      </c>
      <c r="AK3" s="192">
        <f>SUMIFS($AA:$AA,$H:$H,AI1)</f>
        <v>105955.1619</v>
      </c>
      <c r="AL3" s="192">
        <f>SUMIFS($AA:$AA,$O:$O,"聚醚3405",$H:$H,AL1)</f>
        <v>0</v>
      </c>
      <c r="AM3" s="192">
        <f>SUMIFS($AA:$AA,$H:$H,AL1)-AL3</f>
        <v>369225.014</v>
      </c>
      <c r="AN3" s="192">
        <f>SUMIFS($AA:$AA,$H:$H,AL1)</f>
        <v>369225.014</v>
      </c>
      <c r="AO3" s="192">
        <f>SUMIFS($AA:$AA,$O:$O,"聚醚3405",$H:$H,AO1)</f>
        <v>0</v>
      </c>
      <c r="AP3" s="192">
        <f>SUMIFS($AA:$AA,$H:$H,AO1)-AO3</f>
        <v>146831.974</v>
      </c>
      <c r="AQ3" s="192">
        <f>SUMIFS($AA:$AA,$H:$H,AO1)</f>
        <v>146831.974</v>
      </c>
      <c r="AR3" s="192">
        <f>SUMIFS($AA:$AA,$O:$O,"聚醚3405",$H:$H,AR1)</f>
        <v>316607.99999976</v>
      </c>
      <c r="AS3" s="192">
        <f>SUMIFS($AA:$AA,$H:$H,AR1)-AR3</f>
        <v>108259.876</v>
      </c>
      <c r="AT3" s="192">
        <f>SUMIFS($AA:$AA,$H:$H,AR1)</f>
        <v>424867.87599976</v>
      </c>
      <c r="AU3" s="192">
        <f>SUMIFS($AA:$AA,$O:$O,"聚醚3405",$H:$H,AU1)</f>
        <v>0</v>
      </c>
      <c r="AV3" s="192">
        <f>SUMIFS($AA:$AA,$H:$H,AU1)-AU3</f>
        <v>0</v>
      </c>
      <c r="AW3" s="192">
        <f>SUMIFS($AA:$AA,$H:$H,AU1)</f>
        <v>0</v>
      </c>
      <c r="AX3" s="192">
        <f>SUMIFS($AA:$AA,$O:$O,"聚醚3405",$H:$H,AX1)</f>
        <v>0</v>
      </c>
      <c r="AY3" s="192">
        <f>SUMIFS($AA:$AA,$H:$H,AX1)-AX3</f>
        <v>0</v>
      </c>
      <c r="AZ3" s="192">
        <f>SUMIFS($AA:$AA,$H:$H,AX1)</f>
        <v>0</v>
      </c>
      <c r="BA3" s="192">
        <f>SUMIFS($AA:$AA,$O:$O,"聚醚3405",$H:$H,BA1)</f>
        <v>0</v>
      </c>
      <c r="BB3" s="192">
        <f>SUMIFS($AA:$AA,$H:$H,BA1)-BA3</f>
        <v>0</v>
      </c>
      <c r="BC3" s="192">
        <f>SUMIFS($AA:$AA,$H:$H,BA1)</f>
        <v>0</v>
      </c>
    </row>
    <row r="4" s="127" customFormat="1" ht="16.5" customHeight="1" spans="1:55">
      <c r="A4" s="142" t="s">
        <v>32</v>
      </c>
      <c r="B4" s="143" t="s">
        <v>148</v>
      </c>
      <c r="C4" s="144">
        <v>45688</v>
      </c>
      <c r="D4" s="142" t="s">
        <v>149</v>
      </c>
      <c r="E4" s="145">
        <v>82490</v>
      </c>
      <c r="F4" s="145">
        <v>82490</v>
      </c>
      <c r="G4" s="143" t="s">
        <v>150</v>
      </c>
      <c r="H4" s="137" t="str">
        <f t="shared" si="0"/>
        <v>1</v>
      </c>
      <c r="I4" s="143" t="s">
        <v>36</v>
      </c>
      <c r="J4" s="142" t="s">
        <v>151</v>
      </c>
      <c r="K4" s="144">
        <v>45688</v>
      </c>
      <c r="L4" s="143" t="s">
        <v>152</v>
      </c>
      <c r="M4" s="149">
        <v>1</v>
      </c>
      <c r="N4" s="143" t="s">
        <v>158</v>
      </c>
      <c r="O4" s="142" t="s">
        <v>159</v>
      </c>
      <c r="P4" s="143" t="s">
        <v>41</v>
      </c>
      <c r="Q4" s="156">
        <v>600</v>
      </c>
      <c r="R4" s="142" t="s">
        <v>42</v>
      </c>
      <c r="S4" s="157">
        <v>50.8</v>
      </c>
      <c r="T4" s="157">
        <v>50.8</v>
      </c>
      <c r="U4" s="158">
        <v>50.8</v>
      </c>
      <c r="V4" s="159">
        <v>0</v>
      </c>
      <c r="W4" s="159">
        <v>0</v>
      </c>
      <c r="X4" s="143" t="s">
        <v>43</v>
      </c>
      <c r="Y4" s="179" t="s">
        <v>44</v>
      </c>
      <c r="Z4" s="180">
        <v>45650</v>
      </c>
      <c r="AA4" s="130">
        <f t="shared" si="1"/>
        <v>34442.4</v>
      </c>
      <c r="AB4" s="181"/>
      <c r="AC4" s="131"/>
      <c r="AD4" s="131"/>
      <c r="AE4" s="182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</row>
    <row r="5" s="127" customFormat="1" ht="16.5" customHeight="1" spans="1:55">
      <c r="A5" s="138" t="s">
        <v>32</v>
      </c>
      <c r="B5" s="139" t="s">
        <v>148</v>
      </c>
      <c r="C5" s="140">
        <v>45688</v>
      </c>
      <c r="D5" s="138" t="s">
        <v>149</v>
      </c>
      <c r="E5" s="141">
        <v>82490</v>
      </c>
      <c r="F5" s="141">
        <v>82490</v>
      </c>
      <c r="G5" s="139" t="s">
        <v>160</v>
      </c>
      <c r="H5" s="137" t="str">
        <f t="shared" si="0"/>
        <v>1</v>
      </c>
      <c r="I5" s="139" t="s">
        <v>36</v>
      </c>
      <c r="J5" s="138" t="s">
        <v>151</v>
      </c>
      <c r="K5" s="140">
        <v>45688</v>
      </c>
      <c r="L5" s="139" t="s">
        <v>149</v>
      </c>
      <c r="M5" s="148">
        <v>3</v>
      </c>
      <c r="N5" s="139" t="s">
        <v>161</v>
      </c>
      <c r="O5" s="138" t="s">
        <v>162</v>
      </c>
      <c r="P5" s="139" t="s">
        <v>41</v>
      </c>
      <c r="Q5" s="152">
        <v>200</v>
      </c>
      <c r="R5" s="138" t="s">
        <v>42</v>
      </c>
      <c r="S5" s="153">
        <v>51.5</v>
      </c>
      <c r="T5" s="153">
        <v>51.5</v>
      </c>
      <c r="U5" s="154">
        <v>51.5</v>
      </c>
      <c r="V5" s="155">
        <v>0</v>
      </c>
      <c r="W5" s="155">
        <v>0</v>
      </c>
      <c r="X5" s="139" t="s">
        <v>43</v>
      </c>
      <c r="Y5" s="133" t="s">
        <v>44</v>
      </c>
      <c r="Z5" s="177">
        <v>45650</v>
      </c>
      <c r="AA5" s="130">
        <f t="shared" si="1"/>
        <v>11639</v>
      </c>
      <c r="AB5" s="181"/>
      <c r="AC5" s="131"/>
      <c r="AD5" s="131"/>
      <c r="AE5" s="182"/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</row>
    <row r="6" s="127" customFormat="1" ht="16.5" customHeight="1" spans="1:55">
      <c r="A6" s="142" t="s">
        <v>32</v>
      </c>
      <c r="B6" s="143" t="s">
        <v>163</v>
      </c>
      <c r="C6" s="144">
        <v>45688</v>
      </c>
      <c r="D6" s="142" t="s">
        <v>149</v>
      </c>
      <c r="E6" s="145">
        <v>318816</v>
      </c>
      <c r="F6" s="145">
        <v>318816</v>
      </c>
      <c r="G6" s="143" t="s">
        <v>164</v>
      </c>
      <c r="H6" s="137" t="str">
        <f t="shared" si="0"/>
        <v>1</v>
      </c>
      <c r="I6" s="143" t="s">
        <v>36</v>
      </c>
      <c r="J6" s="142" t="s">
        <v>41</v>
      </c>
      <c r="K6" s="144">
        <v>45688</v>
      </c>
      <c r="L6" s="143" t="s">
        <v>152</v>
      </c>
      <c r="M6" s="149">
        <v>6</v>
      </c>
      <c r="N6" s="143" t="s">
        <v>165</v>
      </c>
      <c r="O6" s="142" t="s">
        <v>155</v>
      </c>
      <c r="P6" s="143" t="s">
        <v>41</v>
      </c>
      <c r="Q6" s="156">
        <v>29520</v>
      </c>
      <c r="R6" s="142" t="s">
        <v>42</v>
      </c>
      <c r="S6" s="157">
        <v>9.5575221238</v>
      </c>
      <c r="T6" s="157">
        <v>13.27434</v>
      </c>
      <c r="U6" s="158">
        <v>13.27434</v>
      </c>
      <c r="V6" s="159">
        <v>-3.72</v>
      </c>
      <c r="W6" s="159">
        <v>0</v>
      </c>
      <c r="X6" s="143" t="s">
        <v>43</v>
      </c>
      <c r="Y6" s="179" t="s">
        <v>44</v>
      </c>
      <c r="Z6" s="180">
        <v>45688</v>
      </c>
      <c r="AA6" s="130">
        <f t="shared" si="1"/>
        <v>318815.999996871</v>
      </c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</row>
    <row r="7" s="127" customFormat="1" ht="16.5" customHeight="1" spans="1:55">
      <c r="A7" s="138" t="s">
        <v>32</v>
      </c>
      <c r="B7" s="139" t="s">
        <v>166</v>
      </c>
      <c r="C7" s="140">
        <v>45716</v>
      </c>
      <c r="D7" s="138" t="s">
        <v>149</v>
      </c>
      <c r="E7" s="141">
        <v>402477.13</v>
      </c>
      <c r="F7" s="141">
        <v>402477.13</v>
      </c>
      <c r="G7" s="139" t="s">
        <v>167</v>
      </c>
      <c r="H7" s="137" t="str">
        <f t="shared" si="0"/>
        <v>2</v>
      </c>
      <c r="I7" s="139" t="s">
        <v>36</v>
      </c>
      <c r="J7" s="138" t="s">
        <v>168</v>
      </c>
      <c r="K7" s="140">
        <v>45716</v>
      </c>
      <c r="L7" s="139" t="s">
        <v>152</v>
      </c>
      <c r="M7" s="148">
        <v>1</v>
      </c>
      <c r="N7" s="139" t="s">
        <v>158</v>
      </c>
      <c r="O7" s="138" t="s">
        <v>159</v>
      </c>
      <c r="P7" s="139" t="s">
        <v>41</v>
      </c>
      <c r="Q7" s="152">
        <v>600</v>
      </c>
      <c r="R7" s="138" t="s">
        <v>42</v>
      </c>
      <c r="S7" s="153">
        <v>50.8</v>
      </c>
      <c r="T7" s="153">
        <v>50.8</v>
      </c>
      <c r="U7" s="154">
        <v>50.8</v>
      </c>
      <c r="V7" s="155">
        <v>0</v>
      </c>
      <c r="W7" s="155">
        <v>0</v>
      </c>
      <c r="X7" s="139" t="s">
        <v>43</v>
      </c>
      <c r="Y7" s="133" t="s">
        <v>44</v>
      </c>
      <c r="Z7" s="177">
        <v>45661</v>
      </c>
      <c r="AA7" s="130">
        <f t="shared" si="1"/>
        <v>34442.4</v>
      </c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</row>
    <row r="8" s="127" customFormat="1" ht="16.5" customHeight="1" spans="1:55">
      <c r="A8" s="142" t="s">
        <v>32</v>
      </c>
      <c r="B8" s="143" t="s">
        <v>166</v>
      </c>
      <c r="C8" s="144">
        <v>45716</v>
      </c>
      <c r="D8" s="142" t="s">
        <v>149</v>
      </c>
      <c r="E8" s="145">
        <v>402477.13</v>
      </c>
      <c r="F8" s="145">
        <v>402477.13</v>
      </c>
      <c r="G8" s="143" t="s">
        <v>169</v>
      </c>
      <c r="H8" s="137" t="str">
        <f t="shared" si="0"/>
        <v>2</v>
      </c>
      <c r="I8" s="143" t="s">
        <v>36</v>
      </c>
      <c r="J8" s="142" t="s">
        <v>168</v>
      </c>
      <c r="K8" s="144">
        <v>45716</v>
      </c>
      <c r="L8" s="143" t="s">
        <v>152</v>
      </c>
      <c r="M8" s="149">
        <v>2</v>
      </c>
      <c r="N8" s="143" t="s">
        <v>153</v>
      </c>
      <c r="O8" s="142" t="s">
        <v>154</v>
      </c>
      <c r="P8" s="143" t="s">
        <v>41</v>
      </c>
      <c r="Q8" s="156">
        <v>1260</v>
      </c>
      <c r="R8" s="142" t="s">
        <v>42</v>
      </c>
      <c r="S8" s="157">
        <v>16.64</v>
      </c>
      <c r="T8" s="157">
        <v>16.64</v>
      </c>
      <c r="U8" s="158">
        <v>16.64</v>
      </c>
      <c r="V8" s="159">
        <v>0</v>
      </c>
      <c r="W8" s="159">
        <v>0</v>
      </c>
      <c r="X8" s="143" t="s">
        <v>43</v>
      </c>
      <c r="Y8" s="179" t="s">
        <v>44</v>
      </c>
      <c r="Z8" s="180">
        <v>45661</v>
      </c>
      <c r="AA8" s="130">
        <f t="shared" si="1"/>
        <v>23692.032</v>
      </c>
      <c r="AB8" s="131"/>
      <c r="AC8" s="131"/>
      <c r="AD8" s="131"/>
      <c r="AE8" s="131"/>
      <c r="AF8" s="131"/>
      <c r="AG8" s="131"/>
      <c r="AH8" s="131"/>
      <c r="AI8" s="131"/>
      <c r="AJ8" s="131"/>
      <c r="AK8" s="131"/>
      <c r="AL8" s="131"/>
      <c r="AM8" s="131"/>
      <c r="AN8" s="131"/>
      <c r="AO8" s="131"/>
      <c r="AP8" s="131"/>
      <c r="AQ8" s="131"/>
      <c r="AR8" s="131"/>
      <c r="AS8" s="131"/>
      <c r="AT8" s="131"/>
      <c r="AU8" s="131"/>
      <c r="AV8" s="131"/>
      <c r="AW8" s="131"/>
      <c r="AX8" s="131"/>
      <c r="AY8" s="131"/>
      <c r="AZ8" s="131"/>
      <c r="BA8" s="131"/>
      <c r="BB8" s="131"/>
      <c r="BC8" s="131"/>
    </row>
    <row r="9" s="127" customFormat="1" ht="16.5" customHeight="1" spans="1:55">
      <c r="A9" s="138" t="s">
        <v>32</v>
      </c>
      <c r="B9" s="139" t="s">
        <v>166</v>
      </c>
      <c r="C9" s="140">
        <v>45716</v>
      </c>
      <c r="D9" s="138" t="s">
        <v>149</v>
      </c>
      <c r="E9" s="141">
        <v>402477.13</v>
      </c>
      <c r="F9" s="141">
        <v>402477.13</v>
      </c>
      <c r="G9" s="139" t="s">
        <v>170</v>
      </c>
      <c r="H9" s="137" t="str">
        <f t="shared" si="0"/>
        <v>2</v>
      </c>
      <c r="I9" s="139" t="s">
        <v>36</v>
      </c>
      <c r="J9" s="138" t="s">
        <v>168</v>
      </c>
      <c r="K9" s="140">
        <v>45716</v>
      </c>
      <c r="L9" s="139" t="s">
        <v>152</v>
      </c>
      <c r="M9" s="148">
        <v>4</v>
      </c>
      <c r="N9" s="139" t="s">
        <v>156</v>
      </c>
      <c r="O9" s="138" t="s">
        <v>157</v>
      </c>
      <c r="P9" s="139" t="s">
        <v>41</v>
      </c>
      <c r="Q9" s="152">
        <v>1000</v>
      </c>
      <c r="R9" s="138" t="s">
        <v>42</v>
      </c>
      <c r="S9" s="153">
        <v>12.29</v>
      </c>
      <c r="T9" s="153">
        <v>12.29</v>
      </c>
      <c r="U9" s="154">
        <v>12.29</v>
      </c>
      <c r="V9" s="155">
        <v>0</v>
      </c>
      <c r="W9" s="155">
        <v>0</v>
      </c>
      <c r="X9" s="139" t="s">
        <v>43</v>
      </c>
      <c r="Y9" s="133" t="s">
        <v>44</v>
      </c>
      <c r="Z9" s="177">
        <v>45661</v>
      </c>
      <c r="AA9" s="130">
        <f t="shared" si="1"/>
        <v>13887.7</v>
      </c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</row>
    <row r="10" s="127" customFormat="1" ht="16.5" customHeight="1" spans="1:55">
      <c r="A10" s="142" t="s">
        <v>32</v>
      </c>
      <c r="B10" s="143" t="s">
        <v>166</v>
      </c>
      <c r="C10" s="144">
        <v>45716</v>
      </c>
      <c r="D10" s="142" t="s">
        <v>149</v>
      </c>
      <c r="E10" s="145">
        <v>402477.13</v>
      </c>
      <c r="F10" s="145">
        <v>402477.13</v>
      </c>
      <c r="G10" s="143" t="s">
        <v>171</v>
      </c>
      <c r="H10" s="137" t="str">
        <f t="shared" si="0"/>
        <v>2</v>
      </c>
      <c r="I10" s="143" t="s">
        <v>36</v>
      </c>
      <c r="J10" s="142" t="s">
        <v>168</v>
      </c>
      <c r="K10" s="144">
        <v>45716</v>
      </c>
      <c r="L10" s="143" t="s">
        <v>149</v>
      </c>
      <c r="M10" s="149">
        <v>3</v>
      </c>
      <c r="N10" s="143" t="s">
        <v>161</v>
      </c>
      <c r="O10" s="142" t="s">
        <v>162</v>
      </c>
      <c r="P10" s="143" t="s">
        <v>41</v>
      </c>
      <c r="Q10" s="156">
        <v>200</v>
      </c>
      <c r="R10" s="142" t="s">
        <v>42</v>
      </c>
      <c r="S10" s="157">
        <v>51.5</v>
      </c>
      <c r="T10" s="157">
        <v>51.5</v>
      </c>
      <c r="U10" s="158">
        <v>51.5</v>
      </c>
      <c r="V10" s="159">
        <v>0</v>
      </c>
      <c r="W10" s="159">
        <v>0</v>
      </c>
      <c r="X10" s="143" t="s">
        <v>43</v>
      </c>
      <c r="Y10" s="179" t="s">
        <v>44</v>
      </c>
      <c r="Z10" s="180">
        <v>45661</v>
      </c>
      <c r="AA10" s="130">
        <f t="shared" si="1"/>
        <v>11639</v>
      </c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</row>
    <row r="11" s="127" customFormat="1" ht="16.5" customHeight="1" spans="1:55">
      <c r="A11" s="138" t="s">
        <v>32</v>
      </c>
      <c r="B11" s="139" t="s">
        <v>166</v>
      </c>
      <c r="C11" s="140">
        <v>45716</v>
      </c>
      <c r="D11" s="138" t="s">
        <v>149</v>
      </c>
      <c r="E11" s="141">
        <v>402477.13</v>
      </c>
      <c r="F11" s="141">
        <v>402477.13</v>
      </c>
      <c r="G11" s="139" t="s">
        <v>172</v>
      </c>
      <c r="H11" s="137" t="str">
        <f t="shared" si="0"/>
        <v>2</v>
      </c>
      <c r="I11" s="139" t="s">
        <v>36</v>
      </c>
      <c r="J11" s="138" t="s">
        <v>168</v>
      </c>
      <c r="K11" s="140">
        <v>45716</v>
      </c>
      <c r="L11" s="139" t="s">
        <v>152</v>
      </c>
      <c r="M11" s="148">
        <v>6</v>
      </c>
      <c r="N11" s="139" t="s">
        <v>165</v>
      </c>
      <c r="O11" s="138" t="s">
        <v>155</v>
      </c>
      <c r="P11" s="139" t="s">
        <v>41</v>
      </c>
      <c r="Q11" s="152">
        <v>29520</v>
      </c>
      <c r="R11" s="138" t="s">
        <v>42</v>
      </c>
      <c r="S11" s="153">
        <v>9.5575221238</v>
      </c>
      <c r="T11" s="153">
        <v>13.27434</v>
      </c>
      <c r="U11" s="154">
        <v>13.27434</v>
      </c>
      <c r="V11" s="155">
        <v>-3.72</v>
      </c>
      <c r="W11" s="155">
        <v>0</v>
      </c>
      <c r="X11" s="139" t="s">
        <v>43</v>
      </c>
      <c r="Y11" s="133" t="s">
        <v>44</v>
      </c>
      <c r="Z11" s="177">
        <v>45688</v>
      </c>
      <c r="AA11" s="130">
        <f t="shared" si="1"/>
        <v>318815.999996871</v>
      </c>
      <c r="AB11" s="131"/>
      <c r="AC11" s="131"/>
      <c r="AD11" s="131"/>
      <c r="AE11" s="131"/>
      <c r="AF11" s="131"/>
      <c r="AG11" s="131"/>
      <c r="AH11" s="131"/>
      <c r="AI11" s="131"/>
      <c r="AJ11" s="131"/>
      <c r="AK11" s="131"/>
      <c r="AL11" s="131"/>
      <c r="AM11" s="131"/>
      <c r="AN11" s="131"/>
      <c r="AO11" s="131"/>
      <c r="AP11" s="131"/>
      <c r="AQ11" s="131"/>
      <c r="AR11" s="131"/>
      <c r="AS11" s="131"/>
      <c r="AT11" s="131"/>
      <c r="AU11" s="131"/>
      <c r="AV11" s="131"/>
      <c r="AW11" s="131"/>
      <c r="AX11" s="131"/>
      <c r="AY11" s="131"/>
      <c r="AZ11" s="131"/>
      <c r="BA11" s="131"/>
      <c r="BB11" s="131"/>
      <c r="BC11" s="131"/>
    </row>
    <row r="12" s="127" customFormat="1" ht="16.5" customHeight="1" spans="1:55">
      <c r="A12" s="142" t="s">
        <v>32</v>
      </c>
      <c r="B12" s="143" t="s">
        <v>173</v>
      </c>
      <c r="C12" s="144">
        <v>45745</v>
      </c>
      <c r="D12" s="142" t="s">
        <v>149</v>
      </c>
      <c r="E12" s="145">
        <v>303438</v>
      </c>
      <c r="F12" s="145">
        <v>303438</v>
      </c>
      <c r="G12" s="143" t="s">
        <v>174</v>
      </c>
      <c r="H12" s="137" t="str">
        <f t="shared" si="0"/>
        <v>3</v>
      </c>
      <c r="I12" s="143" t="s">
        <v>36</v>
      </c>
      <c r="J12" s="142" t="s">
        <v>175</v>
      </c>
      <c r="K12" s="144">
        <v>45745</v>
      </c>
      <c r="L12" s="143" t="s">
        <v>152</v>
      </c>
      <c r="M12" s="149">
        <v>6</v>
      </c>
      <c r="N12" s="143" t="s">
        <v>165</v>
      </c>
      <c r="O12" s="142" t="s">
        <v>155</v>
      </c>
      <c r="P12" s="143" t="s">
        <v>41</v>
      </c>
      <c r="Q12" s="156">
        <v>29460</v>
      </c>
      <c r="R12" s="142" t="s">
        <v>42</v>
      </c>
      <c r="S12" s="157">
        <v>9.1150442477</v>
      </c>
      <c r="T12" s="157">
        <v>13.27434</v>
      </c>
      <c r="U12" s="158">
        <v>13.27434</v>
      </c>
      <c r="V12" s="159">
        <v>-4.16</v>
      </c>
      <c r="W12" s="159">
        <v>0</v>
      </c>
      <c r="X12" s="143" t="s">
        <v>43</v>
      </c>
      <c r="Y12" s="179" t="s">
        <v>44</v>
      </c>
      <c r="Z12" s="180">
        <v>45740</v>
      </c>
      <c r="AA12" s="130">
        <f t="shared" si="1"/>
        <v>303437.999997083</v>
      </c>
      <c r="AB12" s="131"/>
      <c r="AC12" s="131"/>
      <c r="AD12" s="131"/>
      <c r="AE12" s="131"/>
      <c r="AF12" s="131"/>
      <c r="AG12" s="131"/>
      <c r="AH12" s="131"/>
      <c r="AI12" s="131"/>
      <c r="AJ12" s="131"/>
      <c r="AK12" s="131"/>
      <c r="AL12" s="131"/>
      <c r="AM12" s="131"/>
      <c r="AN12" s="131"/>
      <c r="AO12" s="131"/>
      <c r="AP12" s="131"/>
      <c r="AQ12" s="131"/>
      <c r="AR12" s="131"/>
      <c r="AS12" s="131"/>
      <c r="AT12" s="131"/>
      <c r="AU12" s="131"/>
      <c r="AV12" s="131"/>
      <c r="AW12" s="131"/>
      <c r="AX12" s="131"/>
      <c r="AY12" s="131"/>
      <c r="AZ12" s="131"/>
      <c r="BA12" s="131"/>
      <c r="BB12" s="131"/>
      <c r="BC12" s="131"/>
    </row>
    <row r="13" s="127" customFormat="1" ht="16.5" customHeight="1" spans="1:55">
      <c r="A13" s="138" t="s">
        <v>32</v>
      </c>
      <c r="B13" s="139" t="s">
        <v>176</v>
      </c>
      <c r="C13" s="140">
        <v>45772</v>
      </c>
      <c r="D13" s="138" t="s">
        <v>149</v>
      </c>
      <c r="E13" s="141">
        <v>606876</v>
      </c>
      <c r="F13" s="141">
        <v>606876</v>
      </c>
      <c r="G13" s="139" t="s">
        <v>177</v>
      </c>
      <c r="H13" s="137" t="str">
        <f t="shared" si="0"/>
        <v>4</v>
      </c>
      <c r="I13" s="139" t="s">
        <v>36</v>
      </c>
      <c r="J13" s="138" t="s">
        <v>178</v>
      </c>
      <c r="K13" s="140">
        <v>45772</v>
      </c>
      <c r="L13" s="139" t="s">
        <v>152</v>
      </c>
      <c r="M13" s="148">
        <v>6</v>
      </c>
      <c r="N13" s="139" t="s">
        <v>165</v>
      </c>
      <c r="O13" s="138" t="s">
        <v>155</v>
      </c>
      <c r="P13" s="139" t="s">
        <v>41</v>
      </c>
      <c r="Q13" s="152">
        <v>59000</v>
      </c>
      <c r="R13" s="138" t="s">
        <v>42</v>
      </c>
      <c r="S13" s="153">
        <v>9.1150442477</v>
      </c>
      <c r="T13" s="153">
        <v>13.27434</v>
      </c>
      <c r="U13" s="154">
        <v>13.27434</v>
      </c>
      <c r="V13" s="155">
        <v>-4.16</v>
      </c>
      <c r="W13" s="155">
        <v>0</v>
      </c>
      <c r="X13" s="139" t="s">
        <v>43</v>
      </c>
      <c r="Y13" s="133" t="s">
        <v>44</v>
      </c>
      <c r="Z13" s="177">
        <v>45763</v>
      </c>
      <c r="AA13" s="130">
        <f t="shared" si="1"/>
        <v>607699.999994159</v>
      </c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</row>
    <row r="14" s="127" customFormat="1" ht="16.5" customHeight="1" spans="1:55">
      <c r="A14" s="142" t="s">
        <v>32</v>
      </c>
      <c r="B14" s="143" t="s">
        <v>176</v>
      </c>
      <c r="C14" s="144">
        <v>45772</v>
      </c>
      <c r="D14" s="142" t="s">
        <v>149</v>
      </c>
      <c r="E14" s="145">
        <v>606876</v>
      </c>
      <c r="F14" s="145">
        <v>606876</v>
      </c>
      <c r="G14" s="143" t="s">
        <v>179</v>
      </c>
      <c r="H14" s="137" t="str">
        <f t="shared" si="0"/>
        <v>4</v>
      </c>
      <c r="I14" s="143" t="s">
        <v>36</v>
      </c>
      <c r="J14" s="142" t="s">
        <v>178</v>
      </c>
      <c r="K14" s="144">
        <v>45772</v>
      </c>
      <c r="L14" s="143" t="s">
        <v>152</v>
      </c>
      <c r="M14" s="149">
        <v>6</v>
      </c>
      <c r="N14" s="143" t="s">
        <v>165</v>
      </c>
      <c r="O14" s="142" t="s">
        <v>155</v>
      </c>
      <c r="P14" s="143" t="s">
        <v>41</v>
      </c>
      <c r="Q14" s="156">
        <v>-80</v>
      </c>
      <c r="R14" s="142" t="s">
        <v>42</v>
      </c>
      <c r="S14" s="157">
        <v>9.1150442477</v>
      </c>
      <c r="T14" s="157">
        <v>13.27434</v>
      </c>
      <c r="U14" s="158">
        <v>13.27434</v>
      </c>
      <c r="V14" s="159">
        <v>-4.16</v>
      </c>
      <c r="W14" s="159">
        <v>0</v>
      </c>
      <c r="X14" s="143" t="s">
        <v>43</v>
      </c>
      <c r="Y14" s="179" t="s">
        <v>44</v>
      </c>
      <c r="Z14" s="180">
        <v>45768</v>
      </c>
      <c r="AA14" s="130">
        <f t="shared" si="1"/>
        <v>-823.99999999208</v>
      </c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</row>
    <row r="15" s="127" customFormat="1" ht="16.5" customHeight="1" spans="1:55">
      <c r="A15" s="138" t="s">
        <v>32</v>
      </c>
      <c r="B15" s="139" t="s">
        <v>180</v>
      </c>
      <c r="C15" s="140">
        <v>45775</v>
      </c>
      <c r="D15" s="138" t="s">
        <v>149</v>
      </c>
      <c r="E15" s="141">
        <v>251938</v>
      </c>
      <c r="F15" s="141">
        <v>251938</v>
      </c>
      <c r="G15" s="139" t="s">
        <v>181</v>
      </c>
      <c r="H15" s="137" t="str">
        <f t="shared" si="0"/>
        <v>4</v>
      </c>
      <c r="I15" s="139" t="s">
        <v>36</v>
      </c>
      <c r="J15" s="138" t="s">
        <v>182</v>
      </c>
      <c r="K15" s="140">
        <v>45775</v>
      </c>
      <c r="L15" s="139" t="s">
        <v>152</v>
      </c>
      <c r="M15" s="148">
        <v>6</v>
      </c>
      <c r="N15" s="139" t="s">
        <v>165</v>
      </c>
      <c r="O15" s="138" t="s">
        <v>155</v>
      </c>
      <c r="P15" s="139" t="s">
        <v>41</v>
      </c>
      <c r="Q15" s="152">
        <v>24460</v>
      </c>
      <c r="R15" s="138" t="s">
        <v>42</v>
      </c>
      <c r="S15" s="153">
        <v>9.1150442477</v>
      </c>
      <c r="T15" s="153">
        <v>13.27434</v>
      </c>
      <c r="U15" s="154">
        <v>9.12</v>
      </c>
      <c r="V15" s="155">
        <v>-4.16</v>
      </c>
      <c r="W15" s="155">
        <v>4.15</v>
      </c>
      <c r="X15" s="139" t="s">
        <v>43</v>
      </c>
      <c r="Y15" s="133" t="s">
        <v>44</v>
      </c>
      <c r="Z15" s="177">
        <v>45772</v>
      </c>
      <c r="AA15" s="130">
        <f t="shared" si="1"/>
        <v>251937.999997578</v>
      </c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</row>
    <row r="16" s="127" customFormat="1" ht="16.5" customHeight="1" spans="1:55">
      <c r="A16" s="142" t="s">
        <v>32</v>
      </c>
      <c r="B16" s="143" t="s">
        <v>183</v>
      </c>
      <c r="C16" s="144">
        <v>45804</v>
      </c>
      <c r="D16" s="142" t="s">
        <v>149</v>
      </c>
      <c r="E16" s="145">
        <v>267182</v>
      </c>
      <c r="F16" s="145">
        <v>267182</v>
      </c>
      <c r="G16" s="143" t="s">
        <v>184</v>
      </c>
      <c r="H16" s="137" t="str">
        <f t="shared" si="0"/>
        <v>5</v>
      </c>
      <c r="I16" s="143" t="s">
        <v>36</v>
      </c>
      <c r="J16" s="142" t="s">
        <v>185</v>
      </c>
      <c r="K16" s="144">
        <v>45804</v>
      </c>
      <c r="L16" s="143" t="s">
        <v>152</v>
      </c>
      <c r="M16" s="149">
        <v>6</v>
      </c>
      <c r="N16" s="143" t="s">
        <v>165</v>
      </c>
      <c r="O16" s="142" t="s">
        <v>155</v>
      </c>
      <c r="P16" s="143" t="s">
        <v>41</v>
      </c>
      <c r="Q16" s="156">
        <v>25940</v>
      </c>
      <c r="R16" s="142" t="s">
        <v>42</v>
      </c>
      <c r="S16" s="157">
        <v>9.1150442477</v>
      </c>
      <c r="T16" s="157">
        <v>13.27434</v>
      </c>
      <c r="U16" s="158">
        <v>9.12</v>
      </c>
      <c r="V16" s="159">
        <v>-4.16</v>
      </c>
      <c r="W16" s="159">
        <v>4.15</v>
      </c>
      <c r="X16" s="143" t="s">
        <v>43</v>
      </c>
      <c r="Y16" s="179" t="s">
        <v>44</v>
      </c>
      <c r="Z16" s="180">
        <v>45799</v>
      </c>
      <c r="AA16" s="130">
        <f t="shared" si="1"/>
        <v>267181.999997432</v>
      </c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</row>
    <row r="17" s="127" customFormat="1" ht="16.5" customHeight="1" spans="1:55">
      <c r="A17" s="138" t="s">
        <v>32</v>
      </c>
      <c r="B17" s="139" t="s">
        <v>186</v>
      </c>
      <c r="C17" s="140">
        <v>45804</v>
      </c>
      <c r="D17" s="138" t="s">
        <v>149</v>
      </c>
      <c r="E17" s="141">
        <v>268006</v>
      </c>
      <c r="F17" s="141">
        <v>268006</v>
      </c>
      <c r="G17" s="139" t="s">
        <v>187</v>
      </c>
      <c r="H17" s="137" t="str">
        <f t="shared" si="0"/>
        <v>5</v>
      </c>
      <c r="I17" s="139" t="s">
        <v>36</v>
      </c>
      <c r="J17" s="138" t="s">
        <v>188</v>
      </c>
      <c r="K17" s="140">
        <v>45804</v>
      </c>
      <c r="L17" s="139" t="s">
        <v>152</v>
      </c>
      <c r="M17" s="148">
        <v>6</v>
      </c>
      <c r="N17" s="139" t="s">
        <v>165</v>
      </c>
      <c r="O17" s="138" t="s">
        <v>155</v>
      </c>
      <c r="P17" s="139" t="s">
        <v>41</v>
      </c>
      <c r="Q17" s="152">
        <v>26020</v>
      </c>
      <c r="R17" s="138" t="s">
        <v>42</v>
      </c>
      <c r="S17" s="153">
        <v>9.1150442477</v>
      </c>
      <c r="T17" s="153">
        <v>13.27434</v>
      </c>
      <c r="U17" s="154">
        <v>9.12</v>
      </c>
      <c r="V17" s="155">
        <v>-4.16</v>
      </c>
      <c r="W17" s="155">
        <v>4.15</v>
      </c>
      <c r="X17" s="139" t="s">
        <v>43</v>
      </c>
      <c r="Y17" s="133" t="s">
        <v>44</v>
      </c>
      <c r="Z17" s="177">
        <v>45777</v>
      </c>
      <c r="AA17" s="130">
        <f t="shared" si="1"/>
        <v>268005.999997424</v>
      </c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</row>
    <row r="18" s="127" customFormat="1" ht="16.5" customHeight="1" spans="1:55">
      <c r="A18" s="142" t="s">
        <v>32</v>
      </c>
      <c r="B18" s="143" t="s">
        <v>189</v>
      </c>
      <c r="C18" s="144">
        <v>45838</v>
      </c>
      <c r="D18" s="142" t="s">
        <v>149</v>
      </c>
      <c r="E18" s="145">
        <v>105955.16</v>
      </c>
      <c r="F18" s="145">
        <v>0</v>
      </c>
      <c r="G18" s="143" t="s">
        <v>190</v>
      </c>
      <c r="H18" s="137" t="str">
        <f t="shared" si="0"/>
        <v>6</v>
      </c>
      <c r="I18" s="143" t="s">
        <v>36</v>
      </c>
      <c r="J18" s="142" t="s">
        <v>191</v>
      </c>
      <c r="K18" s="144">
        <v>45838</v>
      </c>
      <c r="L18" s="143" t="s">
        <v>192</v>
      </c>
      <c r="M18" s="149">
        <v>1</v>
      </c>
      <c r="N18" s="143" t="s">
        <v>80</v>
      </c>
      <c r="O18" s="142" t="s">
        <v>81</v>
      </c>
      <c r="P18" s="143" t="s">
        <v>82</v>
      </c>
      <c r="Q18" s="156">
        <v>100</v>
      </c>
      <c r="R18" s="142" t="s">
        <v>83</v>
      </c>
      <c r="S18" s="157">
        <v>38</v>
      </c>
      <c r="T18" s="157">
        <v>35</v>
      </c>
      <c r="U18" s="158">
        <v>0</v>
      </c>
      <c r="V18" s="159">
        <v>3</v>
      </c>
      <c r="W18" s="159">
        <v>35</v>
      </c>
      <c r="X18" s="143" t="s">
        <v>43</v>
      </c>
      <c r="Y18" s="179" t="s">
        <v>44</v>
      </c>
      <c r="Z18" s="180">
        <v>45742</v>
      </c>
      <c r="AA18" s="130">
        <f t="shared" si="1"/>
        <v>4294</v>
      </c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</row>
    <row r="19" s="127" customFormat="1" ht="16.5" customHeight="1" spans="1:55">
      <c r="A19" s="138" t="s">
        <v>32</v>
      </c>
      <c r="B19" s="139" t="s">
        <v>189</v>
      </c>
      <c r="C19" s="140">
        <v>45838</v>
      </c>
      <c r="D19" s="138" t="s">
        <v>149</v>
      </c>
      <c r="E19" s="141">
        <v>105955.16</v>
      </c>
      <c r="F19" s="141">
        <v>0</v>
      </c>
      <c r="G19" s="139" t="s">
        <v>193</v>
      </c>
      <c r="H19" s="137" t="str">
        <f t="shared" si="0"/>
        <v>6</v>
      </c>
      <c r="I19" s="139" t="s">
        <v>36</v>
      </c>
      <c r="J19" s="138" t="s">
        <v>191</v>
      </c>
      <c r="K19" s="140">
        <v>45838</v>
      </c>
      <c r="L19" s="139" t="s">
        <v>149</v>
      </c>
      <c r="M19" s="148">
        <v>2</v>
      </c>
      <c r="N19" s="139" t="s">
        <v>194</v>
      </c>
      <c r="O19" s="138" t="s">
        <v>40</v>
      </c>
      <c r="P19" s="139" t="s">
        <v>41</v>
      </c>
      <c r="Q19" s="152">
        <v>900</v>
      </c>
      <c r="R19" s="138" t="s">
        <v>42</v>
      </c>
      <c r="S19" s="153">
        <v>17.3347</v>
      </c>
      <c r="T19" s="153">
        <v>15.02</v>
      </c>
      <c r="U19" s="154">
        <v>0.4</v>
      </c>
      <c r="V19" s="155">
        <v>2.31</v>
      </c>
      <c r="W19" s="155">
        <v>14.62</v>
      </c>
      <c r="X19" s="139" t="s">
        <v>43</v>
      </c>
      <c r="Y19" s="133" t="s">
        <v>44</v>
      </c>
      <c r="Z19" s="177">
        <v>45747</v>
      </c>
      <c r="AA19" s="130">
        <f t="shared" si="1"/>
        <v>17629.3899</v>
      </c>
      <c r="AB19" s="131"/>
      <c r="AC19" s="131"/>
      <c r="AD19" s="131"/>
      <c r="AE19" s="131"/>
      <c r="AF19" s="131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</row>
    <row r="20" s="127" customFormat="1" ht="16.5" customHeight="1" spans="1:55">
      <c r="A20" s="142" t="s">
        <v>32</v>
      </c>
      <c r="B20" s="143" t="s">
        <v>189</v>
      </c>
      <c r="C20" s="144">
        <v>45838</v>
      </c>
      <c r="D20" s="142" t="s">
        <v>149</v>
      </c>
      <c r="E20" s="145">
        <v>105955.16</v>
      </c>
      <c r="F20" s="145">
        <v>0</v>
      </c>
      <c r="G20" s="143" t="s">
        <v>195</v>
      </c>
      <c r="H20" s="137" t="str">
        <f t="shared" si="0"/>
        <v>6</v>
      </c>
      <c r="I20" s="143" t="s">
        <v>36</v>
      </c>
      <c r="J20" s="142" t="s">
        <v>191</v>
      </c>
      <c r="K20" s="144">
        <v>45838</v>
      </c>
      <c r="L20" s="143" t="s">
        <v>152</v>
      </c>
      <c r="M20" s="149">
        <v>2</v>
      </c>
      <c r="N20" s="143" t="s">
        <v>153</v>
      </c>
      <c r="O20" s="142" t="s">
        <v>154</v>
      </c>
      <c r="P20" s="143" t="s">
        <v>41</v>
      </c>
      <c r="Q20" s="156">
        <v>1260</v>
      </c>
      <c r="R20" s="142" t="s">
        <v>42</v>
      </c>
      <c r="S20" s="157">
        <v>16.64</v>
      </c>
      <c r="T20" s="157">
        <v>16.64</v>
      </c>
      <c r="U20" s="158">
        <v>16.64</v>
      </c>
      <c r="V20" s="159">
        <v>0</v>
      </c>
      <c r="W20" s="159">
        <v>0</v>
      </c>
      <c r="X20" s="143" t="s">
        <v>43</v>
      </c>
      <c r="Y20" s="179" t="s">
        <v>44</v>
      </c>
      <c r="Z20" s="180">
        <v>45746</v>
      </c>
      <c r="AA20" s="130">
        <f t="shared" si="1"/>
        <v>23692.032</v>
      </c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</row>
    <row r="21" s="127" customFormat="1" ht="16.5" customHeight="1" spans="1:55">
      <c r="A21" s="138" t="s">
        <v>32</v>
      </c>
      <c r="B21" s="139" t="s">
        <v>189</v>
      </c>
      <c r="C21" s="140">
        <v>45838</v>
      </c>
      <c r="D21" s="138" t="s">
        <v>149</v>
      </c>
      <c r="E21" s="141">
        <v>105955.16</v>
      </c>
      <c r="F21" s="141">
        <v>0</v>
      </c>
      <c r="G21" s="139" t="s">
        <v>195</v>
      </c>
      <c r="H21" s="137" t="str">
        <f t="shared" si="0"/>
        <v>6</v>
      </c>
      <c r="I21" s="139" t="s">
        <v>36</v>
      </c>
      <c r="J21" s="138" t="s">
        <v>191</v>
      </c>
      <c r="K21" s="140">
        <v>45838</v>
      </c>
      <c r="L21" s="139" t="s">
        <v>152</v>
      </c>
      <c r="M21" s="148">
        <v>4</v>
      </c>
      <c r="N21" s="139" t="s">
        <v>156</v>
      </c>
      <c r="O21" s="138" t="s">
        <v>157</v>
      </c>
      <c r="P21" s="139" t="s">
        <v>41</v>
      </c>
      <c r="Q21" s="152">
        <v>200</v>
      </c>
      <c r="R21" s="138" t="s">
        <v>42</v>
      </c>
      <c r="S21" s="153">
        <v>12.29</v>
      </c>
      <c r="T21" s="153">
        <v>12.29</v>
      </c>
      <c r="U21" s="154">
        <v>12.29</v>
      </c>
      <c r="V21" s="155">
        <v>0</v>
      </c>
      <c r="W21" s="155">
        <v>0</v>
      </c>
      <c r="X21" s="139" t="s">
        <v>43</v>
      </c>
      <c r="Y21" s="133" t="s">
        <v>44</v>
      </c>
      <c r="Z21" s="177">
        <v>45746</v>
      </c>
      <c r="AA21" s="130">
        <f t="shared" si="1"/>
        <v>2777.54</v>
      </c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</row>
    <row r="22" s="127" customFormat="1" ht="16.5" customHeight="1" spans="1:55">
      <c r="A22" s="142" t="s">
        <v>32</v>
      </c>
      <c r="B22" s="143" t="s">
        <v>189</v>
      </c>
      <c r="C22" s="144">
        <v>45838</v>
      </c>
      <c r="D22" s="142" t="s">
        <v>149</v>
      </c>
      <c r="E22" s="145">
        <v>105955.16</v>
      </c>
      <c r="F22" s="145">
        <v>0</v>
      </c>
      <c r="G22" s="143" t="s">
        <v>195</v>
      </c>
      <c r="H22" s="137" t="str">
        <f t="shared" si="0"/>
        <v>6</v>
      </c>
      <c r="I22" s="143" t="s">
        <v>36</v>
      </c>
      <c r="J22" s="142" t="s">
        <v>191</v>
      </c>
      <c r="K22" s="144">
        <v>45838</v>
      </c>
      <c r="L22" s="143" t="s">
        <v>152</v>
      </c>
      <c r="M22" s="149">
        <v>1</v>
      </c>
      <c r="N22" s="143" t="s">
        <v>158</v>
      </c>
      <c r="O22" s="142" t="s">
        <v>159</v>
      </c>
      <c r="P22" s="143" t="s">
        <v>41</v>
      </c>
      <c r="Q22" s="156">
        <v>800</v>
      </c>
      <c r="R22" s="142" t="s">
        <v>42</v>
      </c>
      <c r="S22" s="157">
        <v>50.8</v>
      </c>
      <c r="T22" s="157">
        <v>50.8</v>
      </c>
      <c r="U22" s="158">
        <v>50.8</v>
      </c>
      <c r="V22" s="159">
        <v>0</v>
      </c>
      <c r="W22" s="159">
        <v>0</v>
      </c>
      <c r="X22" s="143" t="s">
        <v>43</v>
      </c>
      <c r="Y22" s="179" t="s">
        <v>44</v>
      </c>
      <c r="Z22" s="180">
        <v>45746</v>
      </c>
      <c r="AA22" s="130">
        <f t="shared" si="1"/>
        <v>45923.2</v>
      </c>
      <c r="AB22" s="131"/>
      <c r="AC22" s="131"/>
      <c r="AD22" s="131"/>
      <c r="AE22" s="131"/>
      <c r="AF22" s="131"/>
      <c r="AG22" s="131"/>
      <c r="AH22" s="131"/>
      <c r="AI22" s="131"/>
      <c r="AJ22" s="131"/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131"/>
      <c r="AY22" s="131"/>
      <c r="AZ22" s="131"/>
      <c r="BA22" s="131"/>
      <c r="BB22" s="131"/>
      <c r="BC22" s="131"/>
    </row>
    <row r="23" s="127" customFormat="1" ht="16.5" customHeight="1" spans="1:55">
      <c r="A23" s="138" t="s">
        <v>32</v>
      </c>
      <c r="B23" s="139" t="s">
        <v>189</v>
      </c>
      <c r="C23" s="140">
        <v>45838</v>
      </c>
      <c r="D23" s="138" t="s">
        <v>149</v>
      </c>
      <c r="E23" s="141">
        <v>105955.16</v>
      </c>
      <c r="F23" s="141">
        <v>0</v>
      </c>
      <c r="G23" s="139" t="s">
        <v>196</v>
      </c>
      <c r="H23" s="137" t="str">
        <f t="shared" si="0"/>
        <v>6</v>
      </c>
      <c r="I23" s="139" t="s">
        <v>36</v>
      </c>
      <c r="J23" s="138" t="s">
        <v>191</v>
      </c>
      <c r="K23" s="140">
        <v>45838</v>
      </c>
      <c r="L23" s="139" t="s">
        <v>149</v>
      </c>
      <c r="M23" s="148">
        <v>3</v>
      </c>
      <c r="N23" s="139" t="s">
        <v>161</v>
      </c>
      <c r="O23" s="138" t="s">
        <v>162</v>
      </c>
      <c r="P23" s="139" t="s">
        <v>41</v>
      </c>
      <c r="Q23" s="152">
        <v>200</v>
      </c>
      <c r="R23" s="138" t="s">
        <v>42</v>
      </c>
      <c r="S23" s="153">
        <v>51.5</v>
      </c>
      <c r="T23" s="153">
        <v>51.5</v>
      </c>
      <c r="U23" s="154">
        <v>51.5</v>
      </c>
      <c r="V23" s="155">
        <v>0</v>
      </c>
      <c r="W23" s="155">
        <v>0</v>
      </c>
      <c r="X23" s="139" t="s">
        <v>43</v>
      </c>
      <c r="Y23" s="133" t="s">
        <v>44</v>
      </c>
      <c r="Z23" s="177">
        <v>45746</v>
      </c>
      <c r="AA23" s="130">
        <f t="shared" si="1"/>
        <v>11639</v>
      </c>
      <c r="AB23" s="131"/>
      <c r="AC23" s="131"/>
      <c r="AD23" s="131"/>
      <c r="AE23" s="131"/>
      <c r="AF23" s="131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131"/>
    </row>
    <row r="24" s="127" customFormat="1" ht="16.5" customHeight="1" spans="1:55">
      <c r="A24" s="142" t="s">
        <v>32</v>
      </c>
      <c r="B24" s="143" t="s">
        <v>197</v>
      </c>
      <c r="C24" s="144">
        <v>45863</v>
      </c>
      <c r="D24" s="142" t="s">
        <v>149</v>
      </c>
      <c r="E24" s="145">
        <v>220454.3</v>
      </c>
      <c r="F24" s="145">
        <v>0</v>
      </c>
      <c r="G24" s="143" t="s">
        <v>198</v>
      </c>
      <c r="H24" s="137" t="str">
        <f t="shared" si="0"/>
        <v>7</v>
      </c>
      <c r="I24" s="143" t="s">
        <v>36</v>
      </c>
      <c r="J24" s="142" t="s">
        <v>199</v>
      </c>
      <c r="K24" s="144">
        <v>45863</v>
      </c>
      <c r="L24" s="143" t="s">
        <v>152</v>
      </c>
      <c r="M24" s="149">
        <v>2</v>
      </c>
      <c r="N24" s="143" t="s">
        <v>153</v>
      </c>
      <c r="O24" s="142" t="s">
        <v>154</v>
      </c>
      <c r="P24" s="143" t="s">
        <v>41</v>
      </c>
      <c r="Q24" s="156">
        <v>3150</v>
      </c>
      <c r="R24" s="142" t="s">
        <v>42</v>
      </c>
      <c r="S24" s="157">
        <v>16.64</v>
      </c>
      <c r="T24" s="157">
        <v>16.64</v>
      </c>
      <c r="U24" s="158">
        <v>16.64</v>
      </c>
      <c r="V24" s="159">
        <v>0</v>
      </c>
      <c r="W24" s="159">
        <v>0</v>
      </c>
      <c r="X24" s="143" t="s">
        <v>43</v>
      </c>
      <c r="Y24" s="179" t="s">
        <v>44</v>
      </c>
      <c r="Z24" s="180">
        <v>45835</v>
      </c>
      <c r="AA24" s="130">
        <f t="shared" si="1"/>
        <v>59230.08</v>
      </c>
      <c r="AB24" s="131"/>
      <c r="AC24" s="131"/>
      <c r="AD24" s="131"/>
      <c r="AE24" s="131"/>
      <c r="AF24" s="131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131"/>
      <c r="AY24" s="131"/>
      <c r="AZ24" s="131"/>
      <c r="BA24" s="131"/>
      <c r="BB24" s="131"/>
      <c r="BC24" s="131"/>
    </row>
    <row r="25" s="127" customFormat="1" ht="16.5" customHeight="1" spans="1:55">
      <c r="A25" s="138" t="s">
        <v>32</v>
      </c>
      <c r="B25" s="139" t="s">
        <v>197</v>
      </c>
      <c r="C25" s="140">
        <v>45863</v>
      </c>
      <c r="D25" s="138" t="s">
        <v>149</v>
      </c>
      <c r="E25" s="141">
        <v>220454.3</v>
      </c>
      <c r="F25" s="141">
        <v>0</v>
      </c>
      <c r="G25" s="139" t="s">
        <v>198</v>
      </c>
      <c r="H25" s="137" t="str">
        <f t="shared" si="0"/>
        <v>7</v>
      </c>
      <c r="I25" s="139" t="s">
        <v>36</v>
      </c>
      <c r="J25" s="138" t="s">
        <v>199</v>
      </c>
      <c r="K25" s="140">
        <v>45863</v>
      </c>
      <c r="L25" s="139" t="s">
        <v>152</v>
      </c>
      <c r="M25" s="148">
        <v>4</v>
      </c>
      <c r="N25" s="139" t="s">
        <v>156</v>
      </c>
      <c r="O25" s="138" t="s">
        <v>157</v>
      </c>
      <c r="P25" s="139" t="s">
        <v>41</v>
      </c>
      <c r="Q25" s="152">
        <v>1000</v>
      </c>
      <c r="R25" s="138" t="s">
        <v>42</v>
      </c>
      <c r="S25" s="153">
        <v>12.29</v>
      </c>
      <c r="T25" s="153">
        <v>12.29</v>
      </c>
      <c r="U25" s="154">
        <v>12.29</v>
      </c>
      <c r="V25" s="155">
        <v>0</v>
      </c>
      <c r="W25" s="155">
        <v>0</v>
      </c>
      <c r="X25" s="139" t="s">
        <v>43</v>
      </c>
      <c r="Y25" s="133" t="s">
        <v>44</v>
      </c>
      <c r="Z25" s="177">
        <v>45835</v>
      </c>
      <c r="AA25" s="130">
        <f t="shared" si="1"/>
        <v>13887.7</v>
      </c>
      <c r="AB25" s="131"/>
      <c r="AC25" s="131"/>
      <c r="AD25" s="131"/>
      <c r="AE25" s="131"/>
      <c r="AF25" s="131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  <c r="BC25" s="131"/>
    </row>
    <row r="26" s="127" customFormat="1" ht="16.5" customHeight="1" spans="1:55">
      <c r="A26" s="142" t="s">
        <v>32</v>
      </c>
      <c r="B26" s="143" t="s">
        <v>197</v>
      </c>
      <c r="C26" s="144">
        <v>45863</v>
      </c>
      <c r="D26" s="142" t="s">
        <v>149</v>
      </c>
      <c r="E26" s="145">
        <v>220454.3</v>
      </c>
      <c r="F26" s="145">
        <v>0</v>
      </c>
      <c r="G26" s="143" t="s">
        <v>198</v>
      </c>
      <c r="H26" s="137" t="str">
        <f t="shared" si="0"/>
        <v>7</v>
      </c>
      <c r="I26" s="143" t="s">
        <v>36</v>
      </c>
      <c r="J26" s="142" t="s">
        <v>199</v>
      </c>
      <c r="K26" s="144">
        <v>45863</v>
      </c>
      <c r="L26" s="143" t="s">
        <v>152</v>
      </c>
      <c r="M26" s="149">
        <v>1</v>
      </c>
      <c r="N26" s="143" t="s">
        <v>158</v>
      </c>
      <c r="O26" s="142" t="s">
        <v>159</v>
      </c>
      <c r="P26" s="143" t="s">
        <v>41</v>
      </c>
      <c r="Q26" s="156">
        <v>1400</v>
      </c>
      <c r="R26" s="142" t="s">
        <v>42</v>
      </c>
      <c r="S26" s="157">
        <v>50.8</v>
      </c>
      <c r="T26" s="157">
        <v>50.8</v>
      </c>
      <c r="U26" s="158">
        <v>50.8</v>
      </c>
      <c r="V26" s="159">
        <v>0</v>
      </c>
      <c r="W26" s="159">
        <v>0</v>
      </c>
      <c r="X26" s="143" t="s">
        <v>43</v>
      </c>
      <c r="Y26" s="179" t="s">
        <v>44</v>
      </c>
      <c r="Z26" s="180">
        <v>45835</v>
      </c>
      <c r="AA26" s="130">
        <f t="shared" si="1"/>
        <v>80365.6</v>
      </c>
      <c r="AB26" s="131"/>
      <c r="AC26" s="131"/>
      <c r="AD26" s="131"/>
      <c r="AE26" s="131"/>
      <c r="AF26" s="131"/>
      <c r="AG26" s="131"/>
      <c r="AH26" s="131"/>
      <c r="AI26" s="131"/>
      <c r="AJ26" s="131"/>
      <c r="AK26" s="131"/>
      <c r="AL26" s="131"/>
      <c r="AM26" s="131"/>
      <c r="AN26" s="131"/>
      <c r="AO26" s="131"/>
      <c r="AP26" s="131"/>
      <c r="AQ26" s="131"/>
      <c r="AR26" s="131"/>
      <c r="AS26" s="131"/>
      <c r="AT26" s="131"/>
      <c r="AU26" s="131"/>
      <c r="AV26" s="131"/>
      <c r="AW26" s="131"/>
      <c r="AX26" s="131"/>
      <c r="AY26" s="131"/>
      <c r="AZ26" s="131"/>
      <c r="BA26" s="131"/>
      <c r="BB26" s="131"/>
      <c r="BC26" s="131"/>
    </row>
    <row r="27" s="127" customFormat="1" ht="16.5" customHeight="1" spans="1:55">
      <c r="A27" s="138" t="s">
        <v>32</v>
      </c>
      <c r="B27" s="139" t="s">
        <v>197</v>
      </c>
      <c r="C27" s="140">
        <v>45863</v>
      </c>
      <c r="D27" s="138" t="s">
        <v>149</v>
      </c>
      <c r="E27" s="141">
        <v>220454.3</v>
      </c>
      <c r="F27" s="141">
        <v>0</v>
      </c>
      <c r="G27" s="139" t="s">
        <v>200</v>
      </c>
      <c r="H27" s="137" t="str">
        <f t="shared" si="0"/>
        <v>7</v>
      </c>
      <c r="I27" s="139" t="s">
        <v>36</v>
      </c>
      <c r="J27" s="138" t="s">
        <v>199</v>
      </c>
      <c r="K27" s="140">
        <v>45863</v>
      </c>
      <c r="L27" s="139" t="s">
        <v>149</v>
      </c>
      <c r="M27" s="148">
        <v>1</v>
      </c>
      <c r="N27" s="139" t="s">
        <v>201</v>
      </c>
      <c r="O27" s="138" t="s">
        <v>202</v>
      </c>
      <c r="P27" s="139" t="s">
        <v>41</v>
      </c>
      <c r="Q27" s="152">
        <v>1470</v>
      </c>
      <c r="R27" s="138" t="s">
        <v>42</v>
      </c>
      <c r="S27" s="153">
        <v>12.29</v>
      </c>
      <c r="T27" s="153">
        <v>11.92</v>
      </c>
      <c r="U27" s="154">
        <v>12.29</v>
      </c>
      <c r="V27" s="155">
        <v>0.37</v>
      </c>
      <c r="W27" s="155">
        <v>-0.37</v>
      </c>
      <c r="X27" s="139" t="s">
        <v>43</v>
      </c>
      <c r="Y27" s="133" t="s">
        <v>44</v>
      </c>
      <c r="Z27" s="177">
        <v>45835</v>
      </c>
      <c r="AA27" s="130">
        <f t="shared" si="1"/>
        <v>20414.919</v>
      </c>
      <c r="AB27" s="131"/>
      <c r="AC27" s="131"/>
      <c r="AD27" s="131"/>
      <c r="AE27" s="131"/>
      <c r="AF27" s="131"/>
      <c r="AG27" s="131"/>
      <c r="AH27" s="131"/>
      <c r="AI27" s="131"/>
      <c r="AJ27" s="131"/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131"/>
      <c r="AY27" s="131"/>
      <c r="AZ27" s="131"/>
      <c r="BA27" s="131"/>
      <c r="BB27" s="131"/>
      <c r="BC27" s="131"/>
    </row>
    <row r="28" s="127" customFormat="1" ht="16.5" customHeight="1" spans="1:55">
      <c r="A28" s="142" t="s">
        <v>32</v>
      </c>
      <c r="B28" s="143" t="s">
        <v>197</v>
      </c>
      <c r="C28" s="144">
        <v>45863</v>
      </c>
      <c r="D28" s="142" t="s">
        <v>149</v>
      </c>
      <c r="E28" s="145">
        <v>220454.3</v>
      </c>
      <c r="F28" s="145">
        <v>0</v>
      </c>
      <c r="G28" s="143" t="s">
        <v>200</v>
      </c>
      <c r="H28" s="137" t="str">
        <f t="shared" si="0"/>
        <v>7</v>
      </c>
      <c r="I28" s="143" t="s">
        <v>36</v>
      </c>
      <c r="J28" s="142" t="s">
        <v>199</v>
      </c>
      <c r="K28" s="144">
        <v>45863</v>
      </c>
      <c r="L28" s="143" t="s">
        <v>149</v>
      </c>
      <c r="M28" s="149">
        <v>3</v>
      </c>
      <c r="N28" s="143" t="s">
        <v>161</v>
      </c>
      <c r="O28" s="142" t="s">
        <v>162</v>
      </c>
      <c r="P28" s="143" t="s">
        <v>41</v>
      </c>
      <c r="Q28" s="156">
        <v>800</v>
      </c>
      <c r="R28" s="142" t="s">
        <v>42</v>
      </c>
      <c r="S28" s="157">
        <v>51.5</v>
      </c>
      <c r="T28" s="157">
        <v>51.5</v>
      </c>
      <c r="U28" s="158">
        <v>51.5</v>
      </c>
      <c r="V28" s="159">
        <v>0</v>
      </c>
      <c r="W28" s="159">
        <v>0</v>
      </c>
      <c r="X28" s="143" t="s">
        <v>43</v>
      </c>
      <c r="Y28" s="179" t="s">
        <v>44</v>
      </c>
      <c r="Z28" s="180">
        <v>45835</v>
      </c>
      <c r="AA28" s="130">
        <f t="shared" si="1"/>
        <v>46556</v>
      </c>
      <c r="AB28" s="131"/>
      <c r="AC28" s="131"/>
      <c r="AD28" s="131"/>
      <c r="AE28" s="131"/>
      <c r="AF28" s="131"/>
      <c r="AG28" s="131"/>
      <c r="AH28" s="131"/>
      <c r="AI28" s="131"/>
      <c r="AJ28" s="131"/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131"/>
      <c r="AY28" s="131"/>
      <c r="AZ28" s="131"/>
      <c r="BA28" s="131"/>
      <c r="BB28" s="131"/>
      <c r="BC28" s="131"/>
    </row>
    <row r="29" s="127" customFormat="1" ht="16.5" customHeight="1" spans="1:55">
      <c r="A29" s="138" t="s">
        <v>32</v>
      </c>
      <c r="B29" s="139" t="s">
        <v>203</v>
      </c>
      <c r="C29" s="140">
        <v>45863</v>
      </c>
      <c r="D29" s="138" t="s">
        <v>149</v>
      </c>
      <c r="E29" s="141">
        <v>148770.71</v>
      </c>
      <c r="F29" s="141">
        <v>0</v>
      </c>
      <c r="G29" s="139" t="s">
        <v>204</v>
      </c>
      <c r="H29" s="137" t="str">
        <f t="shared" si="0"/>
        <v>7</v>
      </c>
      <c r="I29" s="139" t="s">
        <v>36</v>
      </c>
      <c r="J29" s="138" t="s">
        <v>205</v>
      </c>
      <c r="K29" s="140">
        <v>45863</v>
      </c>
      <c r="L29" s="139" t="s">
        <v>149</v>
      </c>
      <c r="M29" s="148">
        <v>1</v>
      </c>
      <c r="N29" s="139" t="s">
        <v>201</v>
      </c>
      <c r="O29" s="138" t="s">
        <v>202</v>
      </c>
      <c r="P29" s="139" t="s">
        <v>41</v>
      </c>
      <c r="Q29" s="152">
        <v>420</v>
      </c>
      <c r="R29" s="138" t="s">
        <v>42</v>
      </c>
      <c r="S29" s="153">
        <v>12.29</v>
      </c>
      <c r="T29" s="153">
        <v>12.29</v>
      </c>
      <c r="U29" s="154">
        <v>12.29</v>
      </c>
      <c r="V29" s="155">
        <v>0</v>
      </c>
      <c r="W29" s="155">
        <v>0</v>
      </c>
      <c r="X29" s="139" t="s">
        <v>43</v>
      </c>
      <c r="Y29" s="133" t="s">
        <v>44</v>
      </c>
      <c r="Z29" s="177">
        <v>45775</v>
      </c>
      <c r="AA29" s="130">
        <f t="shared" si="1"/>
        <v>5832.834</v>
      </c>
      <c r="AB29" s="131"/>
      <c r="AC29" s="131"/>
      <c r="AD29" s="131"/>
      <c r="AE29" s="131"/>
      <c r="AF29" s="131"/>
      <c r="AG29" s="131"/>
      <c r="AH29" s="131"/>
      <c r="AI29" s="131"/>
      <c r="AJ29" s="131"/>
      <c r="AK29" s="131"/>
      <c r="AL29" s="131"/>
      <c r="AM29" s="131"/>
      <c r="AN29" s="131"/>
      <c r="AO29" s="131"/>
      <c r="AP29" s="131"/>
      <c r="AQ29" s="131"/>
      <c r="AR29" s="131"/>
      <c r="AS29" s="131"/>
      <c r="AT29" s="131"/>
      <c r="AU29" s="131"/>
      <c r="AV29" s="131"/>
      <c r="AW29" s="131"/>
      <c r="AX29" s="131"/>
      <c r="AY29" s="131"/>
      <c r="AZ29" s="131"/>
      <c r="BA29" s="131"/>
      <c r="BB29" s="131"/>
      <c r="BC29" s="131"/>
    </row>
    <row r="30" s="127" customFormat="1" ht="16.5" customHeight="1" spans="1:55">
      <c r="A30" s="142" t="s">
        <v>32</v>
      </c>
      <c r="B30" s="143" t="s">
        <v>203</v>
      </c>
      <c r="C30" s="144">
        <v>45863</v>
      </c>
      <c r="D30" s="142" t="s">
        <v>149</v>
      </c>
      <c r="E30" s="145">
        <v>148770.71</v>
      </c>
      <c r="F30" s="145">
        <v>0</v>
      </c>
      <c r="G30" s="143" t="s">
        <v>206</v>
      </c>
      <c r="H30" s="137" t="str">
        <f t="shared" si="0"/>
        <v>7</v>
      </c>
      <c r="I30" s="143" t="s">
        <v>36</v>
      </c>
      <c r="J30" s="142" t="s">
        <v>205</v>
      </c>
      <c r="K30" s="144">
        <v>45863</v>
      </c>
      <c r="L30" s="143" t="s">
        <v>152</v>
      </c>
      <c r="M30" s="149">
        <v>2</v>
      </c>
      <c r="N30" s="143" t="s">
        <v>153</v>
      </c>
      <c r="O30" s="142" t="s">
        <v>154</v>
      </c>
      <c r="P30" s="143" t="s">
        <v>41</v>
      </c>
      <c r="Q30" s="156">
        <v>1680</v>
      </c>
      <c r="R30" s="142" t="s">
        <v>42</v>
      </c>
      <c r="S30" s="157">
        <v>16.64</v>
      </c>
      <c r="T30" s="157">
        <v>16.64</v>
      </c>
      <c r="U30" s="158">
        <v>16.64</v>
      </c>
      <c r="V30" s="159">
        <v>0</v>
      </c>
      <c r="W30" s="159">
        <v>0</v>
      </c>
      <c r="X30" s="143" t="s">
        <v>43</v>
      </c>
      <c r="Y30" s="179" t="s">
        <v>44</v>
      </c>
      <c r="Z30" s="180">
        <v>45804</v>
      </c>
      <c r="AA30" s="130">
        <f t="shared" si="1"/>
        <v>31589.376</v>
      </c>
      <c r="AB30" s="131"/>
      <c r="AC30" s="131"/>
      <c r="AD30" s="131"/>
      <c r="AE30" s="131"/>
      <c r="AF30" s="131"/>
      <c r="AG30" s="131"/>
      <c r="AH30" s="131"/>
      <c r="AI30" s="131"/>
      <c r="AJ30" s="131"/>
      <c r="AK30" s="131"/>
      <c r="AL30" s="131"/>
      <c r="AM30" s="131"/>
      <c r="AN30" s="131"/>
      <c r="AO30" s="131"/>
      <c r="AP30" s="131"/>
      <c r="AQ30" s="131"/>
      <c r="AR30" s="131"/>
      <c r="AS30" s="131"/>
      <c r="AT30" s="131"/>
      <c r="AU30" s="131"/>
      <c r="AV30" s="131"/>
      <c r="AW30" s="131"/>
      <c r="AX30" s="131"/>
      <c r="AY30" s="131"/>
      <c r="AZ30" s="131"/>
      <c r="BA30" s="131"/>
      <c r="BB30" s="131"/>
      <c r="BC30" s="131"/>
    </row>
    <row r="31" s="127" customFormat="1" ht="16.5" customHeight="1" spans="1:55">
      <c r="A31" s="138" t="s">
        <v>32</v>
      </c>
      <c r="B31" s="139" t="s">
        <v>203</v>
      </c>
      <c r="C31" s="140">
        <v>45863</v>
      </c>
      <c r="D31" s="138" t="s">
        <v>149</v>
      </c>
      <c r="E31" s="141">
        <v>148770.71</v>
      </c>
      <c r="F31" s="141">
        <v>0</v>
      </c>
      <c r="G31" s="139" t="s">
        <v>207</v>
      </c>
      <c r="H31" s="137" t="str">
        <f t="shared" si="0"/>
        <v>7</v>
      </c>
      <c r="I31" s="139" t="s">
        <v>36</v>
      </c>
      <c r="J31" s="138" t="s">
        <v>205</v>
      </c>
      <c r="K31" s="140">
        <v>45863</v>
      </c>
      <c r="L31" s="139" t="s">
        <v>149</v>
      </c>
      <c r="M31" s="148">
        <v>3</v>
      </c>
      <c r="N31" s="139" t="s">
        <v>161</v>
      </c>
      <c r="O31" s="138" t="s">
        <v>162</v>
      </c>
      <c r="P31" s="139" t="s">
        <v>41</v>
      </c>
      <c r="Q31" s="152">
        <v>1000</v>
      </c>
      <c r="R31" s="138" t="s">
        <v>42</v>
      </c>
      <c r="S31" s="153">
        <v>51.5</v>
      </c>
      <c r="T31" s="153">
        <v>51.5</v>
      </c>
      <c r="U31" s="154">
        <v>51.5</v>
      </c>
      <c r="V31" s="155">
        <v>0</v>
      </c>
      <c r="W31" s="155">
        <v>0</v>
      </c>
      <c r="X31" s="139" t="s">
        <v>43</v>
      </c>
      <c r="Y31" s="133" t="s">
        <v>44</v>
      </c>
      <c r="Z31" s="177">
        <v>45804</v>
      </c>
      <c r="AA31" s="130">
        <f t="shared" si="1"/>
        <v>58195</v>
      </c>
      <c r="AB31" s="131"/>
      <c r="AC31" s="131"/>
      <c r="AD31" s="131"/>
      <c r="AE31" s="131"/>
      <c r="AF31" s="131"/>
      <c r="AG31" s="131"/>
      <c r="AH31" s="131"/>
      <c r="AI31" s="131"/>
      <c r="AJ31" s="131"/>
      <c r="AK31" s="131"/>
      <c r="AL31" s="131"/>
      <c r="AM31" s="131"/>
      <c r="AN31" s="131"/>
      <c r="AO31" s="131"/>
      <c r="AP31" s="131"/>
      <c r="AQ31" s="131"/>
      <c r="AR31" s="131"/>
      <c r="AS31" s="131"/>
      <c r="AT31" s="131"/>
      <c r="AU31" s="131"/>
      <c r="AV31" s="131"/>
      <c r="AW31" s="131"/>
      <c r="AX31" s="131"/>
      <c r="AY31" s="131"/>
      <c r="AZ31" s="131"/>
      <c r="BA31" s="131"/>
      <c r="BB31" s="131"/>
      <c r="BC31" s="131"/>
    </row>
    <row r="32" s="127" customFormat="1" ht="16.5" customHeight="1" spans="1:55">
      <c r="A32" s="142" t="s">
        <v>32</v>
      </c>
      <c r="B32" s="143" t="s">
        <v>203</v>
      </c>
      <c r="C32" s="144">
        <v>45863</v>
      </c>
      <c r="D32" s="142" t="s">
        <v>149</v>
      </c>
      <c r="E32" s="145">
        <v>148770.71</v>
      </c>
      <c r="F32" s="145">
        <v>0</v>
      </c>
      <c r="G32" s="143" t="s">
        <v>208</v>
      </c>
      <c r="H32" s="137" t="str">
        <f t="shared" si="0"/>
        <v>7</v>
      </c>
      <c r="I32" s="143" t="s">
        <v>36</v>
      </c>
      <c r="J32" s="142" t="s">
        <v>205</v>
      </c>
      <c r="K32" s="144">
        <v>45863</v>
      </c>
      <c r="L32" s="143" t="s">
        <v>152</v>
      </c>
      <c r="M32" s="149">
        <v>2</v>
      </c>
      <c r="N32" s="143" t="s">
        <v>153</v>
      </c>
      <c r="O32" s="142" t="s">
        <v>154</v>
      </c>
      <c r="P32" s="143" t="s">
        <v>41</v>
      </c>
      <c r="Q32" s="156">
        <v>840</v>
      </c>
      <c r="R32" s="142" t="s">
        <v>42</v>
      </c>
      <c r="S32" s="157">
        <v>16.64</v>
      </c>
      <c r="T32" s="157">
        <v>16.64</v>
      </c>
      <c r="U32" s="158">
        <v>16.64</v>
      </c>
      <c r="V32" s="159">
        <v>0</v>
      </c>
      <c r="W32" s="159">
        <v>0</v>
      </c>
      <c r="X32" s="143" t="s">
        <v>43</v>
      </c>
      <c r="Y32" s="179" t="s">
        <v>44</v>
      </c>
      <c r="Z32" s="180">
        <v>45806</v>
      </c>
      <c r="AA32" s="130">
        <f t="shared" si="1"/>
        <v>15794.688</v>
      </c>
      <c r="AB32" s="131"/>
      <c r="AC32" s="131"/>
      <c r="AD32" s="131"/>
      <c r="AE32" s="131"/>
      <c r="AF32" s="131"/>
      <c r="AG32" s="131"/>
      <c r="AH32" s="131"/>
      <c r="AI32" s="131"/>
      <c r="AJ32" s="131"/>
      <c r="AK32" s="131"/>
      <c r="AL32" s="131"/>
      <c r="AM32" s="131"/>
      <c r="AN32" s="131"/>
      <c r="AO32" s="131"/>
      <c r="AP32" s="131"/>
      <c r="AQ32" s="131"/>
      <c r="AR32" s="131"/>
      <c r="AS32" s="131"/>
      <c r="AT32" s="131"/>
      <c r="AU32" s="131"/>
      <c r="AV32" s="131"/>
      <c r="AW32" s="131"/>
      <c r="AX32" s="131"/>
      <c r="AY32" s="131"/>
      <c r="AZ32" s="131"/>
      <c r="BA32" s="131"/>
      <c r="BB32" s="131"/>
      <c r="BC32" s="131"/>
    </row>
    <row r="33" s="127" customFormat="1" ht="16.5" customHeight="1" spans="1:55">
      <c r="A33" s="138" t="s">
        <v>32</v>
      </c>
      <c r="B33" s="139" t="s">
        <v>203</v>
      </c>
      <c r="C33" s="140">
        <v>45863</v>
      </c>
      <c r="D33" s="138" t="s">
        <v>149</v>
      </c>
      <c r="E33" s="141">
        <v>148770.71</v>
      </c>
      <c r="F33" s="141">
        <v>0</v>
      </c>
      <c r="G33" s="139" t="s">
        <v>208</v>
      </c>
      <c r="H33" s="137" t="str">
        <f t="shared" si="0"/>
        <v>7</v>
      </c>
      <c r="I33" s="139" t="s">
        <v>36</v>
      </c>
      <c r="J33" s="138" t="s">
        <v>205</v>
      </c>
      <c r="K33" s="140">
        <v>45863</v>
      </c>
      <c r="L33" s="139" t="s">
        <v>152</v>
      </c>
      <c r="M33" s="148">
        <v>1</v>
      </c>
      <c r="N33" s="139" t="s">
        <v>158</v>
      </c>
      <c r="O33" s="138" t="s">
        <v>159</v>
      </c>
      <c r="P33" s="139" t="s">
        <v>41</v>
      </c>
      <c r="Q33" s="152">
        <v>600</v>
      </c>
      <c r="R33" s="138" t="s">
        <v>42</v>
      </c>
      <c r="S33" s="153">
        <v>50.8</v>
      </c>
      <c r="T33" s="153">
        <v>50.8</v>
      </c>
      <c r="U33" s="154">
        <v>50.8</v>
      </c>
      <c r="V33" s="155">
        <v>0</v>
      </c>
      <c r="W33" s="155">
        <v>0</v>
      </c>
      <c r="X33" s="139" t="s">
        <v>43</v>
      </c>
      <c r="Y33" s="133" t="s">
        <v>44</v>
      </c>
      <c r="Z33" s="177">
        <v>45806</v>
      </c>
      <c r="AA33" s="130">
        <f t="shared" si="1"/>
        <v>34442.4</v>
      </c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</row>
    <row r="34" s="127" customFormat="1" ht="16.5" customHeight="1" spans="1:55">
      <c r="A34" s="142" t="s">
        <v>32</v>
      </c>
      <c r="B34" s="143" t="s">
        <v>203</v>
      </c>
      <c r="C34" s="144">
        <v>45863</v>
      </c>
      <c r="D34" s="142" t="s">
        <v>149</v>
      </c>
      <c r="E34" s="145">
        <v>148770.71</v>
      </c>
      <c r="F34" s="145">
        <v>0</v>
      </c>
      <c r="G34" s="143" t="s">
        <v>209</v>
      </c>
      <c r="H34" s="137" t="str">
        <f t="shared" si="0"/>
        <v>7</v>
      </c>
      <c r="I34" s="143" t="s">
        <v>36</v>
      </c>
      <c r="J34" s="142" t="s">
        <v>205</v>
      </c>
      <c r="K34" s="144">
        <v>45863</v>
      </c>
      <c r="L34" s="143" t="s">
        <v>149</v>
      </c>
      <c r="M34" s="149">
        <v>1</v>
      </c>
      <c r="N34" s="143" t="s">
        <v>201</v>
      </c>
      <c r="O34" s="142" t="s">
        <v>202</v>
      </c>
      <c r="P34" s="143" t="s">
        <v>41</v>
      </c>
      <c r="Q34" s="156">
        <v>210</v>
      </c>
      <c r="R34" s="142" t="s">
        <v>42</v>
      </c>
      <c r="S34" s="157">
        <v>12.29</v>
      </c>
      <c r="T34" s="157">
        <v>12.29</v>
      </c>
      <c r="U34" s="158">
        <v>12.29</v>
      </c>
      <c r="V34" s="159">
        <v>0</v>
      </c>
      <c r="W34" s="159">
        <v>0</v>
      </c>
      <c r="X34" s="143" t="s">
        <v>43</v>
      </c>
      <c r="Y34" s="179" t="s">
        <v>44</v>
      </c>
      <c r="Z34" s="180">
        <v>45806</v>
      </c>
      <c r="AA34" s="130">
        <f t="shared" si="1"/>
        <v>2916.417</v>
      </c>
      <c r="AB34" s="131"/>
      <c r="AC34" s="131"/>
      <c r="AD34" s="131"/>
      <c r="AE34" s="131"/>
      <c r="AF34" s="131"/>
      <c r="AG34" s="131"/>
      <c r="AH34" s="131"/>
      <c r="AI34" s="131"/>
      <c r="AJ34" s="131"/>
      <c r="AK34" s="131"/>
      <c r="AL34" s="131"/>
      <c r="AM34" s="131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31"/>
      <c r="AY34" s="131"/>
      <c r="AZ34" s="131"/>
      <c r="BA34" s="131"/>
      <c r="BB34" s="131"/>
      <c r="BC34" s="131"/>
    </row>
    <row r="35" spans="1:27">
      <c r="A35" s="127" t="s">
        <v>32</v>
      </c>
      <c r="B35" s="127" t="s">
        <v>210</v>
      </c>
      <c r="C35" s="127">
        <v>45895</v>
      </c>
      <c r="D35" s="127" t="s">
        <v>149</v>
      </c>
      <c r="E35" s="127">
        <v>75340.94</v>
      </c>
      <c r="F35" s="127">
        <v>0</v>
      </c>
      <c r="G35" s="127" t="s">
        <v>211</v>
      </c>
      <c r="H35" s="137" t="str">
        <f t="shared" si="0"/>
        <v>8</v>
      </c>
      <c r="I35" s="127" t="s">
        <v>36</v>
      </c>
      <c r="J35" s="127" t="s">
        <v>212</v>
      </c>
      <c r="K35" s="127">
        <v>45895</v>
      </c>
      <c r="L35" s="127" t="s">
        <v>152</v>
      </c>
      <c r="M35" s="127">
        <v>2</v>
      </c>
      <c r="N35" s="127" t="s">
        <v>153</v>
      </c>
      <c r="O35" s="127" t="s">
        <v>154</v>
      </c>
      <c r="P35" s="127" t="s">
        <v>41</v>
      </c>
      <c r="Q35" s="127">
        <v>1260</v>
      </c>
      <c r="R35" s="127" t="s">
        <v>42</v>
      </c>
      <c r="S35" s="127">
        <v>16.64</v>
      </c>
      <c r="T35" s="127">
        <v>16.64</v>
      </c>
      <c r="U35" s="127">
        <v>16.64</v>
      </c>
      <c r="V35" s="127">
        <v>0</v>
      </c>
      <c r="W35" s="127">
        <v>0</v>
      </c>
      <c r="X35" s="127" t="s">
        <v>43</v>
      </c>
      <c r="Y35" s="127" t="s">
        <v>44</v>
      </c>
      <c r="Z35" s="129">
        <v>45775</v>
      </c>
      <c r="AA35" s="130">
        <f t="shared" si="1"/>
        <v>23692.032</v>
      </c>
    </row>
    <row r="36" spans="1:27">
      <c r="A36" s="127" t="s">
        <v>32</v>
      </c>
      <c r="B36" s="127" t="s">
        <v>210</v>
      </c>
      <c r="C36" s="127">
        <v>45895</v>
      </c>
      <c r="D36" s="127" t="s">
        <v>149</v>
      </c>
      <c r="E36" s="127">
        <v>75340.94</v>
      </c>
      <c r="F36" s="127">
        <v>0</v>
      </c>
      <c r="G36" s="127" t="s">
        <v>211</v>
      </c>
      <c r="H36" s="137" t="str">
        <f t="shared" si="0"/>
        <v>8</v>
      </c>
      <c r="I36" s="127" t="s">
        <v>36</v>
      </c>
      <c r="J36" s="127" t="s">
        <v>212</v>
      </c>
      <c r="K36" s="127">
        <v>45895</v>
      </c>
      <c r="L36" s="127" t="s">
        <v>152</v>
      </c>
      <c r="M36" s="127">
        <v>4</v>
      </c>
      <c r="N36" s="127" t="s">
        <v>156</v>
      </c>
      <c r="O36" s="127" t="s">
        <v>157</v>
      </c>
      <c r="P36" s="127" t="s">
        <v>41</v>
      </c>
      <c r="Q36" s="127">
        <v>400</v>
      </c>
      <c r="R36" s="127" t="s">
        <v>42</v>
      </c>
      <c r="S36" s="127">
        <v>12.29</v>
      </c>
      <c r="T36" s="127">
        <v>12.29</v>
      </c>
      <c r="U36" s="127">
        <v>12.29</v>
      </c>
      <c r="V36" s="127">
        <v>0</v>
      </c>
      <c r="W36" s="127">
        <v>0</v>
      </c>
      <c r="X36" s="127" t="s">
        <v>43</v>
      </c>
      <c r="Y36" s="127" t="s">
        <v>44</v>
      </c>
      <c r="Z36" s="129">
        <v>45775</v>
      </c>
      <c r="AA36" s="130">
        <f t="shared" si="1"/>
        <v>5555.08</v>
      </c>
    </row>
    <row r="37" spans="1:27">
      <c r="A37" s="127" t="s">
        <v>32</v>
      </c>
      <c r="B37" s="127" t="s">
        <v>210</v>
      </c>
      <c r="C37" s="127">
        <v>45895</v>
      </c>
      <c r="D37" s="127" t="s">
        <v>149</v>
      </c>
      <c r="E37" s="127">
        <v>75340.94</v>
      </c>
      <c r="F37" s="127">
        <v>0</v>
      </c>
      <c r="G37" s="127" t="s">
        <v>213</v>
      </c>
      <c r="H37" s="137" t="str">
        <f t="shared" si="0"/>
        <v>8</v>
      </c>
      <c r="I37" s="127" t="s">
        <v>36</v>
      </c>
      <c r="J37" s="127" t="s">
        <v>212</v>
      </c>
      <c r="K37" s="127">
        <v>45895</v>
      </c>
      <c r="L37" s="127" t="s">
        <v>149</v>
      </c>
      <c r="M37" s="127">
        <v>2</v>
      </c>
      <c r="N37" s="127" t="s">
        <v>194</v>
      </c>
      <c r="O37" s="127" t="s">
        <v>40</v>
      </c>
      <c r="P37" s="127" t="s">
        <v>41</v>
      </c>
      <c r="Q37" s="127">
        <v>600</v>
      </c>
      <c r="R37" s="127" t="s">
        <v>42</v>
      </c>
      <c r="S37" s="127">
        <v>17.33</v>
      </c>
      <c r="T37" s="127">
        <v>15.02</v>
      </c>
      <c r="U37" s="127">
        <v>0.4</v>
      </c>
      <c r="V37" s="127">
        <v>2.31</v>
      </c>
      <c r="W37" s="127">
        <v>14.62</v>
      </c>
      <c r="X37" s="127" t="s">
        <v>43</v>
      </c>
      <c r="Y37" s="127" t="s">
        <v>44</v>
      </c>
      <c r="Z37" s="129">
        <v>45775</v>
      </c>
      <c r="AA37" s="130">
        <f t="shared" si="1"/>
        <v>11749.74</v>
      </c>
    </row>
    <row r="38" spans="1:27">
      <c r="A38" s="127" t="s">
        <v>32</v>
      </c>
      <c r="B38" s="127" t="s">
        <v>210</v>
      </c>
      <c r="C38" s="127">
        <v>45895</v>
      </c>
      <c r="D38" s="127" t="s">
        <v>149</v>
      </c>
      <c r="E38" s="127">
        <v>75340.94</v>
      </c>
      <c r="F38" s="127">
        <v>0</v>
      </c>
      <c r="G38" s="127" t="s">
        <v>214</v>
      </c>
      <c r="H38" s="137" t="str">
        <f t="shared" si="0"/>
        <v>8</v>
      </c>
      <c r="I38" s="127" t="s">
        <v>36</v>
      </c>
      <c r="J38" s="127" t="s">
        <v>212</v>
      </c>
      <c r="K38" s="127">
        <v>45895</v>
      </c>
      <c r="L38" s="127" t="s">
        <v>152</v>
      </c>
      <c r="M38" s="127">
        <v>2</v>
      </c>
      <c r="N38" s="127" t="s">
        <v>153</v>
      </c>
      <c r="O38" s="127" t="s">
        <v>154</v>
      </c>
      <c r="P38" s="127" t="s">
        <v>41</v>
      </c>
      <c r="Q38" s="127">
        <v>630</v>
      </c>
      <c r="R38" s="127" t="s">
        <v>42</v>
      </c>
      <c r="S38" s="127">
        <v>16.64</v>
      </c>
      <c r="T38" s="127">
        <v>16.64</v>
      </c>
      <c r="U38" s="127">
        <v>16.64</v>
      </c>
      <c r="V38" s="127">
        <v>0</v>
      </c>
      <c r="W38" s="127">
        <v>0</v>
      </c>
      <c r="X38" s="127" t="s">
        <v>43</v>
      </c>
      <c r="Y38" s="127" t="s">
        <v>44</v>
      </c>
      <c r="Z38" s="129">
        <v>45758</v>
      </c>
      <c r="AA38" s="130">
        <f t="shared" si="1"/>
        <v>11846.016</v>
      </c>
    </row>
    <row r="39" spans="1:27">
      <c r="A39" s="127" t="s">
        <v>32</v>
      </c>
      <c r="B39" s="127" t="s">
        <v>210</v>
      </c>
      <c r="C39" s="127">
        <v>45895</v>
      </c>
      <c r="D39" s="127" t="s">
        <v>149</v>
      </c>
      <c r="E39" s="127">
        <v>75340.94</v>
      </c>
      <c r="F39" s="127">
        <v>0</v>
      </c>
      <c r="G39" s="127" t="s">
        <v>214</v>
      </c>
      <c r="H39" s="137" t="str">
        <f t="shared" si="0"/>
        <v>8</v>
      </c>
      <c r="I39" s="127" t="s">
        <v>36</v>
      </c>
      <c r="J39" s="127" t="s">
        <v>212</v>
      </c>
      <c r="K39" s="127">
        <v>45895</v>
      </c>
      <c r="L39" s="127" t="s">
        <v>152</v>
      </c>
      <c r="M39" s="127">
        <v>4</v>
      </c>
      <c r="N39" s="127" t="s">
        <v>156</v>
      </c>
      <c r="O39" s="127" t="s">
        <v>157</v>
      </c>
      <c r="P39" s="127" t="s">
        <v>41</v>
      </c>
      <c r="Q39" s="127">
        <v>1200</v>
      </c>
      <c r="R39" s="127" t="s">
        <v>42</v>
      </c>
      <c r="S39" s="127">
        <v>12.29</v>
      </c>
      <c r="T39" s="127">
        <v>12.29</v>
      </c>
      <c r="U39" s="127">
        <v>12.29</v>
      </c>
      <c r="V39" s="127">
        <v>0</v>
      </c>
      <c r="W39" s="127">
        <v>0</v>
      </c>
      <c r="X39" s="127" t="s">
        <v>43</v>
      </c>
      <c r="Y39" s="127" t="s">
        <v>44</v>
      </c>
      <c r="Z39" s="129">
        <v>45758</v>
      </c>
      <c r="AA39" s="130">
        <f t="shared" si="1"/>
        <v>16665.24</v>
      </c>
    </row>
    <row r="40" spans="1:27">
      <c r="A40" s="127" t="s">
        <v>32</v>
      </c>
      <c r="B40" s="127" t="s">
        <v>210</v>
      </c>
      <c r="C40" s="127">
        <v>45895</v>
      </c>
      <c r="D40" s="127" t="s">
        <v>149</v>
      </c>
      <c r="E40" s="127">
        <v>75340.94</v>
      </c>
      <c r="F40" s="127">
        <v>0</v>
      </c>
      <c r="G40" s="127" t="s">
        <v>207</v>
      </c>
      <c r="H40" s="137" t="str">
        <f t="shared" si="0"/>
        <v>8</v>
      </c>
      <c r="I40" s="127" t="s">
        <v>36</v>
      </c>
      <c r="J40" s="127" t="s">
        <v>212</v>
      </c>
      <c r="K40" s="127">
        <v>45895</v>
      </c>
      <c r="L40" s="127" t="s">
        <v>149</v>
      </c>
      <c r="M40" s="127">
        <v>1</v>
      </c>
      <c r="N40" s="127" t="s">
        <v>201</v>
      </c>
      <c r="O40" s="127" t="s">
        <v>202</v>
      </c>
      <c r="P40" s="127" t="s">
        <v>41</v>
      </c>
      <c r="Q40" s="127">
        <v>420</v>
      </c>
      <c r="R40" s="127" t="s">
        <v>42</v>
      </c>
      <c r="S40" s="127">
        <v>12.29</v>
      </c>
      <c r="T40" s="127">
        <v>12.29</v>
      </c>
      <c r="U40" s="127">
        <v>12.29</v>
      </c>
      <c r="V40" s="127">
        <v>0</v>
      </c>
      <c r="W40" s="127">
        <v>0</v>
      </c>
      <c r="X40" s="127" t="s">
        <v>43</v>
      </c>
      <c r="Y40" s="127" t="s">
        <v>44</v>
      </c>
      <c r="Z40" s="129">
        <v>45804</v>
      </c>
      <c r="AA40" s="130">
        <f t="shared" si="1"/>
        <v>5832.834</v>
      </c>
    </row>
    <row r="41" spans="1:27">
      <c r="A41" s="127" t="s">
        <v>32</v>
      </c>
      <c r="B41" s="127" t="s">
        <v>215</v>
      </c>
      <c r="C41" s="127">
        <v>45898</v>
      </c>
      <c r="D41" s="127" t="s">
        <v>149</v>
      </c>
      <c r="E41" s="127">
        <v>71491.03</v>
      </c>
      <c r="F41" s="127">
        <v>0</v>
      </c>
      <c r="G41" s="127" t="s">
        <v>216</v>
      </c>
      <c r="H41" s="137" t="str">
        <f t="shared" si="0"/>
        <v>8</v>
      </c>
      <c r="I41" s="127" t="s">
        <v>36</v>
      </c>
      <c r="J41" s="127" t="s">
        <v>217</v>
      </c>
      <c r="K41" s="127">
        <v>45898</v>
      </c>
      <c r="L41" s="127" t="s">
        <v>152</v>
      </c>
      <c r="M41" s="127">
        <v>2</v>
      </c>
      <c r="N41" s="127" t="s">
        <v>153</v>
      </c>
      <c r="O41" s="127" t="s">
        <v>154</v>
      </c>
      <c r="P41" s="127" t="s">
        <v>41</v>
      </c>
      <c r="Q41" s="127">
        <v>840</v>
      </c>
      <c r="R41" s="127" t="s">
        <v>42</v>
      </c>
      <c r="S41" s="127">
        <v>16.14</v>
      </c>
      <c r="T41" s="127">
        <v>16.14</v>
      </c>
      <c r="U41" s="127">
        <v>16.64</v>
      </c>
      <c r="V41" s="127">
        <v>0</v>
      </c>
      <c r="W41" s="127">
        <v>-0.5</v>
      </c>
      <c r="X41" s="127" t="s">
        <v>43</v>
      </c>
      <c r="Y41" s="127" t="s">
        <v>44</v>
      </c>
      <c r="Z41" s="129">
        <v>45862</v>
      </c>
      <c r="AA41" s="130">
        <f t="shared" si="1"/>
        <v>15320.088</v>
      </c>
    </row>
    <row r="42" spans="1:27">
      <c r="A42" s="127" t="s">
        <v>32</v>
      </c>
      <c r="B42" s="127" t="s">
        <v>215</v>
      </c>
      <c r="C42" s="127">
        <v>45898</v>
      </c>
      <c r="D42" s="127" t="s">
        <v>149</v>
      </c>
      <c r="E42" s="127">
        <v>71491.03</v>
      </c>
      <c r="F42" s="127">
        <v>0</v>
      </c>
      <c r="G42" s="127" t="s">
        <v>216</v>
      </c>
      <c r="H42" s="137" t="str">
        <f t="shared" si="0"/>
        <v>8</v>
      </c>
      <c r="I42" s="127" t="s">
        <v>36</v>
      </c>
      <c r="J42" s="127" t="s">
        <v>217</v>
      </c>
      <c r="K42" s="127">
        <v>45898</v>
      </c>
      <c r="L42" s="127" t="s">
        <v>152</v>
      </c>
      <c r="M42" s="127">
        <v>1</v>
      </c>
      <c r="N42" s="127" t="s">
        <v>158</v>
      </c>
      <c r="O42" s="127" t="s">
        <v>159</v>
      </c>
      <c r="P42" s="127" t="s">
        <v>41</v>
      </c>
      <c r="Q42" s="127">
        <v>400</v>
      </c>
      <c r="R42" s="127" t="s">
        <v>42</v>
      </c>
      <c r="S42" s="127">
        <v>49.28</v>
      </c>
      <c r="T42" s="127">
        <v>49.28</v>
      </c>
      <c r="U42" s="127">
        <v>50.8</v>
      </c>
      <c r="V42" s="127">
        <v>0</v>
      </c>
      <c r="W42" s="127">
        <v>-1.52</v>
      </c>
      <c r="X42" s="127" t="s">
        <v>43</v>
      </c>
      <c r="Y42" s="127" t="s">
        <v>44</v>
      </c>
      <c r="Z42" s="129">
        <v>45862</v>
      </c>
      <c r="AA42" s="130">
        <f t="shared" si="1"/>
        <v>22274.56</v>
      </c>
    </row>
    <row r="43" spans="1:27">
      <c r="A43" s="127" t="s">
        <v>32</v>
      </c>
      <c r="B43" s="127" t="s">
        <v>215</v>
      </c>
      <c r="C43" s="127">
        <v>45898</v>
      </c>
      <c r="D43" s="127" t="s">
        <v>149</v>
      </c>
      <c r="E43" s="127">
        <v>71491.03</v>
      </c>
      <c r="F43" s="127">
        <v>0</v>
      </c>
      <c r="G43" s="127" t="s">
        <v>218</v>
      </c>
      <c r="H43" s="137" t="str">
        <f t="shared" si="0"/>
        <v>8</v>
      </c>
      <c r="I43" s="127" t="s">
        <v>36</v>
      </c>
      <c r="J43" s="127" t="s">
        <v>217</v>
      </c>
      <c r="K43" s="127">
        <v>45898</v>
      </c>
      <c r="L43" s="127" t="s">
        <v>149</v>
      </c>
      <c r="M43" s="127">
        <v>1</v>
      </c>
      <c r="N43" s="127" t="s">
        <v>201</v>
      </c>
      <c r="O43" s="127" t="s">
        <v>202</v>
      </c>
      <c r="P43" s="127" t="s">
        <v>41</v>
      </c>
      <c r="Q43" s="127">
        <v>840</v>
      </c>
      <c r="R43" s="127" t="s">
        <v>42</v>
      </c>
      <c r="S43" s="127">
        <v>11.92</v>
      </c>
      <c r="T43" s="127">
        <v>11.92</v>
      </c>
      <c r="U43" s="127">
        <v>11.92</v>
      </c>
      <c r="V43" s="127">
        <v>0</v>
      </c>
      <c r="W43" s="127">
        <v>0</v>
      </c>
      <c r="X43" s="127" t="s">
        <v>43</v>
      </c>
      <c r="Y43" s="127" t="s">
        <v>44</v>
      </c>
      <c r="Z43" s="129">
        <v>45862</v>
      </c>
      <c r="AA43" s="130">
        <f t="shared" si="1"/>
        <v>11314.464</v>
      </c>
    </row>
    <row r="44" spans="1:27">
      <c r="A44" s="127" t="s">
        <v>32</v>
      </c>
      <c r="B44" s="127" t="s">
        <v>215</v>
      </c>
      <c r="C44" s="127">
        <v>45898</v>
      </c>
      <c r="D44" s="127" t="s">
        <v>149</v>
      </c>
      <c r="E44" s="127">
        <v>71491.03</v>
      </c>
      <c r="F44" s="127">
        <v>0</v>
      </c>
      <c r="G44" s="127" t="s">
        <v>218</v>
      </c>
      <c r="H44" s="137" t="str">
        <f t="shared" si="0"/>
        <v>8</v>
      </c>
      <c r="I44" s="127" t="s">
        <v>36</v>
      </c>
      <c r="J44" s="127" t="s">
        <v>217</v>
      </c>
      <c r="K44" s="127">
        <v>45898</v>
      </c>
      <c r="L44" s="127" t="s">
        <v>149</v>
      </c>
      <c r="M44" s="127">
        <v>3</v>
      </c>
      <c r="N44" s="127" t="s">
        <v>161</v>
      </c>
      <c r="O44" s="127" t="s">
        <v>162</v>
      </c>
      <c r="P44" s="127" t="s">
        <v>41</v>
      </c>
      <c r="Q44" s="127">
        <v>400</v>
      </c>
      <c r="R44" s="127" t="s">
        <v>42</v>
      </c>
      <c r="S44" s="127">
        <v>49.96</v>
      </c>
      <c r="T44" s="127">
        <v>49.96</v>
      </c>
      <c r="U44" s="127">
        <v>51.5</v>
      </c>
      <c r="V44" s="127">
        <v>0</v>
      </c>
      <c r="W44" s="127">
        <v>-1.54</v>
      </c>
      <c r="X44" s="127" t="s">
        <v>43</v>
      </c>
      <c r="Y44" s="127" t="s">
        <v>44</v>
      </c>
      <c r="Z44" s="129">
        <v>45862</v>
      </c>
      <c r="AA44" s="130">
        <f t="shared" si="1"/>
        <v>22581.92</v>
      </c>
    </row>
    <row r="45" spans="8:8">
      <c r="H45" s="137"/>
    </row>
    <row r="46" s="22" customFormat="1" ht="16.5" customHeight="1" spans="1:27">
      <c r="A46" s="28" t="s">
        <v>32</v>
      </c>
      <c r="B46" s="25" t="s">
        <v>219</v>
      </c>
      <c r="C46" s="27">
        <v>45919</v>
      </c>
      <c r="D46" s="28" t="s">
        <v>149</v>
      </c>
      <c r="E46" s="146">
        <v>256608</v>
      </c>
      <c r="F46" s="146">
        <v>256608</v>
      </c>
      <c r="G46" s="25" t="s">
        <v>220</v>
      </c>
      <c r="H46" s="137" t="str">
        <f t="shared" ref="H45:H51" si="2">TEXT(K46,"M")</f>
        <v>9</v>
      </c>
      <c r="I46" s="25" t="s">
        <v>36</v>
      </c>
      <c r="J46" s="28" t="s">
        <v>221</v>
      </c>
      <c r="K46" s="27">
        <v>45919</v>
      </c>
      <c r="L46" s="25" t="s">
        <v>152</v>
      </c>
      <c r="M46" s="150">
        <v>6</v>
      </c>
      <c r="N46" s="25" t="s">
        <v>165</v>
      </c>
      <c r="O46" s="28" t="s">
        <v>155</v>
      </c>
      <c r="P46" s="25" t="s">
        <v>41</v>
      </c>
      <c r="Q46" s="160">
        <v>25920</v>
      </c>
      <c r="R46" s="28" t="s">
        <v>42</v>
      </c>
      <c r="S46" s="161">
        <v>8.7610619469</v>
      </c>
      <c r="T46" s="161">
        <v>13.27434</v>
      </c>
      <c r="U46" s="162">
        <v>9.115</v>
      </c>
      <c r="V46" s="76">
        <v>-4.51</v>
      </c>
      <c r="W46" s="76">
        <v>4.16</v>
      </c>
      <c r="X46" s="25" t="s">
        <v>43</v>
      </c>
      <c r="Y46" s="183" t="s">
        <v>44</v>
      </c>
      <c r="Z46" s="27">
        <v>45910</v>
      </c>
      <c r="AA46" s="130">
        <f t="shared" ref="AA45:AA51" si="3">Q46*S46*1.13</f>
        <v>256607.999999922</v>
      </c>
    </row>
    <row r="47" s="22" customFormat="1" ht="16.5" customHeight="1" spans="1:27">
      <c r="A47" s="32" t="s">
        <v>32</v>
      </c>
      <c r="B47" s="29" t="s">
        <v>222</v>
      </c>
      <c r="C47" s="31">
        <v>45919</v>
      </c>
      <c r="D47" s="32" t="s">
        <v>149</v>
      </c>
      <c r="E47" s="147">
        <v>108259.88</v>
      </c>
      <c r="F47" s="147">
        <v>0</v>
      </c>
      <c r="G47" s="29" t="s">
        <v>223</v>
      </c>
      <c r="H47" s="137" t="str">
        <f t="shared" si="2"/>
        <v>9</v>
      </c>
      <c r="I47" s="29" t="s">
        <v>36</v>
      </c>
      <c r="J47" s="32" t="s">
        <v>224</v>
      </c>
      <c r="K47" s="31">
        <v>45919</v>
      </c>
      <c r="L47" s="29" t="s">
        <v>152</v>
      </c>
      <c r="M47" s="151">
        <v>2</v>
      </c>
      <c r="N47" s="29" t="s">
        <v>153</v>
      </c>
      <c r="O47" s="32" t="s">
        <v>154</v>
      </c>
      <c r="P47" s="29" t="s">
        <v>41</v>
      </c>
      <c r="Q47" s="163">
        <v>2100</v>
      </c>
      <c r="R47" s="32" t="s">
        <v>42</v>
      </c>
      <c r="S47" s="164">
        <v>16.14</v>
      </c>
      <c r="T47" s="164">
        <v>16.14</v>
      </c>
      <c r="U47" s="165">
        <v>16.64</v>
      </c>
      <c r="V47" s="77">
        <v>0</v>
      </c>
      <c r="W47" s="77">
        <v>-0.5</v>
      </c>
      <c r="X47" s="29" t="s">
        <v>43</v>
      </c>
      <c r="Y47" s="184" t="s">
        <v>44</v>
      </c>
      <c r="Z47" s="31">
        <v>45898</v>
      </c>
      <c r="AA47" s="130">
        <f t="shared" si="3"/>
        <v>38300.22</v>
      </c>
    </row>
    <row r="48" s="22" customFormat="1" ht="16.5" customHeight="1" spans="1:27">
      <c r="A48" s="28" t="s">
        <v>32</v>
      </c>
      <c r="B48" s="25" t="s">
        <v>222</v>
      </c>
      <c r="C48" s="27">
        <v>45919</v>
      </c>
      <c r="D48" s="28" t="s">
        <v>149</v>
      </c>
      <c r="E48" s="146">
        <v>108259.88</v>
      </c>
      <c r="F48" s="146">
        <v>0</v>
      </c>
      <c r="G48" s="25" t="s">
        <v>223</v>
      </c>
      <c r="H48" s="137" t="str">
        <f t="shared" si="2"/>
        <v>9</v>
      </c>
      <c r="I48" s="25" t="s">
        <v>36</v>
      </c>
      <c r="J48" s="28" t="s">
        <v>224</v>
      </c>
      <c r="K48" s="27">
        <v>45919</v>
      </c>
      <c r="L48" s="25" t="s">
        <v>152</v>
      </c>
      <c r="M48" s="150">
        <v>1</v>
      </c>
      <c r="N48" s="25" t="s">
        <v>158</v>
      </c>
      <c r="O48" s="28" t="s">
        <v>159</v>
      </c>
      <c r="P48" s="25" t="s">
        <v>41</v>
      </c>
      <c r="Q48" s="160">
        <v>800</v>
      </c>
      <c r="R48" s="28" t="s">
        <v>42</v>
      </c>
      <c r="S48" s="161">
        <v>49.28</v>
      </c>
      <c r="T48" s="161">
        <v>49.28</v>
      </c>
      <c r="U48" s="162">
        <v>50.8</v>
      </c>
      <c r="V48" s="76">
        <v>0</v>
      </c>
      <c r="W48" s="76">
        <v>-1.52</v>
      </c>
      <c r="X48" s="25" t="s">
        <v>43</v>
      </c>
      <c r="Y48" s="183" t="s">
        <v>44</v>
      </c>
      <c r="Z48" s="27">
        <v>45898</v>
      </c>
      <c r="AA48" s="130">
        <f t="shared" si="3"/>
        <v>44549.12</v>
      </c>
    </row>
    <row r="49" s="22" customFormat="1" ht="16.5" customHeight="1" spans="1:27">
      <c r="A49" s="32" t="s">
        <v>32</v>
      </c>
      <c r="B49" s="29" t="s">
        <v>222</v>
      </c>
      <c r="C49" s="31">
        <v>45919</v>
      </c>
      <c r="D49" s="32" t="s">
        <v>149</v>
      </c>
      <c r="E49" s="147">
        <v>108259.88</v>
      </c>
      <c r="F49" s="147">
        <v>0</v>
      </c>
      <c r="G49" s="29" t="s">
        <v>225</v>
      </c>
      <c r="H49" s="137" t="str">
        <f t="shared" si="2"/>
        <v>9</v>
      </c>
      <c r="I49" s="29" t="s">
        <v>36</v>
      </c>
      <c r="J49" s="32" t="s">
        <v>224</v>
      </c>
      <c r="K49" s="31">
        <v>45919</v>
      </c>
      <c r="L49" s="29" t="s">
        <v>149</v>
      </c>
      <c r="M49" s="151">
        <v>1</v>
      </c>
      <c r="N49" s="29" t="s">
        <v>201</v>
      </c>
      <c r="O49" s="32" t="s">
        <v>202</v>
      </c>
      <c r="P49" s="29" t="s">
        <v>41</v>
      </c>
      <c r="Q49" s="163">
        <v>210</v>
      </c>
      <c r="R49" s="32" t="s">
        <v>42</v>
      </c>
      <c r="S49" s="164">
        <v>11.92</v>
      </c>
      <c r="T49" s="164">
        <v>11.92</v>
      </c>
      <c r="U49" s="165">
        <v>11.92</v>
      </c>
      <c r="V49" s="77">
        <v>0</v>
      </c>
      <c r="W49" s="77">
        <v>0</v>
      </c>
      <c r="X49" s="29" t="s">
        <v>43</v>
      </c>
      <c r="Y49" s="184" t="s">
        <v>44</v>
      </c>
      <c r="Z49" s="31">
        <v>45898</v>
      </c>
      <c r="AA49" s="130">
        <f t="shared" si="3"/>
        <v>2828.616</v>
      </c>
    </row>
    <row r="50" s="22" customFormat="1" ht="16.5" customHeight="1" spans="1:27">
      <c r="A50" s="28" t="s">
        <v>32</v>
      </c>
      <c r="B50" s="25" t="s">
        <v>222</v>
      </c>
      <c r="C50" s="27">
        <v>45919</v>
      </c>
      <c r="D50" s="28" t="s">
        <v>149</v>
      </c>
      <c r="E50" s="146">
        <v>108259.88</v>
      </c>
      <c r="F50" s="146">
        <v>0</v>
      </c>
      <c r="G50" s="25" t="s">
        <v>225</v>
      </c>
      <c r="H50" s="137" t="str">
        <f t="shared" si="2"/>
        <v>9</v>
      </c>
      <c r="I50" s="25" t="s">
        <v>36</v>
      </c>
      <c r="J50" s="28" t="s">
        <v>224</v>
      </c>
      <c r="K50" s="27">
        <v>45919</v>
      </c>
      <c r="L50" s="25" t="s">
        <v>149</v>
      </c>
      <c r="M50" s="150">
        <v>3</v>
      </c>
      <c r="N50" s="25" t="s">
        <v>161</v>
      </c>
      <c r="O50" s="28" t="s">
        <v>162</v>
      </c>
      <c r="P50" s="25" t="s">
        <v>41</v>
      </c>
      <c r="Q50" s="160">
        <v>400</v>
      </c>
      <c r="R50" s="28" t="s">
        <v>42</v>
      </c>
      <c r="S50" s="161">
        <v>49.96</v>
      </c>
      <c r="T50" s="161">
        <v>49.96</v>
      </c>
      <c r="U50" s="162">
        <v>51.5</v>
      </c>
      <c r="V50" s="76">
        <v>0</v>
      </c>
      <c r="W50" s="76">
        <v>-1.54</v>
      </c>
      <c r="X50" s="25" t="s">
        <v>43</v>
      </c>
      <c r="Y50" s="183" t="s">
        <v>44</v>
      </c>
      <c r="Z50" s="27">
        <v>45898</v>
      </c>
      <c r="AA50" s="130">
        <f t="shared" si="3"/>
        <v>22581.92</v>
      </c>
    </row>
    <row r="51" s="22" customFormat="1" ht="16.5" customHeight="1" spans="1:27">
      <c r="A51" s="32" t="s">
        <v>32</v>
      </c>
      <c r="B51" s="29" t="s">
        <v>226</v>
      </c>
      <c r="C51" s="31">
        <v>45926</v>
      </c>
      <c r="D51" s="32" t="s">
        <v>149</v>
      </c>
      <c r="E51" s="147">
        <v>60000</v>
      </c>
      <c r="F51" s="147">
        <v>60000</v>
      </c>
      <c r="G51" s="29" t="s">
        <v>227</v>
      </c>
      <c r="H51" s="137" t="str">
        <f t="shared" si="2"/>
        <v>9</v>
      </c>
      <c r="I51" s="29" t="s">
        <v>36</v>
      </c>
      <c r="J51" s="32" t="s">
        <v>228</v>
      </c>
      <c r="K51" s="31">
        <v>45926</v>
      </c>
      <c r="L51" s="29" t="s">
        <v>152</v>
      </c>
      <c r="M51" s="151">
        <v>6</v>
      </c>
      <c r="N51" s="29" t="s">
        <v>165</v>
      </c>
      <c r="O51" s="32" t="s">
        <v>155</v>
      </c>
      <c r="P51" s="29" t="s">
        <v>41</v>
      </c>
      <c r="Q51" s="163">
        <v>6000</v>
      </c>
      <c r="R51" s="32" t="s">
        <v>42</v>
      </c>
      <c r="S51" s="164">
        <v>8.8495575221</v>
      </c>
      <c r="T51" s="164">
        <v>13.27434</v>
      </c>
      <c r="U51" s="165">
        <v>9.02</v>
      </c>
      <c r="V51" s="77">
        <v>-4.42</v>
      </c>
      <c r="W51" s="77">
        <v>4.25</v>
      </c>
      <c r="X51" s="29" t="s">
        <v>43</v>
      </c>
      <c r="Y51" s="184" t="s">
        <v>44</v>
      </c>
      <c r="Z51" s="31">
        <v>45924</v>
      </c>
      <c r="AA51" s="130">
        <f t="shared" si="3"/>
        <v>59999.999999838</v>
      </c>
    </row>
  </sheetData>
  <mergeCells count="10">
    <mergeCell ref="AC1:AE1"/>
    <mergeCell ref="AF1:AH1"/>
    <mergeCell ref="AI1:AK1"/>
    <mergeCell ref="AL1:AN1"/>
    <mergeCell ref="AO1:AQ1"/>
    <mergeCell ref="AR1:AT1"/>
    <mergeCell ref="AU1:AW1"/>
    <mergeCell ref="AX1:AZ1"/>
    <mergeCell ref="BA1:BC1"/>
    <mergeCell ref="AB1:AB2"/>
  </mergeCells>
  <pageMargins left="0.75" right="0.75" top="1" bottom="1" header="0.5" footer="0.5"/>
  <headerFooter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6"/>
  <dimension ref="A1:Y181"/>
  <sheetViews>
    <sheetView topLeftCell="I1" workbookViewId="0">
      <selection activeCell="U17" sqref="U17"/>
    </sheetView>
  </sheetViews>
  <sheetFormatPr defaultColWidth="9" defaultRowHeight="14.25"/>
  <cols>
    <col min="1" max="1" width="12.625" style="1" customWidth="1"/>
    <col min="2" max="2" width="10.875" style="1" customWidth="1"/>
    <col min="3" max="3" width="15.5" style="1" customWidth="1"/>
    <col min="4" max="4" width="6.25" style="1" customWidth="1"/>
    <col min="5" max="5" width="9.375" style="1" customWidth="1"/>
    <col min="6" max="7" width="10.875" style="1" customWidth="1"/>
    <col min="8" max="8" width="7.75" style="1" customWidth="1"/>
    <col min="9" max="10" width="10.875" style="1" customWidth="1"/>
    <col min="11" max="11" width="12.375" style="1" customWidth="1"/>
    <col min="12" max="12" width="10.875" style="1" customWidth="1"/>
    <col min="13" max="13" width="14" style="1" customWidth="1"/>
    <col min="14" max="14" width="7.75" style="1" customWidth="1"/>
    <col min="15" max="15" width="16.875" style="2" customWidth="1"/>
    <col min="16" max="16" width="10.875" style="1" customWidth="1"/>
    <col min="17" max="17" width="12.25" style="1" customWidth="1"/>
    <col min="18" max="18" width="11.5" style="1" customWidth="1"/>
    <col min="19" max="19" width="23.125" style="1" customWidth="1"/>
    <col min="20" max="21" width="10.875" style="1" customWidth="1"/>
    <col min="22" max="22" width="7.75" style="1" customWidth="1"/>
    <col min="23" max="23" width="9.5" style="1" customWidth="1"/>
    <col min="24" max="24" width="31.75" style="3" customWidth="1"/>
    <col min="25" max="25" width="13.625" style="3" customWidth="1"/>
    <col min="26" max="16384" width="9" style="3"/>
  </cols>
  <sheetData>
    <row r="1" spans="1:24">
      <c r="A1" s="4" t="s">
        <v>640</v>
      </c>
      <c r="B1" s="4" t="s">
        <v>0</v>
      </c>
      <c r="C1" s="4" t="s">
        <v>980</v>
      </c>
      <c r="D1" s="5" t="s">
        <v>12</v>
      </c>
      <c r="E1" s="4" t="s">
        <v>641</v>
      </c>
      <c r="F1" s="5" t="s">
        <v>642</v>
      </c>
      <c r="G1" s="5" t="s">
        <v>2</v>
      </c>
      <c r="H1" s="4" t="s">
        <v>429</v>
      </c>
      <c r="I1" s="4" t="s">
        <v>643</v>
      </c>
      <c r="J1" s="4" t="s">
        <v>644</v>
      </c>
      <c r="K1" s="4" t="s">
        <v>645</v>
      </c>
      <c r="L1" s="4" t="s">
        <v>646</v>
      </c>
      <c r="M1" s="4" t="s">
        <v>647</v>
      </c>
      <c r="N1" s="4" t="s">
        <v>648</v>
      </c>
      <c r="O1" s="16" t="s">
        <v>649</v>
      </c>
      <c r="P1" s="5" t="s">
        <v>650</v>
      </c>
      <c r="Q1" s="5" t="s">
        <v>651</v>
      </c>
      <c r="R1" s="4" t="s">
        <v>652</v>
      </c>
      <c r="S1" s="4" t="s">
        <v>653</v>
      </c>
      <c r="T1" s="4" t="s">
        <v>654</v>
      </c>
      <c r="U1" s="4" t="s">
        <v>655</v>
      </c>
      <c r="V1" s="4" t="s">
        <v>656</v>
      </c>
      <c r="W1" s="4" t="s">
        <v>657</v>
      </c>
      <c r="X1" s="3" t="str" cm="1">
        <f t="array" ref="X1:X37">_xlfn.UNIQUE(S:S)</f>
        <v>名称</v>
      </c>
    </row>
    <row r="2" spans="1:24">
      <c r="A2" s="6"/>
      <c r="B2" s="6"/>
      <c r="C2" s="6"/>
      <c r="D2" s="7"/>
      <c r="E2" s="6"/>
      <c r="F2" s="7"/>
      <c r="G2" s="7"/>
      <c r="H2" s="6"/>
      <c r="I2" s="6"/>
      <c r="J2" s="6"/>
      <c r="K2" s="6"/>
      <c r="L2" s="6"/>
      <c r="M2" s="6"/>
      <c r="N2" s="6"/>
      <c r="O2" s="17"/>
      <c r="P2" s="7">
        <f>SUMIFS(P3:P68,S3:S68,"&lt;&gt;*光华*")</f>
        <v>758517.18</v>
      </c>
      <c r="Q2" s="7">
        <f>SUMIFS(Q3:Q68,S3:S68,"&lt;&gt;*光华*")</f>
        <v>4287373.9</v>
      </c>
      <c r="R2" s="6">
        <f>Q2-P2</f>
        <v>3528856.72</v>
      </c>
      <c r="S2" s="6"/>
      <c r="T2" s="6"/>
      <c r="U2" s="6"/>
      <c r="V2" s="6"/>
      <c r="W2" s="6"/>
      <c r="X2" s="3">
        <v>0</v>
      </c>
    </row>
    <row r="3" spans="1:25">
      <c r="A3" s="8" t="s">
        <v>2924</v>
      </c>
      <c r="B3" s="8" t="s">
        <v>32</v>
      </c>
      <c r="C3" s="8" t="s">
        <v>2925</v>
      </c>
      <c r="D3" s="9">
        <v>3</v>
      </c>
      <c r="E3" s="8" t="s">
        <v>2926</v>
      </c>
      <c r="F3" s="10">
        <v>45895</v>
      </c>
      <c r="G3" s="10">
        <v>45895</v>
      </c>
      <c r="H3" s="11" t="s">
        <v>444</v>
      </c>
      <c r="I3" s="8" t="s">
        <v>445</v>
      </c>
      <c r="J3" s="11" t="s">
        <v>41</v>
      </c>
      <c r="K3" s="8" t="s">
        <v>660</v>
      </c>
      <c r="L3" s="11" t="s">
        <v>41</v>
      </c>
      <c r="M3" s="8" t="s">
        <v>492</v>
      </c>
      <c r="N3" s="11" t="s">
        <v>41</v>
      </c>
      <c r="O3" s="18" t="s">
        <v>2688</v>
      </c>
      <c r="P3" s="19">
        <v>0.54</v>
      </c>
      <c r="Q3" s="19">
        <v>0</v>
      </c>
      <c r="R3" s="8" t="s">
        <v>899</v>
      </c>
      <c r="S3" s="8" t="s">
        <v>245</v>
      </c>
      <c r="T3" s="8" t="s">
        <v>36</v>
      </c>
      <c r="U3" s="8" t="s">
        <v>663</v>
      </c>
      <c r="V3" s="8" t="s">
        <v>2927</v>
      </c>
      <c r="W3" s="8" t="s">
        <v>665</v>
      </c>
      <c r="X3" s="3" t="str">
        <v>黄骅市建昌塑料制品有限公司</v>
      </c>
      <c r="Y3" s="3" t="str">
        <f>_xlfn.XLOOKUP(X3,'7月份计划'!A:A,'7月份计划'!A:A)</f>
        <v>黄骅市建昌塑料制品有限公司</v>
      </c>
    </row>
    <row r="4" spans="1:25">
      <c r="A4" s="12" t="s">
        <v>2924</v>
      </c>
      <c r="B4" s="12" t="s">
        <v>32</v>
      </c>
      <c r="C4" s="12" t="s">
        <v>2925</v>
      </c>
      <c r="D4" s="13">
        <v>1</v>
      </c>
      <c r="E4" s="12" t="s">
        <v>2926</v>
      </c>
      <c r="F4" s="14">
        <v>45895</v>
      </c>
      <c r="G4" s="14">
        <v>45895</v>
      </c>
      <c r="H4" s="15" t="s">
        <v>444</v>
      </c>
      <c r="I4" s="12" t="s">
        <v>445</v>
      </c>
      <c r="J4" s="15" t="s">
        <v>41</v>
      </c>
      <c r="K4" s="12" t="s">
        <v>660</v>
      </c>
      <c r="L4" s="15" t="s">
        <v>41</v>
      </c>
      <c r="M4" s="12" t="s">
        <v>492</v>
      </c>
      <c r="N4" s="15" t="s">
        <v>41</v>
      </c>
      <c r="O4" s="20" t="s">
        <v>2688</v>
      </c>
      <c r="P4" s="21">
        <v>0</v>
      </c>
      <c r="Q4" s="21">
        <v>18876.64</v>
      </c>
      <c r="R4" s="12" t="s">
        <v>899</v>
      </c>
      <c r="S4" s="12" t="s">
        <v>245</v>
      </c>
      <c r="T4" s="12" t="s">
        <v>36</v>
      </c>
      <c r="U4" s="12" t="s">
        <v>663</v>
      </c>
      <c r="V4" s="12" t="s">
        <v>2927</v>
      </c>
      <c r="W4" s="12" t="s">
        <v>665</v>
      </c>
      <c r="X4" s="3" t="str">
        <v>黄骅市雍丰塑料制品有限公司</v>
      </c>
      <c r="Y4" s="3" t="str">
        <f>_xlfn.XLOOKUP(X4,'7月份计划'!A:A,'7月份计划'!A:A)</f>
        <v>黄骅市雍丰塑料制品有限公司</v>
      </c>
    </row>
    <row r="5" spans="1:25">
      <c r="A5" s="8" t="s">
        <v>2928</v>
      </c>
      <c r="B5" s="8" t="s">
        <v>32</v>
      </c>
      <c r="C5" s="8" t="s">
        <v>2929</v>
      </c>
      <c r="D5" s="9">
        <v>3</v>
      </c>
      <c r="E5" s="8" t="s">
        <v>2930</v>
      </c>
      <c r="F5" s="10">
        <v>45895</v>
      </c>
      <c r="G5" s="10">
        <v>45895</v>
      </c>
      <c r="H5" s="11" t="s">
        <v>444</v>
      </c>
      <c r="I5" s="8" t="s">
        <v>445</v>
      </c>
      <c r="J5" s="11" t="s">
        <v>41</v>
      </c>
      <c r="K5" s="8" t="s">
        <v>660</v>
      </c>
      <c r="L5" s="11" t="s">
        <v>41</v>
      </c>
      <c r="M5" s="8" t="s">
        <v>492</v>
      </c>
      <c r="N5" s="11" t="s">
        <v>41</v>
      </c>
      <c r="O5" s="18" t="s">
        <v>2688</v>
      </c>
      <c r="P5" s="19">
        <v>741.3</v>
      </c>
      <c r="Q5" s="19">
        <v>0</v>
      </c>
      <c r="R5" s="8" t="s">
        <v>919</v>
      </c>
      <c r="S5" s="8" t="s">
        <v>260</v>
      </c>
      <c r="T5" s="8" t="s">
        <v>36</v>
      </c>
      <c r="U5" s="8" t="s">
        <v>663</v>
      </c>
      <c r="V5" s="8" t="s">
        <v>2931</v>
      </c>
      <c r="W5" s="8" t="s">
        <v>665</v>
      </c>
      <c r="X5" s="3" t="str">
        <v>沧州临港明康汽车配件有限公司</v>
      </c>
      <c r="Y5" s="3" t="str">
        <f>_xlfn.XLOOKUP(X5,'7月份计划'!A:A,'7月份计划'!A:A)</f>
        <v>沧州临港明康汽车配件有限公司</v>
      </c>
    </row>
    <row r="6" spans="1:25">
      <c r="A6" s="12" t="s">
        <v>2928</v>
      </c>
      <c r="B6" s="12" t="s">
        <v>32</v>
      </c>
      <c r="C6" s="12" t="s">
        <v>2929</v>
      </c>
      <c r="D6" s="13">
        <v>1</v>
      </c>
      <c r="E6" s="12" t="s">
        <v>2930</v>
      </c>
      <c r="F6" s="14">
        <v>45895</v>
      </c>
      <c r="G6" s="14">
        <v>45895</v>
      </c>
      <c r="H6" s="15" t="s">
        <v>444</v>
      </c>
      <c r="I6" s="12" t="s">
        <v>445</v>
      </c>
      <c r="J6" s="15" t="s">
        <v>41</v>
      </c>
      <c r="K6" s="12" t="s">
        <v>660</v>
      </c>
      <c r="L6" s="15" t="s">
        <v>41</v>
      </c>
      <c r="M6" s="12" t="s">
        <v>492</v>
      </c>
      <c r="N6" s="15" t="s">
        <v>41</v>
      </c>
      <c r="O6" s="20" t="s">
        <v>2688</v>
      </c>
      <c r="P6" s="21">
        <v>0</v>
      </c>
      <c r="Q6" s="21">
        <v>41473.5</v>
      </c>
      <c r="R6" s="12" t="s">
        <v>919</v>
      </c>
      <c r="S6" s="12" t="s">
        <v>260</v>
      </c>
      <c r="T6" s="12" t="s">
        <v>36</v>
      </c>
      <c r="U6" s="12" t="s">
        <v>663</v>
      </c>
      <c r="V6" s="12" t="s">
        <v>2931</v>
      </c>
      <c r="W6" s="12" t="s">
        <v>665</v>
      </c>
      <c r="X6" s="3" t="str">
        <v>湖南中道机械设备有限公司</v>
      </c>
      <c r="Y6" s="3" t="str">
        <f>_xlfn.XLOOKUP(X6,'7月份计划'!A:A,'7月份计划'!A:A)</f>
        <v>湖南中道机械设备有限公司</v>
      </c>
    </row>
    <row r="7" spans="1:25">
      <c r="A7" s="8" t="s">
        <v>2932</v>
      </c>
      <c r="B7" s="8" t="s">
        <v>32</v>
      </c>
      <c r="C7" s="8" t="s">
        <v>2933</v>
      </c>
      <c r="D7" s="9">
        <v>1</v>
      </c>
      <c r="E7" s="8" t="s">
        <v>2934</v>
      </c>
      <c r="F7" s="10">
        <v>45895</v>
      </c>
      <c r="G7" s="10">
        <v>45895</v>
      </c>
      <c r="H7" s="11" t="s">
        <v>444</v>
      </c>
      <c r="I7" s="8" t="s">
        <v>445</v>
      </c>
      <c r="J7" s="11" t="s">
        <v>41</v>
      </c>
      <c r="K7" s="8" t="s">
        <v>660</v>
      </c>
      <c r="L7" s="11" t="s">
        <v>41</v>
      </c>
      <c r="M7" s="8" t="s">
        <v>492</v>
      </c>
      <c r="N7" s="11" t="s">
        <v>41</v>
      </c>
      <c r="O7" s="18" t="s">
        <v>2688</v>
      </c>
      <c r="P7" s="19">
        <v>0</v>
      </c>
      <c r="Q7" s="19">
        <v>45688.16</v>
      </c>
      <c r="R7" s="8" t="s">
        <v>861</v>
      </c>
      <c r="S7" s="8" t="s">
        <v>244</v>
      </c>
      <c r="T7" s="8" t="s">
        <v>36</v>
      </c>
      <c r="U7" s="8" t="s">
        <v>663</v>
      </c>
      <c r="V7" s="8" t="s">
        <v>2935</v>
      </c>
      <c r="W7" s="8" t="s">
        <v>665</v>
      </c>
      <c r="X7" s="3" t="str">
        <v>天津琪安科技有限公司</v>
      </c>
      <c r="Y7" s="3" t="str">
        <f>_xlfn.XLOOKUP(X7,'7月份计划'!A:A,'7月份计划'!A:A)</f>
        <v>天津琪安科技有限公司</v>
      </c>
    </row>
    <row r="8" spans="1:25">
      <c r="A8" s="12" t="s">
        <v>2936</v>
      </c>
      <c r="B8" s="12" t="s">
        <v>32</v>
      </c>
      <c r="C8" s="12" t="s">
        <v>2937</v>
      </c>
      <c r="D8" s="13">
        <v>5</v>
      </c>
      <c r="E8" s="12" t="s">
        <v>2938</v>
      </c>
      <c r="F8" s="14">
        <v>45895</v>
      </c>
      <c r="G8" s="14">
        <v>45895</v>
      </c>
      <c r="H8" s="15" t="s">
        <v>444</v>
      </c>
      <c r="I8" s="12" t="s">
        <v>445</v>
      </c>
      <c r="J8" s="15" t="s">
        <v>41</v>
      </c>
      <c r="K8" s="12" t="s">
        <v>660</v>
      </c>
      <c r="L8" s="15" t="s">
        <v>41</v>
      </c>
      <c r="M8" s="12" t="s">
        <v>492</v>
      </c>
      <c r="N8" s="15" t="s">
        <v>41</v>
      </c>
      <c r="O8" s="20" t="s">
        <v>2688</v>
      </c>
      <c r="P8" s="21">
        <v>41.05</v>
      </c>
      <c r="Q8" s="21">
        <v>0</v>
      </c>
      <c r="R8" s="12" t="s">
        <v>853</v>
      </c>
      <c r="S8" s="12" t="s">
        <v>265</v>
      </c>
      <c r="T8" s="12" t="s">
        <v>36</v>
      </c>
      <c r="U8" s="12" t="s">
        <v>663</v>
      </c>
      <c r="V8" s="12" t="s">
        <v>2939</v>
      </c>
      <c r="W8" s="12" t="s">
        <v>665</v>
      </c>
      <c r="X8" s="3" t="str">
        <v>吉林省德邦汽车电子有限公司</v>
      </c>
      <c r="Y8" s="3" t="str">
        <f>_xlfn.XLOOKUP(X8,'7月份计划'!A:A,'7月份计划'!A:A)</f>
        <v>吉林省德邦汽车电子有限公司</v>
      </c>
    </row>
    <row r="9" spans="1:25">
      <c r="A9" s="8" t="s">
        <v>2936</v>
      </c>
      <c r="B9" s="8" t="s">
        <v>32</v>
      </c>
      <c r="C9" s="8" t="s">
        <v>2937</v>
      </c>
      <c r="D9" s="9">
        <v>1</v>
      </c>
      <c r="E9" s="8" t="s">
        <v>2938</v>
      </c>
      <c r="F9" s="10">
        <v>45895</v>
      </c>
      <c r="G9" s="10">
        <v>45895</v>
      </c>
      <c r="H9" s="11" t="s">
        <v>444</v>
      </c>
      <c r="I9" s="8" t="s">
        <v>445</v>
      </c>
      <c r="J9" s="11" t="s">
        <v>41</v>
      </c>
      <c r="K9" s="8" t="s">
        <v>660</v>
      </c>
      <c r="L9" s="11" t="s">
        <v>41</v>
      </c>
      <c r="M9" s="8" t="s">
        <v>492</v>
      </c>
      <c r="N9" s="11" t="s">
        <v>41</v>
      </c>
      <c r="O9" s="18" t="s">
        <v>2688</v>
      </c>
      <c r="P9" s="19">
        <v>0</v>
      </c>
      <c r="Q9" s="19">
        <v>762158.09</v>
      </c>
      <c r="R9" s="8" t="s">
        <v>853</v>
      </c>
      <c r="S9" s="8" t="s">
        <v>265</v>
      </c>
      <c r="T9" s="8" t="s">
        <v>36</v>
      </c>
      <c r="U9" s="8" t="s">
        <v>663</v>
      </c>
      <c r="V9" s="8" t="s">
        <v>2939</v>
      </c>
      <c r="W9" s="8" t="s">
        <v>665</v>
      </c>
      <c r="X9" s="3" t="str">
        <v>深州市晶立泰机械配件有限公司</v>
      </c>
      <c r="Y9" s="3" t="str">
        <f>_xlfn.XLOOKUP(X9,'7月份计划'!A:A,'7月份计划'!A:A)</f>
        <v>深州市晶立泰机械配件有限公司</v>
      </c>
    </row>
    <row r="10" spans="1:25">
      <c r="A10" s="12" t="s">
        <v>2940</v>
      </c>
      <c r="B10" s="12" t="s">
        <v>32</v>
      </c>
      <c r="C10" s="12" t="s">
        <v>2941</v>
      </c>
      <c r="D10" s="13">
        <v>1</v>
      </c>
      <c r="E10" s="12" t="s">
        <v>2942</v>
      </c>
      <c r="F10" s="14">
        <v>45895</v>
      </c>
      <c r="G10" s="14">
        <v>45895</v>
      </c>
      <c r="H10" s="15" t="s">
        <v>444</v>
      </c>
      <c r="I10" s="12" t="s">
        <v>445</v>
      </c>
      <c r="J10" s="15" t="s">
        <v>41</v>
      </c>
      <c r="K10" s="12" t="s">
        <v>660</v>
      </c>
      <c r="L10" s="15" t="s">
        <v>41</v>
      </c>
      <c r="M10" s="12" t="s">
        <v>492</v>
      </c>
      <c r="N10" s="15" t="s">
        <v>41</v>
      </c>
      <c r="O10" s="20" t="s">
        <v>2688</v>
      </c>
      <c r="P10" s="21">
        <v>0</v>
      </c>
      <c r="Q10" s="21">
        <v>96599.41</v>
      </c>
      <c r="R10" s="12" t="s">
        <v>928</v>
      </c>
      <c r="S10" s="12" t="s">
        <v>241</v>
      </c>
      <c r="T10" s="12" t="s">
        <v>36</v>
      </c>
      <c r="U10" s="12" t="s">
        <v>663</v>
      </c>
      <c r="V10" s="12" t="s">
        <v>2943</v>
      </c>
      <c r="W10" s="12" t="s">
        <v>665</v>
      </c>
      <c r="X10" s="3" t="str">
        <v>廊坊市烁鑫汽车配件有限公司</v>
      </c>
      <c r="Y10" s="3" t="str">
        <f>_xlfn.XLOOKUP(X10,'7月份计划'!A:A,'7月份计划'!A:A)</f>
        <v>廊坊市烁鑫汽车配件有限公司</v>
      </c>
    </row>
    <row r="11" spans="1:25">
      <c r="A11" s="8" t="s">
        <v>2944</v>
      </c>
      <c r="B11" s="8" t="s">
        <v>32</v>
      </c>
      <c r="C11" s="8" t="s">
        <v>2945</v>
      </c>
      <c r="D11" s="9">
        <v>1</v>
      </c>
      <c r="E11" s="8" t="s">
        <v>2946</v>
      </c>
      <c r="F11" s="10">
        <v>45895</v>
      </c>
      <c r="G11" s="10">
        <v>45895</v>
      </c>
      <c r="H11" s="11" t="s">
        <v>444</v>
      </c>
      <c r="I11" s="8" t="s">
        <v>445</v>
      </c>
      <c r="J11" s="11" t="s">
        <v>41</v>
      </c>
      <c r="K11" s="8" t="s">
        <v>660</v>
      </c>
      <c r="L11" s="11" t="s">
        <v>41</v>
      </c>
      <c r="M11" s="8" t="s">
        <v>492</v>
      </c>
      <c r="N11" s="11" t="s">
        <v>41</v>
      </c>
      <c r="O11" s="18" t="s">
        <v>2688</v>
      </c>
      <c r="P11" s="19">
        <v>0</v>
      </c>
      <c r="Q11" s="19">
        <v>6789.4</v>
      </c>
      <c r="R11" s="8" t="s">
        <v>904</v>
      </c>
      <c r="S11" s="8" t="s">
        <v>258</v>
      </c>
      <c r="T11" s="8" t="s">
        <v>36</v>
      </c>
      <c r="U11" s="8" t="s">
        <v>663</v>
      </c>
      <c r="V11" s="8" t="s">
        <v>2947</v>
      </c>
      <c r="W11" s="8" t="s">
        <v>665</v>
      </c>
      <c r="X11" s="3" t="str">
        <v>黄骅市汇铭汽车部件有限公司</v>
      </c>
      <c r="Y11" s="3" t="str">
        <f>_xlfn.XLOOKUP(X11,'7月份计划'!A:A,'7月份计划'!A:A)</f>
        <v>黄骅市汇铭汽车部件有限公司</v>
      </c>
    </row>
    <row r="12" spans="1:25">
      <c r="A12" s="12" t="s">
        <v>2948</v>
      </c>
      <c r="B12" s="12" t="s">
        <v>32</v>
      </c>
      <c r="C12" s="12" t="s">
        <v>2949</v>
      </c>
      <c r="D12" s="13">
        <v>1</v>
      </c>
      <c r="E12" s="12" t="s">
        <v>2950</v>
      </c>
      <c r="F12" s="14">
        <v>45895</v>
      </c>
      <c r="G12" s="14">
        <v>45895</v>
      </c>
      <c r="H12" s="15" t="s">
        <v>444</v>
      </c>
      <c r="I12" s="12" t="s">
        <v>445</v>
      </c>
      <c r="J12" s="15" t="s">
        <v>41</v>
      </c>
      <c r="K12" s="12" t="s">
        <v>660</v>
      </c>
      <c r="L12" s="15" t="s">
        <v>41</v>
      </c>
      <c r="M12" s="12" t="s">
        <v>492</v>
      </c>
      <c r="N12" s="15" t="s">
        <v>41</v>
      </c>
      <c r="O12" s="20" t="s">
        <v>2688</v>
      </c>
      <c r="P12" s="21">
        <v>0</v>
      </c>
      <c r="Q12" s="21">
        <v>3689.67</v>
      </c>
      <c r="R12" s="12" t="s">
        <v>914</v>
      </c>
      <c r="S12" s="12" t="s">
        <v>270</v>
      </c>
      <c r="T12" s="12" t="s">
        <v>36</v>
      </c>
      <c r="U12" s="12" t="s">
        <v>663</v>
      </c>
      <c r="V12" s="12" t="s">
        <v>2951</v>
      </c>
      <c r="W12" s="12" t="s">
        <v>665</v>
      </c>
      <c r="X12" s="3" t="str">
        <v>湖南凌天汽车零部件有限公司</v>
      </c>
      <c r="Y12" s="3" t="str">
        <f>_xlfn.XLOOKUP(X12,'7月份计划'!A:A,'7月份计划'!A:A)</f>
        <v>湖南凌天汽车零部件有限公司</v>
      </c>
    </row>
    <row r="13" spans="1:25">
      <c r="A13" s="8" t="s">
        <v>2952</v>
      </c>
      <c r="B13" s="8" t="s">
        <v>32</v>
      </c>
      <c r="C13" s="8" t="s">
        <v>2953</v>
      </c>
      <c r="D13" s="9">
        <v>1</v>
      </c>
      <c r="E13" s="8" t="s">
        <v>2954</v>
      </c>
      <c r="F13" s="10">
        <v>45895</v>
      </c>
      <c r="G13" s="10">
        <v>45895</v>
      </c>
      <c r="H13" s="11" t="s">
        <v>444</v>
      </c>
      <c r="I13" s="8" t="s">
        <v>445</v>
      </c>
      <c r="J13" s="11" t="s">
        <v>41</v>
      </c>
      <c r="K13" s="8" t="s">
        <v>660</v>
      </c>
      <c r="L13" s="11" t="s">
        <v>41</v>
      </c>
      <c r="M13" s="8" t="s">
        <v>492</v>
      </c>
      <c r="N13" s="11" t="s">
        <v>41</v>
      </c>
      <c r="O13" s="18" t="s">
        <v>2688</v>
      </c>
      <c r="P13" s="19">
        <v>0</v>
      </c>
      <c r="Q13" s="19">
        <v>1668.49</v>
      </c>
      <c r="R13" s="8" t="s">
        <v>871</v>
      </c>
      <c r="S13" s="8" t="s">
        <v>246</v>
      </c>
      <c r="T13" s="8" t="s">
        <v>36</v>
      </c>
      <c r="U13" s="8" t="s">
        <v>663</v>
      </c>
      <c r="V13" s="8" t="s">
        <v>2955</v>
      </c>
      <c r="W13" s="8" t="s">
        <v>665</v>
      </c>
      <c r="X13" s="3" t="str">
        <v>江阴同威科技有限公司</v>
      </c>
      <c r="Y13" s="3" t="str">
        <f>_xlfn.XLOOKUP(X13,'7月份计划'!A:A,'7月份计划'!A:A)</f>
        <v>江阴同威科技有限公司</v>
      </c>
    </row>
    <row r="14" spans="1:25">
      <c r="A14" s="12" t="s">
        <v>2956</v>
      </c>
      <c r="B14" s="12" t="s">
        <v>32</v>
      </c>
      <c r="C14" s="12" t="s">
        <v>2957</v>
      </c>
      <c r="D14" s="13">
        <v>1</v>
      </c>
      <c r="E14" s="12" t="s">
        <v>2958</v>
      </c>
      <c r="F14" s="14">
        <v>45895</v>
      </c>
      <c r="G14" s="14">
        <v>45895</v>
      </c>
      <c r="H14" s="15" t="s">
        <v>444</v>
      </c>
      <c r="I14" s="12" t="s">
        <v>445</v>
      </c>
      <c r="J14" s="15" t="s">
        <v>41</v>
      </c>
      <c r="K14" s="12" t="s">
        <v>660</v>
      </c>
      <c r="L14" s="15" t="s">
        <v>41</v>
      </c>
      <c r="M14" s="12" t="s">
        <v>492</v>
      </c>
      <c r="N14" s="15" t="s">
        <v>41</v>
      </c>
      <c r="O14" s="20" t="s">
        <v>2688</v>
      </c>
      <c r="P14" s="21">
        <v>0</v>
      </c>
      <c r="Q14" s="21">
        <v>22962.21</v>
      </c>
      <c r="R14" s="12" t="s">
        <v>1586</v>
      </c>
      <c r="S14" s="12" t="s">
        <v>247</v>
      </c>
      <c r="T14" s="12" t="s">
        <v>36</v>
      </c>
      <c r="U14" s="12" t="s">
        <v>663</v>
      </c>
      <c r="V14" s="12" t="s">
        <v>2959</v>
      </c>
      <c r="W14" s="12" t="s">
        <v>665</v>
      </c>
      <c r="X14" s="3" t="str">
        <v>广州市三泰汽车内饰材料有限公</v>
      </c>
      <c r="Y14" s="3" t="str">
        <f>_xlfn.XLOOKUP(X14,'7月份计划'!A:A,'7月份计划'!A:A)</f>
        <v>广州市三泰汽车内饰材料有限公</v>
      </c>
    </row>
    <row r="15" spans="1:25">
      <c r="A15" s="8" t="s">
        <v>2960</v>
      </c>
      <c r="B15" s="8" t="s">
        <v>32</v>
      </c>
      <c r="C15" s="8" t="s">
        <v>2961</v>
      </c>
      <c r="D15" s="9">
        <v>1</v>
      </c>
      <c r="E15" s="8" t="s">
        <v>2962</v>
      </c>
      <c r="F15" s="10">
        <v>45895</v>
      </c>
      <c r="G15" s="10">
        <v>45895</v>
      </c>
      <c r="H15" s="11" t="s">
        <v>444</v>
      </c>
      <c r="I15" s="8" t="s">
        <v>445</v>
      </c>
      <c r="J15" s="11" t="s">
        <v>41</v>
      </c>
      <c r="K15" s="8" t="s">
        <v>660</v>
      </c>
      <c r="L15" s="11" t="s">
        <v>41</v>
      </c>
      <c r="M15" s="8" t="s">
        <v>492</v>
      </c>
      <c r="N15" s="11" t="s">
        <v>41</v>
      </c>
      <c r="O15" s="18" t="s">
        <v>2688</v>
      </c>
      <c r="P15" s="19">
        <v>0</v>
      </c>
      <c r="Q15" s="19">
        <v>470915.49</v>
      </c>
      <c r="R15" s="8" t="s">
        <v>961</v>
      </c>
      <c r="S15" s="8" t="s">
        <v>254</v>
      </c>
      <c r="T15" s="8" t="s">
        <v>36</v>
      </c>
      <c r="U15" s="8" t="s">
        <v>663</v>
      </c>
      <c r="V15" s="8" t="s">
        <v>2963</v>
      </c>
      <c r="W15" s="8" t="s">
        <v>665</v>
      </c>
      <c r="X15" s="3" t="str">
        <v>武汉德锐隆科技有限公司</v>
      </c>
      <c r="Y15" s="3" t="str">
        <f>_xlfn.XLOOKUP(X15,'7月份计划'!A:A,'7月份计划'!A:A)</f>
        <v>武汉德锐隆科技有限公司</v>
      </c>
    </row>
    <row r="16" spans="1:25">
      <c r="A16" s="12" t="s">
        <v>2960</v>
      </c>
      <c r="B16" s="12" t="s">
        <v>32</v>
      </c>
      <c r="C16" s="12" t="s">
        <v>2961</v>
      </c>
      <c r="D16" s="13">
        <v>4</v>
      </c>
      <c r="E16" s="12" t="s">
        <v>2962</v>
      </c>
      <c r="F16" s="14">
        <v>45895</v>
      </c>
      <c r="G16" s="14">
        <v>45895</v>
      </c>
      <c r="H16" s="15" t="s">
        <v>444</v>
      </c>
      <c r="I16" s="12" t="s">
        <v>445</v>
      </c>
      <c r="J16" s="15" t="s">
        <v>41</v>
      </c>
      <c r="K16" s="12" t="s">
        <v>660</v>
      </c>
      <c r="L16" s="15" t="s">
        <v>41</v>
      </c>
      <c r="M16" s="12" t="s">
        <v>492</v>
      </c>
      <c r="N16" s="15" t="s">
        <v>41</v>
      </c>
      <c r="O16" s="20" t="s">
        <v>2688</v>
      </c>
      <c r="P16" s="21">
        <v>60.94</v>
      </c>
      <c r="Q16" s="21">
        <v>0</v>
      </c>
      <c r="R16" s="12" t="s">
        <v>961</v>
      </c>
      <c r="S16" s="12" t="s">
        <v>254</v>
      </c>
      <c r="T16" s="12" t="s">
        <v>36</v>
      </c>
      <c r="U16" s="12" t="s">
        <v>663</v>
      </c>
      <c r="V16" s="12" t="s">
        <v>2963</v>
      </c>
      <c r="W16" s="12" t="s">
        <v>665</v>
      </c>
      <c r="X16" s="3" t="str">
        <v>江苏力乐汽车部件股份有限公司</v>
      </c>
      <c r="Y16" s="3" t="str">
        <f>_xlfn.XLOOKUP(X16,'7月份计划'!A:A,'7月份计划'!A:A)</f>
        <v>江苏力乐汽车部件股份有限公司</v>
      </c>
    </row>
    <row r="17" spans="1:25">
      <c r="A17" s="8" t="s">
        <v>2964</v>
      </c>
      <c r="B17" s="8" t="s">
        <v>32</v>
      </c>
      <c r="C17" s="8" t="s">
        <v>2965</v>
      </c>
      <c r="D17" s="9">
        <v>1</v>
      </c>
      <c r="E17" s="8" t="s">
        <v>2966</v>
      </c>
      <c r="F17" s="10">
        <v>45895</v>
      </c>
      <c r="G17" s="10">
        <v>45895</v>
      </c>
      <c r="H17" s="11" t="s">
        <v>444</v>
      </c>
      <c r="I17" s="8" t="s">
        <v>445</v>
      </c>
      <c r="J17" s="11" t="s">
        <v>41</v>
      </c>
      <c r="K17" s="8" t="s">
        <v>660</v>
      </c>
      <c r="L17" s="11" t="s">
        <v>41</v>
      </c>
      <c r="M17" s="8" t="s">
        <v>492</v>
      </c>
      <c r="N17" s="11" t="s">
        <v>41</v>
      </c>
      <c r="O17" s="18" t="s">
        <v>2688</v>
      </c>
      <c r="P17" s="19">
        <v>0</v>
      </c>
      <c r="Q17" s="19">
        <v>6600.33</v>
      </c>
      <c r="R17" s="8" t="s">
        <v>1610</v>
      </c>
      <c r="S17" s="8" t="s">
        <v>290</v>
      </c>
      <c r="T17" s="8" t="s">
        <v>36</v>
      </c>
      <c r="U17" s="8" t="s">
        <v>663</v>
      </c>
      <c r="V17" s="8" t="s">
        <v>2967</v>
      </c>
      <c r="W17" s="8" t="s">
        <v>665</v>
      </c>
      <c r="X17" s="3" t="str">
        <v>汇阅（上海）新材料科技有限公</v>
      </c>
      <c r="Y17" s="3" t="str">
        <f>_xlfn.XLOOKUP(X17,'7月份计划'!A:A,'7月份计划'!A:A)</f>
        <v>汇阅（上海）新材料科技有限公</v>
      </c>
    </row>
    <row r="18" spans="1:25">
      <c r="A18" s="12" t="s">
        <v>2968</v>
      </c>
      <c r="B18" s="12" t="s">
        <v>32</v>
      </c>
      <c r="C18" s="12" t="s">
        <v>2969</v>
      </c>
      <c r="D18" s="13">
        <v>1</v>
      </c>
      <c r="E18" s="12" t="s">
        <v>2970</v>
      </c>
      <c r="F18" s="14">
        <v>45895</v>
      </c>
      <c r="G18" s="14">
        <v>45895</v>
      </c>
      <c r="H18" s="15" t="s">
        <v>444</v>
      </c>
      <c r="I18" s="12" t="s">
        <v>445</v>
      </c>
      <c r="J18" s="15" t="s">
        <v>41</v>
      </c>
      <c r="K18" s="12" t="s">
        <v>660</v>
      </c>
      <c r="L18" s="15" t="s">
        <v>41</v>
      </c>
      <c r="M18" s="12" t="s">
        <v>492</v>
      </c>
      <c r="N18" s="15" t="s">
        <v>41</v>
      </c>
      <c r="O18" s="20" t="s">
        <v>2688</v>
      </c>
      <c r="P18" s="21">
        <v>0</v>
      </c>
      <c r="Q18" s="21">
        <v>4514.35</v>
      </c>
      <c r="R18" s="12" t="s">
        <v>1074</v>
      </c>
      <c r="S18" s="12" t="s">
        <v>288</v>
      </c>
      <c r="T18" s="12" t="s">
        <v>36</v>
      </c>
      <c r="U18" s="12" t="s">
        <v>663</v>
      </c>
      <c r="V18" s="12" t="s">
        <v>2971</v>
      </c>
      <c r="W18" s="12" t="s">
        <v>665</v>
      </c>
      <c r="X18" s="3" t="str">
        <v>天津鑫淼塑料制品有限公司</v>
      </c>
      <c r="Y18" s="3" t="str">
        <f>_xlfn.XLOOKUP(X18,'7月份计划'!A:A,'7月份计划'!A:A)</f>
        <v>天津鑫淼塑料制品有限公司</v>
      </c>
    </row>
    <row r="19" spans="1:25">
      <c r="A19" s="8" t="s">
        <v>2972</v>
      </c>
      <c r="B19" s="8" t="s">
        <v>32</v>
      </c>
      <c r="C19" s="8" t="s">
        <v>2973</v>
      </c>
      <c r="D19" s="9">
        <v>1</v>
      </c>
      <c r="E19" s="8" t="s">
        <v>2974</v>
      </c>
      <c r="F19" s="10">
        <v>45895</v>
      </c>
      <c r="G19" s="10">
        <v>45895</v>
      </c>
      <c r="H19" s="11" t="s">
        <v>444</v>
      </c>
      <c r="I19" s="8" t="s">
        <v>445</v>
      </c>
      <c r="J19" s="11" t="s">
        <v>41</v>
      </c>
      <c r="K19" s="8" t="s">
        <v>660</v>
      </c>
      <c r="L19" s="11" t="s">
        <v>41</v>
      </c>
      <c r="M19" s="8" t="s">
        <v>492</v>
      </c>
      <c r="N19" s="11" t="s">
        <v>41</v>
      </c>
      <c r="O19" s="18" t="s">
        <v>2688</v>
      </c>
      <c r="P19" s="19">
        <v>0</v>
      </c>
      <c r="Q19" s="19">
        <v>15358.5</v>
      </c>
      <c r="R19" s="8" t="s">
        <v>890</v>
      </c>
      <c r="S19" s="8" t="s">
        <v>263</v>
      </c>
      <c r="T19" s="8" t="s">
        <v>36</v>
      </c>
      <c r="U19" s="8" t="s">
        <v>663</v>
      </c>
      <c r="V19" s="8" t="s">
        <v>2975</v>
      </c>
      <c r="W19" s="8" t="s">
        <v>665</v>
      </c>
      <c r="X19" s="3" t="str">
        <v>湖南诺亿科技有限公司</v>
      </c>
      <c r="Y19" s="3" t="str">
        <f>_xlfn.XLOOKUP(X19,'7月份计划'!A:A,'7月份计划'!A:A)</f>
        <v>湖南诺亿科技有限公司</v>
      </c>
    </row>
    <row r="20" spans="1:25">
      <c r="A20" s="12" t="s">
        <v>2976</v>
      </c>
      <c r="B20" s="12" t="s">
        <v>32</v>
      </c>
      <c r="C20" s="12" t="s">
        <v>2977</v>
      </c>
      <c r="D20" s="13">
        <v>1</v>
      </c>
      <c r="E20" s="12" t="s">
        <v>2978</v>
      </c>
      <c r="F20" s="14">
        <v>45895</v>
      </c>
      <c r="G20" s="14">
        <v>45895</v>
      </c>
      <c r="H20" s="15" t="s">
        <v>444</v>
      </c>
      <c r="I20" s="12" t="s">
        <v>445</v>
      </c>
      <c r="J20" s="15" t="s">
        <v>41</v>
      </c>
      <c r="K20" s="12" t="s">
        <v>660</v>
      </c>
      <c r="L20" s="15" t="s">
        <v>41</v>
      </c>
      <c r="M20" s="12" t="s">
        <v>492</v>
      </c>
      <c r="N20" s="15" t="s">
        <v>41</v>
      </c>
      <c r="O20" s="20" t="s">
        <v>2688</v>
      </c>
      <c r="P20" s="21">
        <v>0</v>
      </c>
      <c r="Q20" s="21">
        <v>4678.2</v>
      </c>
      <c r="R20" s="12" t="s">
        <v>739</v>
      </c>
      <c r="S20" s="12" t="s">
        <v>249</v>
      </c>
      <c r="T20" s="12" t="s">
        <v>36</v>
      </c>
      <c r="U20" s="12" t="s">
        <v>663</v>
      </c>
      <c r="V20" s="12" t="s">
        <v>2979</v>
      </c>
      <c r="W20" s="12" t="s">
        <v>665</v>
      </c>
      <c r="X20" s="3" t="str">
        <v>重庆光大产业有限公司</v>
      </c>
      <c r="Y20" s="3" t="str">
        <f>_xlfn.XLOOKUP(X20,'7月份计划'!A:A,'7月份计划'!A:A)</f>
        <v>重庆光大产业有限公司</v>
      </c>
    </row>
    <row r="21" spans="1:25">
      <c r="A21" s="8" t="s">
        <v>2980</v>
      </c>
      <c r="B21" s="8" t="s">
        <v>32</v>
      </c>
      <c r="C21" s="8" t="s">
        <v>2981</v>
      </c>
      <c r="D21" s="9">
        <v>1</v>
      </c>
      <c r="E21" s="8" t="s">
        <v>2982</v>
      </c>
      <c r="F21" s="10">
        <v>45895</v>
      </c>
      <c r="G21" s="10">
        <v>45895</v>
      </c>
      <c r="H21" s="11" t="s">
        <v>444</v>
      </c>
      <c r="I21" s="8" t="s">
        <v>445</v>
      </c>
      <c r="J21" s="11" t="s">
        <v>41</v>
      </c>
      <c r="K21" s="8" t="s">
        <v>660</v>
      </c>
      <c r="L21" s="11" t="s">
        <v>41</v>
      </c>
      <c r="M21" s="8" t="s">
        <v>492</v>
      </c>
      <c r="N21" s="11" t="s">
        <v>41</v>
      </c>
      <c r="O21" s="18" t="s">
        <v>2688</v>
      </c>
      <c r="P21" s="19">
        <v>0</v>
      </c>
      <c r="Q21" s="19">
        <v>46375.2</v>
      </c>
      <c r="R21" s="8" t="s">
        <v>34</v>
      </c>
      <c r="S21" s="8" t="s">
        <v>277</v>
      </c>
      <c r="T21" s="8" t="s">
        <v>36</v>
      </c>
      <c r="U21" s="8" t="s">
        <v>663</v>
      </c>
      <c r="V21" s="8" t="s">
        <v>118</v>
      </c>
      <c r="W21" s="8" t="s">
        <v>665</v>
      </c>
      <c r="X21" s="3" t="str">
        <v>重庆厚元汽车配件有限公司</v>
      </c>
      <c r="Y21" s="3" t="str">
        <f>_xlfn.XLOOKUP(X21,'7月份计划'!A:A,'7月份计划'!A:A)</f>
        <v>重庆厚元汽车配件有限公司</v>
      </c>
    </row>
    <row r="22" spans="1:25">
      <c r="A22" s="12" t="s">
        <v>2983</v>
      </c>
      <c r="B22" s="12" t="s">
        <v>32</v>
      </c>
      <c r="C22" s="12" t="s">
        <v>2984</v>
      </c>
      <c r="D22" s="13">
        <v>1</v>
      </c>
      <c r="E22" s="12" t="s">
        <v>2985</v>
      </c>
      <c r="F22" s="14">
        <v>45895</v>
      </c>
      <c r="G22" s="14">
        <v>45895</v>
      </c>
      <c r="H22" s="15" t="s">
        <v>444</v>
      </c>
      <c r="I22" s="12" t="s">
        <v>445</v>
      </c>
      <c r="J22" s="15" t="s">
        <v>41</v>
      </c>
      <c r="K22" s="12" t="s">
        <v>660</v>
      </c>
      <c r="L22" s="15" t="s">
        <v>41</v>
      </c>
      <c r="M22" s="12" t="s">
        <v>492</v>
      </c>
      <c r="N22" s="15" t="s">
        <v>41</v>
      </c>
      <c r="O22" s="20" t="s">
        <v>2688</v>
      </c>
      <c r="P22" s="21">
        <v>0</v>
      </c>
      <c r="Q22" s="21">
        <v>81681.26</v>
      </c>
      <c r="R22" s="12" t="s">
        <v>34</v>
      </c>
      <c r="S22" s="12" t="s">
        <v>277</v>
      </c>
      <c r="T22" s="12" t="s">
        <v>36</v>
      </c>
      <c r="U22" s="12" t="s">
        <v>663</v>
      </c>
      <c r="V22" s="12" t="s">
        <v>121</v>
      </c>
      <c r="W22" s="12" t="s">
        <v>665</v>
      </c>
      <c r="X22" s="3" t="str">
        <v>衡阳县标准件厂株洲销售处</v>
      </c>
      <c r="Y22" s="3" t="str">
        <f>_xlfn.XLOOKUP(X22,'7月份计划'!A:A,'7月份计划'!A:A)</f>
        <v>衡阳县标准件厂株洲销售处</v>
      </c>
    </row>
    <row r="23" spans="1:25">
      <c r="A23" s="8" t="s">
        <v>2986</v>
      </c>
      <c r="B23" s="8" t="s">
        <v>32</v>
      </c>
      <c r="C23" s="8" t="s">
        <v>2987</v>
      </c>
      <c r="D23" s="9">
        <v>1</v>
      </c>
      <c r="E23" s="8" t="s">
        <v>2988</v>
      </c>
      <c r="F23" s="10">
        <v>45895</v>
      </c>
      <c r="G23" s="10">
        <v>45895</v>
      </c>
      <c r="H23" s="11" t="s">
        <v>444</v>
      </c>
      <c r="I23" s="8" t="s">
        <v>445</v>
      </c>
      <c r="J23" s="11" t="s">
        <v>41</v>
      </c>
      <c r="K23" s="8" t="s">
        <v>660</v>
      </c>
      <c r="L23" s="11" t="s">
        <v>41</v>
      </c>
      <c r="M23" s="8" t="s">
        <v>492</v>
      </c>
      <c r="N23" s="11" t="s">
        <v>41</v>
      </c>
      <c r="O23" s="18" t="s">
        <v>2688</v>
      </c>
      <c r="P23" s="19">
        <v>0</v>
      </c>
      <c r="Q23" s="19">
        <v>10170</v>
      </c>
      <c r="R23" s="8" t="s">
        <v>1149</v>
      </c>
      <c r="S23" s="8" t="s">
        <v>282</v>
      </c>
      <c r="T23" s="8" t="s">
        <v>36</v>
      </c>
      <c r="U23" s="8" t="s">
        <v>663</v>
      </c>
      <c r="V23" s="8" t="s">
        <v>2989</v>
      </c>
      <c r="W23" s="8" t="s">
        <v>665</v>
      </c>
      <c r="X23" s="3" t="str">
        <v>黄骅市广亿汽车部件有限公司</v>
      </c>
      <c r="Y23" s="3" t="str">
        <f>_xlfn.XLOOKUP(X23,'7月份计划'!A:A,'7月份计划'!A:A)</f>
        <v>黄骅市广亿汽车部件有限公司</v>
      </c>
    </row>
    <row r="24" spans="1:25">
      <c r="A24" s="12" t="s">
        <v>2990</v>
      </c>
      <c r="B24" s="12" t="s">
        <v>32</v>
      </c>
      <c r="C24" s="12" t="s">
        <v>2991</v>
      </c>
      <c r="D24" s="13">
        <v>1</v>
      </c>
      <c r="E24" s="12" t="s">
        <v>2992</v>
      </c>
      <c r="F24" s="14">
        <v>45895</v>
      </c>
      <c r="G24" s="14">
        <v>45895</v>
      </c>
      <c r="H24" s="15" t="s">
        <v>444</v>
      </c>
      <c r="I24" s="12" t="s">
        <v>445</v>
      </c>
      <c r="J24" s="15" t="s">
        <v>41</v>
      </c>
      <c r="K24" s="12" t="s">
        <v>660</v>
      </c>
      <c r="L24" s="15" t="s">
        <v>41</v>
      </c>
      <c r="M24" s="12" t="s">
        <v>492</v>
      </c>
      <c r="N24" s="15" t="s">
        <v>41</v>
      </c>
      <c r="O24" s="20" t="s">
        <v>2688</v>
      </c>
      <c r="P24" s="21">
        <v>0</v>
      </c>
      <c r="Q24" s="21">
        <v>21776.51</v>
      </c>
      <c r="R24" s="12" t="s">
        <v>876</v>
      </c>
      <c r="S24" s="12" t="s">
        <v>272</v>
      </c>
      <c r="T24" s="12" t="s">
        <v>36</v>
      </c>
      <c r="U24" s="12" t="s">
        <v>663</v>
      </c>
      <c r="V24" s="12" t="s">
        <v>2993</v>
      </c>
      <c r="W24" s="12" t="s">
        <v>665</v>
      </c>
      <c r="X24" s="3" t="str">
        <v>北京光华荣昌汽车部件有限公司</v>
      </c>
      <c r="Y24" s="3" t="e">
        <f>_xlfn.XLOOKUP(X24,'7月份计划'!A:A,'7月份计划'!A:A)</f>
        <v>#N/A</v>
      </c>
    </row>
    <row r="25" spans="1:25">
      <c r="A25" s="8" t="s">
        <v>2994</v>
      </c>
      <c r="B25" s="8" t="s">
        <v>32</v>
      </c>
      <c r="C25" s="8" t="s">
        <v>2995</v>
      </c>
      <c r="D25" s="9">
        <v>1</v>
      </c>
      <c r="E25" s="8" t="s">
        <v>2996</v>
      </c>
      <c r="F25" s="10">
        <v>45895</v>
      </c>
      <c r="G25" s="10">
        <v>45895</v>
      </c>
      <c r="H25" s="11" t="s">
        <v>444</v>
      </c>
      <c r="I25" s="8" t="s">
        <v>445</v>
      </c>
      <c r="J25" s="11" t="s">
        <v>41</v>
      </c>
      <c r="K25" s="8" t="s">
        <v>660</v>
      </c>
      <c r="L25" s="11" t="s">
        <v>41</v>
      </c>
      <c r="M25" s="8" t="s">
        <v>492</v>
      </c>
      <c r="N25" s="11" t="s">
        <v>41</v>
      </c>
      <c r="O25" s="18" t="s">
        <v>2997</v>
      </c>
      <c r="P25" s="19">
        <v>0.01</v>
      </c>
      <c r="Q25" s="19">
        <v>0</v>
      </c>
      <c r="R25" s="8" t="s">
        <v>876</v>
      </c>
      <c r="S25" s="8" t="s">
        <v>272</v>
      </c>
      <c r="T25" s="8" t="s">
        <v>36</v>
      </c>
      <c r="U25" s="8" t="s">
        <v>663</v>
      </c>
      <c r="V25" s="8" t="s">
        <v>2998</v>
      </c>
      <c r="W25" s="8" t="s">
        <v>665</v>
      </c>
      <c r="X25" s="3" t="str">
        <v>厦门凯平化工有限公司</v>
      </c>
      <c r="Y25" s="3" t="str">
        <f>_xlfn.XLOOKUP(X25,'7月份计划'!A:A,'7月份计划'!A:A)</f>
        <v>厦门凯平化工有限公司</v>
      </c>
    </row>
    <row r="26" spans="1:25">
      <c r="A26" s="12" t="s">
        <v>2999</v>
      </c>
      <c r="B26" s="12" t="s">
        <v>32</v>
      </c>
      <c r="C26" s="12" t="s">
        <v>3000</v>
      </c>
      <c r="D26" s="13">
        <v>3</v>
      </c>
      <c r="E26" s="12" t="s">
        <v>3001</v>
      </c>
      <c r="F26" s="14">
        <v>45895</v>
      </c>
      <c r="G26" s="14">
        <v>45895</v>
      </c>
      <c r="H26" s="15" t="s">
        <v>444</v>
      </c>
      <c r="I26" s="12" t="s">
        <v>445</v>
      </c>
      <c r="J26" s="15" t="s">
        <v>41</v>
      </c>
      <c r="K26" s="12" t="s">
        <v>660</v>
      </c>
      <c r="L26" s="15" t="s">
        <v>41</v>
      </c>
      <c r="M26" s="12" t="s">
        <v>492</v>
      </c>
      <c r="N26" s="15" t="s">
        <v>41</v>
      </c>
      <c r="O26" s="20" t="s">
        <v>2688</v>
      </c>
      <c r="P26" s="21">
        <v>215.39</v>
      </c>
      <c r="Q26" s="21">
        <v>0</v>
      </c>
      <c r="R26" s="12" t="s">
        <v>1191</v>
      </c>
      <c r="S26" s="12" t="s">
        <v>255</v>
      </c>
      <c r="T26" s="12" t="s">
        <v>36</v>
      </c>
      <c r="U26" s="12" t="s">
        <v>663</v>
      </c>
      <c r="V26" s="12" t="s">
        <v>3002</v>
      </c>
      <c r="W26" s="12" t="s">
        <v>665</v>
      </c>
      <c r="X26" s="3" t="str">
        <v>湘潭湘和汽车零部件制造有限公</v>
      </c>
      <c r="Y26" s="3" t="str">
        <f>_xlfn.XLOOKUP(X26,'7月份计划'!A:A,'7月份计划'!A:A)</f>
        <v>湘潭湘和汽车零部件制造有限公</v>
      </c>
    </row>
    <row r="27" spans="1:25">
      <c r="A27" s="8" t="s">
        <v>2999</v>
      </c>
      <c r="B27" s="8" t="s">
        <v>32</v>
      </c>
      <c r="C27" s="8" t="s">
        <v>3000</v>
      </c>
      <c r="D27" s="9">
        <v>1</v>
      </c>
      <c r="E27" s="8" t="s">
        <v>3001</v>
      </c>
      <c r="F27" s="10">
        <v>45895</v>
      </c>
      <c r="G27" s="10">
        <v>45895</v>
      </c>
      <c r="H27" s="11" t="s">
        <v>444</v>
      </c>
      <c r="I27" s="8" t="s">
        <v>445</v>
      </c>
      <c r="J27" s="11" t="s">
        <v>41</v>
      </c>
      <c r="K27" s="8" t="s">
        <v>660</v>
      </c>
      <c r="L27" s="11" t="s">
        <v>41</v>
      </c>
      <c r="M27" s="8" t="s">
        <v>492</v>
      </c>
      <c r="N27" s="11" t="s">
        <v>41</v>
      </c>
      <c r="O27" s="18" t="s">
        <v>2688</v>
      </c>
      <c r="P27" s="19">
        <v>0</v>
      </c>
      <c r="Q27" s="19">
        <v>6997.64</v>
      </c>
      <c r="R27" s="8" t="s">
        <v>1191</v>
      </c>
      <c r="S27" s="8" t="s">
        <v>255</v>
      </c>
      <c r="T27" s="8" t="s">
        <v>36</v>
      </c>
      <c r="U27" s="8" t="s">
        <v>663</v>
      </c>
      <c r="V27" s="8" t="s">
        <v>3002</v>
      </c>
      <c r="W27" s="8" t="s">
        <v>665</v>
      </c>
      <c r="X27" s="3" t="str">
        <v>溧阳鑫岩汽车零部件有限公司</v>
      </c>
      <c r="Y27" s="3" t="str">
        <f>_xlfn.XLOOKUP(X27,'7月份计划'!A:A,'7月份计划'!A:A)</f>
        <v>溧阳鑫岩汽车零部件有限公司</v>
      </c>
    </row>
    <row r="28" spans="1:25">
      <c r="A28" s="12" t="s">
        <v>3003</v>
      </c>
      <c r="B28" s="12" t="s">
        <v>32</v>
      </c>
      <c r="C28" s="12" t="s">
        <v>3004</v>
      </c>
      <c r="D28" s="13">
        <v>3</v>
      </c>
      <c r="E28" s="12" t="s">
        <v>3005</v>
      </c>
      <c r="F28" s="14">
        <v>45895</v>
      </c>
      <c r="G28" s="14">
        <v>45895</v>
      </c>
      <c r="H28" s="15" t="s">
        <v>444</v>
      </c>
      <c r="I28" s="12" t="s">
        <v>445</v>
      </c>
      <c r="J28" s="15" t="s">
        <v>41</v>
      </c>
      <c r="K28" s="12" t="s">
        <v>660</v>
      </c>
      <c r="L28" s="15" t="s">
        <v>41</v>
      </c>
      <c r="M28" s="12" t="s">
        <v>492</v>
      </c>
      <c r="N28" s="15" t="s">
        <v>41</v>
      </c>
      <c r="O28" s="20" t="s">
        <v>2688</v>
      </c>
      <c r="P28" s="21">
        <v>5010</v>
      </c>
      <c r="Q28" s="21">
        <v>0</v>
      </c>
      <c r="R28" s="12" t="s">
        <v>706</v>
      </c>
      <c r="S28" s="12" t="s">
        <v>240</v>
      </c>
      <c r="T28" s="12" t="s">
        <v>36</v>
      </c>
      <c r="U28" s="12" t="s">
        <v>663</v>
      </c>
      <c r="V28" s="12" t="s">
        <v>3006</v>
      </c>
      <c r="W28" s="12" t="s">
        <v>665</v>
      </c>
      <c r="X28" s="3" t="str">
        <v>湘潭市忠强气体有限公司</v>
      </c>
      <c r="Y28" s="3" t="str">
        <f>_xlfn.XLOOKUP(X28,'7月份计划'!A:A,'7月份计划'!A:A)</f>
        <v>湘潭市忠强气体有限公司</v>
      </c>
    </row>
    <row r="29" spans="1:25">
      <c r="A29" s="8" t="s">
        <v>3003</v>
      </c>
      <c r="B29" s="8" t="s">
        <v>32</v>
      </c>
      <c r="C29" s="8" t="s">
        <v>3004</v>
      </c>
      <c r="D29" s="9">
        <v>1</v>
      </c>
      <c r="E29" s="8" t="s">
        <v>3005</v>
      </c>
      <c r="F29" s="10">
        <v>45895</v>
      </c>
      <c r="G29" s="10">
        <v>45895</v>
      </c>
      <c r="H29" s="11" t="s">
        <v>444</v>
      </c>
      <c r="I29" s="8" t="s">
        <v>445</v>
      </c>
      <c r="J29" s="11" t="s">
        <v>41</v>
      </c>
      <c r="K29" s="8" t="s">
        <v>660</v>
      </c>
      <c r="L29" s="11" t="s">
        <v>41</v>
      </c>
      <c r="M29" s="8" t="s">
        <v>492</v>
      </c>
      <c r="N29" s="11" t="s">
        <v>41</v>
      </c>
      <c r="O29" s="18" t="s">
        <v>2688</v>
      </c>
      <c r="P29" s="19">
        <v>0</v>
      </c>
      <c r="Q29" s="19">
        <v>48736.15</v>
      </c>
      <c r="R29" s="8" t="s">
        <v>706</v>
      </c>
      <c r="S29" s="8" t="s">
        <v>240</v>
      </c>
      <c r="T29" s="8" t="s">
        <v>36</v>
      </c>
      <c r="U29" s="8" t="s">
        <v>663</v>
      </c>
      <c r="V29" s="8" t="s">
        <v>3006</v>
      </c>
      <c r="W29" s="8" t="s">
        <v>665</v>
      </c>
      <c r="X29" s="3" t="str">
        <v>德阳光华荣昌汽车科技有限公司</v>
      </c>
      <c r="Y29" s="3" t="e">
        <f>_xlfn.XLOOKUP(X29,'7月份计划'!A:A,'7月份计划'!A:A)</f>
        <v>#N/A</v>
      </c>
    </row>
    <row r="30" spans="1:25">
      <c r="A30" s="12" t="s">
        <v>3007</v>
      </c>
      <c r="B30" s="12" t="s">
        <v>32</v>
      </c>
      <c r="C30" s="12" t="s">
        <v>3008</v>
      </c>
      <c r="D30" s="13">
        <v>3</v>
      </c>
      <c r="E30" s="12" t="s">
        <v>3009</v>
      </c>
      <c r="F30" s="14">
        <v>45895</v>
      </c>
      <c r="G30" s="14">
        <v>45895</v>
      </c>
      <c r="H30" s="15" t="s">
        <v>444</v>
      </c>
      <c r="I30" s="12" t="s">
        <v>445</v>
      </c>
      <c r="J30" s="15" t="s">
        <v>41</v>
      </c>
      <c r="K30" s="12" t="s">
        <v>660</v>
      </c>
      <c r="L30" s="15" t="s">
        <v>41</v>
      </c>
      <c r="M30" s="12" t="s">
        <v>492</v>
      </c>
      <c r="N30" s="15" t="s">
        <v>41</v>
      </c>
      <c r="O30" s="20" t="s">
        <v>3010</v>
      </c>
      <c r="P30" s="21">
        <v>189542.66</v>
      </c>
      <c r="Q30" s="21">
        <v>0</v>
      </c>
      <c r="R30" s="12" t="s">
        <v>34</v>
      </c>
      <c r="S30" s="12" t="s">
        <v>277</v>
      </c>
      <c r="T30" s="12" t="s">
        <v>36</v>
      </c>
      <c r="U30" s="12" t="s">
        <v>663</v>
      </c>
      <c r="V30" s="12" t="s">
        <v>124</v>
      </c>
      <c r="W30" s="12" t="s">
        <v>665</v>
      </c>
      <c r="X30" s="3" t="str">
        <v>霸州市自强汽车零部件厂</v>
      </c>
      <c r="Y30" s="3" t="str">
        <f>_xlfn.XLOOKUP(X30,'7月份计划'!A:A,'7月份计划'!A:A)</f>
        <v>霸州市自强汽车零部件厂</v>
      </c>
    </row>
    <row r="31" spans="1:25">
      <c r="A31" s="8" t="s">
        <v>3007</v>
      </c>
      <c r="B31" s="8" t="s">
        <v>32</v>
      </c>
      <c r="C31" s="8" t="s">
        <v>3008</v>
      </c>
      <c r="D31" s="9">
        <v>1</v>
      </c>
      <c r="E31" s="8" t="s">
        <v>3009</v>
      </c>
      <c r="F31" s="10">
        <v>45895</v>
      </c>
      <c r="G31" s="10">
        <v>45895</v>
      </c>
      <c r="H31" s="11" t="s">
        <v>444</v>
      </c>
      <c r="I31" s="8" t="s">
        <v>445</v>
      </c>
      <c r="J31" s="11" t="s">
        <v>41</v>
      </c>
      <c r="K31" s="8" t="s">
        <v>660</v>
      </c>
      <c r="L31" s="11" t="s">
        <v>41</v>
      </c>
      <c r="M31" s="8" t="s">
        <v>492</v>
      </c>
      <c r="N31" s="11" t="s">
        <v>41</v>
      </c>
      <c r="O31" s="18" t="s">
        <v>3010</v>
      </c>
      <c r="P31" s="19">
        <v>0</v>
      </c>
      <c r="Q31" s="19">
        <v>1052294.66</v>
      </c>
      <c r="R31" s="8" t="s">
        <v>34</v>
      </c>
      <c r="S31" s="8" t="s">
        <v>277</v>
      </c>
      <c r="T31" s="8" t="s">
        <v>36</v>
      </c>
      <c r="U31" s="8" t="s">
        <v>663</v>
      </c>
      <c r="V31" s="8" t="s">
        <v>124</v>
      </c>
      <c r="W31" s="8" t="s">
        <v>665</v>
      </c>
      <c r="X31" s="3" t="str">
        <v>俱泰(上海)汽车零部件有限公司</v>
      </c>
      <c r="Y31" s="3" t="str">
        <f>_xlfn.XLOOKUP(X31,'7月份计划'!A:A,'7月份计划'!A:A)</f>
        <v>俱泰(上海)汽车零部件有限公司</v>
      </c>
    </row>
    <row r="32" spans="1:25">
      <c r="A32" s="12" t="s">
        <v>3011</v>
      </c>
      <c r="B32" s="12" t="s">
        <v>32</v>
      </c>
      <c r="C32" s="12" t="s">
        <v>3012</v>
      </c>
      <c r="D32" s="13">
        <v>1</v>
      </c>
      <c r="E32" s="12" t="s">
        <v>3013</v>
      </c>
      <c r="F32" s="14">
        <v>45895</v>
      </c>
      <c r="G32" s="14">
        <v>45895</v>
      </c>
      <c r="H32" s="15" t="s">
        <v>444</v>
      </c>
      <c r="I32" s="12" t="s">
        <v>445</v>
      </c>
      <c r="J32" s="15" t="s">
        <v>41</v>
      </c>
      <c r="K32" s="12" t="s">
        <v>660</v>
      </c>
      <c r="L32" s="15" t="s">
        <v>41</v>
      </c>
      <c r="M32" s="12" t="s">
        <v>492</v>
      </c>
      <c r="N32" s="15" t="s">
        <v>41</v>
      </c>
      <c r="O32" s="20" t="s">
        <v>2688</v>
      </c>
      <c r="P32" s="21">
        <v>0</v>
      </c>
      <c r="Q32" s="21">
        <v>13574.42</v>
      </c>
      <c r="R32" s="12" t="s">
        <v>938</v>
      </c>
      <c r="S32" s="12" t="s">
        <v>253</v>
      </c>
      <c r="T32" s="12" t="s">
        <v>36</v>
      </c>
      <c r="U32" s="12" t="s">
        <v>663</v>
      </c>
      <c r="V32" s="12" t="s">
        <v>3014</v>
      </c>
      <c r="W32" s="12" t="s">
        <v>665</v>
      </c>
      <c r="X32" s="3" t="str">
        <v>长春超力内饰件有限公司</v>
      </c>
      <c r="Y32" s="3" t="str">
        <f>_xlfn.XLOOKUP(X32,'7月份计划'!A:A,'7月份计划'!A:A)</f>
        <v>长春超力内饰件有限公司</v>
      </c>
    </row>
    <row r="33" spans="1:25">
      <c r="A33" s="8" t="s">
        <v>3015</v>
      </c>
      <c r="B33" s="8" t="s">
        <v>32</v>
      </c>
      <c r="C33" s="8" t="s">
        <v>3016</v>
      </c>
      <c r="D33" s="9">
        <v>1</v>
      </c>
      <c r="E33" s="8" t="s">
        <v>3017</v>
      </c>
      <c r="F33" s="10">
        <v>45895</v>
      </c>
      <c r="G33" s="10">
        <v>45895</v>
      </c>
      <c r="H33" s="11" t="s">
        <v>444</v>
      </c>
      <c r="I33" s="8" t="s">
        <v>445</v>
      </c>
      <c r="J33" s="11" t="s">
        <v>41</v>
      </c>
      <c r="K33" s="8" t="s">
        <v>660</v>
      </c>
      <c r="L33" s="11" t="s">
        <v>41</v>
      </c>
      <c r="M33" s="8" t="s">
        <v>492</v>
      </c>
      <c r="N33" s="11" t="s">
        <v>41</v>
      </c>
      <c r="O33" s="18" t="s">
        <v>3018</v>
      </c>
      <c r="P33" s="19">
        <v>0</v>
      </c>
      <c r="Q33" s="19">
        <v>0.01</v>
      </c>
      <c r="R33" s="8" t="s">
        <v>938</v>
      </c>
      <c r="S33" s="8" t="s">
        <v>253</v>
      </c>
      <c r="T33" s="8" t="s">
        <v>36</v>
      </c>
      <c r="U33" s="8" t="s">
        <v>663</v>
      </c>
      <c r="V33" s="8" t="s">
        <v>3019</v>
      </c>
      <c r="W33" s="8" t="s">
        <v>665</v>
      </c>
      <c r="X33" s="3" t="str">
        <v>天津市鹰力目标新材料有限公司</v>
      </c>
      <c r="Y33" s="3" t="str">
        <f>_xlfn.XLOOKUP(X33,'7月份计划'!A:A,'7月份计划'!A:A)</f>
        <v>天津市鹰力目标新材料有限公司</v>
      </c>
    </row>
    <row r="34" spans="1:25">
      <c r="A34" s="12" t="s">
        <v>3020</v>
      </c>
      <c r="B34" s="12" t="s">
        <v>32</v>
      </c>
      <c r="C34" s="12" t="s">
        <v>3021</v>
      </c>
      <c r="D34" s="13">
        <v>1</v>
      </c>
      <c r="E34" s="12" t="s">
        <v>3022</v>
      </c>
      <c r="F34" s="14">
        <v>45895</v>
      </c>
      <c r="G34" s="14">
        <v>45895</v>
      </c>
      <c r="H34" s="15" t="s">
        <v>444</v>
      </c>
      <c r="I34" s="12" t="s">
        <v>445</v>
      </c>
      <c r="J34" s="15" t="s">
        <v>41</v>
      </c>
      <c r="K34" s="12" t="s">
        <v>660</v>
      </c>
      <c r="L34" s="15" t="s">
        <v>41</v>
      </c>
      <c r="M34" s="12" t="s">
        <v>492</v>
      </c>
      <c r="N34" s="15" t="s">
        <v>41</v>
      </c>
      <c r="O34" s="20" t="s">
        <v>2688</v>
      </c>
      <c r="P34" s="21">
        <v>0</v>
      </c>
      <c r="Q34" s="21">
        <v>12513.17</v>
      </c>
      <c r="R34" s="12" t="s">
        <v>909</v>
      </c>
      <c r="S34" s="12" t="s">
        <v>242</v>
      </c>
      <c r="T34" s="12" t="s">
        <v>36</v>
      </c>
      <c r="U34" s="12" t="s">
        <v>663</v>
      </c>
      <c r="V34" s="12" t="s">
        <v>3023</v>
      </c>
      <c r="W34" s="12" t="s">
        <v>665</v>
      </c>
      <c r="X34" s="3" t="str">
        <v>太航常青汽车安全系统(苏州)股</v>
      </c>
      <c r="Y34" s="3" t="e">
        <f>_xlfn.XLOOKUP(X34,'7月份计划'!A:A,'7月份计划'!A:A)</f>
        <v>#N/A</v>
      </c>
    </row>
    <row r="35" spans="1:25">
      <c r="A35" s="8" t="s">
        <v>3024</v>
      </c>
      <c r="B35" s="8" t="s">
        <v>32</v>
      </c>
      <c r="C35" s="8" t="s">
        <v>3025</v>
      </c>
      <c r="D35" s="9">
        <v>1</v>
      </c>
      <c r="E35" s="8" t="s">
        <v>3026</v>
      </c>
      <c r="F35" s="10">
        <v>45895</v>
      </c>
      <c r="G35" s="10">
        <v>45895</v>
      </c>
      <c r="H35" s="11" t="s">
        <v>444</v>
      </c>
      <c r="I35" s="8" t="s">
        <v>445</v>
      </c>
      <c r="J35" s="11" t="s">
        <v>41</v>
      </c>
      <c r="K35" s="8" t="s">
        <v>660</v>
      </c>
      <c r="L35" s="11" t="s">
        <v>41</v>
      </c>
      <c r="M35" s="8" t="s">
        <v>492</v>
      </c>
      <c r="N35" s="11" t="s">
        <v>41</v>
      </c>
      <c r="O35" s="18" t="s">
        <v>2325</v>
      </c>
      <c r="P35" s="19">
        <v>0</v>
      </c>
      <c r="Q35" s="19">
        <v>57921.14</v>
      </c>
      <c r="R35" s="8" t="s">
        <v>686</v>
      </c>
      <c r="S35" s="8" t="s">
        <v>446</v>
      </c>
      <c r="T35" s="8" t="s">
        <v>36</v>
      </c>
      <c r="U35" s="8" t="s">
        <v>663</v>
      </c>
      <c r="V35" s="8" t="s">
        <v>3027</v>
      </c>
      <c r="W35" s="8" t="s">
        <v>665</v>
      </c>
      <c r="X35" s="3" t="str">
        <v>潍坊光华荣昌汽车技术有限公司</v>
      </c>
      <c r="Y35" s="3" t="e">
        <f>_xlfn.XLOOKUP(X35,'7月份计划'!A:A,'7月份计划'!A:A)</f>
        <v>#N/A</v>
      </c>
    </row>
    <row r="36" spans="1:25">
      <c r="A36" s="12" t="s">
        <v>3028</v>
      </c>
      <c r="B36" s="12" t="s">
        <v>32</v>
      </c>
      <c r="C36" s="12" t="s">
        <v>3029</v>
      </c>
      <c r="D36" s="13">
        <v>1</v>
      </c>
      <c r="E36" s="12" t="s">
        <v>3030</v>
      </c>
      <c r="F36" s="14">
        <v>45895</v>
      </c>
      <c r="G36" s="14">
        <v>45895</v>
      </c>
      <c r="H36" s="15" t="s">
        <v>444</v>
      </c>
      <c r="I36" s="12" t="s">
        <v>445</v>
      </c>
      <c r="J36" s="15" t="s">
        <v>41</v>
      </c>
      <c r="K36" s="12" t="s">
        <v>660</v>
      </c>
      <c r="L36" s="15" t="s">
        <v>41</v>
      </c>
      <c r="M36" s="12" t="s">
        <v>492</v>
      </c>
      <c r="N36" s="15" t="s">
        <v>41</v>
      </c>
      <c r="O36" s="20" t="s">
        <v>1994</v>
      </c>
      <c r="P36" s="21">
        <v>0</v>
      </c>
      <c r="Q36" s="21">
        <v>75340.94</v>
      </c>
      <c r="R36" s="12" t="s">
        <v>149</v>
      </c>
      <c r="S36" s="12" t="s">
        <v>251</v>
      </c>
      <c r="T36" s="12" t="s">
        <v>36</v>
      </c>
      <c r="U36" s="12" t="s">
        <v>663</v>
      </c>
      <c r="V36" s="12" t="s">
        <v>210</v>
      </c>
      <c r="W36" s="12" t="s">
        <v>665</v>
      </c>
      <c r="X36" s="3" t="str">
        <v>湘乡简美工贸有限公司</v>
      </c>
      <c r="Y36" s="3" t="str">
        <f>_xlfn.XLOOKUP(X36,'7月份计划'!A:A,'7月份计划'!A:A)</f>
        <v>湘乡简美工贸有限公司</v>
      </c>
    </row>
    <row r="37" spans="1:25">
      <c r="A37" s="8" t="s">
        <v>3031</v>
      </c>
      <c r="B37" s="8" t="s">
        <v>32</v>
      </c>
      <c r="C37" s="8" t="s">
        <v>3032</v>
      </c>
      <c r="D37" s="9">
        <v>1</v>
      </c>
      <c r="E37" s="8" t="s">
        <v>3033</v>
      </c>
      <c r="F37" s="10">
        <v>45895</v>
      </c>
      <c r="G37" s="10">
        <v>45895</v>
      </c>
      <c r="H37" s="11" t="s">
        <v>444</v>
      </c>
      <c r="I37" s="8" t="s">
        <v>445</v>
      </c>
      <c r="J37" s="11" t="s">
        <v>41</v>
      </c>
      <c r="K37" s="8" t="s">
        <v>660</v>
      </c>
      <c r="L37" s="11" t="s">
        <v>41</v>
      </c>
      <c r="M37" s="8" t="s">
        <v>492</v>
      </c>
      <c r="N37" s="11" t="s">
        <v>41</v>
      </c>
      <c r="O37" s="18" t="s">
        <v>2688</v>
      </c>
      <c r="P37" s="19">
        <v>0</v>
      </c>
      <c r="Q37" s="19">
        <v>232642.52</v>
      </c>
      <c r="R37" s="8" t="s">
        <v>952</v>
      </c>
      <c r="S37" s="8" t="s">
        <v>264</v>
      </c>
      <c r="T37" s="8" t="s">
        <v>36</v>
      </c>
      <c r="U37" s="8" t="s">
        <v>663</v>
      </c>
      <c r="V37" s="8" t="s">
        <v>3034</v>
      </c>
      <c r="W37" s="8" t="s">
        <v>665</v>
      </c>
      <c r="X37" s="3" t="str">
        <v>河北光华荣昌汽车部件有限公司</v>
      </c>
      <c r="Y37" s="3" t="e">
        <f>_xlfn.XLOOKUP(X37,'7月份计划'!A:A,'7月份计划'!A:A)</f>
        <v>#N/A</v>
      </c>
    </row>
    <row r="38" spans="1:25">
      <c r="A38" s="12" t="s">
        <v>3031</v>
      </c>
      <c r="B38" s="12" t="s">
        <v>32</v>
      </c>
      <c r="C38" s="12" t="s">
        <v>3032</v>
      </c>
      <c r="D38" s="13">
        <v>3</v>
      </c>
      <c r="E38" s="12" t="s">
        <v>3033</v>
      </c>
      <c r="F38" s="14">
        <v>45895</v>
      </c>
      <c r="G38" s="14">
        <v>45895</v>
      </c>
      <c r="H38" s="15" t="s">
        <v>444</v>
      </c>
      <c r="I38" s="12" t="s">
        <v>445</v>
      </c>
      <c r="J38" s="15" t="s">
        <v>41</v>
      </c>
      <c r="K38" s="12" t="s">
        <v>660</v>
      </c>
      <c r="L38" s="15" t="s">
        <v>41</v>
      </c>
      <c r="M38" s="12" t="s">
        <v>492</v>
      </c>
      <c r="N38" s="15" t="s">
        <v>41</v>
      </c>
      <c r="O38" s="20" t="s">
        <v>2688</v>
      </c>
      <c r="P38" s="21">
        <v>768.81</v>
      </c>
      <c r="Q38" s="21">
        <v>0</v>
      </c>
      <c r="R38" s="12" t="s">
        <v>952</v>
      </c>
      <c r="S38" s="12" t="s">
        <v>264</v>
      </c>
      <c r="T38" s="12" t="s">
        <v>36</v>
      </c>
      <c r="U38" s="12" t="s">
        <v>663</v>
      </c>
      <c r="V38" s="12" t="s">
        <v>3034</v>
      </c>
      <c r="W38" s="12" t="s">
        <v>665</v>
      </c>
      <c r="Y38" s="3">
        <f>_xlfn.XLOOKUP(X38,'7月份计划'!A:A,'7月份计划'!A:A)</f>
        <v>0</v>
      </c>
    </row>
    <row r="39" spans="1:25">
      <c r="A39" s="8" t="s">
        <v>3035</v>
      </c>
      <c r="B39" s="8" t="s">
        <v>32</v>
      </c>
      <c r="C39" s="8" t="s">
        <v>3036</v>
      </c>
      <c r="D39" s="9">
        <v>3</v>
      </c>
      <c r="E39" s="8" t="s">
        <v>3037</v>
      </c>
      <c r="F39" s="10">
        <v>45896</v>
      </c>
      <c r="G39" s="10">
        <v>45896</v>
      </c>
      <c r="H39" s="11" t="s">
        <v>444</v>
      </c>
      <c r="I39" s="8" t="s">
        <v>445</v>
      </c>
      <c r="J39" s="11" t="s">
        <v>41</v>
      </c>
      <c r="K39" s="8" t="s">
        <v>660</v>
      </c>
      <c r="L39" s="11" t="s">
        <v>41</v>
      </c>
      <c r="M39" s="8" t="s">
        <v>492</v>
      </c>
      <c r="N39" s="11" t="s">
        <v>41</v>
      </c>
      <c r="O39" s="18" t="s">
        <v>2688</v>
      </c>
      <c r="P39" s="19">
        <v>2.4</v>
      </c>
      <c r="Q39" s="19">
        <v>0</v>
      </c>
      <c r="R39" s="8" t="s">
        <v>866</v>
      </c>
      <c r="S39" s="8" t="s">
        <v>250</v>
      </c>
      <c r="T39" s="8" t="s">
        <v>36</v>
      </c>
      <c r="U39" s="8" t="s">
        <v>663</v>
      </c>
      <c r="V39" s="8" t="s">
        <v>3038</v>
      </c>
      <c r="W39" s="8" t="s">
        <v>665</v>
      </c>
      <c r="Y39" s="3">
        <f>_xlfn.XLOOKUP(X39,'7月份计划'!A:A,'7月份计划'!A:A)</f>
        <v>0</v>
      </c>
    </row>
    <row r="40" spans="1:25">
      <c r="A40" s="12" t="s">
        <v>3035</v>
      </c>
      <c r="B40" s="12" t="s">
        <v>32</v>
      </c>
      <c r="C40" s="12" t="s">
        <v>3036</v>
      </c>
      <c r="D40" s="13">
        <v>1</v>
      </c>
      <c r="E40" s="12" t="s">
        <v>3037</v>
      </c>
      <c r="F40" s="14">
        <v>45896</v>
      </c>
      <c r="G40" s="14">
        <v>45896</v>
      </c>
      <c r="H40" s="15" t="s">
        <v>444</v>
      </c>
      <c r="I40" s="12" t="s">
        <v>445</v>
      </c>
      <c r="J40" s="15" t="s">
        <v>41</v>
      </c>
      <c r="K40" s="12" t="s">
        <v>660</v>
      </c>
      <c r="L40" s="15" t="s">
        <v>41</v>
      </c>
      <c r="M40" s="12" t="s">
        <v>492</v>
      </c>
      <c r="N40" s="15" t="s">
        <v>41</v>
      </c>
      <c r="O40" s="20" t="s">
        <v>2688</v>
      </c>
      <c r="P40" s="21">
        <v>0</v>
      </c>
      <c r="Q40" s="21">
        <v>92365.41</v>
      </c>
      <c r="R40" s="12" t="s">
        <v>866</v>
      </c>
      <c r="S40" s="12" t="s">
        <v>250</v>
      </c>
      <c r="T40" s="12" t="s">
        <v>36</v>
      </c>
      <c r="U40" s="12" t="s">
        <v>663</v>
      </c>
      <c r="V40" s="12" t="s">
        <v>3038</v>
      </c>
      <c r="W40" s="12" t="s">
        <v>665</v>
      </c>
      <c r="Y40" s="3">
        <f>_xlfn.XLOOKUP(X40,'7月份计划'!A:A,'7月份计划'!A:A)</f>
        <v>0</v>
      </c>
    </row>
    <row r="41" spans="1:25">
      <c r="A41" s="8" t="s">
        <v>3039</v>
      </c>
      <c r="B41" s="8" t="s">
        <v>32</v>
      </c>
      <c r="C41" s="8" t="s">
        <v>3040</v>
      </c>
      <c r="D41" s="9">
        <v>3</v>
      </c>
      <c r="E41" s="8" t="s">
        <v>3041</v>
      </c>
      <c r="F41" s="10">
        <v>45896</v>
      </c>
      <c r="G41" s="10">
        <v>45896</v>
      </c>
      <c r="H41" s="11" t="s">
        <v>444</v>
      </c>
      <c r="I41" s="8" t="s">
        <v>445</v>
      </c>
      <c r="J41" s="11" t="s">
        <v>41</v>
      </c>
      <c r="K41" s="8" t="s">
        <v>660</v>
      </c>
      <c r="L41" s="11" t="s">
        <v>41</v>
      </c>
      <c r="M41" s="8" t="s">
        <v>492</v>
      </c>
      <c r="N41" s="11" t="s">
        <v>41</v>
      </c>
      <c r="O41" s="18" t="s">
        <v>2325</v>
      </c>
      <c r="P41" s="19">
        <v>38</v>
      </c>
      <c r="Q41" s="19">
        <v>0</v>
      </c>
      <c r="R41" s="8" t="s">
        <v>798</v>
      </c>
      <c r="S41" s="8" t="s">
        <v>267</v>
      </c>
      <c r="T41" s="8" t="s">
        <v>36</v>
      </c>
      <c r="U41" s="8" t="s">
        <v>663</v>
      </c>
      <c r="V41" s="8" t="s">
        <v>3042</v>
      </c>
      <c r="W41" s="8" t="s">
        <v>665</v>
      </c>
      <c r="Y41" s="3">
        <f>_xlfn.XLOOKUP(X41,'7月份计划'!A:A,'7月份计划'!A:A)</f>
        <v>0</v>
      </c>
    </row>
    <row r="42" spans="1:25">
      <c r="A42" s="12" t="s">
        <v>3039</v>
      </c>
      <c r="B42" s="12" t="s">
        <v>32</v>
      </c>
      <c r="C42" s="12" t="s">
        <v>3040</v>
      </c>
      <c r="D42" s="13">
        <v>1</v>
      </c>
      <c r="E42" s="12" t="s">
        <v>3041</v>
      </c>
      <c r="F42" s="14">
        <v>45896</v>
      </c>
      <c r="G42" s="14">
        <v>45896</v>
      </c>
      <c r="H42" s="15" t="s">
        <v>444</v>
      </c>
      <c r="I42" s="12" t="s">
        <v>445</v>
      </c>
      <c r="J42" s="15" t="s">
        <v>41</v>
      </c>
      <c r="K42" s="12" t="s">
        <v>660</v>
      </c>
      <c r="L42" s="15" t="s">
        <v>41</v>
      </c>
      <c r="M42" s="12" t="s">
        <v>492</v>
      </c>
      <c r="N42" s="15" t="s">
        <v>41</v>
      </c>
      <c r="O42" s="20" t="s">
        <v>2325</v>
      </c>
      <c r="P42" s="21">
        <v>0</v>
      </c>
      <c r="Q42" s="21">
        <v>1135.12</v>
      </c>
      <c r="R42" s="12" t="s">
        <v>798</v>
      </c>
      <c r="S42" s="12" t="s">
        <v>267</v>
      </c>
      <c r="T42" s="12" t="s">
        <v>36</v>
      </c>
      <c r="U42" s="12" t="s">
        <v>663</v>
      </c>
      <c r="V42" s="12" t="s">
        <v>3042</v>
      </c>
      <c r="W42" s="12" t="s">
        <v>665</v>
      </c>
      <c r="Y42" s="3">
        <f>_xlfn.XLOOKUP(X42,'7月份计划'!A:A,'7月份计划'!A:A)</f>
        <v>0</v>
      </c>
    </row>
    <row r="43" spans="1:25">
      <c r="A43" s="8" t="s">
        <v>3043</v>
      </c>
      <c r="B43" s="8" t="s">
        <v>32</v>
      </c>
      <c r="C43" s="8" t="s">
        <v>3044</v>
      </c>
      <c r="D43" s="9">
        <v>1</v>
      </c>
      <c r="E43" s="8" t="s">
        <v>3045</v>
      </c>
      <c r="F43" s="10">
        <v>45896</v>
      </c>
      <c r="G43" s="10">
        <v>45896</v>
      </c>
      <c r="H43" s="11" t="s">
        <v>444</v>
      </c>
      <c r="I43" s="8" t="s">
        <v>445</v>
      </c>
      <c r="J43" s="11" t="s">
        <v>41</v>
      </c>
      <c r="K43" s="8" t="s">
        <v>660</v>
      </c>
      <c r="L43" s="11" t="s">
        <v>41</v>
      </c>
      <c r="M43" s="8" t="s">
        <v>492</v>
      </c>
      <c r="N43" s="11" t="s">
        <v>41</v>
      </c>
      <c r="O43" s="18" t="s">
        <v>2688</v>
      </c>
      <c r="P43" s="19">
        <v>0</v>
      </c>
      <c r="Q43" s="19">
        <v>3175.86</v>
      </c>
      <c r="R43" s="8" t="s">
        <v>798</v>
      </c>
      <c r="S43" s="8" t="s">
        <v>267</v>
      </c>
      <c r="T43" s="8" t="s">
        <v>36</v>
      </c>
      <c r="U43" s="8" t="s">
        <v>663</v>
      </c>
      <c r="V43" s="8" t="s">
        <v>3046</v>
      </c>
      <c r="W43" s="8" t="s">
        <v>665</v>
      </c>
      <c r="Y43" s="3">
        <f>_xlfn.XLOOKUP(X43,'7月份计划'!A:A,'7月份计划'!A:A)</f>
        <v>0</v>
      </c>
    </row>
    <row r="44" spans="1:25">
      <c r="A44" s="12" t="s">
        <v>3047</v>
      </c>
      <c r="B44" s="12" t="s">
        <v>32</v>
      </c>
      <c r="C44" s="12" t="s">
        <v>3048</v>
      </c>
      <c r="D44" s="13">
        <v>1</v>
      </c>
      <c r="E44" s="12" t="s">
        <v>3049</v>
      </c>
      <c r="F44" s="14">
        <v>45896</v>
      </c>
      <c r="G44" s="14">
        <v>45896</v>
      </c>
      <c r="H44" s="15" t="s">
        <v>444</v>
      </c>
      <c r="I44" s="12" t="s">
        <v>445</v>
      </c>
      <c r="J44" s="15" t="s">
        <v>41</v>
      </c>
      <c r="K44" s="12" t="s">
        <v>660</v>
      </c>
      <c r="L44" s="15" t="s">
        <v>41</v>
      </c>
      <c r="M44" s="12" t="s">
        <v>492</v>
      </c>
      <c r="N44" s="15" t="s">
        <v>41</v>
      </c>
      <c r="O44" s="20" t="s">
        <v>3050</v>
      </c>
      <c r="P44" s="21">
        <v>0</v>
      </c>
      <c r="Q44" s="21">
        <v>0.01</v>
      </c>
      <c r="R44" s="12" t="s">
        <v>798</v>
      </c>
      <c r="S44" s="12" t="s">
        <v>267</v>
      </c>
      <c r="T44" s="12" t="s">
        <v>36</v>
      </c>
      <c r="U44" s="12" t="s">
        <v>663</v>
      </c>
      <c r="V44" s="12" t="s">
        <v>3051</v>
      </c>
      <c r="W44" s="12" t="s">
        <v>665</v>
      </c>
      <c r="Y44" s="3">
        <f>_xlfn.XLOOKUP(X44,'7月份计划'!A:A,'7月份计划'!A:A)</f>
        <v>0</v>
      </c>
    </row>
    <row r="45" spans="1:25">
      <c r="A45" s="8" t="s">
        <v>3052</v>
      </c>
      <c r="B45" s="8" t="s">
        <v>32</v>
      </c>
      <c r="C45" s="8" t="s">
        <v>3053</v>
      </c>
      <c r="D45" s="9">
        <v>3</v>
      </c>
      <c r="E45" s="8" t="s">
        <v>3054</v>
      </c>
      <c r="F45" s="10">
        <v>45896</v>
      </c>
      <c r="G45" s="10">
        <v>45896</v>
      </c>
      <c r="H45" s="11" t="s">
        <v>444</v>
      </c>
      <c r="I45" s="8" t="s">
        <v>445</v>
      </c>
      <c r="J45" s="11" t="s">
        <v>41</v>
      </c>
      <c r="K45" s="8" t="s">
        <v>660</v>
      </c>
      <c r="L45" s="11" t="s">
        <v>41</v>
      </c>
      <c r="M45" s="8" t="s">
        <v>492</v>
      </c>
      <c r="N45" s="11" t="s">
        <v>41</v>
      </c>
      <c r="O45" s="18" t="s">
        <v>3010</v>
      </c>
      <c r="P45" s="19">
        <v>2680</v>
      </c>
      <c r="Q45" s="19">
        <v>0</v>
      </c>
      <c r="R45" s="8" t="s">
        <v>2326</v>
      </c>
      <c r="S45" s="8" t="s">
        <v>600</v>
      </c>
      <c r="T45" s="8" t="s">
        <v>36</v>
      </c>
      <c r="U45" s="8" t="s">
        <v>663</v>
      </c>
      <c r="V45" s="8" t="s">
        <v>3055</v>
      </c>
      <c r="W45" s="8" t="s">
        <v>665</v>
      </c>
      <c r="Y45" s="3">
        <f>_xlfn.XLOOKUP(X45,'7月份计划'!A:A,'7月份计划'!A:A)</f>
        <v>0</v>
      </c>
    </row>
    <row r="46" spans="1:25">
      <c r="A46" s="12" t="s">
        <v>3052</v>
      </c>
      <c r="B46" s="12" t="s">
        <v>32</v>
      </c>
      <c r="C46" s="12" t="s">
        <v>3053</v>
      </c>
      <c r="D46" s="13">
        <v>1</v>
      </c>
      <c r="E46" s="12" t="s">
        <v>3054</v>
      </c>
      <c r="F46" s="14">
        <v>45896</v>
      </c>
      <c r="G46" s="14">
        <v>45896</v>
      </c>
      <c r="H46" s="15" t="s">
        <v>444</v>
      </c>
      <c r="I46" s="12" t="s">
        <v>445</v>
      </c>
      <c r="J46" s="15" t="s">
        <v>41</v>
      </c>
      <c r="K46" s="12" t="s">
        <v>660</v>
      </c>
      <c r="L46" s="15" t="s">
        <v>41</v>
      </c>
      <c r="M46" s="12" t="s">
        <v>492</v>
      </c>
      <c r="N46" s="15" t="s">
        <v>41</v>
      </c>
      <c r="O46" s="20" t="s">
        <v>3010</v>
      </c>
      <c r="P46" s="21">
        <v>0</v>
      </c>
      <c r="Q46" s="21">
        <v>275841.68</v>
      </c>
      <c r="R46" s="12" t="s">
        <v>2326</v>
      </c>
      <c r="S46" s="12" t="s">
        <v>600</v>
      </c>
      <c r="T46" s="12" t="s">
        <v>36</v>
      </c>
      <c r="U46" s="12" t="s">
        <v>663</v>
      </c>
      <c r="V46" s="12" t="s">
        <v>3055</v>
      </c>
      <c r="W46" s="12" t="s">
        <v>665</v>
      </c>
      <c r="Y46" s="3">
        <f>_xlfn.XLOOKUP(X46,'7月份计划'!A:A,'7月份计划'!A:A)</f>
        <v>0</v>
      </c>
    </row>
    <row r="47" spans="1:25">
      <c r="A47" s="8" t="s">
        <v>3056</v>
      </c>
      <c r="B47" s="8" t="s">
        <v>32</v>
      </c>
      <c r="C47" s="8" t="s">
        <v>3057</v>
      </c>
      <c r="D47" s="9">
        <v>1</v>
      </c>
      <c r="E47" s="8" t="s">
        <v>3058</v>
      </c>
      <c r="F47" s="10">
        <v>45896</v>
      </c>
      <c r="G47" s="10">
        <v>45896</v>
      </c>
      <c r="H47" s="11" t="s">
        <v>444</v>
      </c>
      <c r="I47" s="8" t="s">
        <v>445</v>
      </c>
      <c r="J47" s="11" t="s">
        <v>41</v>
      </c>
      <c r="K47" s="8" t="s">
        <v>660</v>
      </c>
      <c r="L47" s="11" t="s">
        <v>41</v>
      </c>
      <c r="M47" s="8" t="s">
        <v>492</v>
      </c>
      <c r="N47" s="11" t="s">
        <v>41</v>
      </c>
      <c r="O47" s="18" t="s">
        <v>3059</v>
      </c>
      <c r="P47" s="19">
        <v>0</v>
      </c>
      <c r="Q47" s="19">
        <v>17208.52</v>
      </c>
      <c r="R47" s="8" t="s">
        <v>881</v>
      </c>
      <c r="S47" s="8" t="s">
        <v>243</v>
      </c>
      <c r="T47" s="8" t="s">
        <v>36</v>
      </c>
      <c r="U47" s="8" t="s">
        <v>663</v>
      </c>
      <c r="V47" s="8" t="s">
        <v>3060</v>
      </c>
      <c r="W47" s="8" t="s">
        <v>665</v>
      </c>
      <c r="Y47" s="3">
        <f>_xlfn.XLOOKUP(X47,'7月份计划'!A:A,'7月份计划'!A:A)</f>
        <v>0</v>
      </c>
    </row>
    <row r="48" spans="1:25">
      <c r="A48" s="12" t="s">
        <v>3061</v>
      </c>
      <c r="B48" s="12" t="s">
        <v>32</v>
      </c>
      <c r="C48" s="12" t="s">
        <v>3062</v>
      </c>
      <c r="D48" s="13">
        <v>1</v>
      </c>
      <c r="E48" s="12" t="s">
        <v>3063</v>
      </c>
      <c r="F48" s="14">
        <v>45896</v>
      </c>
      <c r="G48" s="14">
        <v>45896</v>
      </c>
      <c r="H48" s="15" t="s">
        <v>444</v>
      </c>
      <c r="I48" s="12" t="s">
        <v>445</v>
      </c>
      <c r="J48" s="15" t="s">
        <v>41</v>
      </c>
      <c r="K48" s="12" t="s">
        <v>660</v>
      </c>
      <c r="L48" s="15" t="s">
        <v>41</v>
      </c>
      <c r="M48" s="12" t="s">
        <v>492</v>
      </c>
      <c r="N48" s="15" t="s">
        <v>41</v>
      </c>
      <c r="O48" s="20" t="s">
        <v>3064</v>
      </c>
      <c r="P48" s="21">
        <v>0</v>
      </c>
      <c r="Q48" s="21">
        <v>0.01</v>
      </c>
      <c r="R48" s="12" t="s">
        <v>881</v>
      </c>
      <c r="S48" s="12" t="s">
        <v>243</v>
      </c>
      <c r="T48" s="12" t="s">
        <v>36</v>
      </c>
      <c r="U48" s="12" t="s">
        <v>663</v>
      </c>
      <c r="V48" s="12" t="s">
        <v>3065</v>
      </c>
      <c r="W48" s="12" t="s">
        <v>665</v>
      </c>
      <c r="Y48" s="3">
        <f>_xlfn.XLOOKUP(X48,'7月份计划'!A:A,'7月份计划'!A:A)</f>
        <v>0</v>
      </c>
    </row>
    <row r="49" spans="1:25">
      <c r="A49" s="8" t="s">
        <v>3066</v>
      </c>
      <c r="B49" s="8" t="s">
        <v>32</v>
      </c>
      <c r="C49" s="8" t="s">
        <v>3067</v>
      </c>
      <c r="D49" s="9">
        <v>1</v>
      </c>
      <c r="E49" s="8" t="s">
        <v>3068</v>
      </c>
      <c r="F49" s="10">
        <v>45896</v>
      </c>
      <c r="G49" s="10">
        <v>45896</v>
      </c>
      <c r="H49" s="11" t="s">
        <v>444</v>
      </c>
      <c r="I49" s="8" t="s">
        <v>445</v>
      </c>
      <c r="J49" s="11" t="s">
        <v>41</v>
      </c>
      <c r="K49" s="8" t="s">
        <v>660</v>
      </c>
      <c r="L49" s="11" t="s">
        <v>41</v>
      </c>
      <c r="M49" s="8" t="s">
        <v>492</v>
      </c>
      <c r="N49" s="11" t="s">
        <v>41</v>
      </c>
      <c r="O49" s="18" t="s">
        <v>2688</v>
      </c>
      <c r="P49" s="19">
        <v>0</v>
      </c>
      <c r="Q49" s="19">
        <v>17026.62</v>
      </c>
      <c r="R49" s="8" t="s">
        <v>1057</v>
      </c>
      <c r="S49" s="8" t="s">
        <v>286</v>
      </c>
      <c r="T49" s="8" t="s">
        <v>36</v>
      </c>
      <c r="U49" s="8" t="s">
        <v>663</v>
      </c>
      <c r="V49" s="8" t="s">
        <v>3069</v>
      </c>
      <c r="W49" s="8" t="s">
        <v>665</v>
      </c>
      <c r="Y49" s="3">
        <f>_xlfn.XLOOKUP(X49,'7月份计划'!A:A,'7月份计划'!A:A)</f>
        <v>0</v>
      </c>
    </row>
    <row r="50" spans="1:25">
      <c r="A50" s="12" t="s">
        <v>3070</v>
      </c>
      <c r="B50" s="12" t="s">
        <v>32</v>
      </c>
      <c r="C50" s="12" t="s">
        <v>3071</v>
      </c>
      <c r="D50" s="13">
        <v>1</v>
      </c>
      <c r="E50" s="12" t="s">
        <v>3072</v>
      </c>
      <c r="F50" s="14">
        <v>45896</v>
      </c>
      <c r="G50" s="14">
        <v>45896</v>
      </c>
      <c r="H50" s="15" t="s">
        <v>444</v>
      </c>
      <c r="I50" s="12" t="s">
        <v>445</v>
      </c>
      <c r="J50" s="15" t="s">
        <v>41</v>
      </c>
      <c r="K50" s="12" t="s">
        <v>660</v>
      </c>
      <c r="L50" s="15" t="s">
        <v>41</v>
      </c>
      <c r="M50" s="12" t="s">
        <v>492</v>
      </c>
      <c r="N50" s="15" t="s">
        <v>41</v>
      </c>
      <c r="O50" s="20" t="s">
        <v>2688</v>
      </c>
      <c r="P50" s="21">
        <v>0</v>
      </c>
      <c r="Q50" s="21">
        <v>25087.13</v>
      </c>
      <c r="R50" s="12" t="s">
        <v>1546</v>
      </c>
      <c r="S50" s="12" t="s">
        <v>273</v>
      </c>
      <c r="T50" s="12" t="s">
        <v>36</v>
      </c>
      <c r="U50" s="12" t="s">
        <v>663</v>
      </c>
      <c r="V50" s="12" t="s">
        <v>3073</v>
      </c>
      <c r="W50" s="12" t="s">
        <v>665</v>
      </c>
      <c r="Y50" s="3">
        <f>_xlfn.XLOOKUP(X50,'7月份计划'!A:A,'7月份计划'!A:A)</f>
        <v>0</v>
      </c>
    </row>
    <row r="51" spans="1:25">
      <c r="A51" s="8" t="s">
        <v>3074</v>
      </c>
      <c r="B51" s="8" t="s">
        <v>32</v>
      </c>
      <c r="C51" s="8" t="s">
        <v>3075</v>
      </c>
      <c r="D51" s="9">
        <v>1</v>
      </c>
      <c r="E51" s="8" t="s">
        <v>3076</v>
      </c>
      <c r="F51" s="10">
        <v>45896</v>
      </c>
      <c r="G51" s="10">
        <v>45896</v>
      </c>
      <c r="H51" s="11" t="s">
        <v>444</v>
      </c>
      <c r="I51" s="8" t="s">
        <v>445</v>
      </c>
      <c r="J51" s="11" t="s">
        <v>41</v>
      </c>
      <c r="K51" s="8" t="s">
        <v>660</v>
      </c>
      <c r="L51" s="11" t="s">
        <v>41</v>
      </c>
      <c r="M51" s="8" t="s">
        <v>492</v>
      </c>
      <c r="N51" s="11" t="s">
        <v>41</v>
      </c>
      <c r="O51" s="18" t="s">
        <v>2688</v>
      </c>
      <c r="P51" s="19">
        <v>0</v>
      </c>
      <c r="Q51" s="19">
        <v>52545</v>
      </c>
      <c r="R51" s="8" t="s">
        <v>2352</v>
      </c>
      <c r="S51" s="8" t="s">
        <v>292</v>
      </c>
      <c r="T51" s="8" t="s">
        <v>36</v>
      </c>
      <c r="U51" s="8" t="s">
        <v>663</v>
      </c>
      <c r="V51" s="8" t="s">
        <v>3077</v>
      </c>
      <c r="W51" s="8" t="s">
        <v>665</v>
      </c>
      <c r="Y51" s="3">
        <f>_xlfn.XLOOKUP(X51,'7月份计划'!A:A,'7月份计划'!A:A)</f>
        <v>0</v>
      </c>
    </row>
    <row r="52" spans="1:25">
      <c r="A52" s="12" t="s">
        <v>3078</v>
      </c>
      <c r="B52" s="12" t="s">
        <v>32</v>
      </c>
      <c r="C52" s="12" t="s">
        <v>3079</v>
      </c>
      <c r="D52" s="13">
        <v>1</v>
      </c>
      <c r="E52" s="12" t="s">
        <v>3080</v>
      </c>
      <c r="F52" s="14">
        <v>45896</v>
      </c>
      <c r="G52" s="14">
        <v>45896</v>
      </c>
      <c r="H52" s="15" t="s">
        <v>444</v>
      </c>
      <c r="I52" s="12" t="s">
        <v>445</v>
      </c>
      <c r="J52" s="15" t="s">
        <v>41</v>
      </c>
      <c r="K52" s="12" t="s">
        <v>660</v>
      </c>
      <c r="L52" s="15" t="s">
        <v>41</v>
      </c>
      <c r="M52" s="12" t="s">
        <v>492</v>
      </c>
      <c r="N52" s="15" t="s">
        <v>41</v>
      </c>
      <c r="O52" s="20" t="s">
        <v>3010</v>
      </c>
      <c r="P52" s="21">
        <v>0</v>
      </c>
      <c r="Q52" s="21">
        <v>700.6</v>
      </c>
      <c r="R52" s="12" t="s">
        <v>2352</v>
      </c>
      <c r="S52" s="12" t="s">
        <v>292</v>
      </c>
      <c r="T52" s="12" t="s">
        <v>36</v>
      </c>
      <c r="U52" s="12" t="s">
        <v>663</v>
      </c>
      <c r="V52" s="12" t="s">
        <v>3081</v>
      </c>
      <c r="W52" s="12" t="s">
        <v>665</v>
      </c>
      <c r="Y52" s="3">
        <f>_xlfn.XLOOKUP(X52,'7月份计划'!A:A,'7月份计划'!A:A)</f>
        <v>0</v>
      </c>
    </row>
    <row r="53" spans="1:25">
      <c r="A53" s="8" t="s">
        <v>3082</v>
      </c>
      <c r="B53" s="8" t="s">
        <v>32</v>
      </c>
      <c r="C53" s="8" t="s">
        <v>3083</v>
      </c>
      <c r="D53" s="9">
        <v>1</v>
      </c>
      <c r="E53" s="8" t="s">
        <v>3084</v>
      </c>
      <c r="F53" s="10">
        <v>45896</v>
      </c>
      <c r="G53" s="10">
        <v>45896</v>
      </c>
      <c r="H53" s="11" t="s">
        <v>444</v>
      </c>
      <c r="I53" s="8" t="s">
        <v>445</v>
      </c>
      <c r="J53" s="11" t="s">
        <v>41</v>
      </c>
      <c r="K53" s="8" t="s">
        <v>660</v>
      </c>
      <c r="L53" s="11" t="s">
        <v>41</v>
      </c>
      <c r="M53" s="8" t="s">
        <v>492</v>
      </c>
      <c r="N53" s="11" t="s">
        <v>41</v>
      </c>
      <c r="O53" s="18" t="s">
        <v>2688</v>
      </c>
      <c r="P53" s="19">
        <v>0</v>
      </c>
      <c r="Q53" s="19">
        <v>503.05</v>
      </c>
      <c r="R53" s="8" t="s">
        <v>773</v>
      </c>
      <c r="S53" s="8" t="s">
        <v>417</v>
      </c>
      <c r="T53" s="8" t="s">
        <v>36</v>
      </c>
      <c r="U53" s="8" t="s">
        <v>663</v>
      </c>
      <c r="V53" s="8" t="s">
        <v>3085</v>
      </c>
      <c r="W53" s="8" t="s">
        <v>665</v>
      </c>
      <c r="Y53" s="3">
        <f>_xlfn.XLOOKUP(X53,'7月份计划'!A:A,'7月份计划'!A:A)</f>
        <v>0</v>
      </c>
    </row>
    <row r="54" spans="1:25">
      <c r="A54" s="12" t="s">
        <v>3082</v>
      </c>
      <c r="B54" s="12" t="s">
        <v>32</v>
      </c>
      <c r="C54" s="12" t="s">
        <v>3083</v>
      </c>
      <c r="D54" s="13">
        <v>3</v>
      </c>
      <c r="E54" s="12" t="s">
        <v>3084</v>
      </c>
      <c r="F54" s="14">
        <v>45896</v>
      </c>
      <c r="G54" s="14">
        <v>45896</v>
      </c>
      <c r="H54" s="15" t="s">
        <v>444</v>
      </c>
      <c r="I54" s="12" t="s">
        <v>445</v>
      </c>
      <c r="J54" s="15" t="s">
        <v>41</v>
      </c>
      <c r="K54" s="12" t="s">
        <v>660</v>
      </c>
      <c r="L54" s="15" t="s">
        <v>41</v>
      </c>
      <c r="M54" s="12" t="s">
        <v>492</v>
      </c>
      <c r="N54" s="15" t="s">
        <v>41</v>
      </c>
      <c r="O54" s="20" t="s">
        <v>2688</v>
      </c>
      <c r="P54" s="21">
        <v>8.9</v>
      </c>
      <c r="Q54" s="21">
        <v>0</v>
      </c>
      <c r="R54" s="12" t="s">
        <v>773</v>
      </c>
      <c r="S54" s="12" t="s">
        <v>417</v>
      </c>
      <c r="T54" s="12" t="s">
        <v>36</v>
      </c>
      <c r="U54" s="12" t="s">
        <v>663</v>
      </c>
      <c r="V54" s="12" t="s">
        <v>3085</v>
      </c>
      <c r="W54" s="12" t="s">
        <v>665</v>
      </c>
      <c r="Y54" s="3">
        <f>_xlfn.XLOOKUP(X54,'7月份计划'!A:A,'7月份计划'!A:A)</f>
        <v>0</v>
      </c>
    </row>
    <row r="55" spans="1:25">
      <c r="A55" s="8" t="s">
        <v>3086</v>
      </c>
      <c r="B55" s="8" t="s">
        <v>32</v>
      </c>
      <c r="C55" s="8" t="s">
        <v>3087</v>
      </c>
      <c r="D55" s="9">
        <v>1</v>
      </c>
      <c r="E55" s="8" t="s">
        <v>3088</v>
      </c>
      <c r="F55" s="10">
        <v>45896</v>
      </c>
      <c r="G55" s="10">
        <v>45896</v>
      </c>
      <c r="H55" s="11" t="s">
        <v>444</v>
      </c>
      <c r="I55" s="8" t="s">
        <v>445</v>
      </c>
      <c r="J55" s="11" t="s">
        <v>41</v>
      </c>
      <c r="K55" s="8" t="s">
        <v>660</v>
      </c>
      <c r="L55" s="11" t="s">
        <v>41</v>
      </c>
      <c r="M55" s="8" t="s">
        <v>492</v>
      </c>
      <c r="N55" s="11" t="s">
        <v>41</v>
      </c>
      <c r="O55" s="18" t="s">
        <v>2134</v>
      </c>
      <c r="P55" s="19">
        <v>0</v>
      </c>
      <c r="Q55" s="19">
        <v>113176.55</v>
      </c>
      <c r="R55" s="8" t="s">
        <v>3089</v>
      </c>
      <c r="S55" s="8" t="s">
        <v>499</v>
      </c>
      <c r="T55" s="8" t="s">
        <v>36</v>
      </c>
      <c r="U55" s="8" t="s">
        <v>663</v>
      </c>
      <c r="V55" s="8" t="s">
        <v>3090</v>
      </c>
      <c r="W55" s="8" t="s">
        <v>665</v>
      </c>
      <c r="Y55" s="3">
        <f>_xlfn.XLOOKUP(X55,'7月份计划'!A:A,'7月份计划'!A:A)</f>
        <v>0</v>
      </c>
    </row>
    <row r="56" spans="1:25">
      <c r="A56" s="12" t="s">
        <v>3091</v>
      </c>
      <c r="B56" s="12" t="s">
        <v>32</v>
      </c>
      <c r="C56" s="12" t="s">
        <v>3092</v>
      </c>
      <c r="D56" s="13">
        <v>1</v>
      </c>
      <c r="E56" s="12" t="s">
        <v>3093</v>
      </c>
      <c r="F56" s="14">
        <v>45896</v>
      </c>
      <c r="G56" s="14">
        <v>45896</v>
      </c>
      <c r="H56" s="15" t="s">
        <v>444</v>
      </c>
      <c r="I56" s="12" t="s">
        <v>445</v>
      </c>
      <c r="J56" s="15" t="s">
        <v>41</v>
      </c>
      <c r="K56" s="12" t="s">
        <v>660</v>
      </c>
      <c r="L56" s="15" t="s">
        <v>41</v>
      </c>
      <c r="M56" s="12" t="s">
        <v>492</v>
      </c>
      <c r="N56" s="15" t="s">
        <v>41</v>
      </c>
      <c r="O56" s="20" t="s">
        <v>3094</v>
      </c>
      <c r="P56" s="21">
        <v>0</v>
      </c>
      <c r="Q56" s="21">
        <v>0.01</v>
      </c>
      <c r="R56" s="12" t="s">
        <v>3089</v>
      </c>
      <c r="S56" s="12" t="s">
        <v>499</v>
      </c>
      <c r="T56" s="12" t="s">
        <v>36</v>
      </c>
      <c r="U56" s="12" t="s">
        <v>663</v>
      </c>
      <c r="V56" s="12" t="s">
        <v>3095</v>
      </c>
      <c r="W56" s="12" t="s">
        <v>665</v>
      </c>
      <c r="Y56" s="3">
        <f>_xlfn.XLOOKUP(X56,'7月份计划'!A:A,'7月份计划'!A:A)</f>
        <v>0</v>
      </c>
    </row>
    <row r="57" spans="1:25">
      <c r="A57" s="8" t="s">
        <v>3096</v>
      </c>
      <c r="B57" s="8" t="s">
        <v>32</v>
      </c>
      <c r="C57" s="8" t="s">
        <v>3097</v>
      </c>
      <c r="D57" s="9">
        <v>3</v>
      </c>
      <c r="E57" s="8" t="s">
        <v>3098</v>
      </c>
      <c r="F57" s="10">
        <v>45896</v>
      </c>
      <c r="G57" s="10">
        <v>45896</v>
      </c>
      <c r="H57" s="11" t="s">
        <v>444</v>
      </c>
      <c r="I57" s="8" t="s">
        <v>445</v>
      </c>
      <c r="J57" s="11" t="s">
        <v>41</v>
      </c>
      <c r="K57" s="8" t="s">
        <v>660</v>
      </c>
      <c r="L57" s="11" t="s">
        <v>41</v>
      </c>
      <c r="M57" s="8" t="s">
        <v>492</v>
      </c>
      <c r="N57" s="11" t="s">
        <v>41</v>
      </c>
      <c r="O57" s="18" t="s">
        <v>2905</v>
      </c>
      <c r="P57" s="19">
        <v>562087.11</v>
      </c>
      <c r="Q57" s="19">
        <v>0</v>
      </c>
      <c r="R57" s="8" t="s">
        <v>1552</v>
      </c>
      <c r="S57" s="8" t="s">
        <v>256</v>
      </c>
      <c r="T57" s="8" t="s">
        <v>36</v>
      </c>
      <c r="U57" s="8" t="s">
        <v>663</v>
      </c>
      <c r="V57" s="8" t="s">
        <v>3099</v>
      </c>
      <c r="W57" s="8" t="s">
        <v>665</v>
      </c>
      <c r="Y57" s="3">
        <f>_xlfn.XLOOKUP(X57,'7月份计划'!A:A,'7月份计划'!A:A)</f>
        <v>0</v>
      </c>
    </row>
    <row r="58" spans="1:25">
      <c r="A58" s="12" t="s">
        <v>3096</v>
      </c>
      <c r="B58" s="12" t="s">
        <v>32</v>
      </c>
      <c r="C58" s="12" t="s">
        <v>3097</v>
      </c>
      <c r="D58" s="13">
        <v>1</v>
      </c>
      <c r="E58" s="12" t="s">
        <v>3098</v>
      </c>
      <c r="F58" s="14">
        <v>45896</v>
      </c>
      <c r="G58" s="14">
        <v>45896</v>
      </c>
      <c r="H58" s="15" t="s">
        <v>444</v>
      </c>
      <c r="I58" s="12" t="s">
        <v>445</v>
      </c>
      <c r="J58" s="15" t="s">
        <v>41</v>
      </c>
      <c r="K58" s="12" t="s">
        <v>660</v>
      </c>
      <c r="L58" s="15" t="s">
        <v>41</v>
      </c>
      <c r="M58" s="12" t="s">
        <v>492</v>
      </c>
      <c r="N58" s="15" t="s">
        <v>41</v>
      </c>
      <c r="O58" s="20" t="s">
        <v>2905</v>
      </c>
      <c r="P58" s="21">
        <v>0</v>
      </c>
      <c r="Q58" s="21">
        <v>902060.62</v>
      </c>
      <c r="R58" s="12" t="s">
        <v>1552</v>
      </c>
      <c r="S58" s="12" t="s">
        <v>256</v>
      </c>
      <c r="T58" s="12" t="s">
        <v>36</v>
      </c>
      <c r="U58" s="12" t="s">
        <v>663</v>
      </c>
      <c r="V58" s="12" t="s">
        <v>3099</v>
      </c>
      <c r="W58" s="12" t="s">
        <v>665</v>
      </c>
      <c r="Y58" s="3">
        <f>_xlfn.XLOOKUP(X58,'7月份计划'!A:A,'7月份计划'!A:A)</f>
        <v>0</v>
      </c>
    </row>
    <row r="59" spans="1:25">
      <c r="A59" s="8" t="s">
        <v>3100</v>
      </c>
      <c r="B59" s="8" t="s">
        <v>32</v>
      </c>
      <c r="C59" s="8" t="s">
        <v>3101</v>
      </c>
      <c r="D59" s="9">
        <v>1</v>
      </c>
      <c r="E59" s="8" t="s">
        <v>3102</v>
      </c>
      <c r="F59" s="10">
        <v>45896</v>
      </c>
      <c r="G59" s="10">
        <v>45896</v>
      </c>
      <c r="H59" s="11" t="s">
        <v>444</v>
      </c>
      <c r="I59" s="8" t="s">
        <v>445</v>
      </c>
      <c r="J59" s="11" t="s">
        <v>41</v>
      </c>
      <c r="K59" s="8" t="s">
        <v>660</v>
      </c>
      <c r="L59" s="11" t="s">
        <v>41</v>
      </c>
      <c r="M59" s="8" t="s">
        <v>492</v>
      </c>
      <c r="N59" s="11" t="s">
        <v>41</v>
      </c>
      <c r="O59" s="18" t="s">
        <v>3103</v>
      </c>
      <c r="P59" s="19">
        <v>0.07</v>
      </c>
      <c r="Q59" s="19">
        <v>0</v>
      </c>
      <c r="R59" s="8" t="s">
        <v>1552</v>
      </c>
      <c r="S59" s="8" t="s">
        <v>256</v>
      </c>
      <c r="T59" s="8" t="s">
        <v>36</v>
      </c>
      <c r="U59" s="8" t="s">
        <v>663</v>
      </c>
      <c r="V59" s="8" t="s">
        <v>3104</v>
      </c>
      <c r="W59" s="8" t="s">
        <v>665</v>
      </c>
      <c r="Y59" s="3">
        <f>_xlfn.XLOOKUP(X59,'7月份计划'!A:A,'7月份计划'!A:A)</f>
        <v>0</v>
      </c>
    </row>
    <row r="60" spans="1:25">
      <c r="A60" s="12" t="s">
        <v>3105</v>
      </c>
      <c r="B60" s="12" t="s">
        <v>32</v>
      </c>
      <c r="C60" s="12" t="s">
        <v>3106</v>
      </c>
      <c r="D60" s="13">
        <v>1</v>
      </c>
      <c r="E60" s="12" t="s">
        <v>3107</v>
      </c>
      <c r="F60" s="14">
        <v>45897</v>
      </c>
      <c r="G60" s="14">
        <v>45897</v>
      </c>
      <c r="H60" s="15" t="s">
        <v>444</v>
      </c>
      <c r="I60" s="12" t="s">
        <v>445</v>
      </c>
      <c r="J60" s="15" t="s">
        <v>41</v>
      </c>
      <c r="K60" s="12" t="s">
        <v>660</v>
      </c>
      <c r="L60" s="15" t="s">
        <v>41</v>
      </c>
      <c r="M60" s="12" t="s">
        <v>492</v>
      </c>
      <c r="N60" s="15" t="s">
        <v>41</v>
      </c>
      <c r="O60" s="20" t="s">
        <v>3010</v>
      </c>
      <c r="P60" s="21">
        <v>0</v>
      </c>
      <c r="Q60" s="21">
        <v>427578.8</v>
      </c>
      <c r="R60" s="12" t="s">
        <v>2326</v>
      </c>
      <c r="S60" s="12" t="s">
        <v>600</v>
      </c>
      <c r="T60" s="12" t="s">
        <v>36</v>
      </c>
      <c r="U60" s="12" t="s">
        <v>663</v>
      </c>
      <c r="V60" s="12" t="s">
        <v>3108</v>
      </c>
      <c r="W60" s="12" t="s">
        <v>665</v>
      </c>
      <c r="Y60" s="3">
        <f>_xlfn.XLOOKUP(X60,'7月份计划'!A:A,'7月份计划'!A:A)</f>
        <v>0</v>
      </c>
    </row>
    <row r="61" spans="1:25">
      <c r="A61" s="8" t="s">
        <v>3105</v>
      </c>
      <c r="B61" s="8" t="s">
        <v>32</v>
      </c>
      <c r="C61" s="8" t="s">
        <v>3106</v>
      </c>
      <c r="D61" s="9">
        <v>3</v>
      </c>
      <c r="E61" s="8" t="s">
        <v>3107</v>
      </c>
      <c r="F61" s="10">
        <v>45897</v>
      </c>
      <c r="G61" s="10">
        <v>45897</v>
      </c>
      <c r="H61" s="11" t="s">
        <v>444</v>
      </c>
      <c r="I61" s="8" t="s">
        <v>445</v>
      </c>
      <c r="J61" s="11" t="s">
        <v>41</v>
      </c>
      <c r="K61" s="8" t="s">
        <v>660</v>
      </c>
      <c r="L61" s="11" t="s">
        <v>41</v>
      </c>
      <c r="M61" s="8" t="s">
        <v>492</v>
      </c>
      <c r="N61" s="11" t="s">
        <v>41</v>
      </c>
      <c r="O61" s="18" t="s">
        <v>3010</v>
      </c>
      <c r="P61" s="19">
        <v>91692.85</v>
      </c>
      <c r="Q61" s="19">
        <v>0</v>
      </c>
      <c r="R61" s="8" t="s">
        <v>2326</v>
      </c>
      <c r="S61" s="8" t="s">
        <v>600</v>
      </c>
      <c r="T61" s="8" t="s">
        <v>36</v>
      </c>
      <c r="U61" s="8" t="s">
        <v>663</v>
      </c>
      <c r="V61" s="8" t="s">
        <v>3108</v>
      </c>
      <c r="W61" s="8" t="s">
        <v>665</v>
      </c>
      <c r="Y61" s="3">
        <f>_xlfn.XLOOKUP(X61,'7月份计划'!A:A,'7月份计划'!A:A)</f>
        <v>0</v>
      </c>
    </row>
    <row r="62" spans="1:25">
      <c r="A62" s="12" t="s">
        <v>3109</v>
      </c>
      <c r="B62" s="12" t="s">
        <v>32</v>
      </c>
      <c r="C62" s="12" t="s">
        <v>3110</v>
      </c>
      <c r="D62" s="13">
        <v>1</v>
      </c>
      <c r="E62" s="12" t="s">
        <v>3111</v>
      </c>
      <c r="F62" s="14">
        <v>45897</v>
      </c>
      <c r="G62" s="14">
        <v>45897</v>
      </c>
      <c r="H62" s="15" t="s">
        <v>444</v>
      </c>
      <c r="I62" s="12" t="s">
        <v>445</v>
      </c>
      <c r="J62" s="15" t="s">
        <v>41</v>
      </c>
      <c r="K62" s="12" t="s">
        <v>660</v>
      </c>
      <c r="L62" s="15" t="s">
        <v>41</v>
      </c>
      <c r="M62" s="12" t="s">
        <v>492</v>
      </c>
      <c r="N62" s="15" t="s">
        <v>41</v>
      </c>
      <c r="O62" s="20" t="s">
        <v>3112</v>
      </c>
      <c r="P62" s="21">
        <v>0</v>
      </c>
      <c r="Q62" s="21">
        <v>580477.41</v>
      </c>
      <c r="R62" s="12" t="s">
        <v>3089</v>
      </c>
      <c r="S62" s="12" t="s">
        <v>499</v>
      </c>
      <c r="T62" s="12" t="s">
        <v>36</v>
      </c>
      <c r="U62" s="12" t="s">
        <v>663</v>
      </c>
      <c r="V62" s="12" t="s">
        <v>3113</v>
      </c>
      <c r="W62" s="12" t="s">
        <v>665</v>
      </c>
      <c r="Y62" s="3">
        <f>_xlfn.XLOOKUP(X62,'7月份计划'!A:A,'7月份计划'!A:A)</f>
        <v>0</v>
      </c>
    </row>
    <row r="63" spans="1:25">
      <c r="A63" s="8" t="s">
        <v>3114</v>
      </c>
      <c r="B63" s="8" t="s">
        <v>32</v>
      </c>
      <c r="C63" s="8" t="s">
        <v>3115</v>
      </c>
      <c r="D63" s="9">
        <v>1</v>
      </c>
      <c r="E63" s="8" t="s">
        <v>3116</v>
      </c>
      <c r="F63" s="10">
        <v>45897</v>
      </c>
      <c r="G63" s="10">
        <v>45897</v>
      </c>
      <c r="H63" s="11" t="s">
        <v>444</v>
      </c>
      <c r="I63" s="8" t="s">
        <v>445</v>
      </c>
      <c r="J63" s="11" t="s">
        <v>41</v>
      </c>
      <c r="K63" s="8" t="s">
        <v>660</v>
      </c>
      <c r="L63" s="11" t="s">
        <v>41</v>
      </c>
      <c r="M63" s="8" t="s">
        <v>492</v>
      </c>
      <c r="N63" s="11" t="s">
        <v>41</v>
      </c>
      <c r="O63" s="18" t="s">
        <v>3117</v>
      </c>
      <c r="P63" s="19">
        <v>0</v>
      </c>
      <c r="Q63" s="19">
        <v>51561.24</v>
      </c>
      <c r="R63" s="8" t="s">
        <v>3089</v>
      </c>
      <c r="S63" s="8" t="s">
        <v>499</v>
      </c>
      <c r="T63" s="8" t="s">
        <v>36</v>
      </c>
      <c r="U63" s="8" t="s">
        <v>663</v>
      </c>
      <c r="V63" s="8" t="s">
        <v>3118</v>
      </c>
      <c r="W63" s="8" t="s">
        <v>665</v>
      </c>
      <c r="Y63" s="3">
        <f>_xlfn.XLOOKUP(X63,'7月份计划'!A:A,'7月份计划'!A:A)</f>
        <v>0</v>
      </c>
    </row>
    <row r="64" spans="1:25">
      <c r="A64" s="12" t="s">
        <v>3119</v>
      </c>
      <c r="B64" s="12" t="s">
        <v>32</v>
      </c>
      <c r="C64" s="12" t="s">
        <v>3120</v>
      </c>
      <c r="D64" s="13">
        <v>1</v>
      </c>
      <c r="E64" s="12" t="s">
        <v>3121</v>
      </c>
      <c r="F64" s="14">
        <v>45898</v>
      </c>
      <c r="G64" s="14">
        <v>45898</v>
      </c>
      <c r="H64" s="15" t="s">
        <v>444</v>
      </c>
      <c r="I64" s="12" t="s">
        <v>445</v>
      </c>
      <c r="J64" s="15" t="s">
        <v>41</v>
      </c>
      <c r="K64" s="12" t="s">
        <v>660</v>
      </c>
      <c r="L64" s="15" t="s">
        <v>41</v>
      </c>
      <c r="M64" s="12" t="s">
        <v>492</v>
      </c>
      <c r="N64" s="15" t="s">
        <v>41</v>
      </c>
      <c r="O64" s="20" t="s">
        <v>2688</v>
      </c>
      <c r="P64" s="21">
        <v>0</v>
      </c>
      <c r="Q64" s="21">
        <v>369949.12</v>
      </c>
      <c r="R64" s="12" t="s">
        <v>673</v>
      </c>
      <c r="S64" s="12" t="s">
        <v>451</v>
      </c>
      <c r="T64" s="12" t="s">
        <v>36</v>
      </c>
      <c r="U64" s="12" t="s">
        <v>663</v>
      </c>
      <c r="V64" s="12" t="s">
        <v>3122</v>
      </c>
      <c r="W64" s="12" t="s">
        <v>665</v>
      </c>
      <c r="Y64" s="3">
        <f>_xlfn.XLOOKUP(X64,'7月份计划'!A:A,'7月份计划'!A:A)</f>
        <v>0</v>
      </c>
    </row>
    <row r="65" spans="1:25">
      <c r="A65" s="8" t="s">
        <v>3119</v>
      </c>
      <c r="B65" s="8" t="s">
        <v>32</v>
      </c>
      <c r="C65" s="8" t="s">
        <v>3120</v>
      </c>
      <c r="D65" s="9">
        <v>4</v>
      </c>
      <c r="E65" s="8" t="s">
        <v>3121</v>
      </c>
      <c r="F65" s="10">
        <v>45898</v>
      </c>
      <c r="G65" s="10">
        <v>45898</v>
      </c>
      <c r="H65" s="11" t="s">
        <v>444</v>
      </c>
      <c r="I65" s="8" t="s">
        <v>445</v>
      </c>
      <c r="J65" s="11" t="s">
        <v>41</v>
      </c>
      <c r="K65" s="8" t="s">
        <v>660</v>
      </c>
      <c r="L65" s="11" t="s">
        <v>41</v>
      </c>
      <c r="M65" s="8" t="s">
        <v>492</v>
      </c>
      <c r="N65" s="11" t="s">
        <v>41</v>
      </c>
      <c r="O65" s="18" t="s">
        <v>2688</v>
      </c>
      <c r="P65" s="19">
        <v>5079.69</v>
      </c>
      <c r="Q65" s="19">
        <v>0</v>
      </c>
      <c r="R65" s="8" t="s">
        <v>673</v>
      </c>
      <c r="S65" s="8" t="s">
        <v>451</v>
      </c>
      <c r="T65" s="8" t="s">
        <v>36</v>
      </c>
      <c r="U65" s="8" t="s">
        <v>663</v>
      </c>
      <c r="V65" s="8" t="s">
        <v>3122</v>
      </c>
      <c r="W65" s="8" t="s">
        <v>665</v>
      </c>
      <c r="Y65" s="3">
        <f>_xlfn.XLOOKUP(X65,'7月份计划'!A:A,'7月份计划'!A:A)</f>
        <v>0</v>
      </c>
    </row>
    <row r="66" spans="1:25">
      <c r="A66" s="12" t="s">
        <v>3123</v>
      </c>
      <c r="B66" s="12" t="s">
        <v>32</v>
      </c>
      <c r="C66" s="12" t="s">
        <v>3124</v>
      </c>
      <c r="D66" s="13">
        <v>1</v>
      </c>
      <c r="E66" s="12" t="s">
        <v>3125</v>
      </c>
      <c r="F66" s="14">
        <v>45898</v>
      </c>
      <c r="G66" s="14">
        <v>45898</v>
      </c>
      <c r="H66" s="15" t="s">
        <v>444</v>
      </c>
      <c r="I66" s="12" t="s">
        <v>445</v>
      </c>
      <c r="J66" s="15" t="s">
        <v>41</v>
      </c>
      <c r="K66" s="12" t="s">
        <v>660</v>
      </c>
      <c r="L66" s="15" t="s">
        <v>41</v>
      </c>
      <c r="M66" s="12" t="s">
        <v>492</v>
      </c>
      <c r="N66" s="15" t="s">
        <v>41</v>
      </c>
      <c r="O66" s="20" t="s">
        <v>2688</v>
      </c>
      <c r="P66" s="21">
        <v>0</v>
      </c>
      <c r="Q66" s="21">
        <v>71491.03</v>
      </c>
      <c r="R66" s="12" t="s">
        <v>149</v>
      </c>
      <c r="S66" s="12" t="s">
        <v>251</v>
      </c>
      <c r="T66" s="12" t="s">
        <v>36</v>
      </c>
      <c r="U66" s="12" t="s">
        <v>663</v>
      </c>
      <c r="V66" s="12" t="s">
        <v>215</v>
      </c>
      <c r="W66" s="12" t="s">
        <v>665</v>
      </c>
      <c r="Y66" s="3">
        <f>_xlfn.XLOOKUP(X66,'7月份计划'!A:A,'7月份计划'!A:A)</f>
        <v>0</v>
      </c>
    </row>
    <row r="67" spans="1:25">
      <c r="A67" s="8" t="s">
        <v>3126</v>
      </c>
      <c r="B67" s="8" t="s">
        <v>32</v>
      </c>
      <c r="C67" s="8" t="s">
        <v>3127</v>
      </c>
      <c r="D67" s="9">
        <v>3</v>
      </c>
      <c r="E67" s="8" t="s">
        <v>3128</v>
      </c>
      <c r="F67" s="10">
        <v>45898</v>
      </c>
      <c r="G67" s="10">
        <v>45898</v>
      </c>
      <c r="H67" s="11" t="s">
        <v>444</v>
      </c>
      <c r="I67" s="8" t="s">
        <v>445</v>
      </c>
      <c r="J67" s="11" t="s">
        <v>41</v>
      </c>
      <c r="K67" s="8" t="s">
        <v>660</v>
      </c>
      <c r="L67" s="11" t="s">
        <v>41</v>
      </c>
      <c r="M67" s="8" t="s">
        <v>492</v>
      </c>
      <c r="N67" s="11" t="s">
        <v>41</v>
      </c>
      <c r="O67" s="18" t="s">
        <v>2688</v>
      </c>
      <c r="P67" s="19">
        <v>800</v>
      </c>
      <c r="Q67" s="19">
        <v>0</v>
      </c>
      <c r="R67" s="8" t="s">
        <v>686</v>
      </c>
      <c r="S67" s="8" t="s">
        <v>446</v>
      </c>
      <c r="T67" s="8" t="s">
        <v>36</v>
      </c>
      <c r="U67" s="8" t="s">
        <v>663</v>
      </c>
      <c r="V67" s="8" t="s">
        <v>3129</v>
      </c>
      <c r="W67" s="8" t="s">
        <v>665</v>
      </c>
      <c r="Y67" s="3">
        <f>_xlfn.XLOOKUP(X67,'7月份计划'!A:A,'7月份计划'!A:A)</f>
        <v>0</v>
      </c>
    </row>
    <row r="68" spans="1:25">
      <c r="A68" s="12" t="s">
        <v>3126</v>
      </c>
      <c r="B68" s="12" t="s">
        <v>32</v>
      </c>
      <c r="C68" s="12" t="s">
        <v>3127</v>
      </c>
      <c r="D68" s="13">
        <v>1</v>
      </c>
      <c r="E68" s="12" t="s">
        <v>3128</v>
      </c>
      <c r="F68" s="14">
        <v>45898</v>
      </c>
      <c r="G68" s="14">
        <v>45898</v>
      </c>
      <c r="H68" s="15" t="s">
        <v>444</v>
      </c>
      <c r="I68" s="12" t="s">
        <v>445</v>
      </c>
      <c r="J68" s="15" t="s">
        <v>41</v>
      </c>
      <c r="K68" s="12" t="s">
        <v>660</v>
      </c>
      <c r="L68" s="15" t="s">
        <v>41</v>
      </c>
      <c r="M68" s="12" t="s">
        <v>492</v>
      </c>
      <c r="N68" s="15" t="s">
        <v>41</v>
      </c>
      <c r="O68" s="20" t="s">
        <v>2688</v>
      </c>
      <c r="P68" s="21">
        <v>0</v>
      </c>
      <c r="Q68" s="21">
        <v>40892.4</v>
      </c>
      <c r="R68" s="12" t="s">
        <v>686</v>
      </c>
      <c r="S68" s="12" t="s">
        <v>446</v>
      </c>
      <c r="T68" s="12" t="s">
        <v>36</v>
      </c>
      <c r="U68" s="12" t="s">
        <v>663</v>
      </c>
      <c r="V68" s="12" t="s">
        <v>3129</v>
      </c>
      <c r="W68" s="12" t="s">
        <v>665</v>
      </c>
      <c r="Y68" s="3">
        <f>_xlfn.XLOOKUP(X68,'7月份计划'!A:A,'7月份计划'!A:A)</f>
        <v>0</v>
      </c>
    </row>
    <row r="69" spans="1:25">
      <c r="A69" s="8"/>
      <c r="B69" s="8"/>
      <c r="C69" s="8"/>
      <c r="D69" s="9"/>
      <c r="E69" s="8"/>
      <c r="F69" s="10"/>
      <c r="G69" s="10"/>
      <c r="H69" s="11"/>
      <c r="I69" s="8"/>
      <c r="J69" s="11"/>
      <c r="K69" s="8"/>
      <c r="L69" s="11"/>
      <c r="M69" s="8"/>
      <c r="N69" s="11"/>
      <c r="O69" s="18"/>
      <c r="P69" s="19"/>
      <c r="Q69" s="19"/>
      <c r="R69" s="8"/>
      <c r="S69" s="8"/>
      <c r="T69" s="8"/>
      <c r="U69" s="8"/>
      <c r="V69" s="8"/>
      <c r="W69" s="8"/>
      <c r="Y69" s="3">
        <f>_xlfn.XLOOKUP(X69,'7月份计划'!A:A,'7月份计划'!A:A)</f>
        <v>0</v>
      </c>
    </row>
    <row r="70" spans="1:25">
      <c r="A70" s="12"/>
      <c r="B70" s="12"/>
      <c r="C70" s="12"/>
      <c r="D70" s="13"/>
      <c r="E70" s="12"/>
      <c r="F70" s="14"/>
      <c r="G70" s="14"/>
      <c r="H70" s="15"/>
      <c r="I70" s="12"/>
      <c r="J70" s="15"/>
      <c r="K70" s="12"/>
      <c r="L70" s="15"/>
      <c r="M70" s="12"/>
      <c r="N70" s="15"/>
      <c r="O70" s="20"/>
      <c r="P70" s="21"/>
      <c r="Q70" s="21"/>
      <c r="R70" s="12"/>
      <c r="S70" s="12"/>
      <c r="T70" s="12"/>
      <c r="U70" s="12"/>
      <c r="V70" s="12"/>
      <c r="W70" s="12"/>
      <c r="Y70" s="3">
        <f>_xlfn.XLOOKUP(X70,'7月份计划'!A:A,'7月份计划'!A:A)</f>
        <v>0</v>
      </c>
    </row>
    <row r="71" spans="1:25">
      <c r="A71" s="8"/>
      <c r="B71" s="8"/>
      <c r="C71" s="8"/>
      <c r="D71" s="9"/>
      <c r="E71" s="8"/>
      <c r="F71" s="10"/>
      <c r="G71" s="10"/>
      <c r="H71" s="11"/>
      <c r="I71" s="8"/>
      <c r="J71" s="11"/>
      <c r="K71" s="8"/>
      <c r="L71" s="11"/>
      <c r="M71" s="8"/>
      <c r="N71" s="11"/>
      <c r="O71" s="18"/>
      <c r="P71" s="19"/>
      <c r="Q71" s="19"/>
      <c r="R71" s="8"/>
      <c r="S71" s="8"/>
      <c r="T71" s="8"/>
      <c r="U71" s="8"/>
      <c r="V71" s="8"/>
      <c r="W71" s="8"/>
      <c r="Y71" s="3">
        <f>_xlfn.XLOOKUP(X71,'7月份计划'!A:A,'7月份计划'!A:A)</f>
        <v>0</v>
      </c>
    </row>
    <row r="72" spans="1:25">
      <c r="A72" s="12"/>
      <c r="B72" s="12"/>
      <c r="C72" s="12"/>
      <c r="D72" s="13"/>
      <c r="E72" s="12"/>
      <c r="F72" s="14"/>
      <c r="G72" s="14"/>
      <c r="H72" s="15"/>
      <c r="I72" s="12"/>
      <c r="J72" s="15"/>
      <c r="K72" s="12"/>
      <c r="L72" s="15"/>
      <c r="M72" s="12"/>
      <c r="N72" s="15"/>
      <c r="O72" s="20"/>
      <c r="P72" s="21"/>
      <c r="Q72" s="21"/>
      <c r="R72" s="12"/>
      <c r="S72" s="12"/>
      <c r="T72" s="12"/>
      <c r="U72" s="12"/>
      <c r="V72" s="12"/>
      <c r="W72" s="12"/>
      <c r="Y72" s="3">
        <f>_xlfn.XLOOKUP(X72,'7月份计划'!A:A,'7月份计划'!A:A)</f>
        <v>0</v>
      </c>
    </row>
    <row r="73" spans="1:25">
      <c r="A73" s="8"/>
      <c r="B73" s="8"/>
      <c r="C73" s="8"/>
      <c r="D73" s="9"/>
      <c r="E73" s="8"/>
      <c r="F73" s="10"/>
      <c r="G73" s="10"/>
      <c r="H73" s="11"/>
      <c r="I73" s="8"/>
      <c r="J73" s="11"/>
      <c r="K73" s="8"/>
      <c r="L73" s="11"/>
      <c r="M73" s="8"/>
      <c r="N73" s="11"/>
      <c r="O73" s="18"/>
      <c r="P73" s="19"/>
      <c r="Q73" s="19"/>
      <c r="R73" s="8"/>
      <c r="S73" s="8"/>
      <c r="T73" s="8"/>
      <c r="U73" s="8"/>
      <c r="V73" s="8"/>
      <c r="W73" s="8"/>
      <c r="Y73" s="3">
        <f>_xlfn.XLOOKUP(X73,'7月份计划'!A:A,'7月份计划'!A:A)</f>
        <v>0</v>
      </c>
    </row>
    <row r="74" spans="1:25">
      <c r="A74" s="12"/>
      <c r="B74" s="12"/>
      <c r="C74" s="12"/>
      <c r="D74" s="13"/>
      <c r="E74" s="12"/>
      <c r="F74" s="14"/>
      <c r="G74" s="14"/>
      <c r="H74" s="15"/>
      <c r="I74" s="12"/>
      <c r="J74" s="15"/>
      <c r="K74" s="12"/>
      <c r="L74" s="15"/>
      <c r="M74" s="12"/>
      <c r="N74" s="15"/>
      <c r="O74" s="20"/>
      <c r="P74" s="21"/>
      <c r="Q74" s="21"/>
      <c r="R74" s="12"/>
      <c r="S74" s="12"/>
      <c r="T74" s="12"/>
      <c r="U74" s="12"/>
      <c r="V74" s="12"/>
      <c r="W74" s="12"/>
      <c r="Y74" s="3">
        <f>_xlfn.XLOOKUP(X74,'7月份计划'!A:A,'7月份计划'!A:A)</f>
        <v>0</v>
      </c>
    </row>
    <row r="75" spans="1:25">
      <c r="A75" s="8"/>
      <c r="B75" s="8"/>
      <c r="C75" s="8"/>
      <c r="D75" s="9"/>
      <c r="E75" s="8"/>
      <c r="F75" s="10"/>
      <c r="G75" s="10"/>
      <c r="H75" s="11"/>
      <c r="I75" s="8"/>
      <c r="J75" s="11"/>
      <c r="K75" s="8"/>
      <c r="L75" s="11"/>
      <c r="M75" s="8"/>
      <c r="N75" s="11"/>
      <c r="O75" s="18"/>
      <c r="P75" s="19"/>
      <c r="Q75" s="19"/>
      <c r="R75" s="8"/>
      <c r="S75" s="8"/>
      <c r="T75" s="8"/>
      <c r="U75" s="8"/>
      <c r="V75" s="8"/>
      <c r="W75" s="8"/>
      <c r="Y75" s="3">
        <f>_xlfn.XLOOKUP(X75,'7月份计划'!A:A,'7月份计划'!A:A)</f>
        <v>0</v>
      </c>
    </row>
    <row r="76" spans="1:25">
      <c r="A76" s="12"/>
      <c r="B76" s="12"/>
      <c r="C76" s="12"/>
      <c r="D76" s="13"/>
      <c r="E76" s="12"/>
      <c r="F76" s="14"/>
      <c r="G76" s="14"/>
      <c r="H76" s="15"/>
      <c r="I76" s="12"/>
      <c r="J76" s="15"/>
      <c r="K76" s="12"/>
      <c r="L76" s="15"/>
      <c r="M76" s="12"/>
      <c r="N76" s="15"/>
      <c r="O76" s="20"/>
      <c r="P76" s="21"/>
      <c r="Q76" s="21"/>
      <c r="R76" s="12"/>
      <c r="S76" s="12"/>
      <c r="T76" s="12"/>
      <c r="U76" s="12"/>
      <c r="V76" s="12"/>
      <c r="W76" s="12"/>
      <c r="Y76" s="3">
        <f>_xlfn.XLOOKUP(X76,'7月份计划'!A:A,'7月份计划'!A:A)</f>
        <v>0</v>
      </c>
    </row>
    <row r="77" spans="1:25">
      <c r="A77" s="8"/>
      <c r="B77" s="8"/>
      <c r="C77" s="8"/>
      <c r="D77" s="9"/>
      <c r="E77" s="8"/>
      <c r="F77" s="10"/>
      <c r="G77" s="10"/>
      <c r="H77" s="11"/>
      <c r="I77" s="8"/>
      <c r="J77" s="11"/>
      <c r="K77" s="8"/>
      <c r="L77" s="11"/>
      <c r="M77" s="8"/>
      <c r="N77" s="11"/>
      <c r="O77" s="18"/>
      <c r="P77" s="19"/>
      <c r="Q77" s="19"/>
      <c r="R77" s="8"/>
      <c r="S77" s="8"/>
      <c r="T77" s="8"/>
      <c r="U77" s="8"/>
      <c r="V77" s="8"/>
      <c r="W77" s="8"/>
      <c r="Y77" s="3">
        <f>_xlfn.XLOOKUP(X77,'7月份计划'!A:A,'7月份计划'!A:A)</f>
        <v>0</v>
      </c>
    </row>
    <row r="78" spans="1:25">
      <c r="A78" s="12"/>
      <c r="B78" s="12"/>
      <c r="C78" s="12"/>
      <c r="D78" s="13"/>
      <c r="E78" s="12"/>
      <c r="F78" s="14"/>
      <c r="G78" s="14"/>
      <c r="H78" s="15"/>
      <c r="I78" s="12"/>
      <c r="J78" s="15"/>
      <c r="K78" s="12"/>
      <c r="L78" s="15"/>
      <c r="M78" s="12"/>
      <c r="N78" s="15"/>
      <c r="O78" s="20"/>
      <c r="P78" s="21"/>
      <c r="Q78" s="21"/>
      <c r="R78" s="12"/>
      <c r="S78" s="12"/>
      <c r="T78" s="12"/>
      <c r="U78" s="12"/>
      <c r="V78" s="12"/>
      <c r="W78" s="12"/>
      <c r="Y78" s="3">
        <f>_xlfn.XLOOKUP(X78,'7月份计划'!A:A,'7月份计划'!A:A)</f>
        <v>0</v>
      </c>
    </row>
    <row r="79" spans="1:25">
      <c r="A79" s="8"/>
      <c r="B79" s="8"/>
      <c r="C79" s="8"/>
      <c r="D79" s="9"/>
      <c r="E79" s="8"/>
      <c r="F79" s="10"/>
      <c r="G79" s="10"/>
      <c r="H79" s="11"/>
      <c r="I79" s="8"/>
      <c r="J79" s="11"/>
      <c r="K79" s="8"/>
      <c r="L79" s="11"/>
      <c r="M79" s="8"/>
      <c r="N79" s="11"/>
      <c r="O79" s="18"/>
      <c r="P79" s="19"/>
      <c r="Q79" s="19"/>
      <c r="R79" s="8"/>
      <c r="S79" s="8"/>
      <c r="T79" s="8"/>
      <c r="U79" s="8"/>
      <c r="V79" s="8"/>
      <c r="W79" s="8"/>
      <c r="Y79" s="3">
        <f>_xlfn.XLOOKUP(X79,'7月份计划'!A:A,'7月份计划'!A:A)</f>
        <v>0</v>
      </c>
    </row>
    <row r="80" spans="1:25">
      <c r="A80" s="12"/>
      <c r="B80" s="12"/>
      <c r="C80" s="12"/>
      <c r="D80" s="13"/>
      <c r="E80" s="12"/>
      <c r="F80" s="14"/>
      <c r="G80" s="14"/>
      <c r="H80" s="15"/>
      <c r="I80" s="12"/>
      <c r="J80" s="15"/>
      <c r="K80" s="12"/>
      <c r="L80" s="15"/>
      <c r="M80" s="12"/>
      <c r="N80" s="15"/>
      <c r="O80" s="20"/>
      <c r="P80" s="21"/>
      <c r="Q80" s="21"/>
      <c r="R80" s="12"/>
      <c r="S80" s="12"/>
      <c r="T80" s="12"/>
      <c r="U80" s="12"/>
      <c r="V80" s="12"/>
      <c r="W80" s="12"/>
      <c r="Y80" s="3">
        <f>_xlfn.XLOOKUP(X80,'7月份计划'!A:A,'7月份计划'!A:A)</f>
        <v>0</v>
      </c>
    </row>
    <row r="81" spans="1:25">
      <c r="A81" s="8"/>
      <c r="B81" s="8"/>
      <c r="C81" s="8"/>
      <c r="D81" s="9"/>
      <c r="E81" s="8"/>
      <c r="F81" s="10"/>
      <c r="G81" s="10"/>
      <c r="H81" s="11"/>
      <c r="I81" s="8"/>
      <c r="J81" s="11"/>
      <c r="K81" s="8"/>
      <c r="L81" s="11"/>
      <c r="M81" s="8"/>
      <c r="N81" s="11"/>
      <c r="O81" s="18"/>
      <c r="P81" s="19"/>
      <c r="Q81" s="19"/>
      <c r="R81" s="8"/>
      <c r="S81" s="8"/>
      <c r="T81" s="8"/>
      <c r="U81" s="8"/>
      <c r="V81" s="8"/>
      <c r="W81" s="8"/>
      <c r="Y81" s="3">
        <f>_xlfn.XLOOKUP(X81,'7月份计划'!A:A,'7月份计划'!A:A)</f>
        <v>0</v>
      </c>
    </row>
    <row r="82" spans="1:25">
      <c r="A82" s="12"/>
      <c r="B82" s="12"/>
      <c r="C82" s="12"/>
      <c r="D82" s="13"/>
      <c r="E82" s="12"/>
      <c r="F82" s="14"/>
      <c r="G82" s="14"/>
      <c r="H82" s="15"/>
      <c r="I82" s="12"/>
      <c r="J82" s="15"/>
      <c r="K82" s="12"/>
      <c r="L82" s="15"/>
      <c r="M82" s="12"/>
      <c r="N82" s="15"/>
      <c r="O82" s="20"/>
      <c r="P82" s="21"/>
      <c r="Q82" s="21"/>
      <c r="R82" s="12"/>
      <c r="S82" s="12"/>
      <c r="T82" s="12"/>
      <c r="U82" s="12"/>
      <c r="V82" s="12"/>
      <c r="W82" s="12"/>
      <c r="Y82" s="3">
        <f>_xlfn.XLOOKUP(X82,'7月份计划'!A:A,'7月份计划'!A:A)</f>
        <v>0</v>
      </c>
    </row>
    <row r="83" spans="1:25">
      <c r="A83" s="8"/>
      <c r="B83" s="8"/>
      <c r="C83" s="8"/>
      <c r="D83" s="9"/>
      <c r="E83" s="8"/>
      <c r="F83" s="10"/>
      <c r="G83" s="10"/>
      <c r="H83" s="11"/>
      <c r="I83" s="8"/>
      <c r="J83" s="11"/>
      <c r="K83" s="8"/>
      <c r="L83" s="11"/>
      <c r="M83" s="8"/>
      <c r="N83" s="11"/>
      <c r="O83" s="18"/>
      <c r="P83" s="19"/>
      <c r="Q83" s="19"/>
      <c r="R83" s="8"/>
      <c r="S83" s="8"/>
      <c r="T83" s="8"/>
      <c r="U83" s="8"/>
      <c r="V83" s="8"/>
      <c r="W83" s="8"/>
      <c r="Y83" s="3">
        <f>_xlfn.XLOOKUP(X83,'7月份计划'!A:A,'7月份计划'!A:A)</f>
        <v>0</v>
      </c>
    </row>
    <row r="84" spans="1:25">
      <c r="A84" s="12"/>
      <c r="B84" s="12"/>
      <c r="C84" s="12"/>
      <c r="D84" s="13"/>
      <c r="E84" s="12"/>
      <c r="F84" s="14"/>
      <c r="G84" s="14"/>
      <c r="H84" s="15"/>
      <c r="I84" s="12"/>
      <c r="J84" s="15"/>
      <c r="K84" s="12"/>
      <c r="L84" s="15"/>
      <c r="M84" s="12"/>
      <c r="N84" s="15"/>
      <c r="O84" s="20"/>
      <c r="P84" s="21"/>
      <c r="Q84" s="21"/>
      <c r="R84" s="12"/>
      <c r="S84" s="12"/>
      <c r="T84" s="12"/>
      <c r="U84" s="12"/>
      <c r="V84" s="12"/>
      <c r="W84" s="12"/>
      <c r="Y84" s="3">
        <f>_xlfn.XLOOKUP(X84,'7月份计划'!A:A,'7月份计划'!A:A)</f>
        <v>0</v>
      </c>
    </row>
    <row r="85" spans="1:25">
      <c r="A85" s="8"/>
      <c r="B85" s="8"/>
      <c r="C85" s="8"/>
      <c r="D85" s="9"/>
      <c r="E85" s="8"/>
      <c r="F85" s="10"/>
      <c r="G85" s="10"/>
      <c r="H85" s="11"/>
      <c r="I85" s="8"/>
      <c r="J85" s="11"/>
      <c r="K85" s="8"/>
      <c r="L85" s="11"/>
      <c r="M85" s="8"/>
      <c r="N85" s="11"/>
      <c r="O85" s="18"/>
      <c r="P85" s="19"/>
      <c r="Q85" s="19"/>
      <c r="R85" s="8"/>
      <c r="S85" s="8"/>
      <c r="T85" s="8"/>
      <c r="U85" s="8"/>
      <c r="V85" s="8"/>
      <c r="W85" s="8"/>
      <c r="Y85" s="3">
        <f>_xlfn.XLOOKUP(X85,'7月份计划'!A:A,'7月份计划'!A:A)</f>
        <v>0</v>
      </c>
    </row>
    <row r="86" spans="1:25">
      <c r="A86" s="12"/>
      <c r="B86" s="12"/>
      <c r="C86" s="12"/>
      <c r="D86" s="13"/>
      <c r="E86" s="12"/>
      <c r="F86" s="14"/>
      <c r="G86" s="14"/>
      <c r="H86" s="15"/>
      <c r="I86" s="12"/>
      <c r="J86" s="15"/>
      <c r="K86" s="12"/>
      <c r="L86" s="15"/>
      <c r="M86" s="12"/>
      <c r="N86" s="15"/>
      <c r="O86" s="20"/>
      <c r="P86" s="21"/>
      <c r="Q86" s="21"/>
      <c r="R86" s="12"/>
      <c r="S86" s="12"/>
      <c r="T86" s="12"/>
      <c r="U86" s="12"/>
      <c r="V86" s="12"/>
      <c r="W86" s="12"/>
      <c r="Y86" s="3">
        <f>_xlfn.XLOOKUP(X86,'7月份计划'!A:A,'7月份计划'!A:A)</f>
        <v>0</v>
      </c>
    </row>
    <row r="87" spans="1:25">
      <c r="A87" s="8"/>
      <c r="B87" s="8"/>
      <c r="C87" s="8"/>
      <c r="D87" s="9"/>
      <c r="E87" s="8"/>
      <c r="F87" s="10"/>
      <c r="G87" s="10"/>
      <c r="H87" s="11"/>
      <c r="I87" s="8"/>
      <c r="J87" s="11"/>
      <c r="K87" s="8"/>
      <c r="L87" s="11"/>
      <c r="M87" s="8"/>
      <c r="N87" s="11"/>
      <c r="O87" s="18"/>
      <c r="P87" s="19"/>
      <c r="Q87" s="19"/>
      <c r="R87" s="8"/>
      <c r="S87" s="8"/>
      <c r="T87" s="8"/>
      <c r="U87" s="8"/>
      <c r="V87" s="8"/>
      <c r="W87" s="8"/>
      <c r="Y87" s="3">
        <f>_xlfn.XLOOKUP(X87,'7月份计划'!A:A,'7月份计划'!A:A)</f>
        <v>0</v>
      </c>
    </row>
    <row r="88" spans="1:25">
      <c r="A88" s="12"/>
      <c r="B88" s="12"/>
      <c r="C88" s="12"/>
      <c r="D88" s="13"/>
      <c r="E88" s="12"/>
      <c r="F88" s="14"/>
      <c r="G88" s="14"/>
      <c r="H88" s="15"/>
      <c r="I88" s="12"/>
      <c r="J88" s="15"/>
      <c r="K88" s="12"/>
      <c r="L88" s="15"/>
      <c r="M88" s="12"/>
      <c r="N88" s="15"/>
      <c r="O88" s="20"/>
      <c r="P88" s="21"/>
      <c r="Q88" s="21"/>
      <c r="R88" s="12"/>
      <c r="S88" s="12"/>
      <c r="T88" s="12"/>
      <c r="U88" s="12"/>
      <c r="V88" s="12"/>
      <c r="W88" s="12"/>
      <c r="Y88" s="3">
        <f>_xlfn.XLOOKUP(X88,'7月份计划'!A:A,'7月份计划'!A:A)</f>
        <v>0</v>
      </c>
    </row>
    <row r="89" spans="1:25">
      <c r="A89" s="8"/>
      <c r="B89" s="8"/>
      <c r="C89" s="8"/>
      <c r="D89" s="9"/>
      <c r="E89" s="8"/>
      <c r="F89" s="10"/>
      <c r="G89" s="10"/>
      <c r="H89" s="11"/>
      <c r="I89" s="8"/>
      <c r="J89" s="11"/>
      <c r="K89" s="8"/>
      <c r="L89" s="11"/>
      <c r="M89" s="8"/>
      <c r="N89" s="11"/>
      <c r="O89" s="18"/>
      <c r="P89" s="19"/>
      <c r="Q89" s="19"/>
      <c r="R89" s="8"/>
      <c r="S89" s="8"/>
      <c r="T89" s="8"/>
      <c r="U89" s="8"/>
      <c r="V89" s="8"/>
      <c r="W89" s="8"/>
      <c r="Y89" s="3">
        <f>_xlfn.XLOOKUP(X89,'7月份计划'!A:A,'7月份计划'!A:A)</f>
        <v>0</v>
      </c>
    </row>
    <row r="90" spans="1:25">
      <c r="A90" s="12"/>
      <c r="B90" s="12"/>
      <c r="C90" s="12"/>
      <c r="D90" s="13"/>
      <c r="E90" s="12"/>
      <c r="F90" s="14"/>
      <c r="G90" s="14"/>
      <c r="H90" s="15"/>
      <c r="I90" s="12"/>
      <c r="J90" s="15"/>
      <c r="K90" s="12"/>
      <c r="L90" s="15"/>
      <c r="M90" s="12"/>
      <c r="N90" s="15"/>
      <c r="O90" s="20"/>
      <c r="P90" s="21"/>
      <c r="Q90" s="21"/>
      <c r="R90" s="12"/>
      <c r="S90" s="12"/>
      <c r="T90" s="12"/>
      <c r="U90" s="12"/>
      <c r="V90" s="12"/>
      <c r="W90" s="12"/>
      <c r="Y90" s="3">
        <f>_xlfn.XLOOKUP(X90,'7月份计划'!A:A,'7月份计划'!A:A)</f>
        <v>0</v>
      </c>
    </row>
    <row r="91" spans="1:25">
      <c r="A91" s="8"/>
      <c r="B91" s="8"/>
      <c r="C91" s="8"/>
      <c r="D91" s="9"/>
      <c r="E91" s="8"/>
      <c r="F91" s="10"/>
      <c r="G91" s="10"/>
      <c r="H91" s="11"/>
      <c r="I91" s="8"/>
      <c r="J91" s="11"/>
      <c r="K91" s="8"/>
      <c r="L91" s="11"/>
      <c r="M91" s="8"/>
      <c r="N91" s="11"/>
      <c r="O91" s="18"/>
      <c r="P91" s="19"/>
      <c r="Q91" s="19"/>
      <c r="R91" s="8"/>
      <c r="S91" s="8"/>
      <c r="T91" s="8"/>
      <c r="U91" s="8"/>
      <c r="V91" s="8"/>
      <c r="W91" s="8"/>
      <c r="Y91" s="3">
        <f>_xlfn.XLOOKUP(X91,'7月份计划'!A:A,'7月份计划'!A:A)</f>
        <v>0</v>
      </c>
    </row>
    <row r="92" spans="1:25">
      <c r="A92" s="12"/>
      <c r="B92" s="12"/>
      <c r="C92" s="12"/>
      <c r="D92" s="13"/>
      <c r="E92" s="12"/>
      <c r="F92" s="14"/>
      <c r="G92" s="14"/>
      <c r="H92" s="15"/>
      <c r="I92" s="12"/>
      <c r="J92" s="15"/>
      <c r="K92" s="12"/>
      <c r="L92" s="15"/>
      <c r="M92" s="12"/>
      <c r="N92" s="15"/>
      <c r="O92" s="20"/>
      <c r="P92" s="21"/>
      <c r="Q92" s="21"/>
      <c r="R92" s="12"/>
      <c r="S92" s="12"/>
      <c r="T92" s="12"/>
      <c r="U92" s="12"/>
      <c r="V92" s="12"/>
      <c r="W92" s="12"/>
      <c r="Y92" s="3">
        <f>_xlfn.XLOOKUP(X92,'7月份计划'!A:A,'7月份计划'!A:A)</f>
        <v>0</v>
      </c>
    </row>
    <row r="93" spans="1:25">
      <c r="A93" s="8"/>
      <c r="B93" s="8"/>
      <c r="C93" s="8"/>
      <c r="D93" s="9"/>
      <c r="E93" s="8"/>
      <c r="F93" s="10"/>
      <c r="G93" s="10"/>
      <c r="H93" s="11"/>
      <c r="I93" s="8"/>
      <c r="J93" s="11"/>
      <c r="K93" s="8"/>
      <c r="L93" s="11"/>
      <c r="M93" s="8"/>
      <c r="N93" s="11"/>
      <c r="O93" s="18"/>
      <c r="P93" s="19"/>
      <c r="Q93" s="19"/>
      <c r="R93" s="8"/>
      <c r="S93" s="8"/>
      <c r="T93" s="8"/>
      <c r="U93" s="8"/>
      <c r="V93" s="8"/>
      <c r="W93" s="8"/>
      <c r="Y93" s="3">
        <f>_xlfn.XLOOKUP(X93,'7月份计划'!A:A,'7月份计划'!A:A)</f>
        <v>0</v>
      </c>
    </row>
    <row r="94" spans="1:25">
      <c r="A94" s="12"/>
      <c r="B94" s="12"/>
      <c r="C94" s="12"/>
      <c r="D94" s="13"/>
      <c r="E94" s="12"/>
      <c r="F94" s="14"/>
      <c r="G94" s="14"/>
      <c r="H94" s="15"/>
      <c r="I94" s="12"/>
      <c r="J94" s="15"/>
      <c r="K94" s="12"/>
      <c r="L94" s="15"/>
      <c r="M94" s="12"/>
      <c r="N94" s="15"/>
      <c r="O94" s="20"/>
      <c r="P94" s="21"/>
      <c r="Q94" s="21"/>
      <c r="R94" s="12"/>
      <c r="S94" s="12"/>
      <c r="T94" s="12"/>
      <c r="U94" s="12"/>
      <c r="V94" s="12"/>
      <c r="W94" s="12"/>
      <c r="Y94" s="3">
        <f>_xlfn.XLOOKUP(X94,'7月份计划'!A:A,'7月份计划'!A:A)</f>
        <v>0</v>
      </c>
    </row>
    <row r="95" spans="1:25">
      <c r="A95" s="8"/>
      <c r="B95" s="8"/>
      <c r="C95" s="8"/>
      <c r="D95" s="9"/>
      <c r="E95" s="8"/>
      <c r="F95" s="10"/>
      <c r="G95" s="10"/>
      <c r="H95" s="11"/>
      <c r="I95" s="8"/>
      <c r="J95" s="11"/>
      <c r="K95" s="8"/>
      <c r="L95" s="11"/>
      <c r="M95" s="8"/>
      <c r="N95" s="11"/>
      <c r="O95" s="18"/>
      <c r="P95" s="19"/>
      <c r="Q95" s="19"/>
      <c r="R95" s="8"/>
      <c r="S95" s="8"/>
      <c r="T95" s="8"/>
      <c r="U95" s="8"/>
      <c r="V95" s="8"/>
      <c r="W95" s="8"/>
      <c r="Y95" s="3">
        <f>_xlfn.XLOOKUP(X95,'7月份计划'!A:A,'7月份计划'!A:A)</f>
        <v>0</v>
      </c>
    </row>
    <row r="96" spans="1:25">
      <c r="A96" s="12"/>
      <c r="B96" s="12"/>
      <c r="C96" s="12"/>
      <c r="D96" s="13"/>
      <c r="E96" s="12"/>
      <c r="F96" s="14"/>
      <c r="G96" s="14"/>
      <c r="H96" s="15"/>
      <c r="I96" s="12"/>
      <c r="J96" s="15"/>
      <c r="K96" s="12"/>
      <c r="L96" s="15"/>
      <c r="M96" s="12"/>
      <c r="N96" s="15"/>
      <c r="O96" s="20"/>
      <c r="P96" s="21"/>
      <c r="Q96" s="21"/>
      <c r="R96" s="12"/>
      <c r="S96" s="12"/>
      <c r="T96" s="12"/>
      <c r="U96" s="12"/>
      <c r="V96" s="12"/>
      <c r="W96" s="12"/>
      <c r="Y96" s="3">
        <f>_xlfn.XLOOKUP(X96,'7月份计划'!A:A,'7月份计划'!A:A)</f>
        <v>0</v>
      </c>
    </row>
    <row r="97" spans="1:25">
      <c r="A97" s="8"/>
      <c r="B97" s="8"/>
      <c r="C97" s="8"/>
      <c r="D97" s="9"/>
      <c r="E97" s="8"/>
      <c r="F97" s="10"/>
      <c r="G97" s="10"/>
      <c r="H97" s="11"/>
      <c r="I97" s="8"/>
      <c r="J97" s="11"/>
      <c r="K97" s="8"/>
      <c r="L97" s="11"/>
      <c r="M97" s="8"/>
      <c r="N97" s="11"/>
      <c r="O97" s="18"/>
      <c r="P97" s="19"/>
      <c r="Q97" s="19"/>
      <c r="R97" s="8"/>
      <c r="S97" s="8"/>
      <c r="T97" s="8"/>
      <c r="U97" s="8"/>
      <c r="V97" s="8"/>
      <c r="W97" s="8"/>
      <c r="Y97" s="3">
        <f>_xlfn.XLOOKUP(X97,'7月份计划'!A:A,'7月份计划'!A:A)</f>
        <v>0</v>
      </c>
    </row>
    <row r="98" spans="1:25">
      <c r="A98" s="12"/>
      <c r="B98" s="12"/>
      <c r="C98" s="12"/>
      <c r="D98" s="13"/>
      <c r="E98" s="12"/>
      <c r="F98" s="14"/>
      <c r="G98" s="14"/>
      <c r="H98" s="15"/>
      <c r="I98" s="12"/>
      <c r="J98" s="15"/>
      <c r="K98" s="12"/>
      <c r="L98" s="15"/>
      <c r="M98" s="12"/>
      <c r="N98" s="15"/>
      <c r="O98" s="20"/>
      <c r="P98" s="21"/>
      <c r="Q98" s="21"/>
      <c r="R98" s="12"/>
      <c r="S98" s="12"/>
      <c r="T98" s="12"/>
      <c r="U98" s="12"/>
      <c r="V98" s="12"/>
      <c r="W98" s="12"/>
      <c r="Y98" s="3">
        <f>_xlfn.XLOOKUP(X98,'7月份计划'!A:A,'7月份计划'!A:A)</f>
        <v>0</v>
      </c>
    </row>
    <row r="99" spans="1:25">
      <c r="A99" s="8"/>
      <c r="B99" s="8"/>
      <c r="C99" s="8"/>
      <c r="D99" s="9"/>
      <c r="E99" s="8"/>
      <c r="F99" s="10"/>
      <c r="G99" s="10"/>
      <c r="H99" s="11"/>
      <c r="I99" s="8"/>
      <c r="J99" s="11"/>
      <c r="K99" s="8"/>
      <c r="L99" s="11"/>
      <c r="M99" s="8"/>
      <c r="N99" s="11"/>
      <c r="O99" s="18"/>
      <c r="P99" s="19"/>
      <c r="Q99" s="19"/>
      <c r="R99" s="8"/>
      <c r="S99" s="8"/>
      <c r="T99" s="8"/>
      <c r="U99" s="8"/>
      <c r="V99" s="8"/>
      <c r="W99" s="8"/>
      <c r="Y99" s="3">
        <f>_xlfn.XLOOKUP(X99,'7月份计划'!A:A,'7月份计划'!A:A)</f>
        <v>0</v>
      </c>
    </row>
    <row r="100" spans="1:25">
      <c r="A100" s="12"/>
      <c r="B100" s="12"/>
      <c r="C100" s="12"/>
      <c r="D100" s="13"/>
      <c r="E100" s="12"/>
      <c r="F100" s="14"/>
      <c r="G100" s="14"/>
      <c r="H100" s="15"/>
      <c r="I100" s="12"/>
      <c r="J100" s="15"/>
      <c r="K100" s="12"/>
      <c r="L100" s="15"/>
      <c r="M100" s="12"/>
      <c r="N100" s="15"/>
      <c r="O100" s="20"/>
      <c r="P100" s="21"/>
      <c r="Q100" s="21"/>
      <c r="R100" s="12"/>
      <c r="S100" s="12"/>
      <c r="T100" s="12"/>
      <c r="U100" s="12"/>
      <c r="V100" s="12"/>
      <c r="W100" s="12"/>
      <c r="Y100" s="3">
        <f>_xlfn.XLOOKUP(X100,'7月份计划'!A:A,'7月份计划'!A:A)</f>
        <v>0</v>
      </c>
    </row>
    <row r="101" spans="1:25">
      <c r="A101" s="8"/>
      <c r="B101" s="8"/>
      <c r="C101" s="8"/>
      <c r="D101" s="9"/>
      <c r="E101" s="8"/>
      <c r="F101" s="10"/>
      <c r="G101" s="10"/>
      <c r="H101" s="11"/>
      <c r="I101" s="8"/>
      <c r="J101" s="11"/>
      <c r="K101" s="8"/>
      <c r="L101" s="11"/>
      <c r="M101" s="8"/>
      <c r="N101" s="11"/>
      <c r="O101" s="18"/>
      <c r="P101" s="19"/>
      <c r="Q101" s="19"/>
      <c r="R101" s="8"/>
      <c r="S101" s="8"/>
      <c r="T101" s="8"/>
      <c r="U101" s="8"/>
      <c r="V101" s="8"/>
      <c r="W101" s="8"/>
      <c r="Y101" s="3">
        <f>_xlfn.XLOOKUP(X101,'7月份计划'!A:A,'7月份计划'!A:A)</f>
        <v>0</v>
      </c>
    </row>
    <row r="102" spans="1:25">
      <c r="A102" s="12"/>
      <c r="B102" s="12"/>
      <c r="C102" s="12"/>
      <c r="D102" s="13"/>
      <c r="E102" s="12"/>
      <c r="F102" s="14"/>
      <c r="G102" s="14"/>
      <c r="H102" s="15"/>
      <c r="I102" s="12"/>
      <c r="J102" s="15"/>
      <c r="K102" s="12"/>
      <c r="L102" s="15"/>
      <c r="M102" s="12"/>
      <c r="N102" s="15"/>
      <c r="O102" s="20"/>
      <c r="P102" s="21"/>
      <c r="Q102" s="21"/>
      <c r="R102" s="12"/>
      <c r="S102" s="12"/>
      <c r="T102" s="12"/>
      <c r="U102" s="12"/>
      <c r="V102" s="12"/>
      <c r="W102" s="12"/>
      <c r="Y102" s="3">
        <f>_xlfn.XLOOKUP(X102,'7月份计划'!A:A,'7月份计划'!A:A)</f>
        <v>0</v>
      </c>
    </row>
    <row r="103" spans="1:25">
      <c r="A103" s="8"/>
      <c r="B103" s="8"/>
      <c r="C103" s="8"/>
      <c r="D103" s="9"/>
      <c r="E103" s="8"/>
      <c r="F103" s="10"/>
      <c r="G103" s="10"/>
      <c r="H103" s="11"/>
      <c r="I103" s="8"/>
      <c r="J103" s="11"/>
      <c r="K103" s="8"/>
      <c r="L103" s="11"/>
      <c r="M103" s="8"/>
      <c r="N103" s="11"/>
      <c r="O103" s="18"/>
      <c r="P103" s="19"/>
      <c r="Q103" s="19"/>
      <c r="R103" s="8"/>
      <c r="S103" s="8"/>
      <c r="T103" s="8"/>
      <c r="U103" s="8"/>
      <c r="V103" s="8"/>
      <c r="W103" s="8"/>
      <c r="Y103" s="3">
        <f>_xlfn.XLOOKUP(X103,'7月份计划'!A:A,'7月份计划'!A:A)</f>
        <v>0</v>
      </c>
    </row>
    <row r="104" spans="1:25">
      <c r="A104" s="12"/>
      <c r="B104" s="12"/>
      <c r="C104" s="12"/>
      <c r="D104" s="13"/>
      <c r="E104" s="12"/>
      <c r="F104" s="14"/>
      <c r="G104" s="14"/>
      <c r="H104" s="15"/>
      <c r="I104" s="12"/>
      <c r="J104" s="15"/>
      <c r="K104" s="12"/>
      <c r="L104" s="15"/>
      <c r="M104" s="12"/>
      <c r="N104" s="15"/>
      <c r="O104" s="20"/>
      <c r="P104" s="21"/>
      <c r="Q104" s="21"/>
      <c r="R104" s="12"/>
      <c r="S104" s="12"/>
      <c r="T104" s="12"/>
      <c r="U104" s="12"/>
      <c r="V104" s="12"/>
      <c r="W104" s="12"/>
      <c r="Y104" s="3">
        <f>_xlfn.XLOOKUP(X104,'7月份计划'!A:A,'7月份计划'!A:A)</f>
        <v>0</v>
      </c>
    </row>
    <row r="105" spans="1:25">
      <c r="A105" s="8"/>
      <c r="B105" s="8"/>
      <c r="C105" s="8"/>
      <c r="D105" s="9"/>
      <c r="E105" s="8"/>
      <c r="F105" s="10"/>
      <c r="G105" s="10"/>
      <c r="H105" s="11"/>
      <c r="I105" s="8"/>
      <c r="J105" s="11"/>
      <c r="K105" s="8"/>
      <c r="L105" s="11"/>
      <c r="M105" s="8"/>
      <c r="N105" s="11"/>
      <c r="O105" s="18"/>
      <c r="P105" s="19"/>
      <c r="Q105" s="19"/>
      <c r="R105" s="8"/>
      <c r="S105" s="8"/>
      <c r="T105" s="8"/>
      <c r="U105" s="8"/>
      <c r="V105" s="8"/>
      <c r="W105" s="8"/>
      <c r="Y105" s="3">
        <f>_xlfn.XLOOKUP(X105,'7月份计划'!A:A,'7月份计划'!A:A)</f>
        <v>0</v>
      </c>
    </row>
    <row r="106" spans="1:25">
      <c r="A106" s="12"/>
      <c r="B106" s="12"/>
      <c r="C106" s="12"/>
      <c r="D106" s="13"/>
      <c r="E106" s="12"/>
      <c r="F106" s="14"/>
      <c r="G106" s="14"/>
      <c r="H106" s="15"/>
      <c r="I106" s="12"/>
      <c r="J106" s="15"/>
      <c r="K106" s="12"/>
      <c r="L106" s="15"/>
      <c r="M106" s="12"/>
      <c r="N106" s="15"/>
      <c r="O106" s="20"/>
      <c r="P106" s="21"/>
      <c r="Q106" s="21"/>
      <c r="R106" s="12"/>
      <c r="S106" s="12"/>
      <c r="T106" s="12"/>
      <c r="U106" s="12"/>
      <c r="V106" s="12"/>
      <c r="W106" s="12"/>
      <c r="Y106" s="3">
        <f>_xlfn.XLOOKUP(X106,'7月份计划'!A:A,'7月份计划'!A:A)</f>
        <v>0</v>
      </c>
    </row>
    <row r="107" spans="1:25">
      <c r="A107" s="8"/>
      <c r="B107" s="8"/>
      <c r="C107" s="8"/>
      <c r="D107" s="9"/>
      <c r="E107" s="8"/>
      <c r="F107" s="10"/>
      <c r="G107" s="10"/>
      <c r="H107" s="11"/>
      <c r="I107" s="8"/>
      <c r="J107" s="11"/>
      <c r="K107" s="8"/>
      <c r="L107" s="11"/>
      <c r="M107" s="8"/>
      <c r="N107" s="11"/>
      <c r="O107" s="18"/>
      <c r="P107" s="19"/>
      <c r="Q107" s="19"/>
      <c r="R107" s="8"/>
      <c r="S107" s="8"/>
      <c r="T107" s="8"/>
      <c r="U107" s="8"/>
      <c r="V107" s="8"/>
      <c r="W107" s="8"/>
      <c r="Y107" s="3">
        <f>_xlfn.XLOOKUP(X107,'7月份计划'!A:A,'7月份计划'!A:A)</f>
        <v>0</v>
      </c>
    </row>
    <row r="108" spans="1:25">
      <c r="A108" s="12"/>
      <c r="B108" s="12"/>
      <c r="C108" s="12"/>
      <c r="D108" s="13"/>
      <c r="E108" s="12"/>
      <c r="F108" s="14"/>
      <c r="G108" s="14"/>
      <c r="H108" s="15"/>
      <c r="I108" s="12"/>
      <c r="J108" s="15"/>
      <c r="K108" s="12"/>
      <c r="L108" s="15"/>
      <c r="M108" s="12"/>
      <c r="N108" s="15"/>
      <c r="O108" s="20"/>
      <c r="P108" s="21"/>
      <c r="Q108" s="21"/>
      <c r="R108" s="12"/>
      <c r="S108" s="12"/>
      <c r="T108" s="12"/>
      <c r="U108" s="12"/>
      <c r="V108" s="12"/>
      <c r="W108" s="12"/>
      <c r="Y108" s="3">
        <f>_xlfn.XLOOKUP(X108,'7月份计划'!A:A,'7月份计划'!A:A)</f>
        <v>0</v>
      </c>
    </row>
    <row r="109" spans="1:25">
      <c r="A109" s="8"/>
      <c r="B109" s="8"/>
      <c r="C109" s="8"/>
      <c r="D109" s="9"/>
      <c r="E109" s="8"/>
      <c r="F109" s="10"/>
      <c r="G109" s="10"/>
      <c r="H109" s="11"/>
      <c r="I109" s="8"/>
      <c r="J109" s="11"/>
      <c r="K109" s="8"/>
      <c r="L109" s="11"/>
      <c r="M109" s="8"/>
      <c r="N109" s="11"/>
      <c r="O109" s="18"/>
      <c r="P109" s="19"/>
      <c r="Q109" s="19"/>
      <c r="R109" s="8"/>
      <c r="S109" s="8"/>
      <c r="T109" s="8"/>
      <c r="U109" s="8"/>
      <c r="V109" s="8"/>
      <c r="W109" s="8"/>
      <c r="Y109" s="3">
        <f>_xlfn.XLOOKUP(X109,'7月份计划'!A:A,'7月份计划'!A:A)</f>
        <v>0</v>
      </c>
    </row>
    <row r="110" spans="1:25">
      <c r="A110" s="12"/>
      <c r="B110" s="12"/>
      <c r="C110" s="12"/>
      <c r="D110" s="13"/>
      <c r="E110" s="12"/>
      <c r="F110" s="14"/>
      <c r="G110" s="14"/>
      <c r="H110" s="15"/>
      <c r="I110" s="12"/>
      <c r="J110" s="15"/>
      <c r="K110" s="12"/>
      <c r="L110" s="15"/>
      <c r="M110" s="12"/>
      <c r="N110" s="15"/>
      <c r="O110" s="20"/>
      <c r="P110" s="21"/>
      <c r="Q110" s="21"/>
      <c r="R110" s="12"/>
      <c r="S110" s="12"/>
      <c r="T110" s="12"/>
      <c r="U110" s="12"/>
      <c r="V110" s="12"/>
      <c r="W110" s="12"/>
      <c r="Y110" s="3">
        <f>_xlfn.XLOOKUP(X110,'7月份计划'!A:A,'7月份计划'!A:A)</f>
        <v>0</v>
      </c>
    </row>
    <row r="111" spans="1:25">
      <c r="A111" s="8"/>
      <c r="B111" s="8"/>
      <c r="C111" s="8"/>
      <c r="D111" s="9"/>
      <c r="E111" s="8"/>
      <c r="F111" s="10"/>
      <c r="G111" s="10"/>
      <c r="H111" s="11"/>
      <c r="I111" s="8"/>
      <c r="J111" s="11"/>
      <c r="K111" s="8"/>
      <c r="L111" s="11"/>
      <c r="M111" s="8"/>
      <c r="N111" s="11"/>
      <c r="O111" s="18"/>
      <c r="P111" s="19"/>
      <c r="Q111" s="19"/>
      <c r="R111" s="8"/>
      <c r="S111" s="8"/>
      <c r="T111" s="8"/>
      <c r="U111" s="8"/>
      <c r="V111" s="8"/>
      <c r="W111" s="8"/>
      <c r="Y111" s="3">
        <f>_xlfn.XLOOKUP(X111,'7月份计划'!A:A,'7月份计划'!A:A)</f>
        <v>0</v>
      </c>
    </row>
    <row r="112" spans="1:25">
      <c r="A112" s="12"/>
      <c r="B112" s="12"/>
      <c r="C112" s="12"/>
      <c r="D112" s="13"/>
      <c r="E112" s="12"/>
      <c r="F112" s="14"/>
      <c r="G112" s="14"/>
      <c r="H112" s="15"/>
      <c r="I112" s="12"/>
      <c r="J112" s="15"/>
      <c r="K112" s="12"/>
      <c r="L112" s="15"/>
      <c r="M112" s="12"/>
      <c r="N112" s="15"/>
      <c r="O112" s="20"/>
      <c r="P112" s="21"/>
      <c r="Q112" s="21"/>
      <c r="R112" s="12"/>
      <c r="S112" s="12"/>
      <c r="T112" s="12"/>
      <c r="U112" s="12"/>
      <c r="V112" s="12"/>
      <c r="W112" s="12"/>
      <c r="Y112" s="3">
        <f>_xlfn.XLOOKUP(X112,'7月份计划'!A:A,'7月份计划'!A:A)</f>
        <v>0</v>
      </c>
    </row>
    <row r="113" spans="1:25">
      <c r="A113" s="8"/>
      <c r="B113" s="8"/>
      <c r="C113" s="8"/>
      <c r="D113" s="9"/>
      <c r="E113" s="8"/>
      <c r="F113" s="10"/>
      <c r="G113" s="10"/>
      <c r="H113" s="11"/>
      <c r="I113" s="8"/>
      <c r="J113" s="11"/>
      <c r="K113" s="8"/>
      <c r="L113" s="11"/>
      <c r="M113" s="8"/>
      <c r="N113" s="11"/>
      <c r="O113" s="18"/>
      <c r="P113" s="19"/>
      <c r="Q113" s="19"/>
      <c r="R113" s="8"/>
      <c r="S113" s="8"/>
      <c r="T113" s="8"/>
      <c r="U113" s="8"/>
      <c r="V113" s="8"/>
      <c r="W113" s="8"/>
      <c r="Y113" s="3">
        <f>_xlfn.XLOOKUP(X113,'7月份计划'!A:A,'7月份计划'!A:A)</f>
        <v>0</v>
      </c>
    </row>
    <row r="114" spans="1:25">
      <c r="A114" s="12"/>
      <c r="B114" s="12"/>
      <c r="C114" s="12"/>
      <c r="D114" s="13"/>
      <c r="E114" s="12"/>
      <c r="F114" s="14"/>
      <c r="G114" s="14"/>
      <c r="H114" s="15"/>
      <c r="I114" s="12"/>
      <c r="J114" s="15"/>
      <c r="K114" s="12"/>
      <c r="L114" s="15"/>
      <c r="M114" s="12"/>
      <c r="N114" s="15"/>
      <c r="O114" s="20"/>
      <c r="P114" s="21"/>
      <c r="Q114" s="21"/>
      <c r="R114" s="12"/>
      <c r="S114" s="12"/>
      <c r="T114" s="12"/>
      <c r="U114" s="12"/>
      <c r="V114" s="12"/>
      <c r="W114" s="12"/>
      <c r="Y114" s="3">
        <f>_xlfn.XLOOKUP(X114,'7月份计划'!A:A,'7月份计划'!A:A)</f>
        <v>0</v>
      </c>
    </row>
    <row r="115" spans="1:25">
      <c r="A115" s="8"/>
      <c r="B115" s="8"/>
      <c r="C115" s="8"/>
      <c r="D115" s="9"/>
      <c r="E115" s="8"/>
      <c r="F115" s="10"/>
      <c r="G115" s="10"/>
      <c r="H115" s="11"/>
      <c r="I115" s="8"/>
      <c r="J115" s="11"/>
      <c r="K115" s="8"/>
      <c r="L115" s="11"/>
      <c r="M115" s="8"/>
      <c r="N115" s="11"/>
      <c r="O115" s="18"/>
      <c r="P115" s="19"/>
      <c r="Q115" s="19"/>
      <c r="R115" s="8"/>
      <c r="S115" s="8"/>
      <c r="T115" s="8"/>
      <c r="U115" s="8"/>
      <c r="V115" s="8"/>
      <c r="W115" s="8"/>
      <c r="Y115" s="3">
        <f>_xlfn.XLOOKUP(X115,'7月份计划'!A:A,'7月份计划'!A:A)</f>
        <v>0</v>
      </c>
    </row>
    <row r="116" spans="1:25">
      <c r="A116" s="12"/>
      <c r="B116" s="12"/>
      <c r="C116" s="12"/>
      <c r="D116" s="13"/>
      <c r="E116" s="12"/>
      <c r="F116" s="14"/>
      <c r="G116" s="14"/>
      <c r="H116" s="15"/>
      <c r="I116" s="12"/>
      <c r="J116" s="15"/>
      <c r="K116" s="12"/>
      <c r="L116" s="15"/>
      <c r="M116" s="12"/>
      <c r="N116" s="15"/>
      <c r="O116" s="20"/>
      <c r="P116" s="21"/>
      <c r="Q116" s="21"/>
      <c r="R116" s="12"/>
      <c r="S116" s="12"/>
      <c r="T116" s="12"/>
      <c r="U116" s="12"/>
      <c r="V116" s="12"/>
      <c r="W116" s="12"/>
      <c r="Y116" s="3">
        <f>_xlfn.XLOOKUP(X116,'7月份计划'!A:A,'7月份计划'!A:A)</f>
        <v>0</v>
      </c>
    </row>
    <row r="117" spans="1:25">
      <c r="A117" s="8"/>
      <c r="B117" s="8"/>
      <c r="C117" s="8"/>
      <c r="D117" s="9"/>
      <c r="E117" s="8"/>
      <c r="F117" s="10"/>
      <c r="G117" s="10"/>
      <c r="H117" s="11"/>
      <c r="I117" s="8"/>
      <c r="J117" s="11"/>
      <c r="K117" s="8"/>
      <c r="L117" s="11"/>
      <c r="M117" s="8"/>
      <c r="N117" s="11"/>
      <c r="O117" s="18"/>
      <c r="P117" s="19"/>
      <c r="Q117" s="19"/>
      <c r="R117" s="8"/>
      <c r="S117" s="8"/>
      <c r="T117" s="8"/>
      <c r="U117" s="8"/>
      <c r="V117" s="8"/>
      <c r="W117" s="8"/>
      <c r="Y117" s="3">
        <f>_xlfn.XLOOKUP(X117,'7月份计划'!A:A,'7月份计划'!A:A)</f>
        <v>0</v>
      </c>
    </row>
    <row r="118" spans="1:25">
      <c r="A118" s="12"/>
      <c r="B118" s="12"/>
      <c r="C118" s="12"/>
      <c r="D118" s="13"/>
      <c r="E118" s="12"/>
      <c r="F118" s="14"/>
      <c r="G118" s="14"/>
      <c r="H118" s="15"/>
      <c r="I118" s="12"/>
      <c r="J118" s="15"/>
      <c r="K118" s="12"/>
      <c r="L118" s="15"/>
      <c r="M118" s="12"/>
      <c r="N118" s="15"/>
      <c r="O118" s="20"/>
      <c r="P118" s="21"/>
      <c r="Q118" s="21"/>
      <c r="R118" s="12"/>
      <c r="S118" s="12"/>
      <c r="T118" s="12"/>
      <c r="U118" s="12"/>
      <c r="V118" s="12"/>
      <c r="W118" s="12"/>
      <c r="Y118" s="3">
        <f>_xlfn.XLOOKUP(X118,'7月份计划'!A:A,'7月份计划'!A:A)</f>
        <v>0</v>
      </c>
    </row>
    <row r="119" spans="1:25">
      <c r="A119" s="8"/>
      <c r="B119" s="8"/>
      <c r="C119" s="8"/>
      <c r="D119" s="9"/>
      <c r="E119" s="8"/>
      <c r="F119" s="10"/>
      <c r="G119" s="10"/>
      <c r="H119" s="11"/>
      <c r="I119" s="8"/>
      <c r="J119" s="11"/>
      <c r="K119" s="8"/>
      <c r="L119" s="11"/>
      <c r="M119" s="8"/>
      <c r="N119" s="11"/>
      <c r="O119" s="18"/>
      <c r="P119" s="19"/>
      <c r="Q119" s="19"/>
      <c r="R119" s="8"/>
      <c r="S119" s="8"/>
      <c r="T119" s="8"/>
      <c r="U119" s="8"/>
      <c r="V119" s="8"/>
      <c r="W119" s="8"/>
      <c r="Y119" s="3">
        <f>_xlfn.XLOOKUP(X119,'7月份计划'!A:A,'7月份计划'!A:A)</f>
        <v>0</v>
      </c>
    </row>
    <row r="120" spans="1:25">
      <c r="A120" s="12"/>
      <c r="B120" s="12"/>
      <c r="C120" s="12"/>
      <c r="D120" s="13"/>
      <c r="E120" s="12"/>
      <c r="F120" s="14"/>
      <c r="G120" s="14"/>
      <c r="H120" s="15"/>
      <c r="I120" s="12"/>
      <c r="J120" s="15"/>
      <c r="K120" s="12"/>
      <c r="L120" s="15"/>
      <c r="M120" s="12"/>
      <c r="N120" s="15"/>
      <c r="O120" s="20"/>
      <c r="P120" s="21"/>
      <c r="Q120" s="21"/>
      <c r="R120" s="12"/>
      <c r="S120" s="12"/>
      <c r="T120" s="12"/>
      <c r="U120" s="12"/>
      <c r="V120" s="12"/>
      <c r="W120" s="12"/>
      <c r="Y120" s="3">
        <f>_xlfn.XLOOKUP(X120,'7月份计划'!A:A,'7月份计划'!A:A)</f>
        <v>0</v>
      </c>
    </row>
    <row r="121" spans="1:25">
      <c r="A121" s="8"/>
      <c r="B121" s="8"/>
      <c r="C121" s="8"/>
      <c r="D121" s="9"/>
      <c r="E121" s="8"/>
      <c r="F121" s="10"/>
      <c r="G121" s="10"/>
      <c r="H121" s="11"/>
      <c r="I121" s="8"/>
      <c r="J121" s="11"/>
      <c r="K121" s="8"/>
      <c r="L121" s="11"/>
      <c r="M121" s="8"/>
      <c r="N121" s="11"/>
      <c r="O121" s="18"/>
      <c r="P121" s="19"/>
      <c r="Q121" s="19"/>
      <c r="R121" s="8"/>
      <c r="S121" s="8"/>
      <c r="T121" s="8"/>
      <c r="U121" s="8"/>
      <c r="V121" s="8"/>
      <c r="W121" s="8"/>
      <c r="Y121" s="3">
        <f>_xlfn.XLOOKUP(X121,'7月份计划'!A:A,'7月份计划'!A:A)</f>
        <v>0</v>
      </c>
    </row>
    <row r="122" spans="1:25">
      <c r="A122" s="12"/>
      <c r="B122" s="12"/>
      <c r="C122" s="12"/>
      <c r="D122" s="13"/>
      <c r="E122" s="12"/>
      <c r="F122" s="14"/>
      <c r="G122" s="14"/>
      <c r="H122" s="15"/>
      <c r="I122" s="12"/>
      <c r="J122" s="15"/>
      <c r="K122" s="12"/>
      <c r="L122" s="15"/>
      <c r="M122" s="12"/>
      <c r="N122" s="15"/>
      <c r="O122" s="20"/>
      <c r="P122" s="21"/>
      <c r="Q122" s="21"/>
      <c r="R122" s="12"/>
      <c r="S122" s="12"/>
      <c r="T122" s="12"/>
      <c r="U122" s="12"/>
      <c r="V122" s="12"/>
      <c r="W122" s="12"/>
      <c r="Y122" s="3">
        <f>_xlfn.XLOOKUP(X122,'7月份计划'!A:A,'7月份计划'!A:A)</f>
        <v>0</v>
      </c>
    </row>
    <row r="123" spans="1:25">
      <c r="A123" s="8"/>
      <c r="B123" s="8"/>
      <c r="C123" s="8"/>
      <c r="D123" s="9"/>
      <c r="E123" s="8"/>
      <c r="F123" s="10"/>
      <c r="G123" s="10"/>
      <c r="H123" s="11"/>
      <c r="I123" s="8"/>
      <c r="J123" s="11"/>
      <c r="K123" s="8"/>
      <c r="L123" s="11"/>
      <c r="M123" s="8"/>
      <c r="N123" s="11"/>
      <c r="O123" s="18"/>
      <c r="P123" s="19"/>
      <c r="Q123" s="19"/>
      <c r="R123" s="8"/>
      <c r="S123" s="8"/>
      <c r="T123" s="8"/>
      <c r="U123" s="8"/>
      <c r="V123" s="8"/>
      <c r="W123" s="8"/>
      <c r="Y123" s="3">
        <f>_xlfn.XLOOKUP(X123,'7月份计划'!A:A,'7月份计划'!A:A)</f>
        <v>0</v>
      </c>
    </row>
    <row r="124" spans="1:25">
      <c r="A124" s="12"/>
      <c r="B124" s="12"/>
      <c r="C124" s="12"/>
      <c r="D124" s="13"/>
      <c r="E124" s="12"/>
      <c r="F124" s="14"/>
      <c r="G124" s="14"/>
      <c r="H124" s="15"/>
      <c r="I124" s="12"/>
      <c r="J124" s="15"/>
      <c r="K124" s="12"/>
      <c r="L124" s="15"/>
      <c r="M124" s="12"/>
      <c r="N124" s="15"/>
      <c r="O124" s="20"/>
      <c r="P124" s="21"/>
      <c r="Q124" s="21"/>
      <c r="R124" s="12"/>
      <c r="S124" s="12"/>
      <c r="T124" s="12"/>
      <c r="U124" s="12"/>
      <c r="V124" s="12"/>
      <c r="W124" s="12"/>
      <c r="Y124" s="3">
        <f>_xlfn.XLOOKUP(X124,'7月份计划'!A:A,'7月份计划'!A:A)</f>
        <v>0</v>
      </c>
    </row>
    <row r="125" spans="1:25">
      <c r="A125" s="8"/>
      <c r="B125" s="8"/>
      <c r="C125" s="8"/>
      <c r="D125" s="9"/>
      <c r="E125" s="8"/>
      <c r="F125" s="10"/>
      <c r="G125" s="10"/>
      <c r="H125" s="11"/>
      <c r="I125" s="8"/>
      <c r="J125" s="11"/>
      <c r="K125" s="8"/>
      <c r="L125" s="11"/>
      <c r="M125" s="8"/>
      <c r="N125" s="11"/>
      <c r="O125" s="18"/>
      <c r="P125" s="19"/>
      <c r="Q125" s="19"/>
      <c r="R125" s="8"/>
      <c r="S125" s="8"/>
      <c r="T125" s="8"/>
      <c r="U125" s="8"/>
      <c r="V125" s="8"/>
      <c r="W125" s="8"/>
      <c r="Y125" s="3">
        <f>_xlfn.XLOOKUP(X125,'7月份计划'!A:A,'7月份计划'!A:A)</f>
        <v>0</v>
      </c>
    </row>
    <row r="126" spans="1:25">
      <c r="A126" s="12"/>
      <c r="B126" s="12"/>
      <c r="C126" s="12"/>
      <c r="D126" s="13"/>
      <c r="E126" s="12"/>
      <c r="F126" s="14"/>
      <c r="G126" s="14"/>
      <c r="H126" s="15"/>
      <c r="I126" s="12"/>
      <c r="J126" s="15"/>
      <c r="K126" s="12"/>
      <c r="L126" s="15"/>
      <c r="M126" s="12"/>
      <c r="N126" s="15"/>
      <c r="O126" s="20"/>
      <c r="P126" s="21"/>
      <c r="Q126" s="21"/>
      <c r="R126" s="12"/>
      <c r="S126" s="12"/>
      <c r="T126" s="12"/>
      <c r="U126" s="12"/>
      <c r="V126" s="12"/>
      <c r="W126" s="12"/>
      <c r="Y126" s="3">
        <f>_xlfn.XLOOKUP(X126,'7月份计划'!A:A,'7月份计划'!A:A)</f>
        <v>0</v>
      </c>
    </row>
    <row r="127" spans="1:25">
      <c r="A127" s="8"/>
      <c r="B127" s="8"/>
      <c r="C127" s="8"/>
      <c r="D127" s="9"/>
      <c r="E127" s="8"/>
      <c r="F127" s="10"/>
      <c r="G127" s="10"/>
      <c r="H127" s="11"/>
      <c r="I127" s="8"/>
      <c r="J127" s="11"/>
      <c r="K127" s="8"/>
      <c r="L127" s="11"/>
      <c r="M127" s="8"/>
      <c r="N127" s="11"/>
      <c r="O127" s="18"/>
      <c r="P127" s="19"/>
      <c r="Q127" s="19"/>
      <c r="R127" s="8"/>
      <c r="S127" s="8"/>
      <c r="T127" s="8"/>
      <c r="U127" s="8"/>
      <c r="V127" s="8"/>
      <c r="W127" s="8"/>
      <c r="Y127" s="3">
        <f>_xlfn.XLOOKUP(X127,'7月份计划'!A:A,'7月份计划'!A:A)</f>
        <v>0</v>
      </c>
    </row>
    <row r="128" spans="1:25">
      <c r="A128" s="12"/>
      <c r="B128" s="12"/>
      <c r="C128" s="12"/>
      <c r="D128" s="13"/>
      <c r="E128" s="12"/>
      <c r="F128" s="14"/>
      <c r="G128" s="14"/>
      <c r="H128" s="15"/>
      <c r="I128" s="12"/>
      <c r="J128" s="15"/>
      <c r="K128" s="12"/>
      <c r="L128" s="15"/>
      <c r="M128" s="12"/>
      <c r="N128" s="15"/>
      <c r="O128" s="20"/>
      <c r="P128" s="21"/>
      <c r="Q128" s="21"/>
      <c r="R128" s="12"/>
      <c r="S128" s="12"/>
      <c r="T128" s="12"/>
      <c r="U128" s="12"/>
      <c r="V128" s="12"/>
      <c r="W128" s="12"/>
      <c r="Y128" s="3">
        <f>_xlfn.XLOOKUP(X128,'7月份计划'!A:A,'7月份计划'!A:A)</f>
        <v>0</v>
      </c>
    </row>
    <row r="129" spans="1:25">
      <c r="A129" s="8"/>
      <c r="B129" s="8"/>
      <c r="C129" s="8"/>
      <c r="D129" s="9"/>
      <c r="E129" s="8"/>
      <c r="F129" s="10"/>
      <c r="G129" s="10"/>
      <c r="H129" s="11"/>
      <c r="I129" s="8"/>
      <c r="J129" s="11"/>
      <c r="K129" s="8"/>
      <c r="L129" s="11"/>
      <c r="M129" s="8"/>
      <c r="N129" s="11"/>
      <c r="O129" s="18"/>
      <c r="P129" s="19"/>
      <c r="Q129" s="19"/>
      <c r="R129" s="8"/>
      <c r="S129" s="8"/>
      <c r="T129" s="8"/>
      <c r="U129" s="8"/>
      <c r="V129" s="8"/>
      <c r="W129" s="8"/>
      <c r="Y129" s="3">
        <f>_xlfn.XLOOKUP(X129,'7月份计划'!A:A,'7月份计划'!A:A)</f>
        <v>0</v>
      </c>
    </row>
    <row r="130" spans="1:25">
      <c r="A130" s="12"/>
      <c r="B130" s="12"/>
      <c r="C130" s="12"/>
      <c r="D130" s="13"/>
      <c r="E130" s="12"/>
      <c r="F130" s="14"/>
      <c r="G130" s="14"/>
      <c r="H130" s="15"/>
      <c r="I130" s="12"/>
      <c r="J130" s="15"/>
      <c r="K130" s="12"/>
      <c r="L130" s="15"/>
      <c r="M130" s="12"/>
      <c r="N130" s="15"/>
      <c r="O130" s="20"/>
      <c r="P130" s="21"/>
      <c r="Q130" s="21"/>
      <c r="R130" s="12"/>
      <c r="S130" s="12"/>
      <c r="T130" s="12"/>
      <c r="U130" s="12"/>
      <c r="V130" s="12"/>
      <c r="W130" s="12"/>
      <c r="Y130" s="3">
        <f>_xlfn.XLOOKUP(X130,'7月份计划'!A:A,'7月份计划'!A:A)</f>
        <v>0</v>
      </c>
    </row>
    <row r="131" spans="1:25">
      <c r="A131" s="8"/>
      <c r="B131" s="8"/>
      <c r="C131" s="8"/>
      <c r="D131" s="9"/>
      <c r="E131" s="8"/>
      <c r="F131" s="10"/>
      <c r="G131" s="10"/>
      <c r="H131" s="11"/>
      <c r="I131" s="8"/>
      <c r="J131" s="11"/>
      <c r="K131" s="8"/>
      <c r="L131" s="11"/>
      <c r="M131" s="8"/>
      <c r="N131" s="11"/>
      <c r="O131" s="18"/>
      <c r="P131" s="19"/>
      <c r="Q131" s="19"/>
      <c r="R131" s="8"/>
      <c r="S131" s="8"/>
      <c r="T131" s="8"/>
      <c r="U131" s="8"/>
      <c r="V131" s="8"/>
      <c r="W131" s="8"/>
      <c r="Y131" s="3">
        <f>_xlfn.XLOOKUP(X131,'7月份计划'!A:A,'7月份计划'!A:A)</f>
        <v>0</v>
      </c>
    </row>
    <row r="132" spans="1:25">
      <c r="A132" s="12"/>
      <c r="B132" s="12"/>
      <c r="C132" s="12"/>
      <c r="D132" s="13"/>
      <c r="E132" s="12"/>
      <c r="F132" s="14"/>
      <c r="G132" s="14"/>
      <c r="H132" s="15"/>
      <c r="I132" s="12"/>
      <c r="J132" s="15"/>
      <c r="K132" s="12"/>
      <c r="L132" s="15"/>
      <c r="M132" s="12"/>
      <c r="N132" s="15"/>
      <c r="O132" s="20"/>
      <c r="P132" s="21"/>
      <c r="Q132" s="21"/>
      <c r="R132" s="12"/>
      <c r="S132" s="12"/>
      <c r="T132" s="12"/>
      <c r="U132" s="12"/>
      <c r="V132" s="12"/>
      <c r="W132" s="12"/>
      <c r="Y132" s="3">
        <f>_xlfn.XLOOKUP(X132,'7月份计划'!A:A,'7月份计划'!A:A)</f>
        <v>0</v>
      </c>
    </row>
    <row r="133" spans="1:25">
      <c r="A133" s="8"/>
      <c r="B133" s="8"/>
      <c r="C133" s="8"/>
      <c r="D133" s="9"/>
      <c r="E133" s="8"/>
      <c r="F133" s="10"/>
      <c r="G133" s="10"/>
      <c r="H133" s="11"/>
      <c r="I133" s="8"/>
      <c r="J133" s="11"/>
      <c r="K133" s="8"/>
      <c r="L133" s="11"/>
      <c r="M133" s="8"/>
      <c r="N133" s="11"/>
      <c r="O133" s="18"/>
      <c r="P133" s="19"/>
      <c r="Q133" s="19"/>
      <c r="R133" s="8"/>
      <c r="S133" s="8"/>
      <c r="T133" s="8"/>
      <c r="U133" s="8"/>
      <c r="V133" s="8"/>
      <c r="W133" s="8"/>
      <c r="Y133" s="3">
        <f>_xlfn.XLOOKUP(X133,'7月份计划'!A:A,'7月份计划'!A:A)</f>
        <v>0</v>
      </c>
    </row>
    <row r="134" spans="1:25">
      <c r="A134" s="12"/>
      <c r="B134" s="12"/>
      <c r="C134" s="12"/>
      <c r="D134" s="13"/>
      <c r="E134" s="12"/>
      <c r="F134" s="14"/>
      <c r="G134" s="14"/>
      <c r="H134" s="15"/>
      <c r="I134" s="12"/>
      <c r="J134" s="15"/>
      <c r="K134" s="12"/>
      <c r="L134" s="15"/>
      <c r="M134" s="12"/>
      <c r="N134" s="15"/>
      <c r="O134" s="20"/>
      <c r="P134" s="21"/>
      <c r="Q134" s="21"/>
      <c r="R134" s="12"/>
      <c r="S134" s="12"/>
      <c r="T134" s="12"/>
      <c r="U134" s="12"/>
      <c r="V134" s="12"/>
      <c r="W134" s="12"/>
      <c r="Y134" s="3">
        <f>_xlfn.XLOOKUP(X134,'7月份计划'!A:A,'7月份计划'!A:A)</f>
        <v>0</v>
      </c>
    </row>
    <row r="135" spans="1:25">
      <c r="A135" s="8"/>
      <c r="B135" s="8"/>
      <c r="C135" s="8"/>
      <c r="D135" s="9"/>
      <c r="E135" s="8"/>
      <c r="F135" s="10"/>
      <c r="G135" s="10"/>
      <c r="H135" s="11"/>
      <c r="I135" s="8"/>
      <c r="J135" s="11"/>
      <c r="K135" s="8"/>
      <c r="L135" s="11"/>
      <c r="M135" s="8"/>
      <c r="N135" s="11"/>
      <c r="O135" s="18"/>
      <c r="P135" s="19"/>
      <c r="Q135" s="19"/>
      <c r="R135" s="8"/>
      <c r="S135" s="8"/>
      <c r="T135" s="8"/>
      <c r="U135" s="8"/>
      <c r="V135" s="8"/>
      <c r="W135" s="8"/>
      <c r="Y135" s="3">
        <f>_xlfn.XLOOKUP(X135,'7月份计划'!A:A,'7月份计划'!A:A)</f>
        <v>0</v>
      </c>
    </row>
    <row r="136" spans="1:25">
      <c r="A136" s="12"/>
      <c r="B136" s="12"/>
      <c r="C136" s="12"/>
      <c r="D136" s="13"/>
      <c r="E136" s="12"/>
      <c r="F136" s="14"/>
      <c r="G136" s="14"/>
      <c r="H136" s="15"/>
      <c r="I136" s="12"/>
      <c r="J136" s="15"/>
      <c r="K136" s="12"/>
      <c r="L136" s="15"/>
      <c r="M136" s="12"/>
      <c r="N136" s="15"/>
      <c r="O136" s="20"/>
      <c r="P136" s="21"/>
      <c r="Q136" s="21"/>
      <c r="R136" s="12"/>
      <c r="S136" s="12"/>
      <c r="T136" s="12"/>
      <c r="U136" s="12"/>
      <c r="V136" s="12"/>
      <c r="W136" s="12"/>
      <c r="Y136" s="3">
        <f>_xlfn.XLOOKUP(X136,'7月份计划'!A:A,'7月份计划'!A:A)</f>
        <v>0</v>
      </c>
    </row>
    <row r="137" spans="1:25">
      <c r="A137" s="8"/>
      <c r="B137" s="8"/>
      <c r="C137" s="8"/>
      <c r="D137" s="9"/>
      <c r="E137" s="8"/>
      <c r="F137" s="10"/>
      <c r="G137" s="10"/>
      <c r="H137" s="11"/>
      <c r="I137" s="8"/>
      <c r="J137" s="11"/>
      <c r="K137" s="8"/>
      <c r="L137" s="11"/>
      <c r="M137" s="8"/>
      <c r="N137" s="11"/>
      <c r="O137" s="18"/>
      <c r="P137" s="19"/>
      <c r="Q137" s="19"/>
      <c r="R137" s="8"/>
      <c r="S137" s="8"/>
      <c r="T137" s="8"/>
      <c r="U137" s="8"/>
      <c r="V137" s="8"/>
      <c r="W137" s="8"/>
      <c r="Y137" s="3">
        <f>_xlfn.XLOOKUP(X137,'7月份计划'!A:A,'7月份计划'!A:A)</f>
        <v>0</v>
      </c>
    </row>
    <row r="138" spans="1:25">
      <c r="A138" s="12"/>
      <c r="B138" s="12"/>
      <c r="C138" s="12"/>
      <c r="D138" s="13"/>
      <c r="E138" s="12"/>
      <c r="F138" s="14"/>
      <c r="G138" s="14"/>
      <c r="H138" s="15"/>
      <c r="I138" s="12"/>
      <c r="J138" s="15"/>
      <c r="K138" s="12"/>
      <c r="L138" s="15"/>
      <c r="M138" s="12"/>
      <c r="N138" s="15"/>
      <c r="O138" s="20"/>
      <c r="P138" s="21"/>
      <c r="Q138" s="21"/>
      <c r="R138" s="12"/>
      <c r="S138" s="12"/>
      <c r="T138" s="12"/>
      <c r="U138" s="12"/>
      <c r="V138" s="12"/>
      <c r="W138" s="12"/>
      <c r="Y138" s="3">
        <f>_xlfn.XLOOKUP(X138,'7月份计划'!A:A,'7月份计划'!A:A)</f>
        <v>0</v>
      </c>
    </row>
    <row r="139" spans="1:25">
      <c r="A139" s="8"/>
      <c r="B139" s="8"/>
      <c r="C139" s="8"/>
      <c r="D139" s="9"/>
      <c r="E139" s="8"/>
      <c r="F139" s="10"/>
      <c r="G139" s="10"/>
      <c r="H139" s="11"/>
      <c r="I139" s="8"/>
      <c r="J139" s="11"/>
      <c r="K139" s="8"/>
      <c r="L139" s="11"/>
      <c r="M139" s="8"/>
      <c r="N139" s="11"/>
      <c r="O139" s="18"/>
      <c r="P139" s="19"/>
      <c r="Q139" s="19"/>
      <c r="R139" s="8"/>
      <c r="S139" s="8"/>
      <c r="T139" s="8"/>
      <c r="U139" s="8"/>
      <c r="V139" s="8"/>
      <c r="W139" s="8"/>
      <c r="Y139" s="3">
        <f>_xlfn.XLOOKUP(X139,'7月份计划'!A:A,'7月份计划'!A:A)</f>
        <v>0</v>
      </c>
    </row>
    <row r="140" spans="1:25">
      <c r="A140" s="12"/>
      <c r="B140" s="12"/>
      <c r="C140" s="12"/>
      <c r="D140" s="13"/>
      <c r="E140" s="12"/>
      <c r="F140" s="14"/>
      <c r="G140" s="14"/>
      <c r="H140" s="15"/>
      <c r="I140" s="12"/>
      <c r="J140" s="15"/>
      <c r="K140" s="12"/>
      <c r="L140" s="15"/>
      <c r="M140" s="12"/>
      <c r="N140" s="15"/>
      <c r="O140" s="20"/>
      <c r="P140" s="21"/>
      <c r="Q140" s="21"/>
      <c r="R140" s="12"/>
      <c r="S140" s="12"/>
      <c r="T140" s="12"/>
      <c r="U140" s="12"/>
      <c r="V140" s="12"/>
      <c r="W140" s="12"/>
      <c r="Y140" s="3">
        <f>_xlfn.XLOOKUP(X140,'7月份计划'!A:A,'7月份计划'!A:A)</f>
        <v>0</v>
      </c>
    </row>
    <row r="141" spans="1:25">
      <c r="A141" s="8"/>
      <c r="B141" s="8"/>
      <c r="C141" s="8"/>
      <c r="D141" s="9"/>
      <c r="E141" s="8"/>
      <c r="F141" s="10"/>
      <c r="G141" s="10"/>
      <c r="H141" s="11"/>
      <c r="I141" s="8"/>
      <c r="J141" s="11"/>
      <c r="K141" s="8"/>
      <c r="L141" s="11"/>
      <c r="M141" s="8"/>
      <c r="N141" s="11"/>
      <c r="O141" s="18"/>
      <c r="P141" s="19"/>
      <c r="Q141" s="19"/>
      <c r="R141" s="8"/>
      <c r="S141" s="8"/>
      <c r="T141" s="8"/>
      <c r="U141" s="8"/>
      <c r="V141" s="8"/>
      <c r="W141" s="8"/>
      <c r="Y141" s="3">
        <f>_xlfn.XLOOKUP(X141,'7月份计划'!A:A,'7月份计划'!A:A)</f>
        <v>0</v>
      </c>
    </row>
    <row r="142" spans="1:25">
      <c r="A142" s="12"/>
      <c r="B142" s="12"/>
      <c r="C142" s="12"/>
      <c r="D142" s="13"/>
      <c r="E142" s="12"/>
      <c r="F142" s="14"/>
      <c r="G142" s="14"/>
      <c r="H142" s="15"/>
      <c r="I142" s="12"/>
      <c r="J142" s="15"/>
      <c r="K142" s="12"/>
      <c r="L142" s="15"/>
      <c r="M142" s="12"/>
      <c r="N142" s="15"/>
      <c r="O142" s="20"/>
      <c r="P142" s="21"/>
      <c r="Q142" s="21"/>
      <c r="R142" s="12"/>
      <c r="S142" s="12"/>
      <c r="T142" s="12"/>
      <c r="U142" s="12"/>
      <c r="V142" s="12"/>
      <c r="W142" s="12"/>
      <c r="Y142" s="3">
        <f>_xlfn.XLOOKUP(X142,'7月份计划'!A:A,'7月份计划'!A:A)</f>
        <v>0</v>
      </c>
    </row>
    <row r="143" spans="1:25">
      <c r="A143" s="8"/>
      <c r="B143" s="8"/>
      <c r="C143" s="8"/>
      <c r="D143" s="9"/>
      <c r="E143" s="8"/>
      <c r="F143" s="10"/>
      <c r="G143" s="10"/>
      <c r="H143" s="11"/>
      <c r="I143" s="8"/>
      <c r="J143" s="11"/>
      <c r="K143" s="8"/>
      <c r="L143" s="11"/>
      <c r="M143" s="8"/>
      <c r="N143" s="11"/>
      <c r="O143" s="18"/>
      <c r="P143" s="19"/>
      <c r="Q143" s="19"/>
      <c r="R143" s="8"/>
      <c r="S143" s="8"/>
      <c r="T143" s="8"/>
      <c r="U143" s="8"/>
      <c r="V143" s="8"/>
      <c r="W143" s="8"/>
      <c r="Y143" s="3">
        <f>_xlfn.XLOOKUP(X143,'7月份计划'!A:A,'7月份计划'!A:A)</f>
        <v>0</v>
      </c>
    </row>
    <row r="144" spans="1:25">
      <c r="A144" s="12"/>
      <c r="B144" s="12"/>
      <c r="C144" s="12"/>
      <c r="D144" s="13"/>
      <c r="E144" s="12"/>
      <c r="F144" s="14"/>
      <c r="G144" s="14"/>
      <c r="H144" s="15"/>
      <c r="I144" s="12"/>
      <c r="J144" s="15"/>
      <c r="K144" s="12"/>
      <c r="L144" s="15"/>
      <c r="M144" s="12"/>
      <c r="N144" s="15"/>
      <c r="O144" s="20"/>
      <c r="P144" s="21"/>
      <c r="Q144" s="21"/>
      <c r="R144" s="12"/>
      <c r="S144" s="12"/>
      <c r="T144" s="12"/>
      <c r="U144" s="12"/>
      <c r="V144" s="12"/>
      <c r="W144" s="12"/>
      <c r="Y144" s="3">
        <f>_xlfn.XLOOKUP(X144,'7月份计划'!A:A,'7月份计划'!A:A)</f>
        <v>0</v>
      </c>
    </row>
    <row r="145" spans="1:25">
      <c r="A145" s="8"/>
      <c r="B145" s="8"/>
      <c r="C145" s="8"/>
      <c r="D145" s="9"/>
      <c r="E145" s="8"/>
      <c r="F145" s="10"/>
      <c r="G145" s="10"/>
      <c r="H145" s="11"/>
      <c r="I145" s="8"/>
      <c r="J145" s="11"/>
      <c r="K145" s="8"/>
      <c r="L145" s="11"/>
      <c r="M145" s="8"/>
      <c r="N145" s="11"/>
      <c r="O145" s="18"/>
      <c r="P145" s="19"/>
      <c r="Q145" s="19"/>
      <c r="R145" s="8"/>
      <c r="S145" s="8"/>
      <c r="T145" s="8"/>
      <c r="U145" s="8"/>
      <c r="V145" s="8"/>
      <c r="W145" s="8"/>
      <c r="Y145" s="3">
        <f>_xlfn.XLOOKUP(X145,'7月份计划'!A:A,'7月份计划'!A:A)</f>
        <v>0</v>
      </c>
    </row>
    <row r="146" spans="1:25">
      <c r="A146" s="12"/>
      <c r="B146" s="12"/>
      <c r="C146" s="12"/>
      <c r="D146" s="13"/>
      <c r="E146" s="12"/>
      <c r="F146" s="14"/>
      <c r="G146" s="14"/>
      <c r="H146" s="15"/>
      <c r="I146" s="12"/>
      <c r="J146" s="15"/>
      <c r="K146" s="12"/>
      <c r="L146" s="15"/>
      <c r="M146" s="12"/>
      <c r="N146" s="15"/>
      <c r="O146" s="20"/>
      <c r="P146" s="21"/>
      <c r="Q146" s="21"/>
      <c r="R146" s="12"/>
      <c r="S146" s="12"/>
      <c r="T146" s="12"/>
      <c r="U146" s="12"/>
      <c r="V146" s="12"/>
      <c r="W146" s="12"/>
      <c r="Y146" s="3">
        <f>_xlfn.XLOOKUP(X146,'7月份计划'!A:A,'7月份计划'!A:A)</f>
        <v>0</v>
      </c>
    </row>
    <row r="147" spans="1:25">
      <c r="A147" s="8"/>
      <c r="B147" s="8"/>
      <c r="C147" s="8"/>
      <c r="D147" s="9"/>
      <c r="E147" s="8"/>
      <c r="F147" s="10"/>
      <c r="G147" s="10"/>
      <c r="H147" s="11"/>
      <c r="I147" s="8"/>
      <c r="J147" s="11"/>
      <c r="K147" s="8"/>
      <c r="L147" s="11"/>
      <c r="M147" s="8"/>
      <c r="N147" s="11"/>
      <c r="O147" s="18"/>
      <c r="P147" s="19"/>
      <c r="Q147" s="19"/>
      <c r="R147" s="8"/>
      <c r="S147" s="8"/>
      <c r="T147" s="8"/>
      <c r="U147" s="8"/>
      <c r="V147" s="8"/>
      <c r="W147" s="8"/>
      <c r="Y147" s="3">
        <f>_xlfn.XLOOKUP(X147,'7月份计划'!A:A,'7月份计划'!A:A)</f>
        <v>0</v>
      </c>
    </row>
    <row r="148" spans="1:25">
      <c r="A148" s="12"/>
      <c r="B148" s="12"/>
      <c r="C148" s="12"/>
      <c r="D148" s="13"/>
      <c r="E148" s="12"/>
      <c r="F148" s="14"/>
      <c r="G148" s="14"/>
      <c r="H148" s="15"/>
      <c r="I148" s="12"/>
      <c r="J148" s="15"/>
      <c r="K148" s="12"/>
      <c r="L148" s="15"/>
      <c r="M148" s="12"/>
      <c r="N148" s="15"/>
      <c r="O148" s="20"/>
      <c r="P148" s="21"/>
      <c r="Q148" s="21"/>
      <c r="R148" s="12"/>
      <c r="S148" s="12"/>
      <c r="T148" s="12"/>
      <c r="U148" s="12"/>
      <c r="V148" s="12"/>
      <c r="W148" s="12"/>
      <c r="Y148" s="3">
        <f>_xlfn.XLOOKUP(X148,'7月份计划'!A:A,'7月份计划'!A:A)</f>
        <v>0</v>
      </c>
    </row>
    <row r="149" spans="1:25">
      <c r="A149" s="8"/>
      <c r="B149" s="8"/>
      <c r="C149" s="8"/>
      <c r="D149" s="9"/>
      <c r="E149" s="8"/>
      <c r="F149" s="10"/>
      <c r="G149" s="10"/>
      <c r="H149" s="11"/>
      <c r="I149" s="8"/>
      <c r="J149" s="11"/>
      <c r="K149" s="8"/>
      <c r="L149" s="11"/>
      <c r="M149" s="8"/>
      <c r="N149" s="11"/>
      <c r="O149" s="18"/>
      <c r="P149" s="19"/>
      <c r="Q149" s="19"/>
      <c r="R149" s="8"/>
      <c r="S149" s="8"/>
      <c r="T149" s="8"/>
      <c r="U149" s="8"/>
      <c r="V149" s="8"/>
      <c r="W149" s="8"/>
      <c r="Y149" s="3">
        <f>_xlfn.XLOOKUP(X149,'7月份计划'!A:A,'7月份计划'!A:A)</f>
        <v>0</v>
      </c>
    </row>
    <row r="150" spans="1:25">
      <c r="A150" s="12"/>
      <c r="B150" s="12"/>
      <c r="C150" s="12"/>
      <c r="D150" s="13"/>
      <c r="E150" s="12"/>
      <c r="F150" s="14"/>
      <c r="G150" s="14"/>
      <c r="H150" s="15"/>
      <c r="I150" s="12"/>
      <c r="J150" s="15"/>
      <c r="K150" s="12"/>
      <c r="L150" s="15"/>
      <c r="M150" s="12"/>
      <c r="N150" s="15"/>
      <c r="O150" s="20"/>
      <c r="P150" s="21"/>
      <c r="Q150" s="21"/>
      <c r="R150" s="12"/>
      <c r="S150" s="12"/>
      <c r="T150" s="12"/>
      <c r="U150" s="12"/>
      <c r="V150" s="12"/>
      <c r="W150" s="12"/>
      <c r="Y150" s="3">
        <f>_xlfn.XLOOKUP(X150,'7月份计划'!A:A,'7月份计划'!A:A)</f>
        <v>0</v>
      </c>
    </row>
    <row r="151" spans="1:25">
      <c r="A151" s="8"/>
      <c r="B151" s="8"/>
      <c r="C151" s="8"/>
      <c r="D151" s="9"/>
      <c r="E151" s="8"/>
      <c r="F151" s="10"/>
      <c r="G151" s="10"/>
      <c r="H151" s="11"/>
      <c r="I151" s="8"/>
      <c r="J151" s="11"/>
      <c r="K151" s="8"/>
      <c r="L151" s="11"/>
      <c r="M151" s="8"/>
      <c r="N151" s="11"/>
      <c r="O151" s="18"/>
      <c r="P151" s="19"/>
      <c r="Q151" s="19"/>
      <c r="R151" s="8"/>
      <c r="S151" s="8"/>
      <c r="T151" s="8"/>
      <c r="U151" s="8"/>
      <c r="V151" s="8"/>
      <c r="W151" s="8"/>
      <c r="Y151" s="3">
        <f>_xlfn.XLOOKUP(X151,'7月份计划'!A:A,'7月份计划'!A:A)</f>
        <v>0</v>
      </c>
    </row>
    <row r="152" spans="1:23">
      <c r="A152" s="12"/>
      <c r="B152" s="12"/>
      <c r="C152" s="12"/>
      <c r="D152" s="13"/>
      <c r="E152" s="12"/>
      <c r="F152" s="14"/>
      <c r="G152" s="14"/>
      <c r="H152" s="15"/>
      <c r="I152" s="12"/>
      <c r="J152" s="15"/>
      <c r="K152" s="12"/>
      <c r="L152" s="15"/>
      <c r="M152" s="12"/>
      <c r="N152" s="15"/>
      <c r="O152" s="20"/>
      <c r="P152" s="21"/>
      <c r="Q152" s="21"/>
      <c r="R152" s="12"/>
      <c r="S152" s="12"/>
      <c r="T152" s="12"/>
      <c r="U152" s="12"/>
      <c r="V152" s="12"/>
      <c r="W152" s="12"/>
    </row>
    <row r="153" spans="1:23">
      <c r="A153" s="8"/>
      <c r="B153" s="8"/>
      <c r="C153" s="8"/>
      <c r="D153" s="9"/>
      <c r="E153" s="8"/>
      <c r="F153" s="10"/>
      <c r="G153" s="10"/>
      <c r="H153" s="11"/>
      <c r="I153" s="8"/>
      <c r="J153" s="11"/>
      <c r="K153" s="8"/>
      <c r="L153" s="11"/>
      <c r="M153" s="8"/>
      <c r="N153" s="11"/>
      <c r="O153" s="18"/>
      <c r="P153" s="19"/>
      <c r="Q153" s="19"/>
      <c r="R153" s="8"/>
      <c r="S153" s="8"/>
      <c r="T153" s="8"/>
      <c r="U153" s="8"/>
      <c r="V153" s="8"/>
      <c r="W153" s="8"/>
    </row>
    <row r="154" spans="1:23">
      <c r="A154" s="12"/>
      <c r="B154" s="12"/>
      <c r="C154" s="12"/>
      <c r="D154" s="13"/>
      <c r="E154" s="12"/>
      <c r="F154" s="14"/>
      <c r="G154" s="14"/>
      <c r="H154" s="15"/>
      <c r="I154" s="12"/>
      <c r="J154" s="15"/>
      <c r="K154" s="12"/>
      <c r="L154" s="15"/>
      <c r="M154" s="12"/>
      <c r="N154" s="15"/>
      <c r="O154" s="20"/>
      <c r="P154" s="21"/>
      <c r="Q154" s="21"/>
      <c r="R154" s="12"/>
      <c r="S154" s="12"/>
      <c r="T154" s="12"/>
      <c r="U154" s="12"/>
      <c r="V154" s="12"/>
      <c r="W154" s="12"/>
    </row>
    <row r="155" spans="1:23">
      <c r="A155" s="8"/>
      <c r="B155" s="8"/>
      <c r="C155" s="8"/>
      <c r="D155" s="9"/>
      <c r="E155" s="8"/>
      <c r="F155" s="10"/>
      <c r="G155" s="10"/>
      <c r="H155" s="11"/>
      <c r="I155" s="8"/>
      <c r="J155" s="11"/>
      <c r="K155" s="8"/>
      <c r="L155" s="11"/>
      <c r="M155" s="8"/>
      <c r="N155" s="11"/>
      <c r="O155" s="18"/>
      <c r="P155" s="19"/>
      <c r="Q155" s="19"/>
      <c r="R155" s="8"/>
      <c r="S155" s="8"/>
      <c r="T155" s="8"/>
      <c r="U155" s="8"/>
      <c r="V155" s="8"/>
      <c r="W155" s="8"/>
    </row>
    <row r="156" spans="1:23">
      <c r="A156" s="12"/>
      <c r="B156" s="12"/>
      <c r="C156" s="12"/>
      <c r="D156" s="13"/>
      <c r="E156" s="12"/>
      <c r="F156" s="14"/>
      <c r="G156" s="14"/>
      <c r="H156" s="15"/>
      <c r="I156" s="12"/>
      <c r="J156" s="15"/>
      <c r="K156" s="12"/>
      <c r="L156" s="15"/>
      <c r="M156" s="12"/>
      <c r="N156" s="15"/>
      <c r="O156" s="20"/>
      <c r="P156" s="21"/>
      <c r="Q156" s="21"/>
      <c r="R156" s="12"/>
      <c r="S156" s="12"/>
      <c r="T156" s="12"/>
      <c r="U156" s="12"/>
      <c r="V156" s="12"/>
      <c r="W156" s="12"/>
    </row>
    <row r="157" spans="1:23">
      <c r="A157" s="8"/>
      <c r="B157" s="8"/>
      <c r="C157" s="8"/>
      <c r="D157" s="9"/>
      <c r="E157" s="8"/>
      <c r="F157" s="10"/>
      <c r="G157" s="10"/>
      <c r="H157" s="11"/>
      <c r="I157" s="8"/>
      <c r="J157" s="11"/>
      <c r="K157" s="8"/>
      <c r="L157" s="11"/>
      <c r="M157" s="8"/>
      <c r="N157" s="11"/>
      <c r="O157" s="18"/>
      <c r="P157" s="19"/>
      <c r="Q157" s="19"/>
      <c r="R157" s="8"/>
      <c r="S157" s="8"/>
      <c r="T157" s="8"/>
      <c r="U157" s="8"/>
      <c r="V157" s="8"/>
      <c r="W157" s="8"/>
    </row>
    <row r="158" spans="1:23">
      <c r="A158" s="12"/>
      <c r="B158" s="12"/>
      <c r="C158" s="12"/>
      <c r="D158" s="13"/>
      <c r="E158" s="12"/>
      <c r="F158" s="14"/>
      <c r="G158" s="14"/>
      <c r="H158" s="15"/>
      <c r="I158" s="12"/>
      <c r="J158" s="15"/>
      <c r="K158" s="12"/>
      <c r="L158" s="15"/>
      <c r="M158" s="12"/>
      <c r="N158" s="15"/>
      <c r="O158" s="20"/>
      <c r="P158" s="21"/>
      <c r="Q158" s="21"/>
      <c r="R158" s="12"/>
      <c r="S158" s="12"/>
      <c r="T158" s="12"/>
      <c r="U158" s="12"/>
      <c r="V158" s="12"/>
      <c r="W158" s="12"/>
    </row>
    <row r="159" spans="1:23">
      <c r="A159" s="8"/>
      <c r="B159" s="8"/>
      <c r="C159" s="8"/>
      <c r="D159" s="9"/>
      <c r="E159" s="8"/>
      <c r="F159" s="10"/>
      <c r="G159" s="10"/>
      <c r="H159" s="11"/>
      <c r="I159" s="8"/>
      <c r="J159" s="11"/>
      <c r="K159" s="8"/>
      <c r="L159" s="11"/>
      <c r="M159" s="8"/>
      <c r="N159" s="11"/>
      <c r="O159" s="18"/>
      <c r="P159" s="19"/>
      <c r="Q159" s="19"/>
      <c r="R159" s="8"/>
      <c r="S159" s="8"/>
      <c r="T159" s="8"/>
      <c r="U159" s="8"/>
      <c r="V159" s="8"/>
      <c r="W159" s="8"/>
    </row>
    <row r="160" spans="1:23">
      <c r="A160" s="12"/>
      <c r="B160" s="12"/>
      <c r="C160" s="12"/>
      <c r="D160" s="13"/>
      <c r="E160" s="12"/>
      <c r="F160" s="14"/>
      <c r="G160" s="14"/>
      <c r="H160" s="15"/>
      <c r="I160" s="12"/>
      <c r="J160" s="15"/>
      <c r="K160" s="12"/>
      <c r="L160" s="15"/>
      <c r="M160" s="12"/>
      <c r="N160" s="15"/>
      <c r="O160" s="20"/>
      <c r="P160" s="21"/>
      <c r="Q160" s="21"/>
      <c r="R160" s="12"/>
      <c r="S160" s="12"/>
      <c r="T160" s="12"/>
      <c r="U160" s="12"/>
      <c r="V160" s="12"/>
      <c r="W160" s="12"/>
    </row>
    <row r="161" spans="1:23">
      <c r="A161" s="8"/>
      <c r="B161" s="8"/>
      <c r="C161" s="8"/>
      <c r="D161" s="9"/>
      <c r="E161" s="8"/>
      <c r="F161" s="10"/>
      <c r="G161" s="10"/>
      <c r="H161" s="11"/>
      <c r="I161" s="8"/>
      <c r="J161" s="11"/>
      <c r="K161" s="8"/>
      <c r="L161" s="11"/>
      <c r="M161" s="8"/>
      <c r="N161" s="11"/>
      <c r="O161" s="18"/>
      <c r="P161" s="19"/>
      <c r="Q161" s="19"/>
      <c r="R161" s="8"/>
      <c r="S161" s="8"/>
      <c r="T161" s="8"/>
      <c r="U161" s="8"/>
      <c r="V161" s="8"/>
      <c r="W161" s="8"/>
    </row>
    <row r="162" spans="1:23">
      <c r="A162" s="12"/>
      <c r="B162" s="12"/>
      <c r="C162" s="12"/>
      <c r="D162" s="13"/>
      <c r="E162" s="12"/>
      <c r="F162" s="14"/>
      <c r="G162" s="14"/>
      <c r="H162" s="15"/>
      <c r="I162" s="12"/>
      <c r="J162" s="15"/>
      <c r="K162" s="12"/>
      <c r="L162" s="15"/>
      <c r="M162" s="12"/>
      <c r="N162" s="15"/>
      <c r="O162" s="20"/>
      <c r="P162" s="21"/>
      <c r="Q162" s="21"/>
      <c r="R162" s="12"/>
      <c r="S162" s="12"/>
      <c r="T162" s="12"/>
      <c r="U162" s="12"/>
      <c r="V162" s="12"/>
      <c r="W162" s="12"/>
    </row>
    <row r="163" spans="1:23">
      <c r="A163" s="8"/>
      <c r="B163" s="8"/>
      <c r="C163" s="8"/>
      <c r="D163" s="9"/>
      <c r="E163" s="8"/>
      <c r="F163" s="10"/>
      <c r="G163" s="10"/>
      <c r="H163" s="11"/>
      <c r="I163" s="8"/>
      <c r="J163" s="11"/>
      <c r="K163" s="8"/>
      <c r="L163" s="11"/>
      <c r="M163" s="8"/>
      <c r="N163" s="11"/>
      <c r="O163" s="18"/>
      <c r="P163" s="19"/>
      <c r="Q163" s="19"/>
      <c r="R163" s="8"/>
      <c r="S163" s="8"/>
      <c r="T163" s="8"/>
      <c r="U163" s="8"/>
      <c r="V163" s="8"/>
      <c r="W163" s="8"/>
    </row>
    <row r="164" spans="1:23">
      <c r="A164" s="12"/>
      <c r="B164" s="12"/>
      <c r="C164" s="12"/>
      <c r="D164" s="13"/>
      <c r="E164" s="12"/>
      <c r="F164" s="14"/>
      <c r="G164" s="14"/>
      <c r="H164" s="15"/>
      <c r="I164" s="12"/>
      <c r="J164" s="15"/>
      <c r="K164" s="12"/>
      <c r="L164" s="15"/>
      <c r="M164" s="12"/>
      <c r="N164" s="15"/>
      <c r="O164" s="20"/>
      <c r="P164" s="21"/>
      <c r="Q164" s="21"/>
      <c r="R164" s="12"/>
      <c r="S164" s="12"/>
      <c r="T164" s="12"/>
      <c r="U164" s="12"/>
      <c r="V164" s="12"/>
      <c r="W164" s="12"/>
    </row>
    <row r="165" spans="1:23">
      <c r="A165" s="8"/>
      <c r="B165" s="8"/>
      <c r="C165" s="8"/>
      <c r="D165" s="9"/>
      <c r="E165" s="8"/>
      <c r="F165" s="10"/>
      <c r="G165" s="10"/>
      <c r="H165" s="11"/>
      <c r="I165" s="8"/>
      <c r="J165" s="11"/>
      <c r="K165" s="8"/>
      <c r="L165" s="11"/>
      <c r="M165" s="8"/>
      <c r="N165" s="11"/>
      <c r="O165" s="18"/>
      <c r="P165" s="19"/>
      <c r="Q165" s="19"/>
      <c r="R165" s="8"/>
      <c r="S165" s="8"/>
      <c r="T165" s="8"/>
      <c r="U165" s="8"/>
      <c r="V165" s="8"/>
      <c r="W165" s="8"/>
    </row>
    <row r="166" spans="1:23">
      <c r="A166" s="12"/>
      <c r="B166" s="12"/>
      <c r="C166" s="12"/>
      <c r="D166" s="13"/>
      <c r="E166" s="12"/>
      <c r="F166" s="14"/>
      <c r="G166" s="14"/>
      <c r="H166" s="15"/>
      <c r="I166" s="12"/>
      <c r="J166" s="15"/>
      <c r="K166" s="12"/>
      <c r="L166" s="15"/>
      <c r="M166" s="12"/>
      <c r="N166" s="15"/>
      <c r="O166" s="20"/>
      <c r="P166" s="21"/>
      <c r="Q166" s="21"/>
      <c r="R166" s="12"/>
      <c r="S166" s="12"/>
      <c r="T166" s="12"/>
      <c r="U166" s="12"/>
      <c r="V166" s="12"/>
      <c r="W166" s="12"/>
    </row>
    <row r="167" spans="1:23">
      <c r="A167" s="8"/>
      <c r="B167" s="8"/>
      <c r="C167" s="8"/>
      <c r="D167" s="9"/>
      <c r="E167" s="8"/>
      <c r="F167" s="10"/>
      <c r="G167" s="10"/>
      <c r="H167" s="11"/>
      <c r="I167" s="8"/>
      <c r="J167" s="11"/>
      <c r="K167" s="8"/>
      <c r="L167" s="11"/>
      <c r="M167" s="8"/>
      <c r="N167" s="11"/>
      <c r="O167" s="18"/>
      <c r="P167" s="19"/>
      <c r="Q167" s="19"/>
      <c r="R167" s="8"/>
      <c r="S167" s="8"/>
      <c r="T167" s="8"/>
      <c r="U167" s="8"/>
      <c r="V167" s="8"/>
      <c r="W167" s="8"/>
    </row>
    <row r="168" spans="1:23">
      <c r="A168" s="12"/>
      <c r="B168" s="12"/>
      <c r="C168" s="12"/>
      <c r="D168" s="13"/>
      <c r="E168" s="12"/>
      <c r="F168" s="14"/>
      <c r="G168" s="14"/>
      <c r="H168" s="15"/>
      <c r="I168" s="12"/>
      <c r="J168" s="15"/>
      <c r="K168" s="12"/>
      <c r="L168" s="15"/>
      <c r="M168" s="12"/>
      <c r="N168" s="15"/>
      <c r="O168" s="20"/>
      <c r="P168" s="21"/>
      <c r="Q168" s="21"/>
      <c r="R168" s="12"/>
      <c r="S168" s="12"/>
      <c r="T168" s="12"/>
      <c r="U168" s="12"/>
      <c r="V168" s="12"/>
      <c r="W168" s="12"/>
    </row>
    <row r="169" spans="1:23">
      <c r="A169" s="8"/>
      <c r="B169" s="8"/>
      <c r="C169" s="8"/>
      <c r="D169" s="9"/>
      <c r="E169" s="8"/>
      <c r="F169" s="10"/>
      <c r="G169" s="10"/>
      <c r="H169" s="11"/>
      <c r="I169" s="8"/>
      <c r="J169" s="11"/>
      <c r="K169" s="8"/>
      <c r="L169" s="11"/>
      <c r="M169" s="8"/>
      <c r="N169" s="11"/>
      <c r="O169" s="18"/>
      <c r="P169" s="19"/>
      <c r="Q169" s="19"/>
      <c r="R169" s="8"/>
      <c r="S169" s="8"/>
      <c r="T169" s="8"/>
      <c r="U169" s="8"/>
      <c r="V169" s="8"/>
      <c r="W169" s="8"/>
    </row>
    <row r="170" spans="1:23">
      <c r="A170" s="12"/>
      <c r="B170" s="12"/>
      <c r="C170" s="12"/>
      <c r="D170" s="13"/>
      <c r="E170" s="12"/>
      <c r="F170" s="14"/>
      <c r="G170" s="14"/>
      <c r="H170" s="15"/>
      <c r="I170" s="12"/>
      <c r="J170" s="15"/>
      <c r="K170" s="12"/>
      <c r="L170" s="15"/>
      <c r="M170" s="12"/>
      <c r="N170" s="15"/>
      <c r="O170" s="20"/>
      <c r="P170" s="21"/>
      <c r="Q170" s="21"/>
      <c r="R170" s="12"/>
      <c r="S170" s="12"/>
      <c r="T170" s="12"/>
      <c r="U170" s="12"/>
      <c r="V170" s="12"/>
      <c r="W170" s="12"/>
    </row>
    <row r="171" spans="1:23">
      <c r="A171" s="8"/>
      <c r="B171" s="8"/>
      <c r="C171" s="8"/>
      <c r="D171" s="9"/>
      <c r="E171" s="8"/>
      <c r="F171" s="10"/>
      <c r="G171" s="10"/>
      <c r="H171" s="11"/>
      <c r="I171" s="8"/>
      <c r="J171" s="11"/>
      <c r="K171" s="8"/>
      <c r="L171" s="11"/>
      <c r="M171" s="8"/>
      <c r="N171" s="11"/>
      <c r="O171" s="18"/>
      <c r="P171" s="19"/>
      <c r="Q171" s="19"/>
      <c r="R171" s="8"/>
      <c r="S171" s="8"/>
      <c r="T171" s="8"/>
      <c r="U171" s="8"/>
      <c r="V171" s="8"/>
      <c r="W171" s="8"/>
    </row>
    <row r="172" spans="1:23">
      <c r="A172" s="12"/>
      <c r="B172" s="12"/>
      <c r="C172" s="12"/>
      <c r="D172" s="13"/>
      <c r="E172" s="12"/>
      <c r="F172" s="14"/>
      <c r="G172" s="14"/>
      <c r="H172" s="15"/>
      <c r="I172" s="12"/>
      <c r="J172" s="15"/>
      <c r="K172" s="12"/>
      <c r="L172" s="15"/>
      <c r="M172" s="12"/>
      <c r="N172" s="15"/>
      <c r="O172" s="20"/>
      <c r="P172" s="21"/>
      <c r="Q172" s="21"/>
      <c r="R172" s="12"/>
      <c r="S172" s="12"/>
      <c r="T172" s="12"/>
      <c r="U172" s="12"/>
      <c r="V172" s="12"/>
      <c r="W172" s="12"/>
    </row>
    <row r="173" spans="1:23">
      <c r="A173" s="8"/>
      <c r="B173" s="8"/>
      <c r="C173" s="8"/>
      <c r="D173" s="9"/>
      <c r="E173" s="8"/>
      <c r="F173" s="10"/>
      <c r="G173" s="10"/>
      <c r="H173" s="11"/>
      <c r="I173" s="8"/>
      <c r="J173" s="11"/>
      <c r="K173" s="8"/>
      <c r="L173" s="11"/>
      <c r="M173" s="8"/>
      <c r="N173" s="11"/>
      <c r="O173" s="18"/>
      <c r="P173" s="19"/>
      <c r="Q173" s="19"/>
      <c r="R173" s="8"/>
      <c r="S173" s="8"/>
      <c r="T173" s="8"/>
      <c r="U173" s="8"/>
      <c r="V173" s="8"/>
      <c r="W173" s="8"/>
    </row>
    <row r="174" spans="1:23">
      <c r="A174" s="12"/>
      <c r="B174" s="12"/>
      <c r="C174" s="12"/>
      <c r="D174" s="13"/>
      <c r="E174" s="12"/>
      <c r="F174" s="14"/>
      <c r="G174" s="14"/>
      <c r="H174" s="15"/>
      <c r="I174" s="12"/>
      <c r="J174" s="15"/>
      <c r="K174" s="12"/>
      <c r="L174" s="15"/>
      <c r="M174" s="12"/>
      <c r="N174" s="15"/>
      <c r="O174" s="20"/>
      <c r="P174" s="21"/>
      <c r="Q174" s="21"/>
      <c r="R174" s="12"/>
      <c r="S174" s="12"/>
      <c r="T174" s="12"/>
      <c r="U174" s="12"/>
      <c r="V174" s="12"/>
      <c r="W174" s="12"/>
    </row>
    <row r="175" spans="1:23">
      <c r="A175" s="8"/>
      <c r="B175" s="8"/>
      <c r="C175" s="8"/>
      <c r="D175" s="9"/>
      <c r="E175" s="8"/>
      <c r="F175" s="10"/>
      <c r="G175" s="10"/>
      <c r="H175" s="11"/>
      <c r="I175" s="8"/>
      <c r="J175" s="11"/>
      <c r="K175" s="8"/>
      <c r="L175" s="11"/>
      <c r="M175" s="8"/>
      <c r="N175" s="11"/>
      <c r="O175" s="18"/>
      <c r="P175" s="19"/>
      <c r="Q175" s="19"/>
      <c r="R175" s="8"/>
      <c r="S175" s="8"/>
      <c r="T175" s="8"/>
      <c r="U175" s="8"/>
      <c r="V175" s="8"/>
      <c r="W175" s="8"/>
    </row>
    <row r="176" spans="1:23">
      <c r="A176" s="12"/>
      <c r="B176" s="12"/>
      <c r="C176" s="12"/>
      <c r="D176" s="13"/>
      <c r="E176" s="12"/>
      <c r="F176" s="14"/>
      <c r="G176" s="14"/>
      <c r="H176" s="15"/>
      <c r="I176" s="12"/>
      <c r="J176" s="15"/>
      <c r="K176" s="12"/>
      <c r="L176" s="15"/>
      <c r="M176" s="12"/>
      <c r="N176" s="15"/>
      <c r="O176" s="20"/>
      <c r="P176" s="21"/>
      <c r="Q176" s="21"/>
      <c r="R176" s="12"/>
      <c r="S176" s="12"/>
      <c r="T176" s="12"/>
      <c r="U176" s="12"/>
      <c r="V176" s="12"/>
      <c r="W176" s="12"/>
    </row>
    <row r="177" spans="1:23">
      <c r="A177" s="8"/>
      <c r="B177" s="8"/>
      <c r="C177" s="8"/>
      <c r="D177" s="9"/>
      <c r="E177" s="8"/>
      <c r="F177" s="10"/>
      <c r="G177" s="10"/>
      <c r="H177" s="11"/>
      <c r="I177" s="8"/>
      <c r="J177" s="11"/>
      <c r="K177" s="8"/>
      <c r="L177" s="11"/>
      <c r="M177" s="8"/>
      <c r="N177" s="11"/>
      <c r="O177" s="18"/>
      <c r="P177" s="19"/>
      <c r="Q177" s="19"/>
      <c r="R177" s="8"/>
      <c r="S177" s="8"/>
      <c r="T177" s="8"/>
      <c r="U177" s="8"/>
      <c r="V177" s="8"/>
      <c r="W177" s="8"/>
    </row>
    <row r="178" spans="1:23">
      <c r="A178" s="12"/>
      <c r="B178" s="12"/>
      <c r="C178" s="12"/>
      <c r="D178" s="13"/>
      <c r="E178" s="12"/>
      <c r="F178" s="14"/>
      <c r="G178" s="14"/>
      <c r="H178" s="15"/>
      <c r="I178" s="12"/>
      <c r="J178" s="15"/>
      <c r="K178" s="12"/>
      <c r="L178" s="15"/>
      <c r="M178" s="12"/>
      <c r="N178" s="15"/>
      <c r="O178" s="20"/>
      <c r="P178" s="21"/>
      <c r="Q178" s="21"/>
      <c r="R178" s="12"/>
      <c r="S178" s="12"/>
      <c r="T178" s="12"/>
      <c r="U178" s="12"/>
      <c r="V178" s="12"/>
      <c r="W178" s="12"/>
    </row>
    <row r="179" spans="1:23">
      <c r="A179" s="8"/>
      <c r="B179" s="8"/>
      <c r="C179" s="8"/>
      <c r="D179" s="9"/>
      <c r="E179" s="8"/>
      <c r="F179" s="10"/>
      <c r="G179" s="10"/>
      <c r="H179" s="11"/>
      <c r="I179" s="8"/>
      <c r="J179" s="11"/>
      <c r="K179" s="8"/>
      <c r="L179" s="11"/>
      <c r="M179" s="8"/>
      <c r="N179" s="11"/>
      <c r="O179" s="18"/>
      <c r="P179" s="19"/>
      <c r="Q179" s="19"/>
      <c r="R179" s="8"/>
      <c r="S179" s="8"/>
      <c r="T179" s="8"/>
      <c r="U179" s="8"/>
      <c r="V179" s="8"/>
      <c r="W179" s="8"/>
    </row>
    <row r="180" spans="1:23">
      <c r="A180" s="12"/>
      <c r="B180" s="12"/>
      <c r="C180" s="12"/>
      <c r="D180" s="13"/>
      <c r="E180" s="12"/>
      <c r="F180" s="14"/>
      <c r="G180" s="14"/>
      <c r="H180" s="15"/>
      <c r="I180" s="12"/>
      <c r="J180" s="15"/>
      <c r="K180" s="12"/>
      <c r="L180" s="15"/>
      <c r="M180" s="12"/>
      <c r="N180" s="15"/>
      <c r="O180" s="20"/>
      <c r="P180" s="21"/>
      <c r="Q180" s="21"/>
      <c r="R180" s="12"/>
      <c r="S180" s="12"/>
      <c r="T180" s="12"/>
      <c r="U180" s="12"/>
      <c r="V180" s="12"/>
      <c r="W180" s="12"/>
    </row>
    <row r="181" spans="1:23">
      <c r="A181" s="8"/>
      <c r="B181" s="8"/>
      <c r="C181" s="8"/>
      <c r="D181" s="9"/>
      <c r="E181" s="8"/>
      <c r="F181" s="10"/>
      <c r="G181" s="10"/>
      <c r="H181" s="11"/>
      <c r="I181" s="8"/>
      <c r="J181" s="11"/>
      <c r="K181" s="8"/>
      <c r="L181" s="11"/>
      <c r="M181" s="8"/>
      <c r="N181" s="11"/>
      <c r="O181" s="18"/>
      <c r="P181" s="19"/>
      <c r="Q181" s="19"/>
      <c r="R181" s="8"/>
      <c r="S181" s="8"/>
      <c r="T181" s="8"/>
      <c r="U181" s="8"/>
      <c r="V181" s="8"/>
      <c r="W181" s="8"/>
    </row>
  </sheetData>
  <autoFilter xmlns:etc="http://www.wps.cn/officeDocument/2017/etCustomData" ref="A1:W181" etc:filterBottomFollowUsedRange="0">
    <extLst/>
  </autoFilter>
  <pageMargins left="0.75" right="0.75" top="1" bottom="1" header="0.5" footer="0.5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7"/>
  <dimension ref="A1:Y181"/>
  <sheetViews>
    <sheetView topLeftCell="H37" workbookViewId="0">
      <selection activeCell="O51" sqref="O51"/>
    </sheetView>
  </sheetViews>
  <sheetFormatPr defaultColWidth="9" defaultRowHeight="14.25"/>
  <cols>
    <col min="1" max="1" width="14.125" style="1" customWidth="1"/>
    <col min="2" max="2" width="10.875" style="1" customWidth="1"/>
    <col min="3" max="3" width="15.5" style="1" customWidth="1"/>
    <col min="4" max="4" width="6.25" style="1" customWidth="1"/>
    <col min="5" max="5" width="9.375" style="1" customWidth="1"/>
    <col min="6" max="7" width="10.875" style="1" customWidth="1"/>
    <col min="8" max="8" width="7.75" style="1" customWidth="1"/>
    <col min="9" max="10" width="10.875" style="1" customWidth="1"/>
    <col min="11" max="11" width="12.375" style="1" customWidth="1"/>
    <col min="12" max="12" width="10.875" style="1" customWidth="1"/>
    <col min="13" max="13" width="14" style="1" customWidth="1"/>
    <col min="14" max="14" width="7.75" style="1" customWidth="1"/>
    <col min="15" max="15" width="16.875" style="2" customWidth="1"/>
    <col min="16" max="16" width="10.875" style="1" customWidth="1"/>
    <col min="17" max="17" width="12.25" style="1" customWidth="1"/>
    <col min="18" max="18" width="11.5" style="1" customWidth="1"/>
    <col min="19" max="19" width="23.125" style="1" customWidth="1"/>
    <col min="20" max="21" width="10.875" style="1" customWidth="1"/>
    <col min="22" max="22" width="7.75" style="1" customWidth="1"/>
    <col min="23" max="23" width="9.5" style="1" customWidth="1"/>
    <col min="24" max="24" width="31.75" style="3" customWidth="1"/>
    <col min="25" max="25" width="13.625" style="3" customWidth="1"/>
    <col min="26" max="16384" width="9" style="3"/>
  </cols>
  <sheetData>
    <row r="1" spans="1:24">
      <c r="A1" s="4" t="s">
        <v>640</v>
      </c>
      <c r="B1" s="4" t="s">
        <v>0</v>
      </c>
      <c r="C1" s="4" t="s">
        <v>980</v>
      </c>
      <c r="D1" s="5" t="s">
        <v>12</v>
      </c>
      <c r="E1" s="4" t="s">
        <v>641</v>
      </c>
      <c r="F1" s="5" t="s">
        <v>642</v>
      </c>
      <c r="G1" s="5" t="s">
        <v>2</v>
      </c>
      <c r="H1" s="4" t="s">
        <v>429</v>
      </c>
      <c r="I1" s="4" t="s">
        <v>643</v>
      </c>
      <c r="J1" s="4" t="s">
        <v>644</v>
      </c>
      <c r="K1" s="4" t="s">
        <v>645</v>
      </c>
      <c r="L1" s="4" t="s">
        <v>646</v>
      </c>
      <c r="M1" s="4" t="s">
        <v>647</v>
      </c>
      <c r="N1" s="4" t="s">
        <v>648</v>
      </c>
      <c r="O1" s="16" t="s">
        <v>649</v>
      </c>
      <c r="P1" s="5" t="s">
        <v>650</v>
      </c>
      <c r="Q1" s="5" t="s">
        <v>651</v>
      </c>
      <c r="R1" s="4" t="s">
        <v>652</v>
      </c>
      <c r="S1" s="4" t="s">
        <v>653</v>
      </c>
      <c r="T1" s="4" t="s">
        <v>654</v>
      </c>
      <c r="U1" s="4" t="s">
        <v>655</v>
      </c>
      <c r="V1" s="4" t="s">
        <v>656</v>
      </c>
      <c r="W1" s="4" t="s">
        <v>657</v>
      </c>
      <c r="X1" s="3" t="str" cm="1">
        <f t="array" ref="X1:X40">_xlfn.UNIQUE(S:S)</f>
        <v>名称</v>
      </c>
    </row>
    <row r="2" spans="1:24">
      <c r="A2" s="6" t="s">
        <v>3130</v>
      </c>
      <c r="B2" s="6" t="s">
        <v>32</v>
      </c>
      <c r="C2" s="6" t="s">
        <v>3131</v>
      </c>
      <c r="D2" s="7">
        <v>1</v>
      </c>
      <c r="E2" s="6" t="s">
        <v>3132</v>
      </c>
      <c r="F2" s="7">
        <v>45919</v>
      </c>
      <c r="G2" s="7">
        <v>45919</v>
      </c>
      <c r="H2" s="6" t="s">
        <v>444</v>
      </c>
      <c r="I2" s="6" t="s">
        <v>445</v>
      </c>
      <c r="J2" s="6" t="s">
        <v>41</v>
      </c>
      <c r="K2" s="6" t="s">
        <v>660</v>
      </c>
      <c r="L2" s="6" t="s">
        <v>41</v>
      </c>
      <c r="M2" s="6" t="s">
        <v>492</v>
      </c>
      <c r="N2" s="6" t="s">
        <v>41</v>
      </c>
      <c r="O2" s="17" t="s">
        <v>1998</v>
      </c>
      <c r="P2" s="7">
        <v>0</v>
      </c>
      <c r="Q2" s="7">
        <v>16046</v>
      </c>
      <c r="R2" s="6" t="s">
        <v>1057</v>
      </c>
      <c r="S2" s="6" t="s">
        <v>286</v>
      </c>
      <c r="T2" s="6" t="s">
        <v>36</v>
      </c>
      <c r="U2" s="6" t="s">
        <v>663</v>
      </c>
      <c r="V2" s="6" t="s">
        <v>3133</v>
      </c>
      <c r="W2" s="6" t="s">
        <v>665</v>
      </c>
      <c r="X2" s="3" t="str">
        <v>俱泰(上海)汽车零部件有限公司</v>
      </c>
    </row>
    <row r="3" spans="1:25">
      <c r="A3" s="8" t="s">
        <v>3134</v>
      </c>
      <c r="B3" s="8" t="s">
        <v>32</v>
      </c>
      <c r="C3" s="8" t="s">
        <v>3135</v>
      </c>
      <c r="D3" s="9">
        <v>1</v>
      </c>
      <c r="E3" s="8" t="s">
        <v>3136</v>
      </c>
      <c r="F3" s="10">
        <v>45919</v>
      </c>
      <c r="G3" s="10">
        <v>45919</v>
      </c>
      <c r="H3" s="11" t="s">
        <v>444</v>
      </c>
      <c r="I3" s="8" t="s">
        <v>445</v>
      </c>
      <c r="J3" s="11" t="s">
        <v>41</v>
      </c>
      <c r="K3" s="8" t="s">
        <v>660</v>
      </c>
      <c r="L3" s="11" t="s">
        <v>41</v>
      </c>
      <c r="M3" s="8" t="s">
        <v>492</v>
      </c>
      <c r="N3" s="11" t="s">
        <v>41</v>
      </c>
      <c r="O3" s="18" t="s">
        <v>3010</v>
      </c>
      <c r="P3" s="19">
        <v>0</v>
      </c>
      <c r="Q3" s="19">
        <v>61086.67</v>
      </c>
      <c r="R3" s="8" t="s">
        <v>1546</v>
      </c>
      <c r="S3" s="8" t="s">
        <v>273</v>
      </c>
      <c r="T3" s="8" t="s">
        <v>36</v>
      </c>
      <c r="U3" s="8" t="s">
        <v>663</v>
      </c>
      <c r="V3" s="8" t="s">
        <v>3137</v>
      </c>
      <c r="W3" s="8" t="s">
        <v>665</v>
      </c>
      <c r="X3" s="3" t="str">
        <v>长春超力内饰件有限公司</v>
      </c>
      <c r="Y3" s="3" t="str">
        <f>_xlfn.XLOOKUP(X3,'7月份计划'!A:A,'7月份计划'!A:A)</f>
        <v>长春超力内饰件有限公司</v>
      </c>
    </row>
    <row r="4" spans="1:25">
      <c r="A4" s="12" t="s">
        <v>3138</v>
      </c>
      <c r="B4" s="12" t="s">
        <v>32</v>
      </c>
      <c r="C4" s="12" t="s">
        <v>3139</v>
      </c>
      <c r="D4" s="13">
        <v>1</v>
      </c>
      <c r="E4" s="12" t="s">
        <v>3140</v>
      </c>
      <c r="F4" s="14">
        <v>45919</v>
      </c>
      <c r="G4" s="14">
        <v>45919</v>
      </c>
      <c r="H4" s="15" t="s">
        <v>444</v>
      </c>
      <c r="I4" s="12" t="s">
        <v>445</v>
      </c>
      <c r="J4" s="15" t="s">
        <v>41</v>
      </c>
      <c r="K4" s="12" t="s">
        <v>660</v>
      </c>
      <c r="L4" s="15" t="s">
        <v>41</v>
      </c>
      <c r="M4" s="12" t="s">
        <v>492</v>
      </c>
      <c r="N4" s="15" t="s">
        <v>41</v>
      </c>
      <c r="O4" s="20" t="s">
        <v>3010</v>
      </c>
      <c r="P4" s="21">
        <v>0</v>
      </c>
      <c r="Q4" s="21">
        <v>49045.74</v>
      </c>
      <c r="R4" s="12" t="s">
        <v>890</v>
      </c>
      <c r="S4" s="12" t="s">
        <v>263</v>
      </c>
      <c r="T4" s="12" t="s">
        <v>36</v>
      </c>
      <c r="U4" s="12" t="s">
        <v>663</v>
      </c>
      <c r="V4" s="12" t="s">
        <v>3141</v>
      </c>
      <c r="W4" s="12" t="s">
        <v>665</v>
      </c>
      <c r="X4" s="3" t="str">
        <v>武汉德锐隆科技有限公司</v>
      </c>
      <c r="Y4" s="3" t="str">
        <f>_xlfn.XLOOKUP(X4,'7月份计划'!A:A,'7月份计划'!A:A)</f>
        <v>武汉德锐隆科技有限公司</v>
      </c>
    </row>
    <row r="5" spans="1:25">
      <c r="A5" s="8" t="s">
        <v>3142</v>
      </c>
      <c r="B5" s="8" t="s">
        <v>32</v>
      </c>
      <c r="C5" s="8" t="s">
        <v>3143</v>
      </c>
      <c r="D5" s="9">
        <v>1</v>
      </c>
      <c r="E5" s="8" t="s">
        <v>3144</v>
      </c>
      <c r="F5" s="10">
        <v>45919</v>
      </c>
      <c r="G5" s="10">
        <v>45919</v>
      </c>
      <c r="H5" s="11" t="s">
        <v>444</v>
      </c>
      <c r="I5" s="8" t="s">
        <v>445</v>
      </c>
      <c r="J5" s="11" t="s">
        <v>41</v>
      </c>
      <c r="K5" s="8" t="s">
        <v>660</v>
      </c>
      <c r="L5" s="11" t="s">
        <v>41</v>
      </c>
      <c r="M5" s="8" t="s">
        <v>492</v>
      </c>
      <c r="N5" s="11" t="s">
        <v>41</v>
      </c>
      <c r="O5" s="18" t="s">
        <v>3010</v>
      </c>
      <c r="P5" s="19">
        <v>0</v>
      </c>
      <c r="Q5" s="19">
        <v>49266.53</v>
      </c>
      <c r="R5" s="8" t="s">
        <v>1057</v>
      </c>
      <c r="S5" s="8" t="s">
        <v>286</v>
      </c>
      <c r="T5" s="8" t="s">
        <v>36</v>
      </c>
      <c r="U5" s="8" t="s">
        <v>663</v>
      </c>
      <c r="V5" s="8" t="s">
        <v>3145</v>
      </c>
      <c r="W5" s="8" t="s">
        <v>665</v>
      </c>
      <c r="X5" s="3" t="str">
        <v>江阴同威科技有限公司</v>
      </c>
      <c r="Y5" s="3" t="str">
        <f>_xlfn.XLOOKUP(X5,'7月份计划'!A:A,'7月份计划'!A:A)</f>
        <v>江阴同威科技有限公司</v>
      </c>
    </row>
    <row r="6" spans="1:25">
      <c r="A6" s="12" t="s">
        <v>3146</v>
      </c>
      <c r="B6" s="12" t="s">
        <v>32</v>
      </c>
      <c r="C6" s="12" t="s">
        <v>3147</v>
      </c>
      <c r="D6" s="13">
        <v>1</v>
      </c>
      <c r="E6" s="12" t="s">
        <v>3148</v>
      </c>
      <c r="F6" s="14">
        <v>45919</v>
      </c>
      <c r="G6" s="14">
        <v>45919</v>
      </c>
      <c r="H6" s="15" t="s">
        <v>444</v>
      </c>
      <c r="I6" s="12" t="s">
        <v>445</v>
      </c>
      <c r="J6" s="15" t="s">
        <v>41</v>
      </c>
      <c r="K6" s="12" t="s">
        <v>660</v>
      </c>
      <c r="L6" s="15" t="s">
        <v>41</v>
      </c>
      <c r="M6" s="12" t="s">
        <v>492</v>
      </c>
      <c r="N6" s="15" t="s">
        <v>41</v>
      </c>
      <c r="O6" s="20" t="s">
        <v>3010</v>
      </c>
      <c r="P6" s="21">
        <v>0</v>
      </c>
      <c r="Q6" s="21">
        <v>24001.2</v>
      </c>
      <c r="R6" s="12" t="s">
        <v>1610</v>
      </c>
      <c r="S6" s="12" t="s">
        <v>290</v>
      </c>
      <c r="T6" s="12" t="s">
        <v>36</v>
      </c>
      <c r="U6" s="12" t="s">
        <v>663</v>
      </c>
      <c r="V6" s="12" t="s">
        <v>3149</v>
      </c>
      <c r="W6" s="12" t="s">
        <v>665</v>
      </c>
      <c r="X6" s="3" t="str">
        <v>广州市三泰汽车内饰材料有限公</v>
      </c>
      <c r="Y6" s="3" t="str">
        <f>_xlfn.XLOOKUP(X6,'7月份计划'!A:A,'7月份计划'!A:A)</f>
        <v>广州市三泰汽车内饰材料有限公</v>
      </c>
    </row>
    <row r="7" spans="1:25">
      <c r="A7" s="8" t="s">
        <v>3150</v>
      </c>
      <c r="B7" s="8" t="s">
        <v>32</v>
      </c>
      <c r="C7" s="8" t="s">
        <v>3151</v>
      </c>
      <c r="D7" s="9">
        <v>1</v>
      </c>
      <c r="E7" s="8" t="s">
        <v>3152</v>
      </c>
      <c r="F7" s="10">
        <v>45919</v>
      </c>
      <c r="G7" s="10">
        <v>45919</v>
      </c>
      <c r="H7" s="11" t="s">
        <v>444</v>
      </c>
      <c r="I7" s="8" t="s">
        <v>445</v>
      </c>
      <c r="J7" s="11" t="s">
        <v>41</v>
      </c>
      <c r="K7" s="8" t="s">
        <v>660</v>
      </c>
      <c r="L7" s="11" t="s">
        <v>41</v>
      </c>
      <c r="M7" s="8" t="s">
        <v>492</v>
      </c>
      <c r="N7" s="11" t="s">
        <v>41</v>
      </c>
      <c r="O7" s="18" t="s">
        <v>3010</v>
      </c>
      <c r="P7" s="19">
        <v>0</v>
      </c>
      <c r="Q7" s="19">
        <v>9893.15</v>
      </c>
      <c r="R7" s="8" t="s">
        <v>1074</v>
      </c>
      <c r="S7" s="8" t="s">
        <v>288</v>
      </c>
      <c r="T7" s="8" t="s">
        <v>36</v>
      </c>
      <c r="U7" s="8" t="s">
        <v>663</v>
      </c>
      <c r="V7" s="8" t="s">
        <v>3153</v>
      </c>
      <c r="W7" s="8" t="s">
        <v>665</v>
      </c>
      <c r="X7" s="3" t="str">
        <v>广州自强汽车零部件有限公司</v>
      </c>
      <c r="Y7" s="3" t="str">
        <f>_xlfn.XLOOKUP(X7,'7月份计划'!A:A,'7月份计划'!A:A)</f>
        <v>广州自强汽车零部件有限公司</v>
      </c>
    </row>
    <row r="8" spans="1:25">
      <c r="A8" s="12" t="s">
        <v>3154</v>
      </c>
      <c r="B8" s="12" t="s">
        <v>32</v>
      </c>
      <c r="C8" s="12" t="s">
        <v>3155</v>
      </c>
      <c r="D8" s="13">
        <v>1</v>
      </c>
      <c r="E8" s="12" t="s">
        <v>3156</v>
      </c>
      <c r="F8" s="14">
        <v>45919</v>
      </c>
      <c r="G8" s="14">
        <v>45919</v>
      </c>
      <c r="H8" s="15" t="s">
        <v>444</v>
      </c>
      <c r="I8" s="12" t="s">
        <v>445</v>
      </c>
      <c r="J8" s="15" t="s">
        <v>41</v>
      </c>
      <c r="K8" s="12" t="s">
        <v>660</v>
      </c>
      <c r="L8" s="15" t="s">
        <v>41</v>
      </c>
      <c r="M8" s="12" t="s">
        <v>492</v>
      </c>
      <c r="N8" s="15" t="s">
        <v>41</v>
      </c>
      <c r="O8" s="20" t="s">
        <v>3010</v>
      </c>
      <c r="P8" s="21">
        <v>0</v>
      </c>
      <c r="Q8" s="21">
        <v>10231.31</v>
      </c>
      <c r="R8" s="12" t="s">
        <v>1068</v>
      </c>
      <c r="S8" s="12" t="s">
        <v>287</v>
      </c>
      <c r="T8" s="12" t="s">
        <v>36</v>
      </c>
      <c r="U8" s="12" t="s">
        <v>663</v>
      </c>
      <c r="V8" s="12" t="s">
        <v>3157</v>
      </c>
      <c r="W8" s="12" t="s">
        <v>665</v>
      </c>
      <c r="X8" s="3" t="str">
        <v>厦门凯平化工有限公司</v>
      </c>
      <c r="Y8" s="3" t="str">
        <f>_xlfn.XLOOKUP(X8,'7月份计划'!A:A,'7月份计划'!A:A)</f>
        <v>厦门凯平化工有限公司</v>
      </c>
    </row>
    <row r="9" spans="1:25">
      <c r="A9" s="8" t="s">
        <v>3158</v>
      </c>
      <c r="B9" s="8" t="s">
        <v>32</v>
      </c>
      <c r="C9" s="8" t="s">
        <v>3159</v>
      </c>
      <c r="D9" s="9">
        <v>1</v>
      </c>
      <c r="E9" s="8" t="s">
        <v>3160</v>
      </c>
      <c r="F9" s="10">
        <v>45919</v>
      </c>
      <c r="G9" s="10">
        <v>45919</v>
      </c>
      <c r="H9" s="11" t="s">
        <v>444</v>
      </c>
      <c r="I9" s="8" t="s">
        <v>445</v>
      </c>
      <c r="J9" s="11" t="s">
        <v>41</v>
      </c>
      <c r="K9" s="8" t="s">
        <v>660</v>
      </c>
      <c r="L9" s="11" t="s">
        <v>41</v>
      </c>
      <c r="M9" s="8" t="s">
        <v>492</v>
      </c>
      <c r="N9" s="11" t="s">
        <v>41</v>
      </c>
      <c r="O9" s="18" t="s">
        <v>3161</v>
      </c>
      <c r="P9" s="19">
        <v>0</v>
      </c>
      <c r="Q9" s="19">
        <v>373592.16</v>
      </c>
      <c r="R9" s="8" t="s">
        <v>149</v>
      </c>
      <c r="S9" s="8" t="s">
        <v>251</v>
      </c>
      <c r="T9" s="8" t="s">
        <v>36</v>
      </c>
      <c r="U9" s="8" t="s">
        <v>663</v>
      </c>
      <c r="V9" s="8" t="s">
        <v>219</v>
      </c>
      <c r="W9" s="8" t="s">
        <v>665</v>
      </c>
      <c r="X9" s="3" t="str">
        <v>湖南兴天宏实业有限公司</v>
      </c>
      <c r="Y9" s="3" t="str">
        <f>_xlfn.XLOOKUP(X9,'7月份计划'!A:A,'7月份计划'!A:A)</f>
        <v>湖南兴天宏实业有限公司</v>
      </c>
    </row>
    <row r="10" spans="1:25">
      <c r="A10" s="12" t="s">
        <v>3158</v>
      </c>
      <c r="B10" s="12" t="s">
        <v>32</v>
      </c>
      <c r="C10" s="12" t="s">
        <v>3159</v>
      </c>
      <c r="D10" s="13">
        <v>3</v>
      </c>
      <c r="E10" s="12" t="s">
        <v>3160</v>
      </c>
      <c r="F10" s="14">
        <v>45919</v>
      </c>
      <c r="G10" s="14">
        <v>45919</v>
      </c>
      <c r="H10" s="15" t="s">
        <v>444</v>
      </c>
      <c r="I10" s="12" t="s">
        <v>445</v>
      </c>
      <c r="J10" s="15" t="s">
        <v>41</v>
      </c>
      <c r="K10" s="12" t="s">
        <v>660</v>
      </c>
      <c r="L10" s="15" t="s">
        <v>41</v>
      </c>
      <c r="M10" s="12" t="s">
        <v>492</v>
      </c>
      <c r="N10" s="15" t="s">
        <v>41</v>
      </c>
      <c r="O10" s="20" t="s">
        <v>3161</v>
      </c>
      <c r="P10" s="21">
        <v>116984.16</v>
      </c>
      <c r="Q10" s="21">
        <v>0</v>
      </c>
      <c r="R10" s="12" t="s">
        <v>149</v>
      </c>
      <c r="S10" s="12" t="s">
        <v>251</v>
      </c>
      <c r="T10" s="12" t="s">
        <v>36</v>
      </c>
      <c r="U10" s="12" t="s">
        <v>663</v>
      </c>
      <c r="V10" s="12" t="s">
        <v>219</v>
      </c>
      <c r="W10" s="12" t="s">
        <v>665</v>
      </c>
      <c r="X10" s="3" t="str">
        <v>文安县德实汽车配件有限公司</v>
      </c>
      <c r="Y10" s="3" t="str">
        <f>_xlfn.XLOOKUP(X10,'7月份计划'!A:A,'7月份计划'!A:A)</f>
        <v>文安县德实汽车配件有限公司</v>
      </c>
    </row>
    <row r="11" spans="1:25">
      <c r="A11" s="8" t="s">
        <v>3162</v>
      </c>
      <c r="B11" s="8" t="s">
        <v>32</v>
      </c>
      <c r="C11" s="8" t="s">
        <v>3163</v>
      </c>
      <c r="D11" s="9">
        <v>1</v>
      </c>
      <c r="E11" s="8" t="s">
        <v>3164</v>
      </c>
      <c r="F11" s="10">
        <v>45919</v>
      </c>
      <c r="G11" s="10">
        <v>45919</v>
      </c>
      <c r="H11" s="11" t="s">
        <v>444</v>
      </c>
      <c r="I11" s="8" t="s">
        <v>445</v>
      </c>
      <c r="J11" s="11" t="s">
        <v>41</v>
      </c>
      <c r="K11" s="8" t="s">
        <v>660</v>
      </c>
      <c r="L11" s="11" t="s">
        <v>41</v>
      </c>
      <c r="M11" s="8" t="s">
        <v>492</v>
      </c>
      <c r="N11" s="11" t="s">
        <v>41</v>
      </c>
      <c r="O11" s="18" t="s">
        <v>3010</v>
      </c>
      <c r="P11" s="19">
        <v>0</v>
      </c>
      <c r="Q11" s="19">
        <v>488.16</v>
      </c>
      <c r="R11" s="8" t="s">
        <v>1289</v>
      </c>
      <c r="S11" s="8" t="s">
        <v>284</v>
      </c>
      <c r="T11" s="8" t="s">
        <v>36</v>
      </c>
      <c r="U11" s="8" t="s">
        <v>663</v>
      </c>
      <c r="V11" s="8" t="s">
        <v>3165</v>
      </c>
      <c r="W11" s="8" t="s">
        <v>665</v>
      </c>
      <c r="X11" s="3" t="str">
        <v>重庆渝融兴汽车配件有限公司</v>
      </c>
      <c r="Y11" s="3" t="str">
        <f>_xlfn.XLOOKUP(X11,'7月份计划'!A:A,'7月份计划'!A:A)</f>
        <v>重庆渝融兴汽车配件有限公司</v>
      </c>
    </row>
    <row r="12" spans="1:25">
      <c r="A12" s="12" t="s">
        <v>3166</v>
      </c>
      <c r="B12" s="12" t="s">
        <v>32</v>
      </c>
      <c r="C12" s="12" t="s">
        <v>3167</v>
      </c>
      <c r="D12" s="13">
        <v>1</v>
      </c>
      <c r="E12" s="12" t="s">
        <v>3168</v>
      </c>
      <c r="F12" s="14">
        <v>45919</v>
      </c>
      <c r="G12" s="14">
        <v>45919</v>
      </c>
      <c r="H12" s="15" t="s">
        <v>444</v>
      </c>
      <c r="I12" s="12" t="s">
        <v>445</v>
      </c>
      <c r="J12" s="15" t="s">
        <v>41</v>
      </c>
      <c r="K12" s="12" t="s">
        <v>660</v>
      </c>
      <c r="L12" s="15" t="s">
        <v>41</v>
      </c>
      <c r="M12" s="12" t="s">
        <v>492</v>
      </c>
      <c r="N12" s="15" t="s">
        <v>41</v>
      </c>
      <c r="O12" s="20" t="s">
        <v>3010</v>
      </c>
      <c r="P12" s="21">
        <v>0</v>
      </c>
      <c r="Q12" s="21">
        <v>108259.88</v>
      </c>
      <c r="R12" s="12" t="s">
        <v>149</v>
      </c>
      <c r="S12" s="12" t="s">
        <v>251</v>
      </c>
      <c r="T12" s="12" t="s">
        <v>36</v>
      </c>
      <c r="U12" s="12" t="s">
        <v>663</v>
      </c>
      <c r="V12" s="12" t="s">
        <v>222</v>
      </c>
      <c r="W12" s="12" t="s">
        <v>665</v>
      </c>
      <c r="X12" s="3" t="str">
        <v>湖南奥瑞格工贸有限公司</v>
      </c>
      <c r="Y12" s="3" t="str">
        <f>_xlfn.XLOOKUP(X12,'7月份计划'!A:A,'7月份计划'!A:A)</f>
        <v>湖南奥瑞格工贸有限公司</v>
      </c>
    </row>
    <row r="13" spans="1:25">
      <c r="A13" s="8" t="s">
        <v>3169</v>
      </c>
      <c r="B13" s="8" t="s">
        <v>32</v>
      </c>
      <c r="C13" s="8" t="s">
        <v>3170</v>
      </c>
      <c r="D13" s="9">
        <v>1</v>
      </c>
      <c r="E13" s="8" t="s">
        <v>3171</v>
      </c>
      <c r="F13" s="10">
        <v>45919</v>
      </c>
      <c r="G13" s="10">
        <v>45919</v>
      </c>
      <c r="H13" s="11" t="s">
        <v>444</v>
      </c>
      <c r="I13" s="8" t="s">
        <v>445</v>
      </c>
      <c r="J13" s="11" t="s">
        <v>41</v>
      </c>
      <c r="K13" s="8" t="s">
        <v>660</v>
      </c>
      <c r="L13" s="11" t="s">
        <v>41</v>
      </c>
      <c r="M13" s="8" t="s">
        <v>492</v>
      </c>
      <c r="N13" s="11" t="s">
        <v>41</v>
      </c>
      <c r="O13" s="18" t="s">
        <v>3010</v>
      </c>
      <c r="P13" s="19">
        <v>0</v>
      </c>
      <c r="Q13" s="19">
        <v>18813.54</v>
      </c>
      <c r="R13" s="8" t="s">
        <v>783</v>
      </c>
      <c r="S13" s="8" t="s">
        <v>280</v>
      </c>
      <c r="T13" s="8" t="s">
        <v>36</v>
      </c>
      <c r="U13" s="8" t="s">
        <v>663</v>
      </c>
      <c r="V13" s="8" t="s">
        <v>3172</v>
      </c>
      <c r="W13" s="8" t="s">
        <v>665</v>
      </c>
      <c r="X13" s="3" t="str">
        <v>天津鑫淼塑料制品有限公司</v>
      </c>
      <c r="Y13" s="3" t="str">
        <f>_xlfn.XLOOKUP(X13,'7月份计划'!A:A,'7月份计划'!A:A)</f>
        <v>天津鑫淼塑料制品有限公司</v>
      </c>
    </row>
    <row r="14" spans="1:25">
      <c r="A14" s="12" t="s">
        <v>3173</v>
      </c>
      <c r="B14" s="12" t="s">
        <v>32</v>
      </c>
      <c r="C14" s="12" t="s">
        <v>3174</v>
      </c>
      <c r="D14" s="13">
        <v>1</v>
      </c>
      <c r="E14" s="12" t="s">
        <v>3175</v>
      </c>
      <c r="F14" s="14">
        <v>45919</v>
      </c>
      <c r="G14" s="14">
        <v>45919</v>
      </c>
      <c r="H14" s="15" t="s">
        <v>444</v>
      </c>
      <c r="I14" s="12" t="s">
        <v>445</v>
      </c>
      <c r="J14" s="15" t="s">
        <v>41</v>
      </c>
      <c r="K14" s="12" t="s">
        <v>660</v>
      </c>
      <c r="L14" s="15" t="s">
        <v>41</v>
      </c>
      <c r="M14" s="12" t="s">
        <v>492</v>
      </c>
      <c r="N14" s="15" t="s">
        <v>41</v>
      </c>
      <c r="O14" s="20" t="s">
        <v>3010</v>
      </c>
      <c r="P14" s="21">
        <v>0</v>
      </c>
      <c r="Q14" s="21">
        <v>3299.6</v>
      </c>
      <c r="R14" s="12" t="s">
        <v>734</v>
      </c>
      <c r="S14" s="12" t="s">
        <v>278</v>
      </c>
      <c r="T14" s="12" t="s">
        <v>36</v>
      </c>
      <c r="U14" s="12" t="s">
        <v>663</v>
      </c>
      <c r="V14" s="12" t="s">
        <v>3176</v>
      </c>
      <c r="W14" s="12" t="s">
        <v>665</v>
      </c>
      <c r="X14" s="3" t="str">
        <v>湖南凌天汽车零部件有限公司</v>
      </c>
      <c r="Y14" s="3" t="str">
        <f>_xlfn.XLOOKUP(X14,'7月份计划'!A:A,'7月份计划'!A:A)</f>
        <v>湖南凌天汽车零部件有限公司</v>
      </c>
    </row>
    <row r="15" spans="1:25">
      <c r="A15" s="8" t="s">
        <v>3177</v>
      </c>
      <c r="B15" s="8" t="s">
        <v>32</v>
      </c>
      <c r="C15" s="8" t="s">
        <v>3178</v>
      </c>
      <c r="D15" s="9">
        <v>1</v>
      </c>
      <c r="E15" s="8" t="s">
        <v>3179</v>
      </c>
      <c r="F15" s="10">
        <v>45919</v>
      </c>
      <c r="G15" s="10">
        <v>45919</v>
      </c>
      <c r="H15" s="11" t="s">
        <v>444</v>
      </c>
      <c r="I15" s="8" t="s">
        <v>445</v>
      </c>
      <c r="J15" s="11" t="s">
        <v>41</v>
      </c>
      <c r="K15" s="8" t="s">
        <v>660</v>
      </c>
      <c r="L15" s="11" t="s">
        <v>41</v>
      </c>
      <c r="M15" s="8" t="s">
        <v>492</v>
      </c>
      <c r="N15" s="11" t="s">
        <v>41</v>
      </c>
      <c r="O15" s="18" t="s">
        <v>3010</v>
      </c>
      <c r="P15" s="19">
        <v>0</v>
      </c>
      <c r="Q15" s="19">
        <v>11517.66</v>
      </c>
      <c r="R15" s="8" t="s">
        <v>803</v>
      </c>
      <c r="S15" s="8" t="s">
        <v>281</v>
      </c>
      <c r="T15" s="8" t="s">
        <v>36</v>
      </c>
      <c r="U15" s="8" t="s">
        <v>663</v>
      </c>
      <c r="V15" s="8" t="s">
        <v>3180</v>
      </c>
      <c r="W15" s="8" t="s">
        <v>665</v>
      </c>
      <c r="X15" s="3" t="str">
        <v>株洲诚康实业有限责任公司</v>
      </c>
      <c r="Y15" s="3" t="str">
        <f>_xlfn.XLOOKUP(X15,'7月份计划'!A:A,'7月份计划'!A:A)</f>
        <v>株洲诚康实业有限责任公司</v>
      </c>
    </row>
    <row r="16" spans="1:25">
      <c r="A16" s="12" t="s">
        <v>3177</v>
      </c>
      <c r="B16" s="12" t="s">
        <v>32</v>
      </c>
      <c r="C16" s="12" t="s">
        <v>3178</v>
      </c>
      <c r="D16" s="13">
        <v>3</v>
      </c>
      <c r="E16" s="12" t="s">
        <v>3179</v>
      </c>
      <c r="F16" s="14">
        <v>45919</v>
      </c>
      <c r="G16" s="14">
        <v>45919</v>
      </c>
      <c r="H16" s="15" t="s">
        <v>444</v>
      </c>
      <c r="I16" s="12" t="s">
        <v>445</v>
      </c>
      <c r="J16" s="15" t="s">
        <v>41</v>
      </c>
      <c r="K16" s="12" t="s">
        <v>660</v>
      </c>
      <c r="L16" s="15" t="s">
        <v>41</v>
      </c>
      <c r="M16" s="12" t="s">
        <v>492</v>
      </c>
      <c r="N16" s="15" t="s">
        <v>41</v>
      </c>
      <c r="O16" s="20" t="s">
        <v>3010</v>
      </c>
      <c r="P16" s="21">
        <v>1941.66</v>
      </c>
      <c r="Q16" s="21">
        <v>0</v>
      </c>
      <c r="R16" s="12" t="s">
        <v>803</v>
      </c>
      <c r="S16" s="12" t="s">
        <v>281</v>
      </c>
      <c r="T16" s="12" t="s">
        <v>36</v>
      </c>
      <c r="U16" s="12" t="s">
        <v>663</v>
      </c>
      <c r="V16" s="12" t="s">
        <v>3180</v>
      </c>
      <c r="W16" s="12" t="s">
        <v>665</v>
      </c>
      <c r="X16" s="3" t="str">
        <v>德阳光华荣昌汽车科技有限公司</v>
      </c>
      <c r="Y16" s="3" t="e">
        <f>_xlfn.XLOOKUP(X16,'7月份计划'!A:A,'7月份计划'!A:A)</f>
        <v>#N/A</v>
      </c>
    </row>
    <row r="17" spans="1:25">
      <c r="A17" s="8" t="s">
        <v>3181</v>
      </c>
      <c r="B17" s="8" t="s">
        <v>32</v>
      </c>
      <c r="C17" s="8" t="s">
        <v>3182</v>
      </c>
      <c r="D17" s="9">
        <v>1</v>
      </c>
      <c r="E17" s="8" t="s">
        <v>3183</v>
      </c>
      <c r="F17" s="10">
        <v>45919</v>
      </c>
      <c r="G17" s="10">
        <v>45919</v>
      </c>
      <c r="H17" s="11" t="s">
        <v>444</v>
      </c>
      <c r="I17" s="8" t="s">
        <v>445</v>
      </c>
      <c r="J17" s="11" t="s">
        <v>41</v>
      </c>
      <c r="K17" s="8" t="s">
        <v>660</v>
      </c>
      <c r="L17" s="11" t="s">
        <v>41</v>
      </c>
      <c r="M17" s="8" t="s">
        <v>492</v>
      </c>
      <c r="N17" s="11" t="s">
        <v>41</v>
      </c>
      <c r="O17" s="18" t="s">
        <v>3010</v>
      </c>
      <c r="P17" s="19">
        <v>0</v>
      </c>
      <c r="Q17" s="19">
        <v>36612</v>
      </c>
      <c r="R17" s="8" t="s">
        <v>1149</v>
      </c>
      <c r="S17" s="8" t="s">
        <v>282</v>
      </c>
      <c r="T17" s="8" t="s">
        <v>36</v>
      </c>
      <c r="U17" s="8" t="s">
        <v>663</v>
      </c>
      <c r="V17" s="8" t="s">
        <v>3184</v>
      </c>
      <c r="W17" s="8" t="s">
        <v>665</v>
      </c>
      <c r="X17" s="3" t="str">
        <v>湖北伟士通汽车零件有限公司</v>
      </c>
      <c r="Y17" s="3" t="str">
        <f>_xlfn.XLOOKUP(X17,'7月份计划'!A:A,'7月份计划'!A:A)</f>
        <v>湖北伟士通汽车零件有限公司</v>
      </c>
    </row>
    <row r="18" spans="1:25">
      <c r="A18" s="12" t="s">
        <v>3185</v>
      </c>
      <c r="B18" s="12" t="s">
        <v>32</v>
      </c>
      <c r="C18" s="12" t="s">
        <v>3186</v>
      </c>
      <c r="D18" s="13">
        <v>1</v>
      </c>
      <c r="E18" s="12" t="s">
        <v>3187</v>
      </c>
      <c r="F18" s="14">
        <v>45919</v>
      </c>
      <c r="G18" s="14">
        <v>45919</v>
      </c>
      <c r="H18" s="15" t="s">
        <v>444</v>
      </c>
      <c r="I18" s="12" t="s">
        <v>445</v>
      </c>
      <c r="J18" s="15" t="s">
        <v>41</v>
      </c>
      <c r="K18" s="12" t="s">
        <v>660</v>
      </c>
      <c r="L18" s="15" t="s">
        <v>41</v>
      </c>
      <c r="M18" s="12" t="s">
        <v>492</v>
      </c>
      <c r="N18" s="15" t="s">
        <v>41</v>
      </c>
      <c r="O18" s="20" t="s">
        <v>2868</v>
      </c>
      <c r="P18" s="21">
        <v>0</v>
      </c>
      <c r="Q18" s="21">
        <v>100398.02</v>
      </c>
      <c r="R18" s="12" t="s">
        <v>961</v>
      </c>
      <c r="S18" s="12" t="s">
        <v>254</v>
      </c>
      <c r="T18" s="12" t="s">
        <v>36</v>
      </c>
      <c r="U18" s="12" t="s">
        <v>663</v>
      </c>
      <c r="V18" s="12" t="s">
        <v>3188</v>
      </c>
      <c r="W18" s="12" t="s">
        <v>665</v>
      </c>
      <c r="X18" s="3" t="str">
        <v>湘潭湘和汽车零部件制造有限公</v>
      </c>
      <c r="Y18" s="3" t="str">
        <f>_xlfn.XLOOKUP(X18,'7月份计划'!A:A,'7月份计划'!A:A)</f>
        <v>湘潭湘和汽车零部件制造有限公</v>
      </c>
    </row>
    <row r="19" spans="1:25">
      <c r="A19" s="8" t="s">
        <v>3185</v>
      </c>
      <c r="B19" s="8" t="s">
        <v>32</v>
      </c>
      <c r="C19" s="8" t="s">
        <v>3186</v>
      </c>
      <c r="D19" s="9">
        <v>3</v>
      </c>
      <c r="E19" s="8" t="s">
        <v>3187</v>
      </c>
      <c r="F19" s="10">
        <v>45919</v>
      </c>
      <c r="G19" s="10">
        <v>45919</v>
      </c>
      <c r="H19" s="11" t="s">
        <v>444</v>
      </c>
      <c r="I19" s="8" t="s">
        <v>445</v>
      </c>
      <c r="J19" s="11" t="s">
        <v>41</v>
      </c>
      <c r="K19" s="8" t="s">
        <v>660</v>
      </c>
      <c r="L19" s="11" t="s">
        <v>41</v>
      </c>
      <c r="M19" s="8" t="s">
        <v>492</v>
      </c>
      <c r="N19" s="11" t="s">
        <v>41</v>
      </c>
      <c r="O19" s="18" t="s">
        <v>2868</v>
      </c>
      <c r="P19" s="19">
        <v>31746</v>
      </c>
      <c r="Q19" s="19">
        <v>0</v>
      </c>
      <c r="R19" s="8" t="s">
        <v>961</v>
      </c>
      <c r="S19" s="8" t="s">
        <v>254</v>
      </c>
      <c r="T19" s="8" t="s">
        <v>36</v>
      </c>
      <c r="U19" s="8" t="s">
        <v>663</v>
      </c>
      <c r="V19" s="8" t="s">
        <v>3188</v>
      </c>
      <c r="W19" s="8" t="s">
        <v>665</v>
      </c>
      <c r="X19" s="3" t="str">
        <v>湖南中道机械设备有限公司</v>
      </c>
      <c r="Y19" s="3" t="str">
        <f>_xlfn.XLOOKUP(X19,'7月份计划'!A:A,'7月份计划'!A:A)</f>
        <v>湖南中道机械设备有限公司</v>
      </c>
    </row>
    <row r="20" spans="1:25">
      <c r="A20" s="12" t="s">
        <v>3189</v>
      </c>
      <c r="B20" s="12" t="s">
        <v>32</v>
      </c>
      <c r="C20" s="12" t="s">
        <v>3190</v>
      </c>
      <c r="D20" s="13">
        <v>1</v>
      </c>
      <c r="E20" s="12" t="s">
        <v>3191</v>
      </c>
      <c r="F20" s="14">
        <v>45919</v>
      </c>
      <c r="G20" s="14">
        <v>45919</v>
      </c>
      <c r="H20" s="15" t="s">
        <v>444</v>
      </c>
      <c r="I20" s="12" t="s">
        <v>445</v>
      </c>
      <c r="J20" s="15" t="s">
        <v>41</v>
      </c>
      <c r="K20" s="12" t="s">
        <v>660</v>
      </c>
      <c r="L20" s="15" t="s">
        <v>41</v>
      </c>
      <c r="M20" s="12" t="s">
        <v>492</v>
      </c>
      <c r="N20" s="15" t="s">
        <v>41</v>
      </c>
      <c r="O20" s="20" t="s">
        <v>3010</v>
      </c>
      <c r="P20" s="21">
        <v>0</v>
      </c>
      <c r="Q20" s="21">
        <v>20492.35</v>
      </c>
      <c r="R20" s="12" t="s">
        <v>763</v>
      </c>
      <c r="S20" s="12" t="s">
        <v>275</v>
      </c>
      <c r="T20" s="12" t="s">
        <v>36</v>
      </c>
      <c r="U20" s="12" t="s">
        <v>663</v>
      </c>
      <c r="V20" s="12" t="s">
        <v>3192</v>
      </c>
      <c r="W20" s="12" t="s">
        <v>665</v>
      </c>
      <c r="X20" s="3" t="str">
        <v>沧州临港明康汽车配件有限公司</v>
      </c>
      <c r="Y20" s="3" t="str">
        <f>_xlfn.XLOOKUP(X20,'7月份计划'!A:A,'7月份计划'!A:A)</f>
        <v>沧州临港明康汽车配件有限公司</v>
      </c>
    </row>
    <row r="21" spans="1:25">
      <c r="A21" s="8" t="s">
        <v>3193</v>
      </c>
      <c r="B21" s="8" t="s">
        <v>32</v>
      </c>
      <c r="C21" s="8" t="s">
        <v>3194</v>
      </c>
      <c r="D21" s="9">
        <v>1</v>
      </c>
      <c r="E21" s="8" t="s">
        <v>3195</v>
      </c>
      <c r="F21" s="10">
        <v>45919</v>
      </c>
      <c r="G21" s="10">
        <v>45919</v>
      </c>
      <c r="H21" s="11" t="s">
        <v>444</v>
      </c>
      <c r="I21" s="8" t="s">
        <v>445</v>
      </c>
      <c r="J21" s="11" t="s">
        <v>41</v>
      </c>
      <c r="K21" s="8" t="s">
        <v>660</v>
      </c>
      <c r="L21" s="11" t="s">
        <v>41</v>
      </c>
      <c r="M21" s="8" t="s">
        <v>492</v>
      </c>
      <c r="N21" s="11" t="s">
        <v>41</v>
      </c>
      <c r="O21" s="18" t="s">
        <v>3010</v>
      </c>
      <c r="P21" s="19">
        <v>0</v>
      </c>
      <c r="Q21" s="19">
        <v>267087.46</v>
      </c>
      <c r="R21" s="8" t="s">
        <v>2326</v>
      </c>
      <c r="S21" s="8" t="s">
        <v>600</v>
      </c>
      <c r="T21" s="8" t="s">
        <v>36</v>
      </c>
      <c r="U21" s="8" t="s">
        <v>663</v>
      </c>
      <c r="V21" s="8" t="s">
        <v>3196</v>
      </c>
      <c r="W21" s="8" t="s">
        <v>665</v>
      </c>
      <c r="X21" s="3" t="str">
        <v>溧阳鑫岩汽车零部件有限公司</v>
      </c>
      <c r="Y21" s="3" t="str">
        <f>_xlfn.XLOOKUP(X21,'7月份计划'!A:A,'7月份计划'!A:A)</f>
        <v>溧阳鑫岩汽车零部件有限公司</v>
      </c>
    </row>
    <row r="22" spans="1:25">
      <c r="A22" s="12" t="s">
        <v>3193</v>
      </c>
      <c r="B22" s="12" t="s">
        <v>32</v>
      </c>
      <c r="C22" s="12" t="s">
        <v>3194</v>
      </c>
      <c r="D22" s="13">
        <v>3</v>
      </c>
      <c r="E22" s="12" t="s">
        <v>3195</v>
      </c>
      <c r="F22" s="14">
        <v>45919</v>
      </c>
      <c r="G22" s="14">
        <v>45919</v>
      </c>
      <c r="H22" s="15" t="s">
        <v>444</v>
      </c>
      <c r="I22" s="12" t="s">
        <v>445</v>
      </c>
      <c r="J22" s="15" t="s">
        <v>41</v>
      </c>
      <c r="K22" s="12" t="s">
        <v>660</v>
      </c>
      <c r="L22" s="15" t="s">
        <v>41</v>
      </c>
      <c r="M22" s="12" t="s">
        <v>492</v>
      </c>
      <c r="N22" s="15" t="s">
        <v>41</v>
      </c>
      <c r="O22" s="20" t="s">
        <v>3010</v>
      </c>
      <c r="P22" s="21">
        <v>259.2</v>
      </c>
      <c r="Q22" s="21">
        <v>0</v>
      </c>
      <c r="R22" s="12" t="s">
        <v>2326</v>
      </c>
      <c r="S22" s="12" t="s">
        <v>600</v>
      </c>
      <c r="T22" s="12" t="s">
        <v>36</v>
      </c>
      <c r="U22" s="12" t="s">
        <v>663</v>
      </c>
      <c r="V22" s="12" t="s">
        <v>3196</v>
      </c>
      <c r="W22" s="12" t="s">
        <v>665</v>
      </c>
      <c r="X22" s="3" t="str">
        <v>重庆光大产业有限公司</v>
      </c>
      <c r="Y22" s="3" t="str">
        <f>_xlfn.XLOOKUP(X22,'7月份计划'!A:A,'7月份计划'!A:A)</f>
        <v>重庆光大产业有限公司</v>
      </c>
    </row>
    <row r="23" spans="1:25">
      <c r="A23" s="8" t="s">
        <v>3197</v>
      </c>
      <c r="B23" s="8" t="s">
        <v>32</v>
      </c>
      <c r="C23" s="8" t="s">
        <v>3198</v>
      </c>
      <c r="D23" s="9">
        <v>1</v>
      </c>
      <c r="E23" s="8" t="s">
        <v>3199</v>
      </c>
      <c r="F23" s="10">
        <v>45919</v>
      </c>
      <c r="G23" s="10">
        <v>45919</v>
      </c>
      <c r="H23" s="11" t="s">
        <v>444</v>
      </c>
      <c r="I23" s="8" t="s">
        <v>445</v>
      </c>
      <c r="J23" s="11" t="s">
        <v>41</v>
      </c>
      <c r="K23" s="8" t="s">
        <v>660</v>
      </c>
      <c r="L23" s="11" t="s">
        <v>41</v>
      </c>
      <c r="M23" s="8" t="s">
        <v>492</v>
      </c>
      <c r="N23" s="11" t="s">
        <v>41</v>
      </c>
      <c r="O23" s="18" t="s">
        <v>3010</v>
      </c>
      <c r="P23" s="19">
        <v>0</v>
      </c>
      <c r="Q23" s="19">
        <v>66208.19</v>
      </c>
      <c r="R23" s="8" t="s">
        <v>753</v>
      </c>
      <c r="S23" s="8" t="s">
        <v>252</v>
      </c>
      <c r="T23" s="8" t="s">
        <v>36</v>
      </c>
      <c r="U23" s="8" t="s">
        <v>663</v>
      </c>
      <c r="V23" s="8" t="s">
        <v>3200</v>
      </c>
      <c r="W23" s="8" t="s">
        <v>665</v>
      </c>
      <c r="X23" s="3" t="str">
        <v>黄骅市雍丰塑料制品有限公司</v>
      </c>
      <c r="Y23" s="3" t="str">
        <f>_xlfn.XLOOKUP(X23,'7月份计划'!A:A,'7月份计划'!A:A)</f>
        <v>黄骅市雍丰塑料制品有限公司</v>
      </c>
    </row>
    <row r="24" spans="1:25">
      <c r="A24" s="12" t="s">
        <v>3197</v>
      </c>
      <c r="B24" s="12" t="s">
        <v>32</v>
      </c>
      <c r="C24" s="12" t="s">
        <v>3198</v>
      </c>
      <c r="D24" s="13">
        <v>3</v>
      </c>
      <c r="E24" s="12" t="s">
        <v>3199</v>
      </c>
      <c r="F24" s="14">
        <v>45919</v>
      </c>
      <c r="G24" s="14">
        <v>45919</v>
      </c>
      <c r="H24" s="15" t="s">
        <v>444</v>
      </c>
      <c r="I24" s="12" t="s">
        <v>445</v>
      </c>
      <c r="J24" s="15" t="s">
        <v>41</v>
      </c>
      <c r="K24" s="12" t="s">
        <v>660</v>
      </c>
      <c r="L24" s="15" t="s">
        <v>41</v>
      </c>
      <c r="M24" s="12" t="s">
        <v>492</v>
      </c>
      <c r="N24" s="15" t="s">
        <v>41</v>
      </c>
      <c r="O24" s="20" t="s">
        <v>3010</v>
      </c>
      <c r="P24" s="21">
        <v>1.13</v>
      </c>
      <c r="Q24" s="21">
        <v>0</v>
      </c>
      <c r="R24" s="12" t="s">
        <v>753</v>
      </c>
      <c r="S24" s="12" t="s">
        <v>252</v>
      </c>
      <c r="T24" s="12" t="s">
        <v>36</v>
      </c>
      <c r="U24" s="12" t="s">
        <v>663</v>
      </c>
      <c r="V24" s="12" t="s">
        <v>3200</v>
      </c>
      <c r="W24" s="12" t="s">
        <v>665</v>
      </c>
      <c r="X24" s="3" t="str">
        <v>天津琪安科技有限公司</v>
      </c>
      <c r="Y24" s="3" t="str">
        <f>_xlfn.XLOOKUP(X24,'7月份计划'!A:A,'7月份计划'!A:A)</f>
        <v>天津琪安科技有限公司</v>
      </c>
    </row>
    <row r="25" spans="1:25">
      <c r="A25" s="8" t="s">
        <v>3201</v>
      </c>
      <c r="B25" s="8" t="s">
        <v>32</v>
      </c>
      <c r="C25" s="8" t="s">
        <v>3202</v>
      </c>
      <c r="D25" s="9">
        <v>1</v>
      </c>
      <c r="E25" s="8" t="s">
        <v>3203</v>
      </c>
      <c r="F25" s="10">
        <v>45919</v>
      </c>
      <c r="G25" s="10">
        <v>45919</v>
      </c>
      <c r="H25" s="11" t="s">
        <v>444</v>
      </c>
      <c r="I25" s="8" t="s">
        <v>445</v>
      </c>
      <c r="J25" s="11" t="s">
        <v>41</v>
      </c>
      <c r="K25" s="8" t="s">
        <v>660</v>
      </c>
      <c r="L25" s="11" t="s">
        <v>41</v>
      </c>
      <c r="M25" s="8" t="s">
        <v>492</v>
      </c>
      <c r="N25" s="11" t="s">
        <v>41</v>
      </c>
      <c r="O25" s="18" t="s">
        <v>3010</v>
      </c>
      <c r="P25" s="19">
        <v>0</v>
      </c>
      <c r="Q25" s="19">
        <v>397743.38</v>
      </c>
      <c r="R25" s="8" t="s">
        <v>961</v>
      </c>
      <c r="S25" s="8" t="s">
        <v>254</v>
      </c>
      <c r="T25" s="8" t="s">
        <v>36</v>
      </c>
      <c r="U25" s="8" t="s">
        <v>663</v>
      </c>
      <c r="V25" s="8" t="s">
        <v>3204</v>
      </c>
      <c r="W25" s="8" t="s">
        <v>665</v>
      </c>
      <c r="X25" s="3" t="str">
        <v>黄骅市建昌塑料制品有限公司</v>
      </c>
      <c r="Y25" s="3" t="str">
        <f>_xlfn.XLOOKUP(X25,'7月份计划'!A:A,'7月份计划'!A:A)</f>
        <v>黄骅市建昌塑料制品有限公司</v>
      </c>
    </row>
    <row r="26" spans="1:25">
      <c r="A26" s="12" t="s">
        <v>3201</v>
      </c>
      <c r="B26" s="12" t="s">
        <v>32</v>
      </c>
      <c r="C26" s="12" t="s">
        <v>3202</v>
      </c>
      <c r="D26" s="13">
        <v>4</v>
      </c>
      <c r="E26" s="12" t="s">
        <v>3203</v>
      </c>
      <c r="F26" s="14">
        <v>45919</v>
      </c>
      <c r="G26" s="14">
        <v>45919</v>
      </c>
      <c r="H26" s="15" t="s">
        <v>444</v>
      </c>
      <c r="I26" s="12" t="s">
        <v>445</v>
      </c>
      <c r="J26" s="15" t="s">
        <v>41</v>
      </c>
      <c r="K26" s="12" t="s">
        <v>660</v>
      </c>
      <c r="L26" s="15" t="s">
        <v>41</v>
      </c>
      <c r="M26" s="12" t="s">
        <v>492</v>
      </c>
      <c r="N26" s="15" t="s">
        <v>41</v>
      </c>
      <c r="O26" s="20" t="s">
        <v>3010</v>
      </c>
      <c r="P26" s="21">
        <v>30.64</v>
      </c>
      <c r="Q26" s="21">
        <v>0</v>
      </c>
      <c r="R26" s="12" t="s">
        <v>961</v>
      </c>
      <c r="S26" s="12" t="s">
        <v>254</v>
      </c>
      <c r="T26" s="12" t="s">
        <v>36</v>
      </c>
      <c r="U26" s="12" t="s">
        <v>663</v>
      </c>
      <c r="V26" s="12" t="s">
        <v>3204</v>
      </c>
      <c r="W26" s="12" t="s">
        <v>665</v>
      </c>
      <c r="X26" s="3" t="str">
        <v>汇阅（上海）新材料科技有限公</v>
      </c>
      <c r="Y26" s="3" t="str">
        <f>_xlfn.XLOOKUP(X26,'7月份计划'!A:A,'7月份计划'!A:A)</f>
        <v>汇阅（上海）新材料科技有限公</v>
      </c>
    </row>
    <row r="27" spans="1:25">
      <c r="A27" s="8" t="s">
        <v>3205</v>
      </c>
      <c r="B27" s="8" t="s">
        <v>32</v>
      </c>
      <c r="C27" s="8" t="s">
        <v>3206</v>
      </c>
      <c r="D27" s="9">
        <v>1</v>
      </c>
      <c r="E27" s="8" t="s">
        <v>3207</v>
      </c>
      <c r="F27" s="10">
        <v>45919</v>
      </c>
      <c r="G27" s="10">
        <v>45919</v>
      </c>
      <c r="H27" s="11" t="s">
        <v>444</v>
      </c>
      <c r="I27" s="8" t="s">
        <v>445</v>
      </c>
      <c r="J27" s="11" t="s">
        <v>41</v>
      </c>
      <c r="K27" s="8" t="s">
        <v>660</v>
      </c>
      <c r="L27" s="11" t="s">
        <v>41</v>
      </c>
      <c r="M27" s="8" t="s">
        <v>492</v>
      </c>
      <c r="N27" s="11" t="s">
        <v>41</v>
      </c>
      <c r="O27" s="18" t="s">
        <v>3010</v>
      </c>
      <c r="P27" s="19">
        <v>0</v>
      </c>
      <c r="Q27" s="19">
        <v>224371.52</v>
      </c>
      <c r="R27" s="8" t="s">
        <v>952</v>
      </c>
      <c r="S27" s="8" t="s">
        <v>264</v>
      </c>
      <c r="T27" s="8" t="s">
        <v>36</v>
      </c>
      <c r="U27" s="8" t="s">
        <v>663</v>
      </c>
      <c r="V27" s="8" t="s">
        <v>3208</v>
      </c>
      <c r="W27" s="8" t="s">
        <v>665</v>
      </c>
      <c r="X27" s="3" t="str">
        <v>深州市晶立泰机械配件有限公司</v>
      </c>
      <c r="Y27" s="3" t="str">
        <f>_xlfn.XLOOKUP(X27,'7月份计划'!A:A,'7月份计划'!A:A)</f>
        <v>深州市晶立泰机械配件有限公司</v>
      </c>
    </row>
    <row r="28" spans="1:25">
      <c r="A28" s="12" t="s">
        <v>3205</v>
      </c>
      <c r="B28" s="12" t="s">
        <v>32</v>
      </c>
      <c r="C28" s="12" t="s">
        <v>3206</v>
      </c>
      <c r="D28" s="13">
        <v>3</v>
      </c>
      <c r="E28" s="12" t="s">
        <v>3207</v>
      </c>
      <c r="F28" s="14">
        <v>45919</v>
      </c>
      <c r="G28" s="14">
        <v>45919</v>
      </c>
      <c r="H28" s="15" t="s">
        <v>444</v>
      </c>
      <c r="I28" s="12" t="s">
        <v>445</v>
      </c>
      <c r="J28" s="15" t="s">
        <v>41</v>
      </c>
      <c r="K28" s="12" t="s">
        <v>660</v>
      </c>
      <c r="L28" s="15" t="s">
        <v>41</v>
      </c>
      <c r="M28" s="12" t="s">
        <v>492</v>
      </c>
      <c r="N28" s="15" t="s">
        <v>41</v>
      </c>
      <c r="O28" s="20" t="s">
        <v>3010</v>
      </c>
      <c r="P28" s="21">
        <v>2015.69</v>
      </c>
      <c r="Q28" s="21">
        <v>0</v>
      </c>
      <c r="R28" s="12" t="s">
        <v>952</v>
      </c>
      <c r="S28" s="12" t="s">
        <v>264</v>
      </c>
      <c r="T28" s="12" t="s">
        <v>36</v>
      </c>
      <c r="U28" s="12" t="s">
        <v>663</v>
      </c>
      <c r="V28" s="12" t="s">
        <v>3208</v>
      </c>
      <c r="W28" s="12" t="s">
        <v>665</v>
      </c>
      <c r="X28" s="3" t="str">
        <v>吉林省德邦汽车电子有限公司</v>
      </c>
      <c r="Y28" s="3" t="str">
        <f>_xlfn.XLOOKUP(X28,'7月份计划'!A:A,'7月份计划'!A:A)</f>
        <v>吉林省德邦汽车电子有限公司</v>
      </c>
    </row>
    <row r="29" spans="1:25">
      <c r="A29" s="8" t="s">
        <v>3209</v>
      </c>
      <c r="B29" s="8" t="s">
        <v>32</v>
      </c>
      <c r="C29" s="8" t="s">
        <v>3210</v>
      </c>
      <c r="D29" s="9">
        <v>1</v>
      </c>
      <c r="E29" s="8" t="s">
        <v>3211</v>
      </c>
      <c r="F29" s="10">
        <v>45919</v>
      </c>
      <c r="G29" s="10">
        <v>45919</v>
      </c>
      <c r="H29" s="11" t="s">
        <v>444</v>
      </c>
      <c r="I29" s="8" t="s">
        <v>445</v>
      </c>
      <c r="J29" s="11" t="s">
        <v>41</v>
      </c>
      <c r="K29" s="8" t="s">
        <v>660</v>
      </c>
      <c r="L29" s="11" t="s">
        <v>41</v>
      </c>
      <c r="M29" s="8" t="s">
        <v>492</v>
      </c>
      <c r="N29" s="11" t="s">
        <v>41</v>
      </c>
      <c r="O29" s="18" t="s">
        <v>3010</v>
      </c>
      <c r="P29" s="19">
        <v>0</v>
      </c>
      <c r="Q29" s="19">
        <v>543741.36</v>
      </c>
      <c r="R29" s="8" t="s">
        <v>853</v>
      </c>
      <c r="S29" s="8" t="s">
        <v>265</v>
      </c>
      <c r="T29" s="8" t="s">
        <v>36</v>
      </c>
      <c r="U29" s="8" t="s">
        <v>663</v>
      </c>
      <c r="V29" s="8" t="s">
        <v>3212</v>
      </c>
      <c r="W29" s="8" t="s">
        <v>665</v>
      </c>
      <c r="X29" s="3" t="str">
        <v>黄骅市汇铭汽车部件有限公司</v>
      </c>
      <c r="Y29" s="3" t="str">
        <f>_xlfn.XLOOKUP(X29,'7月份计划'!A:A,'7月份计划'!A:A)</f>
        <v>黄骅市汇铭汽车部件有限公司</v>
      </c>
    </row>
    <row r="30" spans="1:25">
      <c r="A30" s="12" t="s">
        <v>3209</v>
      </c>
      <c r="B30" s="12" t="s">
        <v>32</v>
      </c>
      <c r="C30" s="12" t="s">
        <v>3210</v>
      </c>
      <c r="D30" s="13">
        <v>4</v>
      </c>
      <c r="E30" s="12" t="s">
        <v>3211</v>
      </c>
      <c r="F30" s="14">
        <v>45919</v>
      </c>
      <c r="G30" s="14">
        <v>45919</v>
      </c>
      <c r="H30" s="15" t="s">
        <v>444</v>
      </c>
      <c r="I30" s="12" t="s">
        <v>445</v>
      </c>
      <c r="J30" s="15" t="s">
        <v>41</v>
      </c>
      <c r="K30" s="12" t="s">
        <v>660</v>
      </c>
      <c r="L30" s="15" t="s">
        <v>41</v>
      </c>
      <c r="M30" s="12" t="s">
        <v>492</v>
      </c>
      <c r="N30" s="15" t="s">
        <v>41</v>
      </c>
      <c r="O30" s="20" t="s">
        <v>3010</v>
      </c>
      <c r="P30" s="21">
        <v>237.7</v>
      </c>
      <c r="Q30" s="21">
        <v>0</v>
      </c>
      <c r="R30" s="12" t="s">
        <v>853</v>
      </c>
      <c r="S30" s="12" t="s">
        <v>265</v>
      </c>
      <c r="T30" s="12" t="s">
        <v>36</v>
      </c>
      <c r="U30" s="12" t="s">
        <v>663</v>
      </c>
      <c r="V30" s="12" t="s">
        <v>3212</v>
      </c>
      <c r="W30" s="12" t="s">
        <v>665</v>
      </c>
      <c r="X30" s="3" t="str">
        <v>湖南诺亿科技有限公司</v>
      </c>
      <c r="Y30" s="3" t="str">
        <f>_xlfn.XLOOKUP(X30,'7月份计划'!A:A,'7月份计划'!A:A)</f>
        <v>湖南诺亿科技有限公司</v>
      </c>
    </row>
    <row r="31" spans="1:25">
      <c r="A31" s="8" t="s">
        <v>3213</v>
      </c>
      <c r="B31" s="8" t="s">
        <v>32</v>
      </c>
      <c r="C31" s="8" t="s">
        <v>3214</v>
      </c>
      <c r="D31" s="9">
        <v>1</v>
      </c>
      <c r="E31" s="8" t="s">
        <v>3215</v>
      </c>
      <c r="F31" s="10">
        <v>45919</v>
      </c>
      <c r="G31" s="10">
        <v>45919</v>
      </c>
      <c r="H31" s="11" t="s">
        <v>444</v>
      </c>
      <c r="I31" s="8" t="s">
        <v>445</v>
      </c>
      <c r="J31" s="11" t="s">
        <v>41</v>
      </c>
      <c r="K31" s="8" t="s">
        <v>660</v>
      </c>
      <c r="L31" s="11" t="s">
        <v>41</v>
      </c>
      <c r="M31" s="8" t="s">
        <v>492</v>
      </c>
      <c r="N31" s="11" t="s">
        <v>41</v>
      </c>
      <c r="O31" s="18" t="s">
        <v>3216</v>
      </c>
      <c r="P31" s="19">
        <v>0.02</v>
      </c>
      <c r="Q31" s="19">
        <v>0</v>
      </c>
      <c r="R31" s="8" t="s">
        <v>853</v>
      </c>
      <c r="S31" s="8" t="s">
        <v>265</v>
      </c>
      <c r="T31" s="8" t="s">
        <v>36</v>
      </c>
      <c r="U31" s="8" t="s">
        <v>663</v>
      </c>
      <c r="V31" s="8" t="s">
        <v>3217</v>
      </c>
      <c r="W31" s="8" t="s">
        <v>665</v>
      </c>
      <c r="X31" s="3" t="str">
        <v>湘乡简美工贸有限公司</v>
      </c>
      <c r="Y31" s="3" t="str">
        <f>_xlfn.XLOOKUP(X31,'7月份计划'!A:A,'7月份计划'!A:A)</f>
        <v>湘乡简美工贸有限公司</v>
      </c>
    </row>
    <row r="32" spans="1:25">
      <c r="A32" s="12" t="s">
        <v>3218</v>
      </c>
      <c r="B32" s="12" t="s">
        <v>32</v>
      </c>
      <c r="C32" s="12" t="s">
        <v>3219</v>
      </c>
      <c r="D32" s="13">
        <v>1</v>
      </c>
      <c r="E32" s="12" t="s">
        <v>3220</v>
      </c>
      <c r="F32" s="14">
        <v>45919</v>
      </c>
      <c r="G32" s="14">
        <v>45919</v>
      </c>
      <c r="H32" s="15" t="s">
        <v>444</v>
      </c>
      <c r="I32" s="12" t="s">
        <v>445</v>
      </c>
      <c r="J32" s="15" t="s">
        <v>41</v>
      </c>
      <c r="K32" s="12" t="s">
        <v>660</v>
      </c>
      <c r="L32" s="15" t="s">
        <v>41</v>
      </c>
      <c r="M32" s="12" t="s">
        <v>492</v>
      </c>
      <c r="N32" s="15" t="s">
        <v>41</v>
      </c>
      <c r="O32" s="20" t="s">
        <v>3010</v>
      </c>
      <c r="P32" s="21">
        <v>0</v>
      </c>
      <c r="Q32" s="21">
        <v>20289.15</v>
      </c>
      <c r="R32" s="12" t="s">
        <v>861</v>
      </c>
      <c r="S32" s="12" t="s">
        <v>244</v>
      </c>
      <c r="T32" s="12" t="s">
        <v>36</v>
      </c>
      <c r="U32" s="12" t="s">
        <v>663</v>
      </c>
      <c r="V32" s="12" t="s">
        <v>3221</v>
      </c>
      <c r="W32" s="12" t="s">
        <v>665</v>
      </c>
      <c r="X32" s="3" t="str">
        <v>廊坊市烁鑫汽车配件有限公司</v>
      </c>
      <c r="Y32" s="3" t="str">
        <f>_xlfn.XLOOKUP(X32,'7月份计划'!A:A,'7月份计划'!A:A)</f>
        <v>廊坊市烁鑫汽车配件有限公司</v>
      </c>
    </row>
    <row r="33" spans="1:25">
      <c r="A33" s="8" t="s">
        <v>3222</v>
      </c>
      <c r="B33" s="8" t="s">
        <v>32</v>
      </c>
      <c r="C33" s="8" t="s">
        <v>3223</v>
      </c>
      <c r="D33" s="9">
        <v>1</v>
      </c>
      <c r="E33" s="8" t="s">
        <v>3224</v>
      </c>
      <c r="F33" s="10">
        <v>45919</v>
      </c>
      <c r="G33" s="10">
        <v>45919</v>
      </c>
      <c r="H33" s="11" t="s">
        <v>444</v>
      </c>
      <c r="I33" s="8" t="s">
        <v>445</v>
      </c>
      <c r="J33" s="11" t="s">
        <v>41</v>
      </c>
      <c r="K33" s="8" t="s">
        <v>660</v>
      </c>
      <c r="L33" s="11" t="s">
        <v>41</v>
      </c>
      <c r="M33" s="8" t="s">
        <v>492</v>
      </c>
      <c r="N33" s="11" t="s">
        <v>41</v>
      </c>
      <c r="O33" s="18" t="s">
        <v>3010</v>
      </c>
      <c r="P33" s="19">
        <v>0</v>
      </c>
      <c r="Q33" s="19">
        <v>69533.07</v>
      </c>
      <c r="R33" s="8" t="s">
        <v>866</v>
      </c>
      <c r="S33" s="8" t="s">
        <v>250</v>
      </c>
      <c r="T33" s="8" t="s">
        <v>36</v>
      </c>
      <c r="U33" s="8" t="s">
        <v>663</v>
      </c>
      <c r="V33" s="8" t="s">
        <v>3225</v>
      </c>
      <c r="W33" s="8" t="s">
        <v>665</v>
      </c>
      <c r="X33" s="3" t="str">
        <v>重庆厚元汽车配件有限公司</v>
      </c>
      <c r="Y33" s="3" t="str">
        <f>_xlfn.XLOOKUP(X33,'7月份计划'!A:A,'7月份计划'!A:A)</f>
        <v>重庆厚元汽车配件有限公司</v>
      </c>
    </row>
    <row r="34" spans="1:25">
      <c r="A34" s="12" t="s">
        <v>3226</v>
      </c>
      <c r="B34" s="12" t="s">
        <v>32</v>
      </c>
      <c r="C34" s="12" t="s">
        <v>3227</v>
      </c>
      <c r="D34" s="13">
        <v>1</v>
      </c>
      <c r="E34" s="12" t="s">
        <v>3228</v>
      </c>
      <c r="F34" s="14">
        <v>45919</v>
      </c>
      <c r="G34" s="14">
        <v>45919</v>
      </c>
      <c r="H34" s="15" t="s">
        <v>444</v>
      </c>
      <c r="I34" s="12" t="s">
        <v>445</v>
      </c>
      <c r="J34" s="15" t="s">
        <v>41</v>
      </c>
      <c r="K34" s="12" t="s">
        <v>660</v>
      </c>
      <c r="L34" s="15" t="s">
        <v>41</v>
      </c>
      <c r="M34" s="12" t="s">
        <v>492</v>
      </c>
      <c r="N34" s="15" t="s">
        <v>41</v>
      </c>
      <c r="O34" s="20" t="s">
        <v>3010</v>
      </c>
      <c r="P34" s="21">
        <v>0</v>
      </c>
      <c r="Q34" s="21">
        <v>2097.93</v>
      </c>
      <c r="R34" s="12" t="s">
        <v>1191</v>
      </c>
      <c r="S34" s="12" t="s">
        <v>255</v>
      </c>
      <c r="T34" s="12" t="s">
        <v>36</v>
      </c>
      <c r="U34" s="12" t="s">
        <v>663</v>
      </c>
      <c r="V34" s="12" t="s">
        <v>3229</v>
      </c>
      <c r="W34" s="12" t="s">
        <v>665</v>
      </c>
      <c r="X34" s="3" t="str">
        <v>衡阳县标准件厂株洲销售处</v>
      </c>
      <c r="Y34" s="3" t="str">
        <f>_xlfn.XLOOKUP(X34,'7月份计划'!A:A,'7月份计划'!A:A)</f>
        <v>衡阳县标准件厂株洲销售处</v>
      </c>
    </row>
    <row r="35" spans="1:25">
      <c r="A35" s="8" t="s">
        <v>3226</v>
      </c>
      <c r="B35" s="8" t="s">
        <v>32</v>
      </c>
      <c r="C35" s="8" t="s">
        <v>3227</v>
      </c>
      <c r="D35" s="9">
        <v>3</v>
      </c>
      <c r="E35" s="8" t="s">
        <v>3228</v>
      </c>
      <c r="F35" s="10">
        <v>45919</v>
      </c>
      <c r="G35" s="10">
        <v>45919</v>
      </c>
      <c r="H35" s="11" t="s">
        <v>444</v>
      </c>
      <c r="I35" s="8" t="s">
        <v>445</v>
      </c>
      <c r="J35" s="11" t="s">
        <v>41</v>
      </c>
      <c r="K35" s="8" t="s">
        <v>660</v>
      </c>
      <c r="L35" s="11" t="s">
        <v>41</v>
      </c>
      <c r="M35" s="8" t="s">
        <v>492</v>
      </c>
      <c r="N35" s="11" t="s">
        <v>41</v>
      </c>
      <c r="O35" s="18" t="s">
        <v>3010</v>
      </c>
      <c r="P35" s="19">
        <v>64.79</v>
      </c>
      <c r="Q35" s="19">
        <v>0</v>
      </c>
      <c r="R35" s="8" t="s">
        <v>1191</v>
      </c>
      <c r="S35" s="8" t="s">
        <v>255</v>
      </c>
      <c r="T35" s="8" t="s">
        <v>36</v>
      </c>
      <c r="U35" s="8" t="s">
        <v>663</v>
      </c>
      <c r="V35" s="8" t="s">
        <v>3229</v>
      </c>
      <c r="W35" s="8" t="s">
        <v>665</v>
      </c>
      <c r="X35" s="3" t="str">
        <v>湖南驷马机械有限公司</v>
      </c>
      <c r="Y35" s="3" t="str">
        <f>_xlfn.XLOOKUP(X35,'7月份计划'!A:A,'7月份计划'!A:A)</f>
        <v>湖南驷马机械有限公司</v>
      </c>
    </row>
    <row r="36" spans="1:25">
      <c r="A36" s="12" t="s">
        <v>3230</v>
      </c>
      <c r="B36" s="12" t="s">
        <v>32</v>
      </c>
      <c r="C36" s="12" t="s">
        <v>3231</v>
      </c>
      <c r="D36" s="13">
        <v>1</v>
      </c>
      <c r="E36" s="12" t="s">
        <v>3232</v>
      </c>
      <c r="F36" s="14">
        <v>45919</v>
      </c>
      <c r="G36" s="14">
        <v>45919</v>
      </c>
      <c r="H36" s="15" t="s">
        <v>444</v>
      </c>
      <c r="I36" s="12" t="s">
        <v>445</v>
      </c>
      <c r="J36" s="15" t="s">
        <v>41</v>
      </c>
      <c r="K36" s="12" t="s">
        <v>660</v>
      </c>
      <c r="L36" s="15" t="s">
        <v>41</v>
      </c>
      <c r="M36" s="12" t="s">
        <v>492</v>
      </c>
      <c r="N36" s="15" t="s">
        <v>41</v>
      </c>
      <c r="O36" s="20" t="s">
        <v>3010</v>
      </c>
      <c r="P36" s="21">
        <v>0</v>
      </c>
      <c r="Q36" s="21">
        <v>30896.58</v>
      </c>
      <c r="R36" s="12" t="s">
        <v>919</v>
      </c>
      <c r="S36" s="12" t="s">
        <v>260</v>
      </c>
      <c r="T36" s="12" t="s">
        <v>36</v>
      </c>
      <c r="U36" s="12" t="s">
        <v>663</v>
      </c>
      <c r="V36" s="12" t="s">
        <v>3233</v>
      </c>
      <c r="W36" s="12" t="s">
        <v>665</v>
      </c>
      <c r="X36" s="3" t="str">
        <v>株洲铖亿轨道交通技术有限</v>
      </c>
      <c r="Y36" s="3" t="str">
        <f>_xlfn.XLOOKUP(X36,'7月份计划'!A:A,'7月份计划'!A:A)</f>
        <v>株洲铖亿轨道交通技术有限</v>
      </c>
    </row>
    <row r="37" spans="1:25">
      <c r="A37" s="8" t="s">
        <v>3230</v>
      </c>
      <c r="B37" s="8" t="s">
        <v>32</v>
      </c>
      <c r="C37" s="8" t="s">
        <v>3231</v>
      </c>
      <c r="D37" s="9">
        <v>3</v>
      </c>
      <c r="E37" s="8" t="s">
        <v>3232</v>
      </c>
      <c r="F37" s="10">
        <v>45919</v>
      </c>
      <c r="G37" s="10">
        <v>45919</v>
      </c>
      <c r="H37" s="11" t="s">
        <v>444</v>
      </c>
      <c r="I37" s="8" t="s">
        <v>445</v>
      </c>
      <c r="J37" s="11" t="s">
        <v>41</v>
      </c>
      <c r="K37" s="8" t="s">
        <v>660</v>
      </c>
      <c r="L37" s="11" t="s">
        <v>41</v>
      </c>
      <c r="M37" s="8" t="s">
        <v>492</v>
      </c>
      <c r="N37" s="11" t="s">
        <v>41</v>
      </c>
      <c r="O37" s="18" t="s">
        <v>3010</v>
      </c>
      <c r="P37" s="19">
        <v>553.74</v>
      </c>
      <c r="Q37" s="19">
        <v>0</v>
      </c>
      <c r="R37" s="8" t="s">
        <v>919</v>
      </c>
      <c r="S37" s="8" t="s">
        <v>260</v>
      </c>
      <c r="T37" s="8" t="s">
        <v>36</v>
      </c>
      <c r="U37" s="8" t="s">
        <v>663</v>
      </c>
      <c r="V37" s="8" t="s">
        <v>3233</v>
      </c>
      <c r="W37" s="8" t="s">
        <v>665</v>
      </c>
      <c r="X37" s="3" t="str">
        <v>河北光华荣昌汽车部件有限公司</v>
      </c>
      <c r="Y37" s="3" t="e">
        <f>_xlfn.XLOOKUP(X37,'7月份计划'!A:A,'7月份计划'!A:A)</f>
        <v>#N/A</v>
      </c>
    </row>
    <row r="38" spans="1:25">
      <c r="A38" s="12" t="s">
        <v>3234</v>
      </c>
      <c r="B38" s="12" t="s">
        <v>32</v>
      </c>
      <c r="C38" s="12" t="s">
        <v>3235</v>
      </c>
      <c r="D38" s="13">
        <v>1</v>
      </c>
      <c r="E38" s="12" t="s">
        <v>3236</v>
      </c>
      <c r="F38" s="14">
        <v>45919</v>
      </c>
      <c r="G38" s="14">
        <v>45919</v>
      </c>
      <c r="H38" s="15" t="s">
        <v>444</v>
      </c>
      <c r="I38" s="12" t="s">
        <v>445</v>
      </c>
      <c r="J38" s="15" t="s">
        <v>41</v>
      </c>
      <c r="K38" s="12" t="s">
        <v>660</v>
      </c>
      <c r="L38" s="15" t="s">
        <v>41</v>
      </c>
      <c r="M38" s="12" t="s">
        <v>492</v>
      </c>
      <c r="N38" s="15" t="s">
        <v>41</v>
      </c>
      <c r="O38" s="20" t="s">
        <v>3010</v>
      </c>
      <c r="P38" s="21">
        <v>0</v>
      </c>
      <c r="Q38" s="21">
        <v>58504.11</v>
      </c>
      <c r="R38" s="12" t="s">
        <v>928</v>
      </c>
      <c r="S38" s="12" t="s">
        <v>241</v>
      </c>
      <c r="T38" s="12" t="s">
        <v>36</v>
      </c>
      <c r="U38" s="12" t="s">
        <v>663</v>
      </c>
      <c r="V38" s="12" t="s">
        <v>3237</v>
      </c>
      <c r="W38" s="12" t="s">
        <v>665</v>
      </c>
      <c r="X38" s="3" t="str">
        <v>北京光华荣昌汽车部件有限公司</v>
      </c>
      <c r="Y38" s="3" t="e">
        <f>_xlfn.XLOOKUP(X38,'7月份计划'!A:A,'7月份计划'!A:A)</f>
        <v>#N/A</v>
      </c>
    </row>
    <row r="39" spans="1:25">
      <c r="A39" s="8" t="s">
        <v>3238</v>
      </c>
      <c r="B39" s="8" t="s">
        <v>32</v>
      </c>
      <c r="C39" s="8" t="s">
        <v>3239</v>
      </c>
      <c r="D39" s="9">
        <v>1</v>
      </c>
      <c r="E39" s="8" t="s">
        <v>3240</v>
      </c>
      <c r="F39" s="10">
        <v>45922</v>
      </c>
      <c r="G39" s="10">
        <v>45922</v>
      </c>
      <c r="H39" s="11" t="s">
        <v>444</v>
      </c>
      <c r="I39" s="8" t="s">
        <v>445</v>
      </c>
      <c r="J39" s="11" t="s">
        <v>41</v>
      </c>
      <c r="K39" s="8" t="s">
        <v>660</v>
      </c>
      <c r="L39" s="11" t="s">
        <v>41</v>
      </c>
      <c r="M39" s="8" t="s">
        <v>492</v>
      </c>
      <c r="N39" s="11" t="s">
        <v>41</v>
      </c>
      <c r="O39" s="18" t="s">
        <v>3010</v>
      </c>
      <c r="P39" s="19">
        <v>0</v>
      </c>
      <c r="Q39" s="19">
        <v>21778.65</v>
      </c>
      <c r="R39" s="8" t="s">
        <v>899</v>
      </c>
      <c r="S39" s="8" t="s">
        <v>245</v>
      </c>
      <c r="T39" s="8" t="s">
        <v>36</v>
      </c>
      <c r="U39" s="8" t="s">
        <v>663</v>
      </c>
      <c r="V39" s="8" t="s">
        <v>3241</v>
      </c>
      <c r="W39" s="8" t="s">
        <v>665</v>
      </c>
      <c r="X39" s="3" t="str">
        <v>景德镇市乾立运输有限公司</v>
      </c>
      <c r="Y39" s="3" t="str">
        <f>_xlfn.XLOOKUP(X39,'7月份计划'!A:A,'7月份计划'!A:A)</f>
        <v>景德镇市乾立运输有限公司</v>
      </c>
    </row>
    <row r="40" spans="1:25">
      <c r="A40" s="12" t="s">
        <v>3238</v>
      </c>
      <c r="B40" s="12" t="s">
        <v>32</v>
      </c>
      <c r="C40" s="12" t="s">
        <v>3239</v>
      </c>
      <c r="D40" s="13">
        <v>4</v>
      </c>
      <c r="E40" s="12" t="s">
        <v>3240</v>
      </c>
      <c r="F40" s="14">
        <v>45922</v>
      </c>
      <c r="G40" s="14">
        <v>45922</v>
      </c>
      <c r="H40" s="15" t="s">
        <v>444</v>
      </c>
      <c r="I40" s="12" t="s">
        <v>445</v>
      </c>
      <c r="J40" s="15" t="s">
        <v>41</v>
      </c>
      <c r="K40" s="12" t="s">
        <v>660</v>
      </c>
      <c r="L40" s="15" t="s">
        <v>41</v>
      </c>
      <c r="M40" s="12" t="s">
        <v>492</v>
      </c>
      <c r="N40" s="15" t="s">
        <v>41</v>
      </c>
      <c r="O40" s="20" t="s">
        <v>3010</v>
      </c>
      <c r="P40" s="21">
        <v>0.57</v>
      </c>
      <c r="Q40" s="21">
        <v>0</v>
      </c>
      <c r="R40" s="12" t="s">
        <v>899</v>
      </c>
      <c r="S40" s="12" t="s">
        <v>245</v>
      </c>
      <c r="T40" s="12" t="s">
        <v>36</v>
      </c>
      <c r="U40" s="12" t="s">
        <v>663</v>
      </c>
      <c r="V40" s="12" t="s">
        <v>3241</v>
      </c>
      <c r="W40" s="12" t="s">
        <v>665</v>
      </c>
      <c r="X40" s="3">
        <v>0</v>
      </c>
      <c r="Y40" s="3" t="e">
        <f>_xlfn.XLOOKUP(X40,'7月份计划'!A:A,'7月份计划'!A:A)</f>
        <v>#N/A</v>
      </c>
    </row>
    <row r="41" spans="1:25">
      <c r="A41" s="8" t="s">
        <v>3242</v>
      </c>
      <c r="B41" s="8" t="s">
        <v>32</v>
      </c>
      <c r="C41" s="8" t="s">
        <v>3243</v>
      </c>
      <c r="D41" s="9">
        <v>1</v>
      </c>
      <c r="E41" s="8" t="s">
        <v>3244</v>
      </c>
      <c r="F41" s="10">
        <v>45922</v>
      </c>
      <c r="G41" s="10">
        <v>45922</v>
      </c>
      <c r="H41" s="11" t="s">
        <v>444</v>
      </c>
      <c r="I41" s="8" t="s">
        <v>445</v>
      </c>
      <c r="J41" s="11" t="s">
        <v>41</v>
      </c>
      <c r="K41" s="8" t="s">
        <v>660</v>
      </c>
      <c r="L41" s="11" t="s">
        <v>41</v>
      </c>
      <c r="M41" s="8" t="s">
        <v>492</v>
      </c>
      <c r="N41" s="11" t="s">
        <v>41</v>
      </c>
      <c r="O41" s="18" t="s">
        <v>3245</v>
      </c>
      <c r="P41" s="19">
        <v>0.03</v>
      </c>
      <c r="Q41" s="19">
        <v>0</v>
      </c>
      <c r="R41" s="8" t="s">
        <v>899</v>
      </c>
      <c r="S41" s="8" t="s">
        <v>245</v>
      </c>
      <c r="T41" s="8" t="s">
        <v>36</v>
      </c>
      <c r="U41" s="8" t="s">
        <v>663</v>
      </c>
      <c r="V41" s="8" t="s">
        <v>3246</v>
      </c>
      <c r="W41" s="8" t="s">
        <v>665</v>
      </c>
      <c r="Y41" s="3">
        <f>_xlfn.XLOOKUP(X41,'7月份计划'!A:A,'7月份计划'!A:A)</f>
        <v>0</v>
      </c>
    </row>
    <row r="42" spans="1:25">
      <c r="A42" s="12" t="s">
        <v>3247</v>
      </c>
      <c r="B42" s="12" t="s">
        <v>32</v>
      </c>
      <c r="C42" s="12" t="s">
        <v>3248</v>
      </c>
      <c r="D42" s="13">
        <v>1</v>
      </c>
      <c r="E42" s="12" t="s">
        <v>3249</v>
      </c>
      <c r="F42" s="14">
        <v>45922</v>
      </c>
      <c r="G42" s="14">
        <v>45922</v>
      </c>
      <c r="H42" s="15" t="s">
        <v>444</v>
      </c>
      <c r="I42" s="12" t="s">
        <v>445</v>
      </c>
      <c r="J42" s="15" t="s">
        <v>41</v>
      </c>
      <c r="K42" s="12" t="s">
        <v>660</v>
      </c>
      <c r="L42" s="15" t="s">
        <v>41</v>
      </c>
      <c r="M42" s="12" t="s">
        <v>492</v>
      </c>
      <c r="N42" s="15" t="s">
        <v>41</v>
      </c>
      <c r="O42" s="20" t="s">
        <v>3010</v>
      </c>
      <c r="P42" s="21">
        <v>0</v>
      </c>
      <c r="Q42" s="21">
        <v>526147.33</v>
      </c>
      <c r="R42" s="12" t="s">
        <v>34</v>
      </c>
      <c r="S42" s="12" t="s">
        <v>277</v>
      </c>
      <c r="T42" s="12" t="s">
        <v>36</v>
      </c>
      <c r="U42" s="12" t="s">
        <v>663</v>
      </c>
      <c r="V42" s="12" t="s">
        <v>132</v>
      </c>
      <c r="W42" s="12" t="s">
        <v>665</v>
      </c>
      <c r="Y42" s="3">
        <f>_xlfn.XLOOKUP(X42,'7月份计划'!A:A,'7月份计划'!A:A)</f>
        <v>0</v>
      </c>
    </row>
    <row r="43" spans="1:25">
      <c r="A43" s="8" t="s">
        <v>3247</v>
      </c>
      <c r="B43" s="8" t="s">
        <v>32</v>
      </c>
      <c r="C43" s="8" t="s">
        <v>3248</v>
      </c>
      <c r="D43" s="9">
        <v>3</v>
      </c>
      <c r="E43" s="8" t="s">
        <v>3249</v>
      </c>
      <c r="F43" s="10">
        <v>45922</v>
      </c>
      <c r="G43" s="10">
        <v>45922</v>
      </c>
      <c r="H43" s="11" t="s">
        <v>444</v>
      </c>
      <c r="I43" s="8" t="s">
        <v>445</v>
      </c>
      <c r="J43" s="11" t="s">
        <v>41</v>
      </c>
      <c r="K43" s="8" t="s">
        <v>660</v>
      </c>
      <c r="L43" s="11" t="s">
        <v>41</v>
      </c>
      <c r="M43" s="8" t="s">
        <v>492</v>
      </c>
      <c r="N43" s="11" t="s">
        <v>41</v>
      </c>
      <c r="O43" s="18" t="s">
        <v>3010</v>
      </c>
      <c r="P43" s="19">
        <v>94771.33</v>
      </c>
      <c r="Q43" s="19">
        <v>0</v>
      </c>
      <c r="R43" s="8" t="s">
        <v>34</v>
      </c>
      <c r="S43" s="8" t="s">
        <v>277</v>
      </c>
      <c r="T43" s="8" t="s">
        <v>36</v>
      </c>
      <c r="U43" s="8" t="s">
        <v>663</v>
      </c>
      <c r="V43" s="8" t="s">
        <v>132</v>
      </c>
      <c r="W43" s="8" t="s">
        <v>665</v>
      </c>
      <c r="Y43" s="3">
        <f>_xlfn.XLOOKUP(X43,'7月份计划'!A:A,'7月份计划'!A:A)</f>
        <v>0</v>
      </c>
    </row>
    <row r="44" spans="1:25">
      <c r="A44" s="12" t="s">
        <v>3250</v>
      </c>
      <c r="B44" s="12" t="s">
        <v>32</v>
      </c>
      <c r="C44" s="12" t="s">
        <v>3251</v>
      </c>
      <c r="D44" s="13">
        <v>1</v>
      </c>
      <c r="E44" s="12" t="s">
        <v>3252</v>
      </c>
      <c r="F44" s="14">
        <v>45922</v>
      </c>
      <c r="G44" s="14">
        <v>45922</v>
      </c>
      <c r="H44" s="15" t="s">
        <v>444</v>
      </c>
      <c r="I44" s="12" t="s">
        <v>445</v>
      </c>
      <c r="J44" s="15" t="s">
        <v>41</v>
      </c>
      <c r="K44" s="12" t="s">
        <v>660</v>
      </c>
      <c r="L44" s="15" t="s">
        <v>41</v>
      </c>
      <c r="M44" s="12" t="s">
        <v>492</v>
      </c>
      <c r="N44" s="15" t="s">
        <v>41</v>
      </c>
      <c r="O44" s="20" t="s">
        <v>3161</v>
      </c>
      <c r="P44" s="21">
        <v>0</v>
      </c>
      <c r="Q44" s="21">
        <v>526147.33</v>
      </c>
      <c r="R44" s="12" t="s">
        <v>34</v>
      </c>
      <c r="S44" s="12" t="s">
        <v>277</v>
      </c>
      <c r="T44" s="12" t="s">
        <v>36</v>
      </c>
      <c r="U44" s="12" t="s">
        <v>663</v>
      </c>
      <c r="V44" s="12" t="s">
        <v>135</v>
      </c>
      <c r="W44" s="12" t="s">
        <v>665</v>
      </c>
      <c r="Y44" s="3">
        <f>_xlfn.XLOOKUP(X44,'7月份计划'!A:A,'7月份计划'!A:A)</f>
        <v>0</v>
      </c>
    </row>
    <row r="45" spans="1:25">
      <c r="A45" s="8" t="s">
        <v>3250</v>
      </c>
      <c r="B45" s="8" t="s">
        <v>32</v>
      </c>
      <c r="C45" s="8" t="s">
        <v>3251</v>
      </c>
      <c r="D45" s="9">
        <v>3</v>
      </c>
      <c r="E45" s="8" t="s">
        <v>3252</v>
      </c>
      <c r="F45" s="10">
        <v>45922</v>
      </c>
      <c r="G45" s="10">
        <v>45922</v>
      </c>
      <c r="H45" s="11" t="s">
        <v>444</v>
      </c>
      <c r="I45" s="8" t="s">
        <v>445</v>
      </c>
      <c r="J45" s="11" t="s">
        <v>41</v>
      </c>
      <c r="K45" s="8" t="s">
        <v>660</v>
      </c>
      <c r="L45" s="11" t="s">
        <v>41</v>
      </c>
      <c r="M45" s="8" t="s">
        <v>492</v>
      </c>
      <c r="N45" s="11" t="s">
        <v>41</v>
      </c>
      <c r="O45" s="18" t="s">
        <v>3161</v>
      </c>
      <c r="P45" s="19">
        <v>94771.33</v>
      </c>
      <c r="Q45" s="19">
        <v>0</v>
      </c>
      <c r="R45" s="8" t="s">
        <v>34</v>
      </c>
      <c r="S45" s="8" t="s">
        <v>277</v>
      </c>
      <c r="T45" s="8" t="s">
        <v>36</v>
      </c>
      <c r="U45" s="8" t="s">
        <v>663</v>
      </c>
      <c r="V45" s="8" t="s">
        <v>135</v>
      </c>
      <c r="W45" s="8" t="s">
        <v>665</v>
      </c>
      <c r="Y45" s="3">
        <f>_xlfn.XLOOKUP(X45,'7月份计划'!A:A,'7月份计划'!A:A)</f>
        <v>0</v>
      </c>
    </row>
    <row r="46" spans="1:25">
      <c r="A46" s="12" t="s">
        <v>3253</v>
      </c>
      <c r="B46" s="12" t="s">
        <v>32</v>
      </c>
      <c r="C46" s="12" t="s">
        <v>3254</v>
      </c>
      <c r="D46" s="13">
        <v>1</v>
      </c>
      <c r="E46" s="12" t="s">
        <v>3255</v>
      </c>
      <c r="F46" s="14">
        <v>45922</v>
      </c>
      <c r="G46" s="14">
        <v>45922</v>
      </c>
      <c r="H46" s="15" t="s">
        <v>444</v>
      </c>
      <c r="I46" s="12" t="s">
        <v>445</v>
      </c>
      <c r="J46" s="15" t="s">
        <v>41</v>
      </c>
      <c r="K46" s="12" t="s">
        <v>660</v>
      </c>
      <c r="L46" s="15" t="s">
        <v>41</v>
      </c>
      <c r="M46" s="12" t="s">
        <v>492</v>
      </c>
      <c r="N46" s="15" t="s">
        <v>41</v>
      </c>
      <c r="O46" s="20" t="s">
        <v>3010</v>
      </c>
      <c r="P46" s="21">
        <v>0</v>
      </c>
      <c r="Q46" s="21">
        <v>86059.78</v>
      </c>
      <c r="R46" s="12" t="s">
        <v>34</v>
      </c>
      <c r="S46" s="12" t="s">
        <v>277</v>
      </c>
      <c r="T46" s="12" t="s">
        <v>36</v>
      </c>
      <c r="U46" s="12" t="s">
        <v>663</v>
      </c>
      <c r="V46" s="12" t="s">
        <v>128</v>
      </c>
      <c r="W46" s="12" t="s">
        <v>665</v>
      </c>
      <c r="Y46" s="3">
        <f>_xlfn.XLOOKUP(X46,'7月份计划'!A:A,'7月份计划'!A:A)</f>
        <v>0</v>
      </c>
    </row>
    <row r="47" spans="1:25">
      <c r="A47" s="8" t="s">
        <v>3253</v>
      </c>
      <c r="B47" s="8" t="s">
        <v>32</v>
      </c>
      <c r="C47" s="8" t="s">
        <v>3254</v>
      </c>
      <c r="D47" s="9">
        <v>3</v>
      </c>
      <c r="E47" s="8" t="s">
        <v>3255</v>
      </c>
      <c r="F47" s="10">
        <v>45922</v>
      </c>
      <c r="G47" s="10">
        <v>45922</v>
      </c>
      <c r="H47" s="11" t="s">
        <v>444</v>
      </c>
      <c r="I47" s="8" t="s">
        <v>445</v>
      </c>
      <c r="J47" s="11" t="s">
        <v>41</v>
      </c>
      <c r="K47" s="8" t="s">
        <v>660</v>
      </c>
      <c r="L47" s="11" t="s">
        <v>41</v>
      </c>
      <c r="M47" s="8" t="s">
        <v>492</v>
      </c>
      <c r="N47" s="11" t="s">
        <v>41</v>
      </c>
      <c r="O47" s="18" t="s">
        <v>3010</v>
      </c>
      <c r="P47" s="19">
        <v>7333.58</v>
      </c>
      <c r="Q47" s="19">
        <v>0</v>
      </c>
      <c r="R47" s="8" t="s">
        <v>34</v>
      </c>
      <c r="S47" s="8" t="s">
        <v>277</v>
      </c>
      <c r="T47" s="8" t="s">
        <v>36</v>
      </c>
      <c r="U47" s="8" t="s">
        <v>663</v>
      </c>
      <c r="V47" s="8" t="s">
        <v>128</v>
      </c>
      <c r="W47" s="8" t="s">
        <v>665</v>
      </c>
      <c r="Y47" s="3">
        <f>_xlfn.XLOOKUP(X47,'7月份计划'!A:A,'7月份计划'!A:A)</f>
        <v>0</v>
      </c>
    </row>
    <row r="48" spans="1:25">
      <c r="A48" s="12" t="s">
        <v>3256</v>
      </c>
      <c r="B48" s="12" t="s">
        <v>32</v>
      </c>
      <c r="C48" s="12" t="s">
        <v>3257</v>
      </c>
      <c r="D48" s="13">
        <v>1</v>
      </c>
      <c r="E48" s="12" t="s">
        <v>3258</v>
      </c>
      <c r="F48" s="14">
        <v>45922</v>
      </c>
      <c r="G48" s="14">
        <v>45922</v>
      </c>
      <c r="H48" s="15" t="s">
        <v>444</v>
      </c>
      <c r="I48" s="12" t="s">
        <v>445</v>
      </c>
      <c r="J48" s="15" t="s">
        <v>41</v>
      </c>
      <c r="K48" s="12" t="s">
        <v>660</v>
      </c>
      <c r="L48" s="15" t="s">
        <v>41</v>
      </c>
      <c r="M48" s="12" t="s">
        <v>492</v>
      </c>
      <c r="N48" s="15" t="s">
        <v>41</v>
      </c>
      <c r="O48" s="20" t="s">
        <v>3010</v>
      </c>
      <c r="P48" s="21">
        <v>0</v>
      </c>
      <c r="Q48" s="21">
        <v>6979.64</v>
      </c>
      <c r="R48" s="12" t="s">
        <v>914</v>
      </c>
      <c r="S48" s="12" t="s">
        <v>270</v>
      </c>
      <c r="T48" s="12" t="s">
        <v>36</v>
      </c>
      <c r="U48" s="12" t="s">
        <v>663</v>
      </c>
      <c r="V48" s="12" t="s">
        <v>3259</v>
      </c>
      <c r="W48" s="12" t="s">
        <v>665</v>
      </c>
      <c r="Y48" s="3">
        <f>_xlfn.XLOOKUP(X48,'7月份计划'!A:A,'7月份计划'!A:A)</f>
        <v>0</v>
      </c>
    </row>
    <row r="49" spans="1:25">
      <c r="A49" s="8" t="s">
        <v>3260</v>
      </c>
      <c r="B49" s="8" t="s">
        <v>32</v>
      </c>
      <c r="C49" s="8" t="s">
        <v>3261</v>
      </c>
      <c r="D49" s="9">
        <v>1</v>
      </c>
      <c r="E49" s="8" t="s">
        <v>3262</v>
      </c>
      <c r="F49" s="10">
        <v>45922</v>
      </c>
      <c r="G49" s="10">
        <v>45922</v>
      </c>
      <c r="H49" s="11" t="s">
        <v>444</v>
      </c>
      <c r="I49" s="8" t="s">
        <v>445</v>
      </c>
      <c r="J49" s="11" t="s">
        <v>41</v>
      </c>
      <c r="K49" s="8" t="s">
        <v>660</v>
      </c>
      <c r="L49" s="11" t="s">
        <v>41</v>
      </c>
      <c r="M49" s="8" t="s">
        <v>492</v>
      </c>
      <c r="N49" s="11" t="s">
        <v>41</v>
      </c>
      <c r="O49" s="18" t="s">
        <v>3010</v>
      </c>
      <c r="P49" s="19">
        <v>0</v>
      </c>
      <c r="Q49" s="19">
        <v>5902.67</v>
      </c>
      <c r="R49" s="8" t="s">
        <v>904</v>
      </c>
      <c r="S49" s="8" t="s">
        <v>258</v>
      </c>
      <c r="T49" s="8" t="s">
        <v>36</v>
      </c>
      <c r="U49" s="8" t="s">
        <v>663</v>
      </c>
      <c r="V49" s="8" t="s">
        <v>3263</v>
      </c>
      <c r="W49" s="8" t="s">
        <v>665</v>
      </c>
      <c r="Y49" s="3">
        <f>_xlfn.XLOOKUP(X49,'7月份计划'!A:A,'7月份计划'!A:A)</f>
        <v>0</v>
      </c>
    </row>
    <row r="50" spans="1:25">
      <c r="A50" s="12" t="s">
        <v>3264</v>
      </c>
      <c r="B50" s="12" t="s">
        <v>32</v>
      </c>
      <c r="C50" s="12" t="s">
        <v>3265</v>
      </c>
      <c r="D50" s="13">
        <v>1</v>
      </c>
      <c r="E50" s="12" t="s">
        <v>3266</v>
      </c>
      <c r="F50" s="14">
        <v>45922</v>
      </c>
      <c r="G50" s="14">
        <v>45922</v>
      </c>
      <c r="H50" s="15" t="s">
        <v>444</v>
      </c>
      <c r="I50" s="12" t="s">
        <v>445</v>
      </c>
      <c r="J50" s="15" t="s">
        <v>41</v>
      </c>
      <c r="K50" s="12" t="s">
        <v>660</v>
      </c>
      <c r="L50" s="15" t="s">
        <v>41</v>
      </c>
      <c r="M50" s="12" t="s">
        <v>492</v>
      </c>
      <c r="N50" s="15" t="s">
        <v>41</v>
      </c>
      <c r="O50" s="20" t="s">
        <v>3010</v>
      </c>
      <c r="P50" s="21">
        <v>0</v>
      </c>
      <c r="Q50" s="21">
        <v>18363.63</v>
      </c>
      <c r="R50" s="12" t="s">
        <v>1586</v>
      </c>
      <c r="S50" s="12" t="s">
        <v>247</v>
      </c>
      <c r="T50" s="12" t="s">
        <v>36</v>
      </c>
      <c r="U50" s="12" t="s">
        <v>663</v>
      </c>
      <c r="V50" s="12" t="s">
        <v>3267</v>
      </c>
      <c r="W50" s="12" t="s">
        <v>665</v>
      </c>
      <c r="Y50" s="3">
        <f>_xlfn.XLOOKUP(X50,'7月份计划'!A:A,'7月份计划'!A:A)</f>
        <v>0</v>
      </c>
    </row>
    <row r="51" spans="1:25">
      <c r="A51" s="8" t="s">
        <v>3268</v>
      </c>
      <c r="B51" s="8" t="s">
        <v>32</v>
      </c>
      <c r="C51" s="8" t="s">
        <v>3269</v>
      </c>
      <c r="D51" s="9">
        <v>1</v>
      </c>
      <c r="E51" s="8" t="s">
        <v>3270</v>
      </c>
      <c r="F51" s="10">
        <v>45922</v>
      </c>
      <c r="G51" s="10">
        <v>45922</v>
      </c>
      <c r="H51" s="11" t="s">
        <v>444</v>
      </c>
      <c r="I51" s="8" t="s">
        <v>445</v>
      </c>
      <c r="J51" s="11" t="s">
        <v>41</v>
      </c>
      <c r="K51" s="8" t="s">
        <v>660</v>
      </c>
      <c r="L51" s="11" t="s">
        <v>41</v>
      </c>
      <c r="M51" s="8" t="s">
        <v>492</v>
      </c>
      <c r="N51" s="11" t="s">
        <v>41</v>
      </c>
      <c r="O51" s="18" t="s">
        <v>3010</v>
      </c>
      <c r="P51" s="19">
        <v>0</v>
      </c>
      <c r="Q51" s="19">
        <v>17155.69</v>
      </c>
      <c r="R51" s="8" t="s">
        <v>876</v>
      </c>
      <c r="S51" s="8" t="s">
        <v>272</v>
      </c>
      <c r="T51" s="8" t="s">
        <v>36</v>
      </c>
      <c r="U51" s="8" t="s">
        <v>663</v>
      </c>
      <c r="V51" s="8" t="s">
        <v>3271</v>
      </c>
      <c r="W51" s="8" t="s">
        <v>665</v>
      </c>
      <c r="Y51" s="3">
        <f>_xlfn.XLOOKUP(X51,'7月份计划'!A:A,'7月份计划'!A:A)</f>
        <v>0</v>
      </c>
    </row>
    <row r="52" spans="1:25">
      <c r="A52" s="12" t="s">
        <v>3272</v>
      </c>
      <c r="B52" s="12" t="s">
        <v>32</v>
      </c>
      <c r="C52" s="12" t="s">
        <v>3273</v>
      </c>
      <c r="D52" s="13">
        <v>1</v>
      </c>
      <c r="E52" s="12" t="s">
        <v>3274</v>
      </c>
      <c r="F52" s="14">
        <v>45922</v>
      </c>
      <c r="G52" s="14">
        <v>45922</v>
      </c>
      <c r="H52" s="15" t="s">
        <v>444</v>
      </c>
      <c r="I52" s="12" t="s">
        <v>445</v>
      </c>
      <c r="J52" s="15" t="s">
        <v>41</v>
      </c>
      <c r="K52" s="12" t="s">
        <v>660</v>
      </c>
      <c r="L52" s="15" t="s">
        <v>41</v>
      </c>
      <c r="M52" s="12" t="s">
        <v>492</v>
      </c>
      <c r="N52" s="15" t="s">
        <v>41</v>
      </c>
      <c r="O52" s="20" t="s">
        <v>1998</v>
      </c>
      <c r="P52" s="21">
        <v>0</v>
      </c>
      <c r="Q52" s="21">
        <v>2105.68</v>
      </c>
      <c r="R52" s="12" t="s">
        <v>961</v>
      </c>
      <c r="S52" s="12" t="s">
        <v>254</v>
      </c>
      <c r="T52" s="12" t="s">
        <v>36</v>
      </c>
      <c r="U52" s="12" t="s">
        <v>663</v>
      </c>
      <c r="V52" s="12" t="s">
        <v>3275</v>
      </c>
      <c r="W52" s="12" t="s">
        <v>665</v>
      </c>
      <c r="Y52" s="3">
        <f>_xlfn.XLOOKUP(X52,'7月份计划'!A:A,'7月份计划'!A:A)</f>
        <v>0</v>
      </c>
    </row>
    <row r="53" spans="1:25">
      <c r="A53" s="8" t="s">
        <v>3272</v>
      </c>
      <c r="B53" s="8" t="s">
        <v>32</v>
      </c>
      <c r="C53" s="8" t="s">
        <v>3273</v>
      </c>
      <c r="D53" s="9">
        <v>3</v>
      </c>
      <c r="E53" s="8" t="s">
        <v>3274</v>
      </c>
      <c r="F53" s="10">
        <v>45922</v>
      </c>
      <c r="G53" s="10">
        <v>45922</v>
      </c>
      <c r="H53" s="11" t="s">
        <v>444</v>
      </c>
      <c r="I53" s="8" t="s">
        <v>445</v>
      </c>
      <c r="J53" s="11" t="s">
        <v>41</v>
      </c>
      <c r="K53" s="8" t="s">
        <v>660</v>
      </c>
      <c r="L53" s="11" t="s">
        <v>41</v>
      </c>
      <c r="M53" s="8" t="s">
        <v>492</v>
      </c>
      <c r="N53" s="11" t="s">
        <v>41</v>
      </c>
      <c r="O53" s="18" t="s">
        <v>1998</v>
      </c>
      <c r="P53" s="19">
        <v>257</v>
      </c>
      <c r="Q53" s="19">
        <v>0</v>
      </c>
      <c r="R53" s="8" t="s">
        <v>961</v>
      </c>
      <c r="S53" s="8" t="s">
        <v>254</v>
      </c>
      <c r="T53" s="8" t="s">
        <v>36</v>
      </c>
      <c r="U53" s="8" t="s">
        <v>663</v>
      </c>
      <c r="V53" s="8" t="s">
        <v>3275</v>
      </c>
      <c r="W53" s="8" t="s">
        <v>665</v>
      </c>
      <c r="Y53" s="3">
        <f>_xlfn.XLOOKUP(X53,'7月份计划'!A:A,'7月份计划'!A:A)</f>
        <v>0</v>
      </c>
    </row>
    <row r="54" spans="1:25">
      <c r="A54" s="12" t="s">
        <v>3276</v>
      </c>
      <c r="B54" s="12" t="s">
        <v>32</v>
      </c>
      <c r="C54" s="12" t="s">
        <v>3277</v>
      </c>
      <c r="D54" s="13">
        <v>1</v>
      </c>
      <c r="E54" s="12" t="s">
        <v>3278</v>
      </c>
      <c r="F54" s="14">
        <v>45922</v>
      </c>
      <c r="G54" s="14">
        <v>45922</v>
      </c>
      <c r="H54" s="15" t="s">
        <v>444</v>
      </c>
      <c r="I54" s="12" t="s">
        <v>445</v>
      </c>
      <c r="J54" s="15" t="s">
        <v>41</v>
      </c>
      <c r="K54" s="12" t="s">
        <v>660</v>
      </c>
      <c r="L54" s="15" t="s">
        <v>41</v>
      </c>
      <c r="M54" s="12" t="s">
        <v>492</v>
      </c>
      <c r="N54" s="15" t="s">
        <v>41</v>
      </c>
      <c r="O54" s="20" t="s">
        <v>2688</v>
      </c>
      <c r="P54" s="21">
        <v>0</v>
      </c>
      <c r="Q54" s="21">
        <v>333496.09</v>
      </c>
      <c r="R54" s="12" t="s">
        <v>1552</v>
      </c>
      <c r="S54" s="12" t="s">
        <v>256</v>
      </c>
      <c r="T54" s="12" t="s">
        <v>36</v>
      </c>
      <c r="U54" s="12" t="s">
        <v>663</v>
      </c>
      <c r="V54" s="12" t="s">
        <v>3279</v>
      </c>
      <c r="W54" s="12" t="s">
        <v>665</v>
      </c>
      <c r="Y54" s="3">
        <f>_xlfn.XLOOKUP(X54,'7月份计划'!A:A,'7月份计划'!A:A)</f>
        <v>0</v>
      </c>
    </row>
    <row r="55" spans="1:25">
      <c r="A55" s="8" t="s">
        <v>3276</v>
      </c>
      <c r="B55" s="8" t="s">
        <v>32</v>
      </c>
      <c r="C55" s="8" t="s">
        <v>3277</v>
      </c>
      <c r="D55" s="9">
        <v>3</v>
      </c>
      <c r="E55" s="8" t="s">
        <v>3278</v>
      </c>
      <c r="F55" s="10">
        <v>45922</v>
      </c>
      <c r="G55" s="10">
        <v>45922</v>
      </c>
      <c r="H55" s="11" t="s">
        <v>444</v>
      </c>
      <c r="I55" s="8" t="s">
        <v>445</v>
      </c>
      <c r="J55" s="11" t="s">
        <v>41</v>
      </c>
      <c r="K55" s="8" t="s">
        <v>660</v>
      </c>
      <c r="L55" s="11" t="s">
        <v>41</v>
      </c>
      <c r="M55" s="8" t="s">
        <v>492</v>
      </c>
      <c r="N55" s="11" t="s">
        <v>41</v>
      </c>
      <c r="O55" s="18" t="s">
        <v>2688</v>
      </c>
      <c r="P55" s="19">
        <v>2285.23</v>
      </c>
      <c r="Q55" s="19">
        <v>0</v>
      </c>
      <c r="R55" s="8" t="s">
        <v>1552</v>
      </c>
      <c r="S55" s="8" t="s">
        <v>256</v>
      </c>
      <c r="T55" s="8" t="s">
        <v>36</v>
      </c>
      <c r="U55" s="8" t="s">
        <v>663</v>
      </c>
      <c r="V55" s="8" t="s">
        <v>3279</v>
      </c>
      <c r="W55" s="8" t="s">
        <v>665</v>
      </c>
      <c r="Y55" s="3">
        <f>_xlfn.XLOOKUP(X55,'7月份计划'!A:A,'7月份计划'!A:A)</f>
        <v>0</v>
      </c>
    </row>
    <row r="56" spans="1:25">
      <c r="A56" s="12" t="s">
        <v>3280</v>
      </c>
      <c r="B56" s="12" t="s">
        <v>32</v>
      </c>
      <c r="C56" s="12" t="s">
        <v>3281</v>
      </c>
      <c r="D56" s="13">
        <v>1</v>
      </c>
      <c r="E56" s="12" t="s">
        <v>3282</v>
      </c>
      <c r="F56" s="14">
        <v>45922</v>
      </c>
      <c r="G56" s="14">
        <v>45922</v>
      </c>
      <c r="H56" s="15" t="s">
        <v>444</v>
      </c>
      <c r="I56" s="12" t="s">
        <v>445</v>
      </c>
      <c r="J56" s="15" t="s">
        <v>41</v>
      </c>
      <c r="K56" s="12" t="s">
        <v>660</v>
      </c>
      <c r="L56" s="15" t="s">
        <v>41</v>
      </c>
      <c r="M56" s="12" t="s">
        <v>492</v>
      </c>
      <c r="N56" s="15" t="s">
        <v>41</v>
      </c>
      <c r="O56" s="20" t="s">
        <v>3283</v>
      </c>
      <c r="P56" s="21">
        <v>0</v>
      </c>
      <c r="Q56" s="21">
        <v>0.03</v>
      </c>
      <c r="R56" s="12" t="s">
        <v>1552</v>
      </c>
      <c r="S56" s="12" t="s">
        <v>256</v>
      </c>
      <c r="T56" s="12" t="s">
        <v>36</v>
      </c>
      <c r="U56" s="12" t="s">
        <v>663</v>
      </c>
      <c r="V56" s="12" t="s">
        <v>3284</v>
      </c>
      <c r="W56" s="12" t="s">
        <v>665</v>
      </c>
      <c r="Y56" s="3">
        <f>_xlfn.XLOOKUP(X56,'7月份计划'!A:A,'7月份计划'!A:A)</f>
        <v>0</v>
      </c>
    </row>
    <row r="57" spans="1:25">
      <c r="A57" s="8" t="s">
        <v>3285</v>
      </c>
      <c r="B57" s="8" t="s">
        <v>32</v>
      </c>
      <c r="C57" s="8" t="s">
        <v>3286</v>
      </c>
      <c r="D57" s="9">
        <v>1</v>
      </c>
      <c r="E57" s="8" t="s">
        <v>3287</v>
      </c>
      <c r="F57" s="10">
        <v>45925</v>
      </c>
      <c r="G57" s="10">
        <v>45925</v>
      </c>
      <c r="H57" s="11" t="s">
        <v>444</v>
      </c>
      <c r="I57" s="8" t="s">
        <v>445</v>
      </c>
      <c r="J57" s="11" t="s">
        <v>41</v>
      </c>
      <c r="K57" s="8" t="s">
        <v>660</v>
      </c>
      <c r="L57" s="11" t="s">
        <v>41</v>
      </c>
      <c r="M57" s="8" t="s">
        <v>492</v>
      </c>
      <c r="N57" s="11" t="s">
        <v>41</v>
      </c>
      <c r="O57" s="18" t="s">
        <v>3010</v>
      </c>
      <c r="P57" s="19">
        <v>0</v>
      </c>
      <c r="Q57" s="19">
        <v>442.08</v>
      </c>
      <c r="R57" s="8" t="s">
        <v>871</v>
      </c>
      <c r="S57" s="8" t="s">
        <v>246</v>
      </c>
      <c r="T57" s="8" t="s">
        <v>36</v>
      </c>
      <c r="U57" s="8" t="s">
        <v>663</v>
      </c>
      <c r="V57" s="8" t="s">
        <v>3288</v>
      </c>
      <c r="W57" s="8" t="s">
        <v>665</v>
      </c>
      <c r="Y57" s="3">
        <f>_xlfn.XLOOKUP(X57,'7月份计划'!A:A,'7月份计划'!A:A)</f>
        <v>0</v>
      </c>
    </row>
    <row r="58" spans="1:25">
      <c r="A58" s="12" t="s">
        <v>3289</v>
      </c>
      <c r="B58" s="12" t="s">
        <v>32</v>
      </c>
      <c r="C58" s="12" t="s">
        <v>3290</v>
      </c>
      <c r="D58" s="13">
        <v>1</v>
      </c>
      <c r="E58" s="12" t="s">
        <v>3291</v>
      </c>
      <c r="F58" s="14">
        <v>45925</v>
      </c>
      <c r="G58" s="14">
        <v>45925</v>
      </c>
      <c r="H58" s="15" t="s">
        <v>444</v>
      </c>
      <c r="I58" s="12" t="s">
        <v>445</v>
      </c>
      <c r="J58" s="15" t="s">
        <v>41</v>
      </c>
      <c r="K58" s="12" t="s">
        <v>660</v>
      </c>
      <c r="L58" s="15" t="s">
        <v>41</v>
      </c>
      <c r="M58" s="12" t="s">
        <v>492</v>
      </c>
      <c r="N58" s="15" t="s">
        <v>41</v>
      </c>
      <c r="O58" s="20" t="s">
        <v>3292</v>
      </c>
      <c r="P58" s="21">
        <v>0</v>
      </c>
      <c r="Q58" s="21">
        <v>53465.19</v>
      </c>
      <c r="R58" s="12" t="s">
        <v>871</v>
      </c>
      <c r="S58" s="12" t="s">
        <v>246</v>
      </c>
      <c r="T58" s="12" t="s">
        <v>36</v>
      </c>
      <c r="U58" s="12" t="s">
        <v>663</v>
      </c>
      <c r="V58" s="12" t="s">
        <v>3293</v>
      </c>
      <c r="W58" s="12" t="s">
        <v>665</v>
      </c>
      <c r="Y58" s="3">
        <f>_xlfn.XLOOKUP(X58,'7月份计划'!A:A,'7月份计划'!A:A)</f>
        <v>0</v>
      </c>
    </row>
    <row r="59" spans="1:25">
      <c r="A59" s="8" t="s">
        <v>3294</v>
      </c>
      <c r="B59" s="8" t="s">
        <v>32</v>
      </c>
      <c r="C59" s="8" t="s">
        <v>3295</v>
      </c>
      <c r="D59" s="9">
        <v>1</v>
      </c>
      <c r="E59" s="8" t="s">
        <v>3296</v>
      </c>
      <c r="F59" s="10">
        <v>45925</v>
      </c>
      <c r="G59" s="10">
        <v>45925</v>
      </c>
      <c r="H59" s="11" t="s">
        <v>444</v>
      </c>
      <c r="I59" s="8" t="s">
        <v>445</v>
      </c>
      <c r="J59" s="11" t="s">
        <v>41</v>
      </c>
      <c r="K59" s="8" t="s">
        <v>660</v>
      </c>
      <c r="L59" s="11" t="s">
        <v>41</v>
      </c>
      <c r="M59" s="8" t="s">
        <v>492</v>
      </c>
      <c r="N59" s="11" t="s">
        <v>41</v>
      </c>
      <c r="O59" s="18" t="s">
        <v>3297</v>
      </c>
      <c r="P59" s="19">
        <v>0.11</v>
      </c>
      <c r="Q59" s="19">
        <v>0</v>
      </c>
      <c r="R59" s="8" t="s">
        <v>871</v>
      </c>
      <c r="S59" s="8" t="s">
        <v>246</v>
      </c>
      <c r="T59" s="8" t="s">
        <v>36</v>
      </c>
      <c r="U59" s="8" t="s">
        <v>663</v>
      </c>
      <c r="V59" s="8" t="s">
        <v>3298</v>
      </c>
      <c r="W59" s="8" t="s">
        <v>665</v>
      </c>
      <c r="Y59" s="3">
        <f>_xlfn.XLOOKUP(X59,'7月份计划'!A:A,'7月份计划'!A:A)</f>
        <v>0</v>
      </c>
    </row>
    <row r="60" spans="1:25">
      <c r="A60" s="12" t="s">
        <v>3299</v>
      </c>
      <c r="B60" s="12" t="s">
        <v>32</v>
      </c>
      <c r="C60" s="12" t="s">
        <v>3300</v>
      </c>
      <c r="D60" s="13">
        <v>1</v>
      </c>
      <c r="E60" s="12" t="s">
        <v>3301</v>
      </c>
      <c r="F60" s="14">
        <v>45925</v>
      </c>
      <c r="G60" s="14">
        <v>45925</v>
      </c>
      <c r="H60" s="15" t="s">
        <v>444</v>
      </c>
      <c r="I60" s="12" t="s">
        <v>445</v>
      </c>
      <c r="J60" s="15" t="s">
        <v>41</v>
      </c>
      <c r="K60" s="12" t="s">
        <v>660</v>
      </c>
      <c r="L60" s="15" t="s">
        <v>41</v>
      </c>
      <c r="M60" s="12" t="s">
        <v>492</v>
      </c>
      <c r="N60" s="15" t="s">
        <v>41</v>
      </c>
      <c r="O60" s="20" t="s">
        <v>3010</v>
      </c>
      <c r="P60" s="21">
        <v>0</v>
      </c>
      <c r="Q60" s="21">
        <v>114251.66</v>
      </c>
      <c r="R60" s="12" t="s">
        <v>706</v>
      </c>
      <c r="S60" s="12" t="s">
        <v>240</v>
      </c>
      <c r="T60" s="12" t="s">
        <v>36</v>
      </c>
      <c r="U60" s="12" t="s">
        <v>663</v>
      </c>
      <c r="V60" s="12" t="s">
        <v>3302</v>
      </c>
      <c r="W60" s="12" t="s">
        <v>665</v>
      </c>
      <c r="Y60" s="3">
        <f>_xlfn.XLOOKUP(X60,'7月份计划'!A:A,'7月份计划'!A:A)</f>
        <v>0</v>
      </c>
    </row>
    <row r="61" spans="1:25">
      <c r="A61" s="8" t="s">
        <v>3299</v>
      </c>
      <c r="B61" s="8" t="s">
        <v>32</v>
      </c>
      <c r="C61" s="8" t="s">
        <v>3300</v>
      </c>
      <c r="D61" s="9">
        <v>3</v>
      </c>
      <c r="E61" s="8" t="s">
        <v>3301</v>
      </c>
      <c r="F61" s="10">
        <v>45925</v>
      </c>
      <c r="G61" s="10">
        <v>45925</v>
      </c>
      <c r="H61" s="11" t="s">
        <v>444</v>
      </c>
      <c r="I61" s="8" t="s">
        <v>445</v>
      </c>
      <c r="J61" s="11" t="s">
        <v>41</v>
      </c>
      <c r="K61" s="8" t="s">
        <v>660</v>
      </c>
      <c r="L61" s="11" t="s">
        <v>41</v>
      </c>
      <c r="M61" s="8" t="s">
        <v>492</v>
      </c>
      <c r="N61" s="11" t="s">
        <v>41</v>
      </c>
      <c r="O61" s="18" t="s">
        <v>3010</v>
      </c>
      <c r="P61" s="19">
        <v>288</v>
      </c>
      <c r="Q61" s="19">
        <v>0</v>
      </c>
      <c r="R61" s="8" t="s">
        <v>706</v>
      </c>
      <c r="S61" s="8" t="s">
        <v>240</v>
      </c>
      <c r="T61" s="8" t="s">
        <v>36</v>
      </c>
      <c r="U61" s="8" t="s">
        <v>663</v>
      </c>
      <c r="V61" s="8" t="s">
        <v>3302</v>
      </c>
      <c r="W61" s="8" t="s">
        <v>665</v>
      </c>
      <c r="Y61" s="3">
        <f>_xlfn.XLOOKUP(X61,'7月份计划'!A:A,'7月份计划'!A:A)</f>
        <v>0</v>
      </c>
    </row>
    <row r="62" spans="1:25">
      <c r="A62" s="12" t="s">
        <v>3303</v>
      </c>
      <c r="B62" s="12" t="s">
        <v>32</v>
      </c>
      <c r="C62" s="12" t="s">
        <v>3304</v>
      </c>
      <c r="D62" s="13">
        <v>1</v>
      </c>
      <c r="E62" s="12" t="s">
        <v>3305</v>
      </c>
      <c r="F62" s="14">
        <v>45925</v>
      </c>
      <c r="G62" s="14">
        <v>45925</v>
      </c>
      <c r="H62" s="15" t="s">
        <v>444</v>
      </c>
      <c r="I62" s="12" t="s">
        <v>445</v>
      </c>
      <c r="J62" s="15" t="s">
        <v>41</v>
      </c>
      <c r="K62" s="12" t="s">
        <v>660</v>
      </c>
      <c r="L62" s="15" t="s">
        <v>41</v>
      </c>
      <c r="M62" s="12" t="s">
        <v>492</v>
      </c>
      <c r="N62" s="15" t="s">
        <v>41</v>
      </c>
      <c r="O62" s="20" t="s">
        <v>3010</v>
      </c>
      <c r="P62" s="21">
        <v>0</v>
      </c>
      <c r="Q62" s="21">
        <v>31328.38</v>
      </c>
      <c r="R62" s="12" t="s">
        <v>938</v>
      </c>
      <c r="S62" s="12" t="s">
        <v>253</v>
      </c>
      <c r="T62" s="12" t="s">
        <v>36</v>
      </c>
      <c r="U62" s="12" t="s">
        <v>663</v>
      </c>
      <c r="V62" s="12" t="s">
        <v>3306</v>
      </c>
      <c r="W62" s="12" t="s">
        <v>665</v>
      </c>
      <c r="Y62" s="3">
        <f>_xlfn.XLOOKUP(X62,'7月份计划'!A:A,'7月份计划'!A:A)</f>
        <v>0</v>
      </c>
    </row>
    <row r="63" spans="1:25">
      <c r="A63" s="8" t="s">
        <v>3307</v>
      </c>
      <c r="B63" s="8" t="s">
        <v>32</v>
      </c>
      <c r="C63" s="8" t="s">
        <v>3308</v>
      </c>
      <c r="D63" s="9">
        <v>1</v>
      </c>
      <c r="E63" s="8" t="s">
        <v>3309</v>
      </c>
      <c r="F63" s="10">
        <v>45926</v>
      </c>
      <c r="G63" s="10">
        <v>45926</v>
      </c>
      <c r="H63" s="11" t="s">
        <v>444</v>
      </c>
      <c r="I63" s="8" t="s">
        <v>445</v>
      </c>
      <c r="J63" s="11" t="s">
        <v>41</v>
      </c>
      <c r="K63" s="8" t="s">
        <v>660</v>
      </c>
      <c r="L63" s="11" t="s">
        <v>41</v>
      </c>
      <c r="M63" s="8" t="s">
        <v>492</v>
      </c>
      <c r="N63" s="11" t="s">
        <v>41</v>
      </c>
      <c r="O63" s="18" t="s">
        <v>3310</v>
      </c>
      <c r="P63" s="19">
        <v>0</v>
      </c>
      <c r="Q63" s="19">
        <v>17441.65</v>
      </c>
      <c r="R63" s="8" t="s">
        <v>1143</v>
      </c>
      <c r="S63" s="8" t="s">
        <v>268</v>
      </c>
      <c r="T63" s="8" t="s">
        <v>36</v>
      </c>
      <c r="U63" s="8" t="s">
        <v>663</v>
      </c>
      <c r="V63" s="8" t="s">
        <v>3311</v>
      </c>
      <c r="W63" s="8" t="s">
        <v>665</v>
      </c>
      <c r="Y63" s="3">
        <f>_xlfn.XLOOKUP(X63,'7月份计划'!A:A,'7月份计划'!A:A)</f>
        <v>0</v>
      </c>
    </row>
    <row r="64" spans="1:25">
      <c r="A64" s="12" t="s">
        <v>3307</v>
      </c>
      <c r="B64" s="12" t="s">
        <v>32</v>
      </c>
      <c r="C64" s="12" t="s">
        <v>3308</v>
      </c>
      <c r="D64" s="13">
        <v>3</v>
      </c>
      <c r="E64" s="12" t="s">
        <v>3309</v>
      </c>
      <c r="F64" s="14">
        <v>45926</v>
      </c>
      <c r="G64" s="14">
        <v>45926</v>
      </c>
      <c r="H64" s="15" t="s">
        <v>444</v>
      </c>
      <c r="I64" s="12" t="s">
        <v>445</v>
      </c>
      <c r="J64" s="15" t="s">
        <v>41</v>
      </c>
      <c r="K64" s="12" t="s">
        <v>660</v>
      </c>
      <c r="L64" s="15" t="s">
        <v>41</v>
      </c>
      <c r="M64" s="12" t="s">
        <v>492</v>
      </c>
      <c r="N64" s="15" t="s">
        <v>41</v>
      </c>
      <c r="O64" s="20" t="s">
        <v>3310</v>
      </c>
      <c r="P64" s="21">
        <v>4910.4</v>
      </c>
      <c r="Q64" s="21">
        <v>0</v>
      </c>
      <c r="R64" s="12" t="s">
        <v>1143</v>
      </c>
      <c r="S64" s="12" t="s">
        <v>268</v>
      </c>
      <c r="T64" s="12" t="s">
        <v>36</v>
      </c>
      <c r="U64" s="12" t="s">
        <v>663</v>
      </c>
      <c r="V64" s="12" t="s">
        <v>3311</v>
      </c>
      <c r="W64" s="12" t="s">
        <v>665</v>
      </c>
      <c r="Y64" s="3">
        <f>_xlfn.XLOOKUP(X64,'7月份计划'!A:A,'7月份计划'!A:A)</f>
        <v>0</v>
      </c>
    </row>
    <row r="65" spans="1:25">
      <c r="A65" s="8" t="s">
        <v>3312</v>
      </c>
      <c r="B65" s="8" t="s">
        <v>32</v>
      </c>
      <c r="C65" s="8" t="s">
        <v>3313</v>
      </c>
      <c r="D65" s="9">
        <v>1</v>
      </c>
      <c r="E65" s="8" t="s">
        <v>3314</v>
      </c>
      <c r="F65" s="10">
        <v>45926</v>
      </c>
      <c r="G65" s="10">
        <v>45926</v>
      </c>
      <c r="H65" s="11" t="s">
        <v>444</v>
      </c>
      <c r="I65" s="8" t="s">
        <v>445</v>
      </c>
      <c r="J65" s="11" t="s">
        <v>41</v>
      </c>
      <c r="K65" s="8" t="s">
        <v>660</v>
      </c>
      <c r="L65" s="11" t="s">
        <v>41</v>
      </c>
      <c r="M65" s="8" t="s">
        <v>492</v>
      </c>
      <c r="N65" s="11" t="s">
        <v>41</v>
      </c>
      <c r="O65" s="18" t="s">
        <v>3010</v>
      </c>
      <c r="P65" s="19">
        <v>0</v>
      </c>
      <c r="Q65" s="19">
        <v>12642.2</v>
      </c>
      <c r="R65" s="8" t="s">
        <v>1269</v>
      </c>
      <c r="S65" s="8" t="s">
        <v>285</v>
      </c>
      <c r="T65" s="8" t="s">
        <v>36</v>
      </c>
      <c r="U65" s="8" t="s">
        <v>663</v>
      </c>
      <c r="V65" s="8" t="s">
        <v>3315</v>
      </c>
      <c r="W65" s="8" t="s">
        <v>665</v>
      </c>
      <c r="Y65" s="3">
        <f>_xlfn.XLOOKUP(X65,'7月份计划'!A:A,'7月份计划'!A:A)</f>
        <v>0</v>
      </c>
    </row>
    <row r="66" spans="1:25">
      <c r="A66" s="12" t="s">
        <v>3316</v>
      </c>
      <c r="B66" s="12" t="s">
        <v>32</v>
      </c>
      <c r="C66" s="12" t="s">
        <v>3317</v>
      </c>
      <c r="D66" s="13">
        <v>1</v>
      </c>
      <c r="E66" s="12" t="s">
        <v>3318</v>
      </c>
      <c r="F66" s="14">
        <v>45926</v>
      </c>
      <c r="G66" s="14">
        <v>45926</v>
      </c>
      <c r="H66" s="15" t="s">
        <v>444</v>
      </c>
      <c r="I66" s="12" t="s">
        <v>445</v>
      </c>
      <c r="J66" s="15" t="s">
        <v>41</v>
      </c>
      <c r="K66" s="12" t="s">
        <v>660</v>
      </c>
      <c r="L66" s="15" t="s">
        <v>41</v>
      </c>
      <c r="M66" s="12" t="s">
        <v>492</v>
      </c>
      <c r="N66" s="15" t="s">
        <v>41</v>
      </c>
      <c r="O66" s="20" t="s">
        <v>3161</v>
      </c>
      <c r="P66" s="21">
        <v>0</v>
      </c>
      <c r="Q66" s="21">
        <v>427578.8</v>
      </c>
      <c r="R66" s="12" t="s">
        <v>2326</v>
      </c>
      <c r="S66" s="12" t="s">
        <v>600</v>
      </c>
      <c r="T66" s="12" t="s">
        <v>36</v>
      </c>
      <c r="U66" s="12" t="s">
        <v>663</v>
      </c>
      <c r="V66" s="12" t="s">
        <v>3319</v>
      </c>
      <c r="W66" s="12" t="s">
        <v>665</v>
      </c>
      <c r="Y66" s="3">
        <f>_xlfn.XLOOKUP(X66,'7月份计划'!A:A,'7月份计划'!A:A)</f>
        <v>0</v>
      </c>
    </row>
    <row r="67" spans="1:25">
      <c r="A67" s="8" t="s">
        <v>3316</v>
      </c>
      <c r="B67" s="8" t="s">
        <v>32</v>
      </c>
      <c r="C67" s="8" t="s">
        <v>3317</v>
      </c>
      <c r="D67" s="9">
        <v>3</v>
      </c>
      <c r="E67" s="8" t="s">
        <v>3318</v>
      </c>
      <c r="F67" s="10">
        <v>45926</v>
      </c>
      <c r="G67" s="10">
        <v>45926</v>
      </c>
      <c r="H67" s="11" t="s">
        <v>444</v>
      </c>
      <c r="I67" s="8" t="s">
        <v>445</v>
      </c>
      <c r="J67" s="11" t="s">
        <v>41</v>
      </c>
      <c r="K67" s="8" t="s">
        <v>660</v>
      </c>
      <c r="L67" s="11" t="s">
        <v>41</v>
      </c>
      <c r="M67" s="8" t="s">
        <v>492</v>
      </c>
      <c r="N67" s="11" t="s">
        <v>41</v>
      </c>
      <c r="O67" s="18" t="s">
        <v>3161</v>
      </c>
      <c r="P67" s="19">
        <v>91692.85</v>
      </c>
      <c r="Q67" s="19">
        <v>0</v>
      </c>
      <c r="R67" s="8" t="s">
        <v>2326</v>
      </c>
      <c r="S67" s="8" t="s">
        <v>600</v>
      </c>
      <c r="T67" s="8" t="s">
        <v>36</v>
      </c>
      <c r="U67" s="8" t="s">
        <v>663</v>
      </c>
      <c r="V67" s="8" t="s">
        <v>3319</v>
      </c>
      <c r="W67" s="8" t="s">
        <v>665</v>
      </c>
      <c r="Y67" s="3">
        <f>_xlfn.XLOOKUP(X67,'7月份计划'!A:A,'7月份计划'!A:A)</f>
        <v>0</v>
      </c>
    </row>
    <row r="68" spans="1:25">
      <c r="A68" s="12" t="s">
        <v>3320</v>
      </c>
      <c r="B68" s="12" t="s">
        <v>32</v>
      </c>
      <c r="C68" s="12" t="s">
        <v>3321</v>
      </c>
      <c r="D68" s="13">
        <v>1</v>
      </c>
      <c r="E68" s="12" t="s">
        <v>3322</v>
      </c>
      <c r="F68" s="14">
        <v>45926</v>
      </c>
      <c r="G68" s="14">
        <v>45926</v>
      </c>
      <c r="H68" s="15" t="s">
        <v>444</v>
      </c>
      <c r="I68" s="12" t="s">
        <v>445</v>
      </c>
      <c r="J68" s="15" t="s">
        <v>41</v>
      </c>
      <c r="K68" s="12" t="s">
        <v>660</v>
      </c>
      <c r="L68" s="15" t="s">
        <v>41</v>
      </c>
      <c r="M68" s="12" t="s">
        <v>492</v>
      </c>
      <c r="N68" s="15" t="s">
        <v>41</v>
      </c>
      <c r="O68" s="20" t="s">
        <v>3161</v>
      </c>
      <c r="P68" s="21">
        <v>0</v>
      </c>
      <c r="Q68" s="21">
        <v>526147.33</v>
      </c>
      <c r="R68" s="12" t="s">
        <v>34</v>
      </c>
      <c r="S68" s="12" t="s">
        <v>277</v>
      </c>
      <c r="T68" s="12" t="s">
        <v>36</v>
      </c>
      <c r="U68" s="12" t="s">
        <v>663</v>
      </c>
      <c r="V68" s="12" t="s">
        <v>138</v>
      </c>
      <c r="W68" s="12" t="s">
        <v>665</v>
      </c>
      <c r="Y68" s="3">
        <f>_xlfn.XLOOKUP(X68,'7月份计划'!A:A,'7月份计划'!A:A)</f>
        <v>0</v>
      </c>
    </row>
    <row r="69" spans="1:25">
      <c r="A69" s="8" t="s">
        <v>3320</v>
      </c>
      <c r="B69" s="8" t="s">
        <v>32</v>
      </c>
      <c r="C69" s="8" t="s">
        <v>3321</v>
      </c>
      <c r="D69" s="9">
        <v>3</v>
      </c>
      <c r="E69" s="8" t="s">
        <v>3322</v>
      </c>
      <c r="F69" s="10">
        <v>45926</v>
      </c>
      <c r="G69" s="10">
        <v>45926</v>
      </c>
      <c r="H69" s="11" t="s">
        <v>444</v>
      </c>
      <c r="I69" s="8" t="s">
        <v>445</v>
      </c>
      <c r="J69" s="11" t="s">
        <v>41</v>
      </c>
      <c r="K69" s="8" t="s">
        <v>660</v>
      </c>
      <c r="L69" s="11" t="s">
        <v>41</v>
      </c>
      <c r="M69" s="8" t="s">
        <v>492</v>
      </c>
      <c r="N69" s="11" t="s">
        <v>41</v>
      </c>
      <c r="O69" s="18" t="s">
        <v>3161</v>
      </c>
      <c r="P69" s="19">
        <v>94771.33</v>
      </c>
      <c r="Q69" s="19">
        <v>0</v>
      </c>
      <c r="R69" s="8" t="s">
        <v>34</v>
      </c>
      <c r="S69" s="8" t="s">
        <v>277</v>
      </c>
      <c r="T69" s="8" t="s">
        <v>36</v>
      </c>
      <c r="U69" s="8" t="s">
        <v>663</v>
      </c>
      <c r="V69" s="8" t="s">
        <v>138</v>
      </c>
      <c r="W69" s="8" t="s">
        <v>665</v>
      </c>
      <c r="Y69" s="3">
        <f>_xlfn.XLOOKUP(X69,'7月份计划'!A:A,'7月份计划'!A:A)</f>
        <v>0</v>
      </c>
    </row>
    <row r="70" spans="1:25">
      <c r="A70" s="12" t="s">
        <v>3323</v>
      </c>
      <c r="B70" s="12" t="s">
        <v>32</v>
      </c>
      <c r="C70" s="12" t="s">
        <v>3324</v>
      </c>
      <c r="D70" s="13">
        <v>1</v>
      </c>
      <c r="E70" s="12" t="s">
        <v>3325</v>
      </c>
      <c r="F70" s="14">
        <v>45926</v>
      </c>
      <c r="G70" s="14">
        <v>45926</v>
      </c>
      <c r="H70" s="15" t="s">
        <v>444</v>
      </c>
      <c r="I70" s="12" t="s">
        <v>445</v>
      </c>
      <c r="J70" s="15" t="s">
        <v>41</v>
      </c>
      <c r="K70" s="12" t="s">
        <v>660</v>
      </c>
      <c r="L70" s="15" t="s">
        <v>41</v>
      </c>
      <c r="M70" s="12" t="s">
        <v>492</v>
      </c>
      <c r="N70" s="15" t="s">
        <v>41</v>
      </c>
      <c r="O70" s="20" t="s">
        <v>3161</v>
      </c>
      <c r="P70" s="21">
        <v>0</v>
      </c>
      <c r="Q70" s="21">
        <v>86548.69</v>
      </c>
      <c r="R70" s="12" t="s">
        <v>149</v>
      </c>
      <c r="S70" s="12" t="s">
        <v>251</v>
      </c>
      <c r="T70" s="12" t="s">
        <v>36</v>
      </c>
      <c r="U70" s="12" t="s">
        <v>663</v>
      </c>
      <c r="V70" s="12" t="s">
        <v>226</v>
      </c>
      <c r="W70" s="12" t="s">
        <v>665</v>
      </c>
      <c r="Y70" s="3">
        <f>_xlfn.XLOOKUP(X70,'7月份计划'!A:A,'7月份计划'!A:A)</f>
        <v>0</v>
      </c>
    </row>
    <row r="71" spans="1:25">
      <c r="A71" s="8" t="s">
        <v>3323</v>
      </c>
      <c r="B71" s="8" t="s">
        <v>32</v>
      </c>
      <c r="C71" s="8" t="s">
        <v>3324</v>
      </c>
      <c r="D71" s="9">
        <v>3</v>
      </c>
      <c r="E71" s="8" t="s">
        <v>3325</v>
      </c>
      <c r="F71" s="10">
        <v>45926</v>
      </c>
      <c r="G71" s="10">
        <v>45926</v>
      </c>
      <c r="H71" s="11" t="s">
        <v>444</v>
      </c>
      <c r="I71" s="8" t="s">
        <v>445</v>
      </c>
      <c r="J71" s="11" t="s">
        <v>41</v>
      </c>
      <c r="K71" s="8" t="s">
        <v>660</v>
      </c>
      <c r="L71" s="11" t="s">
        <v>41</v>
      </c>
      <c r="M71" s="8" t="s">
        <v>492</v>
      </c>
      <c r="N71" s="11" t="s">
        <v>41</v>
      </c>
      <c r="O71" s="18" t="s">
        <v>3161</v>
      </c>
      <c r="P71" s="19">
        <v>26548.69</v>
      </c>
      <c r="Q71" s="19">
        <v>0</v>
      </c>
      <c r="R71" s="8" t="s">
        <v>149</v>
      </c>
      <c r="S71" s="8" t="s">
        <v>251</v>
      </c>
      <c r="T71" s="8" t="s">
        <v>36</v>
      </c>
      <c r="U71" s="8" t="s">
        <v>663</v>
      </c>
      <c r="V71" s="8" t="s">
        <v>226</v>
      </c>
      <c r="W71" s="8" t="s">
        <v>665</v>
      </c>
      <c r="Y71" s="3">
        <f>_xlfn.XLOOKUP(X71,'7月份计划'!A:A,'7月份计划'!A:A)</f>
        <v>0</v>
      </c>
    </row>
    <row r="72" spans="1:25">
      <c r="A72" s="12" t="s">
        <v>3326</v>
      </c>
      <c r="B72" s="12" t="s">
        <v>32</v>
      </c>
      <c r="C72" s="12" t="s">
        <v>3327</v>
      </c>
      <c r="D72" s="13">
        <v>1</v>
      </c>
      <c r="E72" s="12" t="s">
        <v>3328</v>
      </c>
      <c r="F72" s="14">
        <v>45926</v>
      </c>
      <c r="G72" s="14">
        <v>45926</v>
      </c>
      <c r="H72" s="15" t="s">
        <v>444</v>
      </c>
      <c r="I72" s="12" t="s">
        <v>445</v>
      </c>
      <c r="J72" s="15" t="s">
        <v>41</v>
      </c>
      <c r="K72" s="12" t="s">
        <v>660</v>
      </c>
      <c r="L72" s="15" t="s">
        <v>41</v>
      </c>
      <c r="M72" s="12" t="s">
        <v>492</v>
      </c>
      <c r="N72" s="15" t="s">
        <v>41</v>
      </c>
      <c r="O72" s="20" t="s">
        <v>3010</v>
      </c>
      <c r="P72" s="21">
        <v>0</v>
      </c>
      <c r="Q72" s="21">
        <v>502430.27</v>
      </c>
      <c r="R72" s="12" t="s">
        <v>673</v>
      </c>
      <c r="S72" s="12" t="s">
        <v>451</v>
      </c>
      <c r="T72" s="12" t="s">
        <v>36</v>
      </c>
      <c r="U72" s="12" t="s">
        <v>663</v>
      </c>
      <c r="V72" s="12" t="s">
        <v>3329</v>
      </c>
      <c r="W72" s="12" t="s">
        <v>665</v>
      </c>
      <c r="Y72" s="3">
        <f>_xlfn.XLOOKUP(X72,'7月份计划'!A:A,'7月份计划'!A:A)</f>
        <v>0</v>
      </c>
    </row>
    <row r="73" spans="1:25">
      <c r="A73" s="8" t="s">
        <v>3326</v>
      </c>
      <c r="B73" s="8" t="s">
        <v>32</v>
      </c>
      <c r="C73" s="8" t="s">
        <v>3327</v>
      </c>
      <c r="D73" s="9">
        <v>3</v>
      </c>
      <c r="E73" s="8" t="s">
        <v>3328</v>
      </c>
      <c r="F73" s="10">
        <v>45926</v>
      </c>
      <c r="G73" s="10">
        <v>45926</v>
      </c>
      <c r="H73" s="11" t="s">
        <v>444</v>
      </c>
      <c r="I73" s="8" t="s">
        <v>445</v>
      </c>
      <c r="J73" s="11" t="s">
        <v>41</v>
      </c>
      <c r="K73" s="8" t="s">
        <v>660</v>
      </c>
      <c r="L73" s="11" t="s">
        <v>41</v>
      </c>
      <c r="M73" s="8" t="s">
        <v>492</v>
      </c>
      <c r="N73" s="11" t="s">
        <v>41</v>
      </c>
      <c r="O73" s="18" t="s">
        <v>3010</v>
      </c>
      <c r="P73" s="19">
        <v>4739.48</v>
      </c>
      <c r="Q73" s="19">
        <v>0</v>
      </c>
      <c r="R73" s="8" t="s">
        <v>673</v>
      </c>
      <c r="S73" s="8" t="s">
        <v>451</v>
      </c>
      <c r="T73" s="8" t="s">
        <v>36</v>
      </c>
      <c r="U73" s="8" t="s">
        <v>663</v>
      </c>
      <c r="V73" s="8" t="s">
        <v>3329</v>
      </c>
      <c r="W73" s="8" t="s">
        <v>665</v>
      </c>
      <c r="Y73" s="3">
        <f>_xlfn.XLOOKUP(X73,'7月份计划'!A:A,'7月份计划'!A:A)</f>
        <v>0</v>
      </c>
    </row>
    <row r="74" spans="1:25">
      <c r="A74" s="12" t="s">
        <v>3330</v>
      </c>
      <c r="B74" s="12" t="s">
        <v>32</v>
      </c>
      <c r="C74" s="12" t="s">
        <v>3331</v>
      </c>
      <c r="D74" s="13">
        <v>1</v>
      </c>
      <c r="E74" s="12" t="s">
        <v>3332</v>
      </c>
      <c r="F74" s="14">
        <v>45926</v>
      </c>
      <c r="G74" s="14">
        <v>45926</v>
      </c>
      <c r="H74" s="15" t="s">
        <v>444</v>
      </c>
      <c r="I74" s="12" t="s">
        <v>445</v>
      </c>
      <c r="J74" s="15" t="s">
        <v>41</v>
      </c>
      <c r="K74" s="12" t="s">
        <v>660</v>
      </c>
      <c r="L74" s="15" t="s">
        <v>41</v>
      </c>
      <c r="M74" s="12" t="s">
        <v>492</v>
      </c>
      <c r="N74" s="15" t="s">
        <v>41</v>
      </c>
      <c r="O74" s="20" t="s">
        <v>3161</v>
      </c>
      <c r="P74" s="21">
        <v>0</v>
      </c>
      <c r="Q74" s="21">
        <v>269965.36</v>
      </c>
      <c r="R74" s="12" t="s">
        <v>2326</v>
      </c>
      <c r="S74" s="12" t="s">
        <v>600</v>
      </c>
      <c r="T74" s="12" t="s">
        <v>36</v>
      </c>
      <c r="U74" s="12" t="s">
        <v>663</v>
      </c>
      <c r="V74" s="12" t="s">
        <v>3333</v>
      </c>
      <c r="W74" s="12" t="s">
        <v>665</v>
      </c>
      <c r="Y74" s="3">
        <f>_xlfn.XLOOKUP(X74,'7月份计划'!A:A,'7月份计划'!A:A)</f>
        <v>0</v>
      </c>
    </row>
    <row r="75" spans="1:25">
      <c r="A75" s="8" t="s">
        <v>3334</v>
      </c>
      <c r="B75" s="8" t="s">
        <v>32</v>
      </c>
      <c r="C75" s="8" t="s">
        <v>3335</v>
      </c>
      <c r="D75" s="9">
        <v>1</v>
      </c>
      <c r="E75" s="8" t="s">
        <v>3336</v>
      </c>
      <c r="F75" s="10">
        <v>45930</v>
      </c>
      <c r="G75" s="10">
        <v>45930</v>
      </c>
      <c r="H75" s="11" t="s">
        <v>444</v>
      </c>
      <c r="I75" s="8" t="s">
        <v>445</v>
      </c>
      <c r="J75" s="11" t="s">
        <v>41</v>
      </c>
      <c r="K75" s="8" t="s">
        <v>660</v>
      </c>
      <c r="L75" s="11" t="s">
        <v>41</v>
      </c>
      <c r="M75" s="8" t="s">
        <v>492</v>
      </c>
      <c r="N75" s="11" t="s">
        <v>41</v>
      </c>
      <c r="O75" s="18" t="s">
        <v>3010</v>
      </c>
      <c r="P75" s="19">
        <v>0</v>
      </c>
      <c r="Q75" s="19">
        <v>11279.66</v>
      </c>
      <c r="R75" s="8" t="s">
        <v>686</v>
      </c>
      <c r="S75" s="8" t="s">
        <v>446</v>
      </c>
      <c r="T75" s="8" t="s">
        <v>36</v>
      </c>
      <c r="U75" s="8" t="s">
        <v>663</v>
      </c>
      <c r="V75" s="8" t="s">
        <v>3337</v>
      </c>
      <c r="W75" s="8" t="s">
        <v>665</v>
      </c>
      <c r="Y75" s="3">
        <f>_xlfn.XLOOKUP(X75,'7月份计划'!A:A,'7月份计划'!A:A)</f>
        <v>0</v>
      </c>
    </row>
    <row r="76" spans="1:25">
      <c r="A76" s="12" t="s">
        <v>3338</v>
      </c>
      <c r="B76" s="12" t="s">
        <v>32</v>
      </c>
      <c r="C76" s="12" t="s">
        <v>3339</v>
      </c>
      <c r="D76" s="13">
        <v>1</v>
      </c>
      <c r="E76" s="12" t="s">
        <v>3340</v>
      </c>
      <c r="F76" s="14">
        <v>45939</v>
      </c>
      <c r="G76" s="14">
        <v>45930</v>
      </c>
      <c r="H76" s="15" t="s">
        <v>444</v>
      </c>
      <c r="I76" s="12" t="s">
        <v>445</v>
      </c>
      <c r="J76" s="15" t="s">
        <v>41</v>
      </c>
      <c r="K76" s="12" t="s">
        <v>660</v>
      </c>
      <c r="L76" s="15" t="s">
        <v>41</v>
      </c>
      <c r="M76" s="12" t="s">
        <v>492</v>
      </c>
      <c r="N76" s="15" t="s">
        <v>41</v>
      </c>
      <c r="O76" s="20" t="s">
        <v>3010</v>
      </c>
      <c r="P76" s="21">
        <v>0</v>
      </c>
      <c r="Q76" s="21">
        <v>137950.4</v>
      </c>
      <c r="R76" s="12" t="s">
        <v>34</v>
      </c>
      <c r="S76" s="12" t="s">
        <v>277</v>
      </c>
      <c r="T76" s="12" t="s">
        <v>36</v>
      </c>
      <c r="U76" s="12" t="s">
        <v>663</v>
      </c>
      <c r="V76" s="12" t="s">
        <v>141</v>
      </c>
      <c r="W76" s="12" t="s">
        <v>665</v>
      </c>
      <c r="Y76" s="3">
        <f>_xlfn.XLOOKUP(X76,'7月份计划'!A:A,'7月份计划'!A:A)</f>
        <v>0</v>
      </c>
    </row>
    <row r="77" spans="1:25">
      <c r="A77" s="8" t="s">
        <v>3341</v>
      </c>
      <c r="B77" s="8" t="s">
        <v>32</v>
      </c>
      <c r="C77" s="8" t="s">
        <v>3342</v>
      </c>
      <c r="D77" s="9">
        <v>1</v>
      </c>
      <c r="E77" s="8" t="s">
        <v>3343</v>
      </c>
      <c r="F77" s="10">
        <v>45929</v>
      </c>
      <c r="G77" s="10">
        <v>45929</v>
      </c>
      <c r="H77" s="11" t="s">
        <v>444</v>
      </c>
      <c r="I77" s="8" t="s">
        <v>445</v>
      </c>
      <c r="J77" s="11" t="s">
        <v>41</v>
      </c>
      <c r="K77" s="8" t="s">
        <v>660</v>
      </c>
      <c r="L77" s="11" t="s">
        <v>41</v>
      </c>
      <c r="M77" s="8" t="s">
        <v>492</v>
      </c>
      <c r="N77" s="11" t="s">
        <v>41</v>
      </c>
      <c r="O77" s="18" t="s">
        <v>3344</v>
      </c>
      <c r="P77" s="19">
        <v>0</v>
      </c>
      <c r="Q77" s="19">
        <v>23388</v>
      </c>
      <c r="R77" s="8" t="s">
        <v>3345</v>
      </c>
      <c r="S77" s="8" t="s">
        <v>261</v>
      </c>
      <c r="T77" s="8" t="s">
        <v>36</v>
      </c>
      <c r="U77" s="8" t="s">
        <v>663</v>
      </c>
      <c r="V77" s="8" t="s">
        <v>3346</v>
      </c>
      <c r="W77" s="8" t="s">
        <v>1990</v>
      </c>
      <c r="Y77" s="3">
        <f>_xlfn.XLOOKUP(X77,'7月份计划'!A:A,'7月份计划'!A:A)</f>
        <v>0</v>
      </c>
    </row>
    <row r="78" spans="1:25">
      <c r="A78" s="12"/>
      <c r="B78" s="12"/>
      <c r="C78" s="12"/>
      <c r="D78" s="13"/>
      <c r="E78" s="12"/>
      <c r="F78" s="14"/>
      <c r="G78" s="14"/>
      <c r="H78" s="15"/>
      <c r="I78" s="12"/>
      <c r="J78" s="15"/>
      <c r="K78" s="12"/>
      <c r="L78" s="15"/>
      <c r="M78" s="12"/>
      <c r="N78" s="15"/>
      <c r="O78" s="20"/>
      <c r="P78" s="21"/>
      <c r="Q78" s="21"/>
      <c r="R78" s="12"/>
      <c r="S78" s="12"/>
      <c r="T78" s="12"/>
      <c r="U78" s="12"/>
      <c r="V78" s="12"/>
      <c r="W78" s="12"/>
      <c r="Y78" s="3">
        <f>_xlfn.XLOOKUP(X78,'7月份计划'!A:A,'7月份计划'!A:A)</f>
        <v>0</v>
      </c>
    </row>
    <row r="79" spans="1:25">
      <c r="A79" s="8"/>
      <c r="B79" s="8"/>
      <c r="C79" s="8"/>
      <c r="D79" s="9"/>
      <c r="E79" s="8"/>
      <c r="F79" s="10"/>
      <c r="G79" s="10"/>
      <c r="H79" s="11"/>
      <c r="I79" s="8"/>
      <c r="J79" s="11"/>
      <c r="K79" s="8"/>
      <c r="L79" s="11"/>
      <c r="M79" s="8"/>
      <c r="N79" s="11"/>
      <c r="O79" s="18"/>
      <c r="P79" s="19"/>
      <c r="Q79" s="19"/>
      <c r="R79" s="8"/>
      <c r="S79" s="8"/>
      <c r="T79" s="8"/>
      <c r="U79" s="8"/>
      <c r="V79" s="8"/>
      <c r="W79" s="8"/>
      <c r="Y79" s="3">
        <f>_xlfn.XLOOKUP(X79,'7月份计划'!A:A,'7月份计划'!A:A)</f>
        <v>0</v>
      </c>
    </row>
    <row r="80" spans="1:25">
      <c r="A80" s="12"/>
      <c r="B80" s="12"/>
      <c r="C80" s="12"/>
      <c r="D80" s="13"/>
      <c r="E80" s="12"/>
      <c r="F80" s="14"/>
      <c r="G80" s="14"/>
      <c r="H80" s="15"/>
      <c r="I80" s="12"/>
      <c r="J80" s="15"/>
      <c r="K80" s="12"/>
      <c r="L80" s="15"/>
      <c r="M80" s="12"/>
      <c r="N80" s="15"/>
      <c r="O80" s="20"/>
      <c r="P80" s="21"/>
      <c r="Q80" s="21"/>
      <c r="R80" s="12"/>
      <c r="S80" s="12"/>
      <c r="T80" s="12"/>
      <c r="U80" s="12"/>
      <c r="V80" s="12"/>
      <c r="W80" s="12"/>
      <c r="Y80" s="3">
        <f>_xlfn.XLOOKUP(X80,'7月份计划'!A:A,'7月份计划'!A:A)</f>
        <v>0</v>
      </c>
    </row>
    <row r="81" spans="1:25">
      <c r="A81" s="8"/>
      <c r="B81" s="8"/>
      <c r="C81" s="8"/>
      <c r="D81" s="9"/>
      <c r="E81" s="8"/>
      <c r="F81" s="10"/>
      <c r="G81" s="10"/>
      <c r="H81" s="11"/>
      <c r="I81" s="8"/>
      <c r="J81" s="11"/>
      <c r="K81" s="8"/>
      <c r="L81" s="11"/>
      <c r="M81" s="8"/>
      <c r="N81" s="11"/>
      <c r="O81" s="18"/>
      <c r="P81" s="19"/>
      <c r="Q81" s="19"/>
      <c r="R81" s="8"/>
      <c r="S81" s="8"/>
      <c r="T81" s="8"/>
      <c r="U81" s="8"/>
      <c r="V81" s="8"/>
      <c r="W81" s="8"/>
      <c r="Y81" s="3">
        <f>_xlfn.XLOOKUP(X81,'7月份计划'!A:A,'7月份计划'!A:A)</f>
        <v>0</v>
      </c>
    </row>
    <row r="82" spans="1:25">
      <c r="A82" s="12"/>
      <c r="B82" s="12"/>
      <c r="C82" s="12"/>
      <c r="D82" s="13"/>
      <c r="E82" s="12"/>
      <c r="F82" s="14"/>
      <c r="G82" s="14"/>
      <c r="H82" s="15"/>
      <c r="I82" s="12"/>
      <c r="J82" s="15"/>
      <c r="K82" s="12"/>
      <c r="L82" s="15"/>
      <c r="M82" s="12"/>
      <c r="N82" s="15"/>
      <c r="O82" s="20"/>
      <c r="P82" s="21"/>
      <c r="Q82" s="21"/>
      <c r="R82" s="12"/>
      <c r="S82" s="12"/>
      <c r="T82" s="12"/>
      <c r="U82" s="12"/>
      <c r="V82" s="12"/>
      <c r="W82" s="12"/>
      <c r="Y82" s="3">
        <f>_xlfn.XLOOKUP(X82,'7月份计划'!A:A,'7月份计划'!A:A)</f>
        <v>0</v>
      </c>
    </row>
    <row r="83" spans="1:25">
      <c r="A83" s="8"/>
      <c r="B83" s="8"/>
      <c r="C83" s="8"/>
      <c r="D83" s="9"/>
      <c r="E83" s="8"/>
      <c r="F83" s="10"/>
      <c r="G83" s="10"/>
      <c r="H83" s="11"/>
      <c r="I83" s="8"/>
      <c r="J83" s="11"/>
      <c r="K83" s="8"/>
      <c r="L83" s="11"/>
      <c r="M83" s="8"/>
      <c r="N83" s="11"/>
      <c r="O83" s="18"/>
      <c r="P83" s="19"/>
      <c r="Q83" s="19"/>
      <c r="R83" s="8"/>
      <c r="S83" s="8"/>
      <c r="T83" s="8"/>
      <c r="U83" s="8"/>
      <c r="V83" s="8"/>
      <c r="W83" s="8"/>
      <c r="Y83" s="3">
        <f>_xlfn.XLOOKUP(X83,'7月份计划'!A:A,'7月份计划'!A:A)</f>
        <v>0</v>
      </c>
    </row>
    <row r="84" spans="1:25">
      <c r="A84" s="12"/>
      <c r="B84" s="12"/>
      <c r="C84" s="12"/>
      <c r="D84" s="13"/>
      <c r="E84" s="12"/>
      <c r="F84" s="14"/>
      <c r="G84" s="14"/>
      <c r="H84" s="15"/>
      <c r="I84" s="12"/>
      <c r="J84" s="15"/>
      <c r="K84" s="12"/>
      <c r="L84" s="15"/>
      <c r="M84" s="12"/>
      <c r="N84" s="15"/>
      <c r="O84" s="20"/>
      <c r="P84" s="21"/>
      <c r="Q84" s="21"/>
      <c r="R84" s="12"/>
      <c r="S84" s="12"/>
      <c r="T84" s="12"/>
      <c r="U84" s="12"/>
      <c r="V84" s="12"/>
      <c r="W84" s="12"/>
      <c r="Y84" s="3">
        <f>_xlfn.XLOOKUP(X84,'7月份计划'!A:A,'7月份计划'!A:A)</f>
        <v>0</v>
      </c>
    </row>
    <row r="85" spans="1:25">
      <c r="A85" s="8"/>
      <c r="B85" s="8"/>
      <c r="C85" s="8"/>
      <c r="D85" s="9"/>
      <c r="E85" s="8"/>
      <c r="F85" s="10"/>
      <c r="G85" s="10"/>
      <c r="H85" s="11"/>
      <c r="I85" s="8"/>
      <c r="J85" s="11"/>
      <c r="K85" s="8"/>
      <c r="L85" s="11"/>
      <c r="M85" s="8"/>
      <c r="N85" s="11"/>
      <c r="O85" s="18"/>
      <c r="P85" s="19"/>
      <c r="Q85" s="19"/>
      <c r="R85" s="8"/>
      <c r="S85" s="8"/>
      <c r="T85" s="8"/>
      <c r="U85" s="8"/>
      <c r="V85" s="8"/>
      <c r="W85" s="8"/>
      <c r="Y85" s="3">
        <f>_xlfn.XLOOKUP(X85,'7月份计划'!A:A,'7月份计划'!A:A)</f>
        <v>0</v>
      </c>
    </row>
    <row r="86" spans="1:25">
      <c r="A86" s="12"/>
      <c r="B86" s="12"/>
      <c r="C86" s="12"/>
      <c r="D86" s="13"/>
      <c r="E86" s="12"/>
      <c r="F86" s="14"/>
      <c r="G86" s="14"/>
      <c r="H86" s="15"/>
      <c r="I86" s="12"/>
      <c r="J86" s="15"/>
      <c r="K86" s="12"/>
      <c r="L86" s="15"/>
      <c r="M86" s="12"/>
      <c r="N86" s="15"/>
      <c r="O86" s="20"/>
      <c r="P86" s="21"/>
      <c r="Q86" s="21"/>
      <c r="R86" s="12"/>
      <c r="S86" s="12"/>
      <c r="T86" s="12"/>
      <c r="U86" s="12"/>
      <c r="V86" s="12"/>
      <c r="W86" s="12"/>
      <c r="Y86" s="3">
        <f>_xlfn.XLOOKUP(X86,'7月份计划'!A:A,'7月份计划'!A:A)</f>
        <v>0</v>
      </c>
    </row>
    <row r="87" spans="1:25">
      <c r="A87" s="8"/>
      <c r="B87" s="8"/>
      <c r="C87" s="8"/>
      <c r="D87" s="9"/>
      <c r="E87" s="8"/>
      <c r="F87" s="10"/>
      <c r="G87" s="10"/>
      <c r="H87" s="11"/>
      <c r="I87" s="8"/>
      <c r="J87" s="11"/>
      <c r="K87" s="8"/>
      <c r="L87" s="11"/>
      <c r="M87" s="8"/>
      <c r="N87" s="11"/>
      <c r="O87" s="18"/>
      <c r="P87" s="19"/>
      <c r="Q87" s="19"/>
      <c r="R87" s="8"/>
      <c r="S87" s="8"/>
      <c r="T87" s="8"/>
      <c r="U87" s="8"/>
      <c r="V87" s="8"/>
      <c r="W87" s="8"/>
      <c r="Y87" s="3">
        <f>_xlfn.XLOOKUP(X87,'7月份计划'!A:A,'7月份计划'!A:A)</f>
        <v>0</v>
      </c>
    </row>
    <row r="88" spans="1:25">
      <c r="A88" s="12"/>
      <c r="B88" s="12"/>
      <c r="C88" s="12"/>
      <c r="D88" s="13"/>
      <c r="E88" s="12"/>
      <c r="F88" s="14"/>
      <c r="G88" s="14"/>
      <c r="H88" s="15"/>
      <c r="I88" s="12"/>
      <c r="J88" s="15"/>
      <c r="K88" s="12"/>
      <c r="L88" s="15"/>
      <c r="M88" s="12"/>
      <c r="N88" s="15"/>
      <c r="O88" s="20"/>
      <c r="P88" s="21"/>
      <c r="Q88" s="21"/>
      <c r="R88" s="12"/>
      <c r="S88" s="12"/>
      <c r="T88" s="12"/>
      <c r="U88" s="12"/>
      <c r="V88" s="12"/>
      <c r="W88" s="12"/>
      <c r="Y88" s="3">
        <f>_xlfn.XLOOKUP(X88,'7月份计划'!A:A,'7月份计划'!A:A)</f>
        <v>0</v>
      </c>
    </row>
    <row r="89" spans="1:25">
      <c r="A89" s="8"/>
      <c r="B89" s="8"/>
      <c r="C89" s="8"/>
      <c r="D89" s="9"/>
      <c r="E89" s="8"/>
      <c r="F89" s="10"/>
      <c r="G89" s="10"/>
      <c r="H89" s="11"/>
      <c r="I89" s="8"/>
      <c r="J89" s="11"/>
      <c r="K89" s="8"/>
      <c r="L89" s="11"/>
      <c r="M89" s="8"/>
      <c r="N89" s="11"/>
      <c r="O89" s="18"/>
      <c r="P89" s="19"/>
      <c r="Q89" s="19"/>
      <c r="R89" s="8"/>
      <c r="S89" s="8"/>
      <c r="T89" s="8"/>
      <c r="U89" s="8"/>
      <c r="V89" s="8"/>
      <c r="W89" s="8"/>
      <c r="Y89" s="3">
        <f>_xlfn.XLOOKUP(X89,'7月份计划'!A:A,'7月份计划'!A:A)</f>
        <v>0</v>
      </c>
    </row>
    <row r="90" spans="1:25">
      <c r="A90" s="12"/>
      <c r="B90" s="12"/>
      <c r="C90" s="12"/>
      <c r="D90" s="13"/>
      <c r="E90" s="12"/>
      <c r="F90" s="14"/>
      <c r="G90" s="14"/>
      <c r="H90" s="15"/>
      <c r="I90" s="12"/>
      <c r="J90" s="15"/>
      <c r="K90" s="12"/>
      <c r="L90" s="15"/>
      <c r="M90" s="12"/>
      <c r="N90" s="15"/>
      <c r="O90" s="20"/>
      <c r="P90" s="21"/>
      <c r="Q90" s="21"/>
      <c r="R90" s="12"/>
      <c r="S90" s="12"/>
      <c r="T90" s="12"/>
      <c r="U90" s="12"/>
      <c r="V90" s="12"/>
      <c r="W90" s="12"/>
      <c r="Y90" s="3">
        <f>_xlfn.XLOOKUP(X90,'7月份计划'!A:A,'7月份计划'!A:A)</f>
        <v>0</v>
      </c>
    </row>
    <row r="91" spans="1:25">
      <c r="A91" s="8"/>
      <c r="B91" s="8"/>
      <c r="C91" s="8"/>
      <c r="D91" s="9"/>
      <c r="E91" s="8"/>
      <c r="F91" s="10"/>
      <c r="G91" s="10"/>
      <c r="H91" s="11"/>
      <c r="I91" s="8"/>
      <c r="J91" s="11"/>
      <c r="K91" s="8"/>
      <c r="L91" s="11"/>
      <c r="M91" s="8"/>
      <c r="N91" s="11"/>
      <c r="O91" s="18"/>
      <c r="P91" s="19"/>
      <c r="Q91" s="19"/>
      <c r="R91" s="8"/>
      <c r="S91" s="8"/>
      <c r="T91" s="8"/>
      <c r="U91" s="8"/>
      <c r="V91" s="8"/>
      <c r="W91" s="8"/>
      <c r="Y91" s="3">
        <f>_xlfn.XLOOKUP(X91,'7月份计划'!A:A,'7月份计划'!A:A)</f>
        <v>0</v>
      </c>
    </row>
    <row r="92" spans="1:25">
      <c r="A92" s="12"/>
      <c r="B92" s="12"/>
      <c r="C92" s="12"/>
      <c r="D92" s="13"/>
      <c r="E92" s="12"/>
      <c r="F92" s="14"/>
      <c r="G92" s="14"/>
      <c r="H92" s="15"/>
      <c r="I92" s="12"/>
      <c r="J92" s="15"/>
      <c r="K92" s="12"/>
      <c r="L92" s="15"/>
      <c r="M92" s="12"/>
      <c r="N92" s="15"/>
      <c r="O92" s="20"/>
      <c r="P92" s="21"/>
      <c r="Q92" s="21"/>
      <c r="R92" s="12"/>
      <c r="S92" s="12"/>
      <c r="T92" s="12"/>
      <c r="U92" s="12"/>
      <c r="V92" s="12"/>
      <c r="W92" s="12"/>
      <c r="Y92" s="3">
        <f>_xlfn.XLOOKUP(X92,'7月份计划'!A:A,'7月份计划'!A:A)</f>
        <v>0</v>
      </c>
    </row>
    <row r="93" spans="1:25">
      <c r="A93" s="8"/>
      <c r="B93" s="8"/>
      <c r="C93" s="8"/>
      <c r="D93" s="9"/>
      <c r="E93" s="8"/>
      <c r="F93" s="10"/>
      <c r="G93" s="10"/>
      <c r="H93" s="11"/>
      <c r="I93" s="8"/>
      <c r="J93" s="11"/>
      <c r="K93" s="8"/>
      <c r="L93" s="11"/>
      <c r="M93" s="8"/>
      <c r="N93" s="11"/>
      <c r="O93" s="18"/>
      <c r="P93" s="19"/>
      <c r="Q93" s="19"/>
      <c r="R93" s="8"/>
      <c r="S93" s="8"/>
      <c r="T93" s="8"/>
      <c r="U93" s="8"/>
      <c r="V93" s="8"/>
      <c r="W93" s="8"/>
      <c r="Y93" s="3">
        <f>_xlfn.XLOOKUP(X93,'7月份计划'!A:A,'7月份计划'!A:A)</f>
        <v>0</v>
      </c>
    </row>
    <row r="94" spans="1:25">
      <c r="A94" s="12"/>
      <c r="B94" s="12"/>
      <c r="C94" s="12"/>
      <c r="D94" s="13"/>
      <c r="E94" s="12"/>
      <c r="F94" s="14"/>
      <c r="G94" s="14"/>
      <c r="H94" s="15"/>
      <c r="I94" s="12"/>
      <c r="J94" s="15"/>
      <c r="K94" s="12"/>
      <c r="L94" s="15"/>
      <c r="M94" s="12"/>
      <c r="N94" s="15"/>
      <c r="O94" s="20"/>
      <c r="P94" s="21"/>
      <c r="Q94" s="21"/>
      <c r="R94" s="12"/>
      <c r="S94" s="12"/>
      <c r="T94" s="12"/>
      <c r="U94" s="12"/>
      <c r="V94" s="12"/>
      <c r="W94" s="12"/>
      <c r="Y94" s="3">
        <f>_xlfn.XLOOKUP(X94,'7月份计划'!A:A,'7月份计划'!A:A)</f>
        <v>0</v>
      </c>
    </row>
    <row r="95" spans="1:25">
      <c r="A95" s="8"/>
      <c r="B95" s="8"/>
      <c r="C95" s="8"/>
      <c r="D95" s="9"/>
      <c r="E95" s="8"/>
      <c r="F95" s="10"/>
      <c r="G95" s="10"/>
      <c r="H95" s="11"/>
      <c r="I95" s="8"/>
      <c r="J95" s="11"/>
      <c r="K95" s="8"/>
      <c r="L95" s="11"/>
      <c r="M95" s="8"/>
      <c r="N95" s="11"/>
      <c r="O95" s="18"/>
      <c r="P95" s="19"/>
      <c r="Q95" s="19"/>
      <c r="R95" s="8"/>
      <c r="S95" s="8"/>
      <c r="T95" s="8"/>
      <c r="U95" s="8"/>
      <c r="V95" s="8"/>
      <c r="W95" s="8"/>
      <c r="Y95" s="3">
        <f>_xlfn.XLOOKUP(X95,'7月份计划'!A:A,'7月份计划'!A:A)</f>
        <v>0</v>
      </c>
    </row>
    <row r="96" spans="1:25">
      <c r="A96" s="12"/>
      <c r="B96" s="12"/>
      <c r="C96" s="12"/>
      <c r="D96" s="13"/>
      <c r="E96" s="12"/>
      <c r="F96" s="14"/>
      <c r="G96" s="14"/>
      <c r="H96" s="15"/>
      <c r="I96" s="12"/>
      <c r="J96" s="15"/>
      <c r="K96" s="12"/>
      <c r="L96" s="15"/>
      <c r="M96" s="12"/>
      <c r="N96" s="15"/>
      <c r="O96" s="20"/>
      <c r="P96" s="21"/>
      <c r="Q96" s="21"/>
      <c r="R96" s="12"/>
      <c r="S96" s="12"/>
      <c r="T96" s="12"/>
      <c r="U96" s="12"/>
      <c r="V96" s="12"/>
      <c r="W96" s="12"/>
      <c r="Y96" s="3">
        <f>_xlfn.XLOOKUP(X96,'7月份计划'!A:A,'7月份计划'!A:A)</f>
        <v>0</v>
      </c>
    </row>
    <row r="97" spans="1:25">
      <c r="A97" s="8"/>
      <c r="B97" s="8"/>
      <c r="C97" s="8"/>
      <c r="D97" s="9"/>
      <c r="E97" s="8"/>
      <c r="F97" s="10"/>
      <c r="G97" s="10"/>
      <c r="H97" s="11"/>
      <c r="I97" s="8"/>
      <c r="J97" s="11"/>
      <c r="K97" s="8"/>
      <c r="L97" s="11"/>
      <c r="M97" s="8"/>
      <c r="N97" s="11"/>
      <c r="O97" s="18"/>
      <c r="P97" s="19"/>
      <c r="Q97" s="19"/>
      <c r="R97" s="8"/>
      <c r="S97" s="8"/>
      <c r="T97" s="8"/>
      <c r="U97" s="8"/>
      <c r="V97" s="8"/>
      <c r="W97" s="8"/>
      <c r="Y97" s="3">
        <f>_xlfn.XLOOKUP(X97,'7月份计划'!A:A,'7月份计划'!A:A)</f>
        <v>0</v>
      </c>
    </row>
    <row r="98" spans="1:25">
      <c r="A98" s="12"/>
      <c r="B98" s="12"/>
      <c r="C98" s="12"/>
      <c r="D98" s="13"/>
      <c r="E98" s="12"/>
      <c r="F98" s="14"/>
      <c r="G98" s="14"/>
      <c r="H98" s="15"/>
      <c r="I98" s="12"/>
      <c r="J98" s="15"/>
      <c r="K98" s="12"/>
      <c r="L98" s="15"/>
      <c r="M98" s="12"/>
      <c r="N98" s="15"/>
      <c r="O98" s="20"/>
      <c r="P98" s="21"/>
      <c r="Q98" s="21"/>
      <c r="R98" s="12"/>
      <c r="S98" s="12"/>
      <c r="T98" s="12"/>
      <c r="U98" s="12"/>
      <c r="V98" s="12"/>
      <c r="W98" s="12"/>
      <c r="Y98" s="3">
        <f>_xlfn.XLOOKUP(X98,'7月份计划'!A:A,'7月份计划'!A:A)</f>
        <v>0</v>
      </c>
    </row>
    <row r="99" spans="1:25">
      <c r="A99" s="8"/>
      <c r="B99" s="8"/>
      <c r="C99" s="8"/>
      <c r="D99" s="9"/>
      <c r="E99" s="8"/>
      <c r="F99" s="10"/>
      <c r="G99" s="10"/>
      <c r="H99" s="11"/>
      <c r="I99" s="8"/>
      <c r="J99" s="11"/>
      <c r="K99" s="8"/>
      <c r="L99" s="11"/>
      <c r="M99" s="8"/>
      <c r="N99" s="11"/>
      <c r="O99" s="18"/>
      <c r="P99" s="19"/>
      <c r="Q99" s="19"/>
      <c r="R99" s="8"/>
      <c r="S99" s="8"/>
      <c r="T99" s="8"/>
      <c r="U99" s="8"/>
      <c r="V99" s="8"/>
      <c r="W99" s="8"/>
      <c r="Y99" s="3">
        <f>_xlfn.XLOOKUP(X99,'7月份计划'!A:A,'7月份计划'!A:A)</f>
        <v>0</v>
      </c>
    </row>
    <row r="100" spans="1:25">
      <c r="A100" s="12"/>
      <c r="B100" s="12"/>
      <c r="C100" s="12"/>
      <c r="D100" s="13"/>
      <c r="E100" s="12"/>
      <c r="F100" s="14"/>
      <c r="G100" s="14"/>
      <c r="H100" s="15"/>
      <c r="I100" s="12"/>
      <c r="J100" s="15"/>
      <c r="K100" s="12"/>
      <c r="L100" s="15"/>
      <c r="M100" s="12"/>
      <c r="N100" s="15"/>
      <c r="O100" s="20"/>
      <c r="P100" s="21"/>
      <c r="Q100" s="21"/>
      <c r="R100" s="12"/>
      <c r="S100" s="12"/>
      <c r="T100" s="12"/>
      <c r="U100" s="12"/>
      <c r="V100" s="12"/>
      <c r="W100" s="12"/>
      <c r="Y100" s="3">
        <f>_xlfn.XLOOKUP(X100,'7月份计划'!A:A,'7月份计划'!A:A)</f>
        <v>0</v>
      </c>
    </row>
    <row r="101" spans="1:25">
      <c r="A101" s="8"/>
      <c r="B101" s="8"/>
      <c r="C101" s="8"/>
      <c r="D101" s="9"/>
      <c r="E101" s="8"/>
      <c r="F101" s="10"/>
      <c r="G101" s="10"/>
      <c r="H101" s="11"/>
      <c r="I101" s="8"/>
      <c r="J101" s="11"/>
      <c r="K101" s="8"/>
      <c r="L101" s="11"/>
      <c r="M101" s="8"/>
      <c r="N101" s="11"/>
      <c r="O101" s="18"/>
      <c r="P101" s="19"/>
      <c r="Q101" s="19"/>
      <c r="R101" s="8"/>
      <c r="S101" s="8"/>
      <c r="T101" s="8"/>
      <c r="U101" s="8"/>
      <c r="V101" s="8"/>
      <c r="W101" s="8"/>
      <c r="Y101" s="3">
        <f>_xlfn.XLOOKUP(X101,'7月份计划'!A:A,'7月份计划'!A:A)</f>
        <v>0</v>
      </c>
    </row>
    <row r="102" spans="1:25">
      <c r="A102" s="12"/>
      <c r="B102" s="12"/>
      <c r="C102" s="12"/>
      <c r="D102" s="13"/>
      <c r="E102" s="12"/>
      <c r="F102" s="14"/>
      <c r="G102" s="14"/>
      <c r="H102" s="15"/>
      <c r="I102" s="12"/>
      <c r="J102" s="15"/>
      <c r="K102" s="12"/>
      <c r="L102" s="15"/>
      <c r="M102" s="12"/>
      <c r="N102" s="15"/>
      <c r="O102" s="20"/>
      <c r="P102" s="21"/>
      <c r="Q102" s="21"/>
      <c r="R102" s="12"/>
      <c r="S102" s="12"/>
      <c r="T102" s="12"/>
      <c r="U102" s="12"/>
      <c r="V102" s="12"/>
      <c r="W102" s="12"/>
      <c r="Y102" s="3">
        <f>_xlfn.XLOOKUP(X102,'7月份计划'!A:A,'7月份计划'!A:A)</f>
        <v>0</v>
      </c>
    </row>
    <row r="103" spans="1:25">
      <c r="A103" s="8"/>
      <c r="B103" s="8"/>
      <c r="C103" s="8"/>
      <c r="D103" s="9"/>
      <c r="E103" s="8"/>
      <c r="F103" s="10"/>
      <c r="G103" s="10"/>
      <c r="H103" s="11"/>
      <c r="I103" s="8"/>
      <c r="J103" s="11"/>
      <c r="K103" s="8"/>
      <c r="L103" s="11"/>
      <c r="M103" s="8"/>
      <c r="N103" s="11"/>
      <c r="O103" s="18"/>
      <c r="P103" s="19"/>
      <c r="Q103" s="19"/>
      <c r="R103" s="8"/>
      <c r="S103" s="8"/>
      <c r="T103" s="8"/>
      <c r="U103" s="8"/>
      <c r="V103" s="8"/>
      <c r="W103" s="8"/>
      <c r="Y103" s="3">
        <f>_xlfn.XLOOKUP(X103,'7月份计划'!A:A,'7月份计划'!A:A)</f>
        <v>0</v>
      </c>
    </row>
    <row r="104" spans="1:25">
      <c r="A104" s="12"/>
      <c r="B104" s="12"/>
      <c r="C104" s="12"/>
      <c r="D104" s="13"/>
      <c r="E104" s="12"/>
      <c r="F104" s="14"/>
      <c r="G104" s="14"/>
      <c r="H104" s="15"/>
      <c r="I104" s="12"/>
      <c r="J104" s="15"/>
      <c r="K104" s="12"/>
      <c r="L104" s="15"/>
      <c r="M104" s="12"/>
      <c r="N104" s="15"/>
      <c r="O104" s="20"/>
      <c r="P104" s="21"/>
      <c r="Q104" s="21"/>
      <c r="R104" s="12"/>
      <c r="S104" s="12"/>
      <c r="T104" s="12"/>
      <c r="U104" s="12"/>
      <c r="V104" s="12"/>
      <c r="W104" s="12"/>
      <c r="Y104" s="3">
        <f>_xlfn.XLOOKUP(X104,'7月份计划'!A:A,'7月份计划'!A:A)</f>
        <v>0</v>
      </c>
    </row>
    <row r="105" spans="1:25">
      <c r="A105" s="8"/>
      <c r="B105" s="8"/>
      <c r="C105" s="8"/>
      <c r="D105" s="9"/>
      <c r="E105" s="8"/>
      <c r="F105" s="10"/>
      <c r="G105" s="10"/>
      <c r="H105" s="11"/>
      <c r="I105" s="8"/>
      <c r="J105" s="11"/>
      <c r="K105" s="8"/>
      <c r="L105" s="11"/>
      <c r="M105" s="8"/>
      <c r="N105" s="11"/>
      <c r="O105" s="18"/>
      <c r="P105" s="19"/>
      <c r="Q105" s="19"/>
      <c r="R105" s="8"/>
      <c r="S105" s="8"/>
      <c r="T105" s="8"/>
      <c r="U105" s="8"/>
      <c r="V105" s="8"/>
      <c r="W105" s="8"/>
      <c r="Y105" s="3">
        <f>_xlfn.XLOOKUP(X105,'7月份计划'!A:A,'7月份计划'!A:A)</f>
        <v>0</v>
      </c>
    </row>
    <row r="106" spans="1:25">
      <c r="A106" s="12"/>
      <c r="B106" s="12"/>
      <c r="C106" s="12"/>
      <c r="D106" s="13"/>
      <c r="E106" s="12"/>
      <c r="F106" s="14"/>
      <c r="G106" s="14"/>
      <c r="H106" s="15"/>
      <c r="I106" s="12"/>
      <c r="J106" s="15"/>
      <c r="K106" s="12"/>
      <c r="L106" s="15"/>
      <c r="M106" s="12"/>
      <c r="N106" s="15"/>
      <c r="O106" s="20"/>
      <c r="P106" s="21"/>
      <c r="Q106" s="21"/>
      <c r="R106" s="12"/>
      <c r="S106" s="12"/>
      <c r="T106" s="12"/>
      <c r="U106" s="12"/>
      <c r="V106" s="12"/>
      <c r="W106" s="12"/>
      <c r="Y106" s="3">
        <f>_xlfn.XLOOKUP(X106,'7月份计划'!A:A,'7月份计划'!A:A)</f>
        <v>0</v>
      </c>
    </row>
    <row r="107" spans="1:25">
      <c r="A107" s="8"/>
      <c r="B107" s="8"/>
      <c r="C107" s="8"/>
      <c r="D107" s="9"/>
      <c r="E107" s="8"/>
      <c r="F107" s="10"/>
      <c r="G107" s="10"/>
      <c r="H107" s="11"/>
      <c r="I107" s="8"/>
      <c r="J107" s="11"/>
      <c r="K107" s="8"/>
      <c r="L107" s="11"/>
      <c r="M107" s="8"/>
      <c r="N107" s="11"/>
      <c r="O107" s="18"/>
      <c r="P107" s="19"/>
      <c r="Q107" s="19"/>
      <c r="R107" s="8"/>
      <c r="S107" s="8"/>
      <c r="T107" s="8"/>
      <c r="U107" s="8"/>
      <c r="V107" s="8"/>
      <c r="W107" s="8"/>
      <c r="Y107" s="3">
        <f>_xlfn.XLOOKUP(X107,'7月份计划'!A:A,'7月份计划'!A:A)</f>
        <v>0</v>
      </c>
    </row>
    <row r="108" spans="1:25">
      <c r="A108" s="12"/>
      <c r="B108" s="12"/>
      <c r="C108" s="12"/>
      <c r="D108" s="13"/>
      <c r="E108" s="12"/>
      <c r="F108" s="14"/>
      <c r="G108" s="14"/>
      <c r="H108" s="15"/>
      <c r="I108" s="12"/>
      <c r="J108" s="15"/>
      <c r="K108" s="12"/>
      <c r="L108" s="15"/>
      <c r="M108" s="12"/>
      <c r="N108" s="15"/>
      <c r="O108" s="20"/>
      <c r="P108" s="21"/>
      <c r="Q108" s="21"/>
      <c r="R108" s="12"/>
      <c r="S108" s="12"/>
      <c r="T108" s="12"/>
      <c r="U108" s="12"/>
      <c r="V108" s="12"/>
      <c r="W108" s="12"/>
      <c r="Y108" s="3">
        <f>_xlfn.XLOOKUP(X108,'7月份计划'!A:A,'7月份计划'!A:A)</f>
        <v>0</v>
      </c>
    </row>
    <row r="109" spans="1:25">
      <c r="A109" s="8"/>
      <c r="B109" s="8"/>
      <c r="C109" s="8"/>
      <c r="D109" s="9"/>
      <c r="E109" s="8"/>
      <c r="F109" s="10"/>
      <c r="G109" s="10"/>
      <c r="H109" s="11"/>
      <c r="I109" s="8"/>
      <c r="J109" s="11"/>
      <c r="K109" s="8"/>
      <c r="L109" s="11"/>
      <c r="M109" s="8"/>
      <c r="N109" s="11"/>
      <c r="O109" s="18"/>
      <c r="P109" s="19"/>
      <c r="Q109" s="19"/>
      <c r="R109" s="8"/>
      <c r="S109" s="8"/>
      <c r="T109" s="8"/>
      <c r="U109" s="8"/>
      <c r="V109" s="8"/>
      <c r="W109" s="8"/>
      <c r="Y109" s="3">
        <f>_xlfn.XLOOKUP(X109,'7月份计划'!A:A,'7月份计划'!A:A)</f>
        <v>0</v>
      </c>
    </row>
    <row r="110" spans="1:25">
      <c r="A110" s="12"/>
      <c r="B110" s="12"/>
      <c r="C110" s="12"/>
      <c r="D110" s="13"/>
      <c r="E110" s="12"/>
      <c r="F110" s="14"/>
      <c r="G110" s="14"/>
      <c r="H110" s="15"/>
      <c r="I110" s="12"/>
      <c r="J110" s="15"/>
      <c r="K110" s="12"/>
      <c r="L110" s="15"/>
      <c r="M110" s="12"/>
      <c r="N110" s="15"/>
      <c r="O110" s="20"/>
      <c r="P110" s="21"/>
      <c r="Q110" s="21"/>
      <c r="R110" s="12"/>
      <c r="S110" s="12"/>
      <c r="T110" s="12"/>
      <c r="U110" s="12"/>
      <c r="V110" s="12"/>
      <c r="W110" s="12"/>
      <c r="Y110" s="3">
        <f>_xlfn.XLOOKUP(X110,'7月份计划'!A:A,'7月份计划'!A:A)</f>
        <v>0</v>
      </c>
    </row>
    <row r="111" spans="1:25">
      <c r="A111" s="8"/>
      <c r="B111" s="8"/>
      <c r="C111" s="8"/>
      <c r="D111" s="9"/>
      <c r="E111" s="8"/>
      <c r="F111" s="10"/>
      <c r="G111" s="10"/>
      <c r="H111" s="11"/>
      <c r="I111" s="8"/>
      <c r="J111" s="11"/>
      <c r="K111" s="8"/>
      <c r="L111" s="11"/>
      <c r="M111" s="8"/>
      <c r="N111" s="11"/>
      <c r="O111" s="18"/>
      <c r="P111" s="19"/>
      <c r="Q111" s="19"/>
      <c r="R111" s="8"/>
      <c r="S111" s="8"/>
      <c r="T111" s="8"/>
      <c r="U111" s="8"/>
      <c r="V111" s="8"/>
      <c r="W111" s="8"/>
      <c r="Y111" s="3">
        <f>_xlfn.XLOOKUP(X111,'7月份计划'!A:A,'7月份计划'!A:A)</f>
        <v>0</v>
      </c>
    </row>
    <row r="112" spans="1:25">
      <c r="A112" s="12"/>
      <c r="B112" s="12"/>
      <c r="C112" s="12"/>
      <c r="D112" s="13"/>
      <c r="E112" s="12"/>
      <c r="F112" s="14"/>
      <c r="G112" s="14"/>
      <c r="H112" s="15"/>
      <c r="I112" s="12"/>
      <c r="J112" s="15"/>
      <c r="K112" s="12"/>
      <c r="L112" s="15"/>
      <c r="M112" s="12"/>
      <c r="N112" s="15"/>
      <c r="O112" s="20"/>
      <c r="P112" s="21"/>
      <c r="Q112" s="21"/>
      <c r="R112" s="12"/>
      <c r="S112" s="12"/>
      <c r="T112" s="12"/>
      <c r="U112" s="12"/>
      <c r="V112" s="12"/>
      <c r="W112" s="12"/>
      <c r="Y112" s="3">
        <f>_xlfn.XLOOKUP(X112,'7月份计划'!A:A,'7月份计划'!A:A)</f>
        <v>0</v>
      </c>
    </row>
    <row r="113" spans="1:25">
      <c r="A113" s="8"/>
      <c r="B113" s="8"/>
      <c r="C113" s="8"/>
      <c r="D113" s="9"/>
      <c r="E113" s="8"/>
      <c r="F113" s="10"/>
      <c r="G113" s="10"/>
      <c r="H113" s="11"/>
      <c r="I113" s="8"/>
      <c r="J113" s="11"/>
      <c r="K113" s="8"/>
      <c r="L113" s="11"/>
      <c r="M113" s="8"/>
      <c r="N113" s="11"/>
      <c r="O113" s="18"/>
      <c r="P113" s="19"/>
      <c r="Q113" s="19"/>
      <c r="R113" s="8"/>
      <c r="S113" s="8"/>
      <c r="T113" s="8"/>
      <c r="U113" s="8"/>
      <c r="V113" s="8"/>
      <c r="W113" s="8"/>
      <c r="Y113" s="3">
        <f>_xlfn.XLOOKUP(X113,'7月份计划'!A:A,'7月份计划'!A:A)</f>
        <v>0</v>
      </c>
    </row>
    <row r="114" spans="1:25">
      <c r="A114" s="12"/>
      <c r="B114" s="12"/>
      <c r="C114" s="12"/>
      <c r="D114" s="13"/>
      <c r="E114" s="12"/>
      <c r="F114" s="14"/>
      <c r="G114" s="14"/>
      <c r="H114" s="15"/>
      <c r="I114" s="12"/>
      <c r="J114" s="15"/>
      <c r="K114" s="12"/>
      <c r="L114" s="15"/>
      <c r="M114" s="12"/>
      <c r="N114" s="15"/>
      <c r="O114" s="20"/>
      <c r="P114" s="21"/>
      <c r="Q114" s="21"/>
      <c r="R114" s="12"/>
      <c r="S114" s="12"/>
      <c r="T114" s="12"/>
      <c r="U114" s="12"/>
      <c r="V114" s="12"/>
      <c r="W114" s="12"/>
      <c r="Y114" s="3">
        <f>_xlfn.XLOOKUP(X114,'7月份计划'!A:A,'7月份计划'!A:A)</f>
        <v>0</v>
      </c>
    </row>
    <row r="115" spans="1:25">
      <c r="A115" s="8"/>
      <c r="B115" s="8"/>
      <c r="C115" s="8"/>
      <c r="D115" s="9"/>
      <c r="E115" s="8"/>
      <c r="F115" s="10"/>
      <c r="G115" s="10"/>
      <c r="H115" s="11"/>
      <c r="I115" s="8"/>
      <c r="J115" s="11"/>
      <c r="K115" s="8"/>
      <c r="L115" s="11"/>
      <c r="M115" s="8"/>
      <c r="N115" s="11"/>
      <c r="O115" s="18"/>
      <c r="P115" s="19"/>
      <c r="Q115" s="19"/>
      <c r="R115" s="8"/>
      <c r="S115" s="8"/>
      <c r="T115" s="8"/>
      <c r="U115" s="8"/>
      <c r="V115" s="8"/>
      <c r="W115" s="8"/>
      <c r="Y115" s="3">
        <f>_xlfn.XLOOKUP(X115,'7月份计划'!A:A,'7月份计划'!A:A)</f>
        <v>0</v>
      </c>
    </row>
    <row r="116" spans="1:25">
      <c r="A116" s="12"/>
      <c r="B116" s="12"/>
      <c r="C116" s="12"/>
      <c r="D116" s="13"/>
      <c r="E116" s="12"/>
      <c r="F116" s="14"/>
      <c r="G116" s="14"/>
      <c r="H116" s="15"/>
      <c r="I116" s="12"/>
      <c r="J116" s="15"/>
      <c r="K116" s="12"/>
      <c r="L116" s="15"/>
      <c r="M116" s="12"/>
      <c r="N116" s="15"/>
      <c r="O116" s="20"/>
      <c r="P116" s="21"/>
      <c r="Q116" s="21"/>
      <c r="R116" s="12"/>
      <c r="S116" s="12"/>
      <c r="T116" s="12"/>
      <c r="U116" s="12"/>
      <c r="V116" s="12"/>
      <c r="W116" s="12"/>
      <c r="Y116" s="3">
        <f>_xlfn.XLOOKUP(X116,'7月份计划'!A:A,'7月份计划'!A:A)</f>
        <v>0</v>
      </c>
    </row>
    <row r="117" spans="1:25">
      <c r="A117" s="8"/>
      <c r="B117" s="8"/>
      <c r="C117" s="8"/>
      <c r="D117" s="9"/>
      <c r="E117" s="8"/>
      <c r="F117" s="10"/>
      <c r="G117" s="10"/>
      <c r="H117" s="11"/>
      <c r="I117" s="8"/>
      <c r="J117" s="11"/>
      <c r="K117" s="8"/>
      <c r="L117" s="11"/>
      <c r="M117" s="8"/>
      <c r="N117" s="11"/>
      <c r="O117" s="18"/>
      <c r="P117" s="19"/>
      <c r="Q117" s="19"/>
      <c r="R117" s="8"/>
      <c r="S117" s="8"/>
      <c r="T117" s="8"/>
      <c r="U117" s="8"/>
      <c r="V117" s="8"/>
      <c r="W117" s="8"/>
      <c r="Y117" s="3">
        <f>_xlfn.XLOOKUP(X117,'7月份计划'!A:A,'7月份计划'!A:A)</f>
        <v>0</v>
      </c>
    </row>
    <row r="118" spans="1:25">
      <c r="A118" s="12"/>
      <c r="B118" s="12"/>
      <c r="C118" s="12"/>
      <c r="D118" s="13"/>
      <c r="E118" s="12"/>
      <c r="F118" s="14"/>
      <c r="G118" s="14"/>
      <c r="H118" s="15"/>
      <c r="I118" s="12"/>
      <c r="J118" s="15"/>
      <c r="K118" s="12"/>
      <c r="L118" s="15"/>
      <c r="M118" s="12"/>
      <c r="N118" s="15"/>
      <c r="O118" s="20"/>
      <c r="P118" s="21"/>
      <c r="Q118" s="21"/>
      <c r="R118" s="12"/>
      <c r="S118" s="12"/>
      <c r="T118" s="12"/>
      <c r="U118" s="12"/>
      <c r="V118" s="12"/>
      <c r="W118" s="12"/>
      <c r="Y118" s="3">
        <f>_xlfn.XLOOKUP(X118,'7月份计划'!A:A,'7月份计划'!A:A)</f>
        <v>0</v>
      </c>
    </row>
    <row r="119" spans="1:25">
      <c r="A119" s="8"/>
      <c r="B119" s="8"/>
      <c r="C119" s="8"/>
      <c r="D119" s="9"/>
      <c r="E119" s="8"/>
      <c r="F119" s="10"/>
      <c r="G119" s="10"/>
      <c r="H119" s="11"/>
      <c r="I119" s="8"/>
      <c r="J119" s="11"/>
      <c r="K119" s="8"/>
      <c r="L119" s="11"/>
      <c r="M119" s="8"/>
      <c r="N119" s="11"/>
      <c r="O119" s="18"/>
      <c r="P119" s="19"/>
      <c r="Q119" s="19"/>
      <c r="R119" s="8"/>
      <c r="S119" s="8"/>
      <c r="T119" s="8"/>
      <c r="U119" s="8"/>
      <c r="V119" s="8"/>
      <c r="W119" s="8"/>
      <c r="Y119" s="3">
        <f>_xlfn.XLOOKUP(X119,'7月份计划'!A:A,'7月份计划'!A:A)</f>
        <v>0</v>
      </c>
    </row>
    <row r="120" spans="1:25">
      <c r="A120" s="12"/>
      <c r="B120" s="12"/>
      <c r="C120" s="12"/>
      <c r="D120" s="13"/>
      <c r="E120" s="12"/>
      <c r="F120" s="14"/>
      <c r="G120" s="14"/>
      <c r="H120" s="15"/>
      <c r="I120" s="12"/>
      <c r="J120" s="15"/>
      <c r="K120" s="12"/>
      <c r="L120" s="15"/>
      <c r="M120" s="12"/>
      <c r="N120" s="15"/>
      <c r="O120" s="20"/>
      <c r="P120" s="21"/>
      <c r="Q120" s="21"/>
      <c r="R120" s="12"/>
      <c r="S120" s="12"/>
      <c r="T120" s="12"/>
      <c r="U120" s="12"/>
      <c r="V120" s="12"/>
      <c r="W120" s="12"/>
      <c r="Y120" s="3">
        <f>_xlfn.XLOOKUP(X120,'7月份计划'!A:A,'7月份计划'!A:A)</f>
        <v>0</v>
      </c>
    </row>
    <row r="121" spans="1:25">
      <c r="A121" s="8"/>
      <c r="B121" s="8"/>
      <c r="C121" s="8"/>
      <c r="D121" s="9"/>
      <c r="E121" s="8"/>
      <c r="F121" s="10"/>
      <c r="G121" s="10"/>
      <c r="H121" s="11"/>
      <c r="I121" s="8"/>
      <c r="J121" s="11"/>
      <c r="K121" s="8"/>
      <c r="L121" s="11"/>
      <c r="M121" s="8"/>
      <c r="N121" s="11"/>
      <c r="O121" s="18"/>
      <c r="P121" s="19"/>
      <c r="Q121" s="19"/>
      <c r="R121" s="8"/>
      <c r="S121" s="8"/>
      <c r="T121" s="8"/>
      <c r="U121" s="8"/>
      <c r="V121" s="8"/>
      <c r="W121" s="8"/>
      <c r="Y121" s="3">
        <f>_xlfn.XLOOKUP(X121,'7月份计划'!A:A,'7月份计划'!A:A)</f>
        <v>0</v>
      </c>
    </row>
    <row r="122" spans="1:25">
      <c r="A122" s="12"/>
      <c r="B122" s="12"/>
      <c r="C122" s="12"/>
      <c r="D122" s="13"/>
      <c r="E122" s="12"/>
      <c r="F122" s="14"/>
      <c r="G122" s="14"/>
      <c r="H122" s="15"/>
      <c r="I122" s="12"/>
      <c r="J122" s="15"/>
      <c r="K122" s="12"/>
      <c r="L122" s="15"/>
      <c r="M122" s="12"/>
      <c r="N122" s="15"/>
      <c r="O122" s="20"/>
      <c r="P122" s="21"/>
      <c r="Q122" s="21"/>
      <c r="R122" s="12"/>
      <c r="S122" s="12"/>
      <c r="T122" s="12"/>
      <c r="U122" s="12"/>
      <c r="V122" s="12"/>
      <c r="W122" s="12"/>
      <c r="Y122" s="3">
        <f>_xlfn.XLOOKUP(X122,'7月份计划'!A:A,'7月份计划'!A:A)</f>
        <v>0</v>
      </c>
    </row>
    <row r="123" spans="1:25">
      <c r="A123" s="8"/>
      <c r="B123" s="8"/>
      <c r="C123" s="8"/>
      <c r="D123" s="9"/>
      <c r="E123" s="8"/>
      <c r="F123" s="10"/>
      <c r="G123" s="10"/>
      <c r="H123" s="11"/>
      <c r="I123" s="8"/>
      <c r="J123" s="11"/>
      <c r="K123" s="8"/>
      <c r="L123" s="11"/>
      <c r="M123" s="8"/>
      <c r="N123" s="11"/>
      <c r="O123" s="18"/>
      <c r="P123" s="19"/>
      <c r="Q123" s="19"/>
      <c r="R123" s="8"/>
      <c r="S123" s="8"/>
      <c r="T123" s="8"/>
      <c r="U123" s="8"/>
      <c r="V123" s="8"/>
      <c r="W123" s="8"/>
      <c r="Y123" s="3">
        <f>_xlfn.XLOOKUP(X123,'7月份计划'!A:A,'7月份计划'!A:A)</f>
        <v>0</v>
      </c>
    </row>
    <row r="124" spans="1:25">
      <c r="A124" s="12"/>
      <c r="B124" s="12"/>
      <c r="C124" s="12"/>
      <c r="D124" s="13"/>
      <c r="E124" s="12"/>
      <c r="F124" s="14"/>
      <c r="G124" s="14"/>
      <c r="H124" s="15"/>
      <c r="I124" s="12"/>
      <c r="J124" s="15"/>
      <c r="K124" s="12"/>
      <c r="L124" s="15"/>
      <c r="M124" s="12"/>
      <c r="N124" s="15"/>
      <c r="O124" s="20"/>
      <c r="P124" s="21"/>
      <c r="Q124" s="21"/>
      <c r="R124" s="12"/>
      <c r="S124" s="12"/>
      <c r="T124" s="12"/>
      <c r="U124" s="12"/>
      <c r="V124" s="12"/>
      <c r="W124" s="12"/>
      <c r="Y124" s="3">
        <f>_xlfn.XLOOKUP(X124,'7月份计划'!A:A,'7月份计划'!A:A)</f>
        <v>0</v>
      </c>
    </row>
    <row r="125" spans="1:25">
      <c r="A125" s="8"/>
      <c r="B125" s="8"/>
      <c r="C125" s="8"/>
      <c r="D125" s="9"/>
      <c r="E125" s="8"/>
      <c r="F125" s="10"/>
      <c r="G125" s="10"/>
      <c r="H125" s="11"/>
      <c r="I125" s="8"/>
      <c r="J125" s="11"/>
      <c r="K125" s="8"/>
      <c r="L125" s="11"/>
      <c r="M125" s="8"/>
      <c r="N125" s="11"/>
      <c r="O125" s="18"/>
      <c r="P125" s="19"/>
      <c r="Q125" s="19"/>
      <c r="R125" s="8"/>
      <c r="S125" s="8"/>
      <c r="T125" s="8"/>
      <c r="U125" s="8"/>
      <c r="V125" s="8"/>
      <c r="W125" s="8"/>
      <c r="Y125" s="3">
        <f>_xlfn.XLOOKUP(X125,'7月份计划'!A:A,'7月份计划'!A:A)</f>
        <v>0</v>
      </c>
    </row>
    <row r="126" spans="1:25">
      <c r="A126" s="12"/>
      <c r="B126" s="12"/>
      <c r="C126" s="12"/>
      <c r="D126" s="13"/>
      <c r="E126" s="12"/>
      <c r="F126" s="14"/>
      <c r="G126" s="14"/>
      <c r="H126" s="15"/>
      <c r="I126" s="12"/>
      <c r="J126" s="15"/>
      <c r="K126" s="12"/>
      <c r="L126" s="15"/>
      <c r="M126" s="12"/>
      <c r="N126" s="15"/>
      <c r="O126" s="20"/>
      <c r="P126" s="21"/>
      <c r="Q126" s="21"/>
      <c r="R126" s="12"/>
      <c r="S126" s="12"/>
      <c r="T126" s="12"/>
      <c r="U126" s="12"/>
      <c r="V126" s="12"/>
      <c r="W126" s="12"/>
      <c r="Y126" s="3">
        <f>_xlfn.XLOOKUP(X126,'7月份计划'!A:A,'7月份计划'!A:A)</f>
        <v>0</v>
      </c>
    </row>
    <row r="127" spans="1:25">
      <c r="A127" s="8"/>
      <c r="B127" s="8"/>
      <c r="C127" s="8"/>
      <c r="D127" s="9"/>
      <c r="E127" s="8"/>
      <c r="F127" s="10"/>
      <c r="G127" s="10"/>
      <c r="H127" s="11"/>
      <c r="I127" s="8"/>
      <c r="J127" s="11"/>
      <c r="K127" s="8"/>
      <c r="L127" s="11"/>
      <c r="M127" s="8"/>
      <c r="N127" s="11"/>
      <c r="O127" s="18"/>
      <c r="P127" s="19"/>
      <c r="Q127" s="19"/>
      <c r="R127" s="8"/>
      <c r="S127" s="8"/>
      <c r="T127" s="8"/>
      <c r="U127" s="8"/>
      <c r="V127" s="8"/>
      <c r="W127" s="8"/>
      <c r="Y127" s="3">
        <f>_xlfn.XLOOKUP(X127,'7月份计划'!A:A,'7月份计划'!A:A)</f>
        <v>0</v>
      </c>
    </row>
    <row r="128" spans="1:25">
      <c r="A128" s="12"/>
      <c r="B128" s="12"/>
      <c r="C128" s="12"/>
      <c r="D128" s="13"/>
      <c r="E128" s="12"/>
      <c r="F128" s="14"/>
      <c r="G128" s="14"/>
      <c r="H128" s="15"/>
      <c r="I128" s="12"/>
      <c r="J128" s="15"/>
      <c r="K128" s="12"/>
      <c r="L128" s="15"/>
      <c r="M128" s="12"/>
      <c r="N128" s="15"/>
      <c r="O128" s="20"/>
      <c r="P128" s="21"/>
      <c r="Q128" s="21"/>
      <c r="R128" s="12"/>
      <c r="S128" s="12"/>
      <c r="T128" s="12"/>
      <c r="U128" s="12"/>
      <c r="V128" s="12"/>
      <c r="W128" s="12"/>
      <c r="Y128" s="3">
        <f>_xlfn.XLOOKUP(X128,'7月份计划'!A:A,'7月份计划'!A:A)</f>
        <v>0</v>
      </c>
    </row>
    <row r="129" spans="1:25">
      <c r="A129" s="8"/>
      <c r="B129" s="8"/>
      <c r="C129" s="8"/>
      <c r="D129" s="9"/>
      <c r="E129" s="8"/>
      <c r="F129" s="10"/>
      <c r="G129" s="10"/>
      <c r="H129" s="11"/>
      <c r="I129" s="8"/>
      <c r="J129" s="11"/>
      <c r="K129" s="8"/>
      <c r="L129" s="11"/>
      <c r="M129" s="8"/>
      <c r="N129" s="11"/>
      <c r="O129" s="18"/>
      <c r="P129" s="19"/>
      <c r="Q129" s="19"/>
      <c r="R129" s="8"/>
      <c r="S129" s="8"/>
      <c r="T129" s="8"/>
      <c r="U129" s="8"/>
      <c r="V129" s="8"/>
      <c r="W129" s="8"/>
      <c r="Y129" s="3">
        <f>_xlfn.XLOOKUP(X129,'7月份计划'!A:A,'7月份计划'!A:A)</f>
        <v>0</v>
      </c>
    </row>
    <row r="130" spans="1:25">
      <c r="A130" s="12"/>
      <c r="B130" s="12"/>
      <c r="C130" s="12"/>
      <c r="D130" s="13"/>
      <c r="E130" s="12"/>
      <c r="F130" s="14"/>
      <c r="G130" s="14"/>
      <c r="H130" s="15"/>
      <c r="I130" s="12"/>
      <c r="J130" s="15"/>
      <c r="K130" s="12"/>
      <c r="L130" s="15"/>
      <c r="M130" s="12"/>
      <c r="N130" s="15"/>
      <c r="O130" s="20"/>
      <c r="P130" s="21"/>
      <c r="Q130" s="21"/>
      <c r="R130" s="12"/>
      <c r="S130" s="12"/>
      <c r="T130" s="12"/>
      <c r="U130" s="12"/>
      <c r="V130" s="12"/>
      <c r="W130" s="12"/>
      <c r="Y130" s="3">
        <f>_xlfn.XLOOKUP(X130,'7月份计划'!A:A,'7月份计划'!A:A)</f>
        <v>0</v>
      </c>
    </row>
    <row r="131" spans="1:25">
      <c r="A131" s="8"/>
      <c r="B131" s="8"/>
      <c r="C131" s="8"/>
      <c r="D131" s="9"/>
      <c r="E131" s="8"/>
      <c r="F131" s="10"/>
      <c r="G131" s="10"/>
      <c r="H131" s="11"/>
      <c r="I131" s="8"/>
      <c r="J131" s="11"/>
      <c r="K131" s="8"/>
      <c r="L131" s="11"/>
      <c r="M131" s="8"/>
      <c r="N131" s="11"/>
      <c r="O131" s="18"/>
      <c r="P131" s="19"/>
      <c r="Q131" s="19"/>
      <c r="R131" s="8"/>
      <c r="S131" s="8"/>
      <c r="T131" s="8"/>
      <c r="U131" s="8"/>
      <c r="V131" s="8"/>
      <c r="W131" s="8"/>
      <c r="Y131" s="3">
        <f>_xlfn.XLOOKUP(X131,'7月份计划'!A:A,'7月份计划'!A:A)</f>
        <v>0</v>
      </c>
    </row>
    <row r="132" spans="1:25">
      <c r="A132" s="12"/>
      <c r="B132" s="12"/>
      <c r="C132" s="12"/>
      <c r="D132" s="13"/>
      <c r="E132" s="12"/>
      <c r="F132" s="14"/>
      <c r="G132" s="14"/>
      <c r="H132" s="15"/>
      <c r="I132" s="12"/>
      <c r="J132" s="15"/>
      <c r="K132" s="12"/>
      <c r="L132" s="15"/>
      <c r="M132" s="12"/>
      <c r="N132" s="15"/>
      <c r="O132" s="20"/>
      <c r="P132" s="21"/>
      <c r="Q132" s="21"/>
      <c r="R132" s="12"/>
      <c r="S132" s="12"/>
      <c r="T132" s="12"/>
      <c r="U132" s="12"/>
      <c r="V132" s="12"/>
      <c r="W132" s="12"/>
      <c r="Y132" s="3">
        <f>_xlfn.XLOOKUP(X132,'7月份计划'!A:A,'7月份计划'!A:A)</f>
        <v>0</v>
      </c>
    </row>
    <row r="133" spans="1:25">
      <c r="A133" s="8"/>
      <c r="B133" s="8"/>
      <c r="C133" s="8"/>
      <c r="D133" s="9"/>
      <c r="E133" s="8"/>
      <c r="F133" s="10"/>
      <c r="G133" s="10"/>
      <c r="H133" s="11"/>
      <c r="I133" s="8"/>
      <c r="J133" s="11"/>
      <c r="K133" s="8"/>
      <c r="L133" s="11"/>
      <c r="M133" s="8"/>
      <c r="N133" s="11"/>
      <c r="O133" s="18"/>
      <c r="P133" s="19"/>
      <c r="Q133" s="19"/>
      <c r="R133" s="8"/>
      <c r="S133" s="8"/>
      <c r="T133" s="8"/>
      <c r="U133" s="8"/>
      <c r="V133" s="8"/>
      <c r="W133" s="8"/>
      <c r="Y133" s="3">
        <f>_xlfn.XLOOKUP(X133,'7月份计划'!A:A,'7月份计划'!A:A)</f>
        <v>0</v>
      </c>
    </row>
    <row r="134" spans="1:25">
      <c r="A134" s="12"/>
      <c r="B134" s="12"/>
      <c r="C134" s="12"/>
      <c r="D134" s="13"/>
      <c r="E134" s="12"/>
      <c r="F134" s="14"/>
      <c r="G134" s="14"/>
      <c r="H134" s="15"/>
      <c r="I134" s="12"/>
      <c r="J134" s="15"/>
      <c r="K134" s="12"/>
      <c r="L134" s="15"/>
      <c r="M134" s="12"/>
      <c r="N134" s="15"/>
      <c r="O134" s="20"/>
      <c r="P134" s="21"/>
      <c r="Q134" s="21"/>
      <c r="R134" s="12"/>
      <c r="S134" s="12"/>
      <c r="T134" s="12"/>
      <c r="U134" s="12"/>
      <c r="V134" s="12"/>
      <c r="W134" s="12"/>
      <c r="Y134" s="3">
        <f>_xlfn.XLOOKUP(X134,'7月份计划'!A:A,'7月份计划'!A:A)</f>
        <v>0</v>
      </c>
    </row>
    <row r="135" spans="1:25">
      <c r="A135" s="8"/>
      <c r="B135" s="8"/>
      <c r="C135" s="8"/>
      <c r="D135" s="9"/>
      <c r="E135" s="8"/>
      <c r="F135" s="10"/>
      <c r="G135" s="10"/>
      <c r="H135" s="11"/>
      <c r="I135" s="8"/>
      <c r="J135" s="11"/>
      <c r="K135" s="8"/>
      <c r="L135" s="11"/>
      <c r="M135" s="8"/>
      <c r="N135" s="11"/>
      <c r="O135" s="18"/>
      <c r="P135" s="19"/>
      <c r="Q135" s="19"/>
      <c r="R135" s="8"/>
      <c r="S135" s="8"/>
      <c r="T135" s="8"/>
      <c r="U135" s="8"/>
      <c r="V135" s="8"/>
      <c r="W135" s="8"/>
      <c r="Y135" s="3">
        <f>_xlfn.XLOOKUP(X135,'7月份计划'!A:A,'7月份计划'!A:A)</f>
        <v>0</v>
      </c>
    </row>
    <row r="136" spans="1:25">
      <c r="A136" s="12"/>
      <c r="B136" s="12"/>
      <c r="C136" s="12"/>
      <c r="D136" s="13"/>
      <c r="E136" s="12"/>
      <c r="F136" s="14"/>
      <c r="G136" s="14"/>
      <c r="H136" s="15"/>
      <c r="I136" s="12"/>
      <c r="J136" s="15"/>
      <c r="K136" s="12"/>
      <c r="L136" s="15"/>
      <c r="M136" s="12"/>
      <c r="N136" s="15"/>
      <c r="O136" s="20"/>
      <c r="P136" s="21"/>
      <c r="Q136" s="21"/>
      <c r="R136" s="12"/>
      <c r="S136" s="12"/>
      <c r="T136" s="12"/>
      <c r="U136" s="12"/>
      <c r="V136" s="12"/>
      <c r="W136" s="12"/>
      <c r="Y136" s="3">
        <f>_xlfn.XLOOKUP(X136,'7月份计划'!A:A,'7月份计划'!A:A)</f>
        <v>0</v>
      </c>
    </row>
    <row r="137" spans="1:25">
      <c r="A137" s="8"/>
      <c r="B137" s="8"/>
      <c r="C137" s="8"/>
      <c r="D137" s="9"/>
      <c r="E137" s="8"/>
      <c r="F137" s="10"/>
      <c r="G137" s="10"/>
      <c r="H137" s="11"/>
      <c r="I137" s="8"/>
      <c r="J137" s="11"/>
      <c r="K137" s="8"/>
      <c r="L137" s="11"/>
      <c r="M137" s="8"/>
      <c r="N137" s="11"/>
      <c r="O137" s="18"/>
      <c r="P137" s="19"/>
      <c r="Q137" s="19"/>
      <c r="R137" s="8"/>
      <c r="S137" s="8"/>
      <c r="T137" s="8"/>
      <c r="U137" s="8"/>
      <c r="V137" s="8"/>
      <c r="W137" s="8"/>
      <c r="Y137" s="3">
        <f>_xlfn.XLOOKUP(X137,'7月份计划'!A:A,'7月份计划'!A:A)</f>
        <v>0</v>
      </c>
    </row>
    <row r="138" spans="1:25">
      <c r="A138" s="12"/>
      <c r="B138" s="12"/>
      <c r="C138" s="12"/>
      <c r="D138" s="13"/>
      <c r="E138" s="12"/>
      <c r="F138" s="14"/>
      <c r="G138" s="14"/>
      <c r="H138" s="15"/>
      <c r="I138" s="12"/>
      <c r="J138" s="15"/>
      <c r="K138" s="12"/>
      <c r="L138" s="15"/>
      <c r="M138" s="12"/>
      <c r="N138" s="15"/>
      <c r="O138" s="20"/>
      <c r="P138" s="21"/>
      <c r="Q138" s="21"/>
      <c r="R138" s="12"/>
      <c r="S138" s="12"/>
      <c r="T138" s="12"/>
      <c r="U138" s="12"/>
      <c r="V138" s="12"/>
      <c r="W138" s="12"/>
      <c r="Y138" s="3">
        <f>_xlfn.XLOOKUP(X138,'7月份计划'!A:A,'7月份计划'!A:A)</f>
        <v>0</v>
      </c>
    </row>
    <row r="139" spans="1:25">
      <c r="A139" s="8"/>
      <c r="B139" s="8"/>
      <c r="C139" s="8"/>
      <c r="D139" s="9"/>
      <c r="E139" s="8"/>
      <c r="F139" s="10"/>
      <c r="G139" s="10"/>
      <c r="H139" s="11"/>
      <c r="I139" s="8"/>
      <c r="J139" s="11"/>
      <c r="K139" s="8"/>
      <c r="L139" s="11"/>
      <c r="M139" s="8"/>
      <c r="N139" s="11"/>
      <c r="O139" s="18"/>
      <c r="P139" s="19"/>
      <c r="Q139" s="19"/>
      <c r="R139" s="8"/>
      <c r="S139" s="8"/>
      <c r="T139" s="8"/>
      <c r="U139" s="8"/>
      <c r="V139" s="8"/>
      <c r="W139" s="8"/>
      <c r="Y139" s="3">
        <f>_xlfn.XLOOKUP(X139,'7月份计划'!A:A,'7月份计划'!A:A)</f>
        <v>0</v>
      </c>
    </row>
    <row r="140" spans="1:25">
      <c r="A140" s="12"/>
      <c r="B140" s="12"/>
      <c r="C140" s="12"/>
      <c r="D140" s="13"/>
      <c r="E140" s="12"/>
      <c r="F140" s="14"/>
      <c r="G140" s="14"/>
      <c r="H140" s="15"/>
      <c r="I140" s="12"/>
      <c r="J140" s="15"/>
      <c r="K140" s="12"/>
      <c r="L140" s="15"/>
      <c r="M140" s="12"/>
      <c r="N140" s="15"/>
      <c r="O140" s="20"/>
      <c r="P140" s="21"/>
      <c r="Q140" s="21"/>
      <c r="R140" s="12"/>
      <c r="S140" s="12"/>
      <c r="T140" s="12"/>
      <c r="U140" s="12"/>
      <c r="V140" s="12"/>
      <c r="W140" s="12"/>
      <c r="Y140" s="3">
        <f>_xlfn.XLOOKUP(X140,'7月份计划'!A:A,'7月份计划'!A:A)</f>
        <v>0</v>
      </c>
    </row>
    <row r="141" spans="1:25">
      <c r="A141" s="8"/>
      <c r="B141" s="8"/>
      <c r="C141" s="8"/>
      <c r="D141" s="9"/>
      <c r="E141" s="8"/>
      <c r="F141" s="10"/>
      <c r="G141" s="10"/>
      <c r="H141" s="11"/>
      <c r="I141" s="8"/>
      <c r="J141" s="11"/>
      <c r="K141" s="8"/>
      <c r="L141" s="11"/>
      <c r="M141" s="8"/>
      <c r="N141" s="11"/>
      <c r="O141" s="18"/>
      <c r="P141" s="19"/>
      <c r="Q141" s="19"/>
      <c r="R141" s="8"/>
      <c r="S141" s="8"/>
      <c r="T141" s="8"/>
      <c r="U141" s="8"/>
      <c r="V141" s="8"/>
      <c r="W141" s="8"/>
      <c r="Y141" s="3">
        <f>_xlfn.XLOOKUP(X141,'7月份计划'!A:A,'7月份计划'!A:A)</f>
        <v>0</v>
      </c>
    </row>
    <row r="142" spans="1:25">
      <c r="A142" s="12"/>
      <c r="B142" s="12"/>
      <c r="C142" s="12"/>
      <c r="D142" s="13"/>
      <c r="E142" s="12"/>
      <c r="F142" s="14"/>
      <c r="G142" s="14"/>
      <c r="H142" s="15"/>
      <c r="I142" s="12"/>
      <c r="J142" s="15"/>
      <c r="K142" s="12"/>
      <c r="L142" s="15"/>
      <c r="M142" s="12"/>
      <c r="N142" s="15"/>
      <c r="O142" s="20"/>
      <c r="P142" s="21"/>
      <c r="Q142" s="21"/>
      <c r="R142" s="12"/>
      <c r="S142" s="12"/>
      <c r="T142" s="12"/>
      <c r="U142" s="12"/>
      <c r="V142" s="12"/>
      <c r="W142" s="12"/>
      <c r="Y142" s="3">
        <f>_xlfn.XLOOKUP(X142,'7月份计划'!A:A,'7月份计划'!A:A)</f>
        <v>0</v>
      </c>
    </row>
    <row r="143" spans="1:25">
      <c r="A143" s="8"/>
      <c r="B143" s="8"/>
      <c r="C143" s="8"/>
      <c r="D143" s="9"/>
      <c r="E143" s="8"/>
      <c r="F143" s="10"/>
      <c r="G143" s="10"/>
      <c r="H143" s="11"/>
      <c r="I143" s="8"/>
      <c r="J143" s="11"/>
      <c r="K143" s="8"/>
      <c r="L143" s="11"/>
      <c r="M143" s="8"/>
      <c r="N143" s="11"/>
      <c r="O143" s="18"/>
      <c r="P143" s="19"/>
      <c r="Q143" s="19"/>
      <c r="R143" s="8"/>
      <c r="S143" s="8"/>
      <c r="T143" s="8"/>
      <c r="U143" s="8"/>
      <c r="V143" s="8"/>
      <c r="W143" s="8"/>
      <c r="Y143" s="3">
        <f>_xlfn.XLOOKUP(X143,'7月份计划'!A:A,'7月份计划'!A:A)</f>
        <v>0</v>
      </c>
    </row>
    <row r="144" spans="1:25">
      <c r="A144" s="12"/>
      <c r="B144" s="12"/>
      <c r="C144" s="12"/>
      <c r="D144" s="13"/>
      <c r="E144" s="12"/>
      <c r="F144" s="14"/>
      <c r="G144" s="14"/>
      <c r="H144" s="15"/>
      <c r="I144" s="12"/>
      <c r="J144" s="15"/>
      <c r="K144" s="12"/>
      <c r="L144" s="15"/>
      <c r="M144" s="12"/>
      <c r="N144" s="15"/>
      <c r="O144" s="20"/>
      <c r="P144" s="21"/>
      <c r="Q144" s="21"/>
      <c r="R144" s="12"/>
      <c r="S144" s="12"/>
      <c r="T144" s="12"/>
      <c r="U144" s="12"/>
      <c r="V144" s="12"/>
      <c r="W144" s="12"/>
      <c r="Y144" s="3">
        <f>_xlfn.XLOOKUP(X144,'7月份计划'!A:A,'7月份计划'!A:A)</f>
        <v>0</v>
      </c>
    </row>
    <row r="145" spans="1:25">
      <c r="A145" s="8"/>
      <c r="B145" s="8"/>
      <c r="C145" s="8"/>
      <c r="D145" s="9"/>
      <c r="E145" s="8"/>
      <c r="F145" s="10"/>
      <c r="G145" s="10"/>
      <c r="H145" s="11"/>
      <c r="I145" s="8"/>
      <c r="J145" s="11"/>
      <c r="K145" s="8"/>
      <c r="L145" s="11"/>
      <c r="M145" s="8"/>
      <c r="N145" s="11"/>
      <c r="O145" s="18"/>
      <c r="P145" s="19"/>
      <c r="Q145" s="19"/>
      <c r="R145" s="8"/>
      <c r="S145" s="8"/>
      <c r="T145" s="8"/>
      <c r="U145" s="8"/>
      <c r="V145" s="8"/>
      <c r="W145" s="8"/>
      <c r="Y145" s="3">
        <f>_xlfn.XLOOKUP(X145,'7月份计划'!A:A,'7月份计划'!A:A)</f>
        <v>0</v>
      </c>
    </row>
    <row r="146" spans="1:25">
      <c r="A146" s="12"/>
      <c r="B146" s="12"/>
      <c r="C146" s="12"/>
      <c r="D146" s="13"/>
      <c r="E146" s="12"/>
      <c r="F146" s="14"/>
      <c r="G146" s="14"/>
      <c r="H146" s="15"/>
      <c r="I146" s="12"/>
      <c r="J146" s="15"/>
      <c r="K146" s="12"/>
      <c r="L146" s="15"/>
      <c r="M146" s="12"/>
      <c r="N146" s="15"/>
      <c r="O146" s="20"/>
      <c r="P146" s="21"/>
      <c r="Q146" s="21"/>
      <c r="R146" s="12"/>
      <c r="S146" s="12"/>
      <c r="T146" s="12"/>
      <c r="U146" s="12"/>
      <c r="V146" s="12"/>
      <c r="W146" s="12"/>
      <c r="Y146" s="3">
        <f>_xlfn.XLOOKUP(X146,'7月份计划'!A:A,'7月份计划'!A:A)</f>
        <v>0</v>
      </c>
    </row>
    <row r="147" spans="1:25">
      <c r="A147" s="8"/>
      <c r="B147" s="8"/>
      <c r="C147" s="8"/>
      <c r="D147" s="9"/>
      <c r="E147" s="8"/>
      <c r="F147" s="10"/>
      <c r="G147" s="10"/>
      <c r="H147" s="11"/>
      <c r="I147" s="8"/>
      <c r="J147" s="11"/>
      <c r="K147" s="8"/>
      <c r="L147" s="11"/>
      <c r="M147" s="8"/>
      <c r="N147" s="11"/>
      <c r="O147" s="18"/>
      <c r="P147" s="19"/>
      <c r="Q147" s="19"/>
      <c r="R147" s="8"/>
      <c r="S147" s="8"/>
      <c r="T147" s="8"/>
      <c r="U147" s="8"/>
      <c r="V147" s="8"/>
      <c r="W147" s="8"/>
      <c r="Y147" s="3">
        <f>_xlfn.XLOOKUP(X147,'7月份计划'!A:A,'7月份计划'!A:A)</f>
        <v>0</v>
      </c>
    </row>
    <row r="148" spans="1:25">
      <c r="A148" s="12"/>
      <c r="B148" s="12"/>
      <c r="C148" s="12"/>
      <c r="D148" s="13"/>
      <c r="E148" s="12"/>
      <c r="F148" s="14"/>
      <c r="G148" s="14"/>
      <c r="H148" s="15"/>
      <c r="I148" s="12"/>
      <c r="J148" s="15"/>
      <c r="K148" s="12"/>
      <c r="L148" s="15"/>
      <c r="M148" s="12"/>
      <c r="N148" s="15"/>
      <c r="O148" s="20"/>
      <c r="P148" s="21"/>
      <c r="Q148" s="21"/>
      <c r="R148" s="12"/>
      <c r="S148" s="12"/>
      <c r="T148" s="12"/>
      <c r="U148" s="12"/>
      <c r="V148" s="12"/>
      <c r="W148" s="12"/>
      <c r="Y148" s="3">
        <f>_xlfn.XLOOKUP(X148,'7月份计划'!A:A,'7月份计划'!A:A)</f>
        <v>0</v>
      </c>
    </row>
    <row r="149" spans="1:25">
      <c r="A149" s="8"/>
      <c r="B149" s="8"/>
      <c r="C149" s="8"/>
      <c r="D149" s="9"/>
      <c r="E149" s="8"/>
      <c r="F149" s="10"/>
      <c r="G149" s="10"/>
      <c r="H149" s="11"/>
      <c r="I149" s="8"/>
      <c r="J149" s="11"/>
      <c r="K149" s="8"/>
      <c r="L149" s="11"/>
      <c r="M149" s="8"/>
      <c r="N149" s="11"/>
      <c r="O149" s="18"/>
      <c r="P149" s="19"/>
      <c r="Q149" s="19"/>
      <c r="R149" s="8"/>
      <c r="S149" s="8"/>
      <c r="T149" s="8"/>
      <c r="U149" s="8"/>
      <c r="V149" s="8"/>
      <c r="W149" s="8"/>
      <c r="Y149" s="3">
        <f>_xlfn.XLOOKUP(X149,'7月份计划'!A:A,'7月份计划'!A:A)</f>
        <v>0</v>
      </c>
    </row>
    <row r="150" spans="1:25">
      <c r="A150" s="12"/>
      <c r="B150" s="12"/>
      <c r="C150" s="12"/>
      <c r="D150" s="13"/>
      <c r="E150" s="12"/>
      <c r="F150" s="14"/>
      <c r="G150" s="14"/>
      <c r="H150" s="15"/>
      <c r="I150" s="12"/>
      <c r="J150" s="15"/>
      <c r="K150" s="12"/>
      <c r="L150" s="15"/>
      <c r="M150" s="12"/>
      <c r="N150" s="15"/>
      <c r="O150" s="20"/>
      <c r="P150" s="21"/>
      <c r="Q150" s="21"/>
      <c r="R150" s="12"/>
      <c r="S150" s="12"/>
      <c r="T150" s="12"/>
      <c r="U150" s="12"/>
      <c r="V150" s="12"/>
      <c r="W150" s="12"/>
      <c r="Y150" s="3">
        <f>_xlfn.XLOOKUP(X150,'7月份计划'!A:A,'7月份计划'!A:A)</f>
        <v>0</v>
      </c>
    </row>
    <row r="151" spans="1:25">
      <c r="A151" s="8"/>
      <c r="B151" s="8"/>
      <c r="C151" s="8"/>
      <c r="D151" s="9"/>
      <c r="E151" s="8"/>
      <c r="F151" s="10"/>
      <c r="G151" s="10"/>
      <c r="H151" s="11"/>
      <c r="I151" s="8"/>
      <c r="J151" s="11"/>
      <c r="K151" s="8"/>
      <c r="L151" s="11"/>
      <c r="M151" s="8"/>
      <c r="N151" s="11"/>
      <c r="O151" s="18"/>
      <c r="P151" s="19"/>
      <c r="Q151" s="19"/>
      <c r="R151" s="8"/>
      <c r="S151" s="8"/>
      <c r="T151" s="8"/>
      <c r="U151" s="8"/>
      <c r="V151" s="8"/>
      <c r="W151" s="8"/>
      <c r="Y151" s="3">
        <f>_xlfn.XLOOKUP(X151,'7月份计划'!A:A,'7月份计划'!A:A)</f>
        <v>0</v>
      </c>
    </row>
    <row r="152" spans="1:23">
      <c r="A152" s="12"/>
      <c r="B152" s="12"/>
      <c r="C152" s="12"/>
      <c r="D152" s="13"/>
      <c r="E152" s="12"/>
      <c r="F152" s="14"/>
      <c r="G152" s="14"/>
      <c r="H152" s="15"/>
      <c r="I152" s="12"/>
      <c r="J152" s="15"/>
      <c r="K152" s="12"/>
      <c r="L152" s="15"/>
      <c r="M152" s="12"/>
      <c r="N152" s="15"/>
      <c r="O152" s="20"/>
      <c r="P152" s="21"/>
      <c r="Q152" s="21"/>
      <c r="R152" s="12"/>
      <c r="S152" s="12"/>
      <c r="T152" s="12"/>
      <c r="U152" s="12"/>
      <c r="V152" s="12"/>
      <c r="W152" s="12"/>
    </row>
    <row r="153" spans="1:23">
      <c r="A153" s="8"/>
      <c r="B153" s="8"/>
      <c r="C153" s="8"/>
      <c r="D153" s="9"/>
      <c r="E153" s="8"/>
      <c r="F153" s="10"/>
      <c r="G153" s="10"/>
      <c r="H153" s="11"/>
      <c r="I153" s="8"/>
      <c r="J153" s="11"/>
      <c r="K153" s="8"/>
      <c r="L153" s="11"/>
      <c r="M153" s="8"/>
      <c r="N153" s="11"/>
      <c r="O153" s="18"/>
      <c r="P153" s="19"/>
      <c r="Q153" s="19"/>
      <c r="R153" s="8"/>
      <c r="S153" s="8"/>
      <c r="T153" s="8"/>
      <c r="U153" s="8"/>
      <c r="V153" s="8"/>
      <c r="W153" s="8"/>
    </row>
    <row r="154" spans="1:23">
      <c r="A154" s="12"/>
      <c r="B154" s="12"/>
      <c r="C154" s="12"/>
      <c r="D154" s="13"/>
      <c r="E154" s="12"/>
      <c r="F154" s="14"/>
      <c r="G154" s="14"/>
      <c r="H154" s="15"/>
      <c r="I154" s="12"/>
      <c r="J154" s="15"/>
      <c r="K154" s="12"/>
      <c r="L154" s="15"/>
      <c r="M154" s="12"/>
      <c r="N154" s="15"/>
      <c r="O154" s="20"/>
      <c r="P154" s="21"/>
      <c r="Q154" s="21"/>
      <c r="R154" s="12"/>
      <c r="S154" s="12"/>
      <c r="T154" s="12"/>
      <c r="U154" s="12"/>
      <c r="V154" s="12"/>
      <c r="W154" s="12"/>
    </row>
    <row r="155" spans="1:23">
      <c r="A155" s="8"/>
      <c r="B155" s="8"/>
      <c r="C155" s="8"/>
      <c r="D155" s="9"/>
      <c r="E155" s="8"/>
      <c r="F155" s="10"/>
      <c r="G155" s="10"/>
      <c r="H155" s="11"/>
      <c r="I155" s="8"/>
      <c r="J155" s="11"/>
      <c r="K155" s="8"/>
      <c r="L155" s="11"/>
      <c r="M155" s="8"/>
      <c r="N155" s="11"/>
      <c r="O155" s="18"/>
      <c r="P155" s="19"/>
      <c r="Q155" s="19"/>
      <c r="R155" s="8"/>
      <c r="S155" s="8"/>
      <c r="T155" s="8"/>
      <c r="U155" s="8"/>
      <c r="V155" s="8"/>
      <c r="W155" s="8"/>
    </row>
    <row r="156" spans="1:23">
      <c r="A156" s="12"/>
      <c r="B156" s="12"/>
      <c r="C156" s="12"/>
      <c r="D156" s="13"/>
      <c r="E156" s="12"/>
      <c r="F156" s="14"/>
      <c r="G156" s="14"/>
      <c r="H156" s="15"/>
      <c r="I156" s="12"/>
      <c r="J156" s="15"/>
      <c r="K156" s="12"/>
      <c r="L156" s="15"/>
      <c r="M156" s="12"/>
      <c r="N156" s="15"/>
      <c r="O156" s="20"/>
      <c r="P156" s="21"/>
      <c r="Q156" s="21"/>
      <c r="R156" s="12"/>
      <c r="S156" s="12"/>
      <c r="T156" s="12"/>
      <c r="U156" s="12"/>
      <c r="V156" s="12"/>
      <c r="W156" s="12"/>
    </row>
    <row r="157" spans="1:23">
      <c r="A157" s="8"/>
      <c r="B157" s="8"/>
      <c r="C157" s="8"/>
      <c r="D157" s="9"/>
      <c r="E157" s="8"/>
      <c r="F157" s="10"/>
      <c r="G157" s="10"/>
      <c r="H157" s="11"/>
      <c r="I157" s="8"/>
      <c r="J157" s="11"/>
      <c r="K157" s="8"/>
      <c r="L157" s="11"/>
      <c r="M157" s="8"/>
      <c r="N157" s="11"/>
      <c r="O157" s="18"/>
      <c r="P157" s="19"/>
      <c r="Q157" s="19"/>
      <c r="R157" s="8"/>
      <c r="S157" s="8"/>
      <c r="T157" s="8"/>
      <c r="U157" s="8"/>
      <c r="V157" s="8"/>
      <c r="W157" s="8"/>
    </row>
    <row r="158" spans="1:23">
      <c r="A158" s="12"/>
      <c r="B158" s="12"/>
      <c r="C158" s="12"/>
      <c r="D158" s="13"/>
      <c r="E158" s="12"/>
      <c r="F158" s="14"/>
      <c r="G158" s="14"/>
      <c r="H158" s="15"/>
      <c r="I158" s="12"/>
      <c r="J158" s="15"/>
      <c r="K158" s="12"/>
      <c r="L158" s="15"/>
      <c r="M158" s="12"/>
      <c r="N158" s="15"/>
      <c r="O158" s="20"/>
      <c r="P158" s="21"/>
      <c r="Q158" s="21"/>
      <c r="R158" s="12"/>
      <c r="S158" s="12"/>
      <c r="T158" s="12"/>
      <c r="U158" s="12"/>
      <c r="V158" s="12"/>
      <c r="W158" s="12"/>
    </row>
    <row r="159" spans="1:23">
      <c r="A159" s="8"/>
      <c r="B159" s="8"/>
      <c r="C159" s="8"/>
      <c r="D159" s="9"/>
      <c r="E159" s="8"/>
      <c r="F159" s="10"/>
      <c r="G159" s="10"/>
      <c r="H159" s="11"/>
      <c r="I159" s="8"/>
      <c r="J159" s="11"/>
      <c r="K159" s="8"/>
      <c r="L159" s="11"/>
      <c r="M159" s="8"/>
      <c r="N159" s="11"/>
      <c r="O159" s="18"/>
      <c r="P159" s="19"/>
      <c r="Q159" s="19"/>
      <c r="R159" s="8"/>
      <c r="S159" s="8"/>
      <c r="T159" s="8"/>
      <c r="U159" s="8"/>
      <c r="V159" s="8"/>
      <c r="W159" s="8"/>
    </row>
    <row r="160" spans="1:23">
      <c r="A160" s="12"/>
      <c r="B160" s="12"/>
      <c r="C160" s="12"/>
      <c r="D160" s="13"/>
      <c r="E160" s="12"/>
      <c r="F160" s="14"/>
      <c r="G160" s="14"/>
      <c r="H160" s="15"/>
      <c r="I160" s="12"/>
      <c r="J160" s="15"/>
      <c r="K160" s="12"/>
      <c r="L160" s="15"/>
      <c r="M160" s="12"/>
      <c r="N160" s="15"/>
      <c r="O160" s="20"/>
      <c r="P160" s="21"/>
      <c r="Q160" s="21"/>
      <c r="R160" s="12"/>
      <c r="S160" s="12"/>
      <c r="T160" s="12"/>
      <c r="U160" s="12"/>
      <c r="V160" s="12"/>
      <c r="W160" s="12"/>
    </row>
    <row r="161" spans="1:23">
      <c r="A161" s="8"/>
      <c r="B161" s="8"/>
      <c r="C161" s="8"/>
      <c r="D161" s="9"/>
      <c r="E161" s="8"/>
      <c r="F161" s="10"/>
      <c r="G161" s="10"/>
      <c r="H161" s="11"/>
      <c r="I161" s="8"/>
      <c r="J161" s="11"/>
      <c r="K161" s="8"/>
      <c r="L161" s="11"/>
      <c r="M161" s="8"/>
      <c r="N161" s="11"/>
      <c r="O161" s="18"/>
      <c r="P161" s="19"/>
      <c r="Q161" s="19"/>
      <c r="R161" s="8"/>
      <c r="S161" s="8"/>
      <c r="T161" s="8"/>
      <c r="U161" s="8"/>
      <c r="V161" s="8"/>
      <c r="W161" s="8"/>
    </row>
    <row r="162" spans="1:23">
      <c r="A162" s="12"/>
      <c r="B162" s="12"/>
      <c r="C162" s="12"/>
      <c r="D162" s="13"/>
      <c r="E162" s="12"/>
      <c r="F162" s="14"/>
      <c r="G162" s="14"/>
      <c r="H162" s="15"/>
      <c r="I162" s="12"/>
      <c r="J162" s="15"/>
      <c r="K162" s="12"/>
      <c r="L162" s="15"/>
      <c r="M162" s="12"/>
      <c r="N162" s="15"/>
      <c r="O162" s="20"/>
      <c r="P162" s="21"/>
      <c r="Q162" s="21"/>
      <c r="R162" s="12"/>
      <c r="S162" s="12"/>
      <c r="T162" s="12"/>
      <c r="U162" s="12"/>
      <c r="V162" s="12"/>
      <c r="W162" s="12"/>
    </row>
    <row r="163" spans="1:23">
      <c r="A163" s="8"/>
      <c r="B163" s="8"/>
      <c r="C163" s="8"/>
      <c r="D163" s="9"/>
      <c r="E163" s="8"/>
      <c r="F163" s="10"/>
      <c r="G163" s="10"/>
      <c r="H163" s="11"/>
      <c r="I163" s="8"/>
      <c r="J163" s="11"/>
      <c r="K163" s="8"/>
      <c r="L163" s="11"/>
      <c r="M163" s="8"/>
      <c r="N163" s="11"/>
      <c r="O163" s="18"/>
      <c r="P163" s="19"/>
      <c r="Q163" s="19"/>
      <c r="R163" s="8"/>
      <c r="S163" s="8"/>
      <c r="T163" s="8"/>
      <c r="U163" s="8"/>
      <c r="V163" s="8"/>
      <c r="W163" s="8"/>
    </row>
    <row r="164" spans="1:23">
      <c r="A164" s="12"/>
      <c r="B164" s="12"/>
      <c r="C164" s="12"/>
      <c r="D164" s="13"/>
      <c r="E164" s="12"/>
      <c r="F164" s="14"/>
      <c r="G164" s="14"/>
      <c r="H164" s="15"/>
      <c r="I164" s="12"/>
      <c r="J164" s="15"/>
      <c r="K164" s="12"/>
      <c r="L164" s="15"/>
      <c r="M164" s="12"/>
      <c r="N164" s="15"/>
      <c r="O164" s="20"/>
      <c r="P164" s="21"/>
      <c r="Q164" s="21"/>
      <c r="R164" s="12"/>
      <c r="S164" s="12"/>
      <c r="T164" s="12"/>
      <c r="U164" s="12"/>
      <c r="V164" s="12"/>
      <c r="W164" s="12"/>
    </row>
    <row r="165" spans="1:23">
      <c r="A165" s="8"/>
      <c r="B165" s="8"/>
      <c r="C165" s="8"/>
      <c r="D165" s="9"/>
      <c r="E165" s="8"/>
      <c r="F165" s="10"/>
      <c r="G165" s="10"/>
      <c r="H165" s="11"/>
      <c r="I165" s="8"/>
      <c r="J165" s="11"/>
      <c r="K165" s="8"/>
      <c r="L165" s="11"/>
      <c r="M165" s="8"/>
      <c r="N165" s="11"/>
      <c r="O165" s="18"/>
      <c r="P165" s="19"/>
      <c r="Q165" s="19"/>
      <c r="R165" s="8"/>
      <c r="S165" s="8"/>
      <c r="T165" s="8"/>
      <c r="U165" s="8"/>
      <c r="V165" s="8"/>
      <c r="W165" s="8"/>
    </row>
    <row r="166" spans="1:23">
      <c r="A166" s="12"/>
      <c r="B166" s="12"/>
      <c r="C166" s="12"/>
      <c r="D166" s="13"/>
      <c r="E166" s="12"/>
      <c r="F166" s="14"/>
      <c r="G166" s="14"/>
      <c r="H166" s="15"/>
      <c r="I166" s="12"/>
      <c r="J166" s="15"/>
      <c r="K166" s="12"/>
      <c r="L166" s="15"/>
      <c r="M166" s="12"/>
      <c r="N166" s="15"/>
      <c r="O166" s="20"/>
      <c r="P166" s="21"/>
      <c r="Q166" s="21"/>
      <c r="R166" s="12"/>
      <c r="S166" s="12"/>
      <c r="T166" s="12"/>
      <c r="U166" s="12"/>
      <c r="V166" s="12"/>
      <c r="W166" s="12"/>
    </row>
    <row r="167" spans="1:23">
      <c r="A167" s="8"/>
      <c r="B167" s="8"/>
      <c r="C167" s="8"/>
      <c r="D167" s="9"/>
      <c r="E167" s="8"/>
      <c r="F167" s="10"/>
      <c r="G167" s="10"/>
      <c r="H167" s="11"/>
      <c r="I167" s="8"/>
      <c r="J167" s="11"/>
      <c r="K167" s="8"/>
      <c r="L167" s="11"/>
      <c r="M167" s="8"/>
      <c r="N167" s="11"/>
      <c r="O167" s="18"/>
      <c r="P167" s="19"/>
      <c r="Q167" s="19"/>
      <c r="R167" s="8"/>
      <c r="S167" s="8"/>
      <c r="T167" s="8"/>
      <c r="U167" s="8"/>
      <c r="V167" s="8"/>
      <c r="W167" s="8"/>
    </row>
    <row r="168" spans="1:23">
      <c r="A168" s="12"/>
      <c r="B168" s="12"/>
      <c r="C168" s="12"/>
      <c r="D168" s="13"/>
      <c r="E168" s="12"/>
      <c r="F168" s="14"/>
      <c r="G168" s="14"/>
      <c r="H168" s="15"/>
      <c r="I168" s="12"/>
      <c r="J168" s="15"/>
      <c r="K168" s="12"/>
      <c r="L168" s="15"/>
      <c r="M168" s="12"/>
      <c r="N168" s="15"/>
      <c r="O168" s="20"/>
      <c r="P168" s="21"/>
      <c r="Q168" s="21"/>
      <c r="R168" s="12"/>
      <c r="S168" s="12"/>
      <c r="T168" s="12"/>
      <c r="U168" s="12"/>
      <c r="V168" s="12"/>
      <c r="W168" s="12"/>
    </row>
    <row r="169" spans="1:23">
      <c r="A169" s="8"/>
      <c r="B169" s="8"/>
      <c r="C169" s="8"/>
      <c r="D169" s="9"/>
      <c r="E169" s="8"/>
      <c r="F169" s="10"/>
      <c r="G169" s="10"/>
      <c r="H169" s="11"/>
      <c r="I169" s="8"/>
      <c r="J169" s="11"/>
      <c r="K169" s="8"/>
      <c r="L169" s="11"/>
      <c r="M169" s="8"/>
      <c r="N169" s="11"/>
      <c r="O169" s="18"/>
      <c r="P169" s="19"/>
      <c r="Q169" s="19"/>
      <c r="R169" s="8"/>
      <c r="S169" s="8"/>
      <c r="T169" s="8"/>
      <c r="U169" s="8"/>
      <c r="V169" s="8"/>
      <c r="W169" s="8"/>
    </row>
    <row r="170" spans="1:23">
      <c r="A170" s="12"/>
      <c r="B170" s="12"/>
      <c r="C170" s="12"/>
      <c r="D170" s="13"/>
      <c r="E170" s="12"/>
      <c r="F170" s="14"/>
      <c r="G170" s="14"/>
      <c r="H170" s="15"/>
      <c r="I170" s="12"/>
      <c r="J170" s="15"/>
      <c r="K170" s="12"/>
      <c r="L170" s="15"/>
      <c r="M170" s="12"/>
      <c r="N170" s="15"/>
      <c r="O170" s="20"/>
      <c r="P170" s="21"/>
      <c r="Q170" s="21"/>
      <c r="R170" s="12"/>
      <c r="S170" s="12"/>
      <c r="T170" s="12"/>
      <c r="U170" s="12"/>
      <c r="V170" s="12"/>
      <c r="W170" s="12"/>
    </row>
    <row r="171" spans="1:23">
      <c r="A171" s="8"/>
      <c r="B171" s="8"/>
      <c r="C171" s="8"/>
      <c r="D171" s="9"/>
      <c r="E171" s="8"/>
      <c r="F171" s="10"/>
      <c r="G171" s="10"/>
      <c r="H171" s="11"/>
      <c r="I171" s="8"/>
      <c r="J171" s="11"/>
      <c r="K171" s="8"/>
      <c r="L171" s="11"/>
      <c r="M171" s="8"/>
      <c r="N171" s="11"/>
      <c r="O171" s="18"/>
      <c r="P171" s="19"/>
      <c r="Q171" s="19"/>
      <c r="R171" s="8"/>
      <c r="S171" s="8"/>
      <c r="T171" s="8"/>
      <c r="U171" s="8"/>
      <c r="V171" s="8"/>
      <c r="W171" s="8"/>
    </row>
    <row r="172" spans="1:23">
      <c r="A172" s="12"/>
      <c r="B172" s="12"/>
      <c r="C172" s="12"/>
      <c r="D172" s="13"/>
      <c r="E172" s="12"/>
      <c r="F172" s="14"/>
      <c r="G172" s="14"/>
      <c r="H172" s="15"/>
      <c r="I172" s="12"/>
      <c r="J172" s="15"/>
      <c r="K172" s="12"/>
      <c r="L172" s="15"/>
      <c r="M172" s="12"/>
      <c r="N172" s="15"/>
      <c r="O172" s="20"/>
      <c r="P172" s="21"/>
      <c r="Q172" s="21"/>
      <c r="R172" s="12"/>
      <c r="S172" s="12"/>
      <c r="T172" s="12"/>
      <c r="U172" s="12"/>
      <c r="V172" s="12"/>
      <c r="W172" s="12"/>
    </row>
    <row r="173" spans="1:23">
      <c r="A173" s="8"/>
      <c r="B173" s="8"/>
      <c r="C173" s="8"/>
      <c r="D173" s="9"/>
      <c r="E173" s="8"/>
      <c r="F173" s="10"/>
      <c r="G173" s="10"/>
      <c r="H173" s="11"/>
      <c r="I173" s="8"/>
      <c r="J173" s="11"/>
      <c r="K173" s="8"/>
      <c r="L173" s="11"/>
      <c r="M173" s="8"/>
      <c r="N173" s="11"/>
      <c r="O173" s="18"/>
      <c r="P173" s="19"/>
      <c r="Q173" s="19"/>
      <c r="R173" s="8"/>
      <c r="S173" s="8"/>
      <c r="T173" s="8"/>
      <c r="U173" s="8"/>
      <c r="V173" s="8"/>
      <c r="W173" s="8"/>
    </row>
    <row r="174" spans="1:23">
      <c r="A174" s="12"/>
      <c r="B174" s="12"/>
      <c r="C174" s="12"/>
      <c r="D174" s="13"/>
      <c r="E174" s="12"/>
      <c r="F174" s="14"/>
      <c r="G174" s="14"/>
      <c r="H174" s="15"/>
      <c r="I174" s="12"/>
      <c r="J174" s="15"/>
      <c r="K174" s="12"/>
      <c r="L174" s="15"/>
      <c r="M174" s="12"/>
      <c r="N174" s="15"/>
      <c r="O174" s="20"/>
      <c r="P174" s="21"/>
      <c r="Q174" s="21"/>
      <c r="R174" s="12"/>
      <c r="S174" s="12"/>
      <c r="T174" s="12"/>
      <c r="U174" s="12"/>
      <c r="V174" s="12"/>
      <c r="W174" s="12"/>
    </row>
    <row r="175" spans="1:23">
      <c r="A175" s="8"/>
      <c r="B175" s="8"/>
      <c r="C175" s="8"/>
      <c r="D175" s="9"/>
      <c r="E175" s="8"/>
      <c r="F175" s="10"/>
      <c r="G175" s="10"/>
      <c r="H175" s="11"/>
      <c r="I175" s="8"/>
      <c r="J175" s="11"/>
      <c r="K175" s="8"/>
      <c r="L175" s="11"/>
      <c r="M175" s="8"/>
      <c r="N175" s="11"/>
      <c r="O175" s="18"/>
      <c r="P175" s="19"/>
      <c r="Q175" s="19"/>
      <c r="R175" s="8"/>
      <c r="S175" s="8"/>
      <c r="T175" s="8"/>
      <c r="U175" s="8"/>
      <c r="V175" s="8"/>
      <c r="W175" s="8"/>
    </row>
    <row r="176" spans="1:23">
      <c r="A176" s="12"/>
      <c r="B176" s="12"/>
      <c r="C176" s="12"/>
      <c r="D176" s="13"/>
      <c r="E176" s="12"/>
      <c r="F176" s="14"/>
      <c r="G176" s="14"/>
      <c r="H176" s="15"/>
      <c r="I176" s="12"/>
      <c r="J176" s="15"/>
      <c r="K176" s="12"/>
      <c r="L176" s="15"/>
      <c r="M176" s="12"/>
      <c r="N176" s="15"/>
      <c r="O176" s="20"/>
      <c r="P176" s="21"/>
      <c r="Q176" s="21"/>
      <c r="R176" s="12"/>
      <c r="S176" s="12"/>
      <c r="T176" s="12"/>
      <c r="U176" s="12"/>
      <c r="V176" s="12"/>
      <c r="W176" s="12"/>
    </row>
    <row r="177" spans="1:23">
      <c r="A177" s="8"/>
      <c r="B177" s="8"/>
      <c r="C177" s="8"/>
      <c r="D177" s="9"/>
      <c r="E177" s="8"/>
      <c r="F177" s="10"/>
      <c r="G177" s="10"/>
      <c r="H177" s="11"/>
      <c r="I177" s="8"/>
      <c r="J177" s="11"/>
      <c r="K177" s="8"/>
      <c r="L177" s="11"/>
      <c r="M177" s="8"/>
      <c r="N177" s="11"/>
      <c r="O177" s="18"/>
      <c r="P177" s="19"/>
      <c r="Q177" s="19"/>
      <c r="R177" s="8"/>
      <c r="S177" s="8"/>
      <c r="T177" s="8"/>
      <c r="U177" s="8"/>
      <c r="V177" s="8"/>
      <c r="W177" s="8"/>
    </row>
    <row r="178" spans="1:23">
      <c r="A178" s="12"/>
      <c r="B178" s="12"/>
      <c r="C178" s="12"/>
      <c r="D178" s="13"/>
      <c r="E178" s="12"/>
      <c r="F178" s="14"/>
      <c r="G178" s="14"/>
      <c r="H178" s="15"/>
      <c r="I178" s="12"/>
      <c r="J178" s="15"/>
      <c r="K178" s="12"/>
      <c r="L178" s="15"/>
      <c r="M178" s="12"/>
      <c r="N178" s="15"/>
      <c r="O178" s="20"/>
      <c r="P178" s="21"/>
      <c r="Q178" s="21"/>
      <c r="R178" s="12"/>
      <c r="S178" s="12"/>
      <c r="T178" s="12"/>
      <c r="U178" s="12"/>
      <c r="V178" s="12"/>
      <c r="W178" s="12"/>
    </row>
    <row r="179" spans="1:23">
      <c r="A179" s="8"/>
      <c r="B179" s="8"/>
      <c r="C179" s="8"/>
      <c r="D179" s="9"/>
      <c r="E179" s="8"/>
      <c r="F179" s="10"/>
      <c r="G179" s="10"/>
      <c r="H179" s="11"/>
      <c r="I179" s="8"/>
      <c r="J179" s="11"/>
      <c r="K179" s="8"/>
      <c r="L179" s="11"/>
      <c r="M179" s="8"/>
      <c r="N179" s="11"/>
      <c r="O179" s="18"/>
      <c r="P179" s="19"/>
      <c r="Q179" s="19"/>
      <c r="R179" s="8"/>
      <c r="S179" s="8"/>
      <c r="T179" s="8"/>
      <c r="U179" s="8"/>
      <c r="V179" s="8"/>
      <c r="W179" s="8"/>
    </row>
    <row r="180" spans="1:23">
      <c r="A180" s="12"/>
      <c r="B180" s="12"/>
      <c r="C180" s="12"/>
      <c r="D180" s="13"/>
      <c r="E180" s="12"/>
      <c r="F180" s="14"/>
      <c r="G180" s="14"/>
      <c r="H180" s="15"/>
      <c r="I180" s="12"/>
      <c r="J180" s="15"/>
      <c r="K180" s="12"/>
      <c r="L180" s="15"/>
      <c r="M180" s="12"/>
      <c r="N180" s="15"/>
      <c r="O180" s="20"/>
      <c r="P180" s="21"/>
      <c r="Q180" s="21"/>
      <c r="R180" s="12"/>
      <c r="S180" s="12"/>
      <c r="T180" s="12"/>
      <c r="U180" s="12"/>
      <c r="V180" s="12"/>
      <c r="W180" s="12"/>
    </row>
    <row r="181" spans="1:23">
      <c r="A181" s="8"/>
      <c r="B181" s="8"/>
      <c r="C181" s="8"/>
      <c r="D181" s="9"/>
      <c r="E181" s="8"/>
      <c r="F181" s="10"/>
      <c r="G181" s="10"/>
      <c r="H181" s="11"/>
      <c r="I181" s="8"/>
      <c r="J181" s="11"/>
      <c r="K181" s="8"/>
      <c r="L181" s="11"/>
      <c r="M181" s="8"/>
      <c r="N181" s="11"/>
      <c r="O181" s="18"/>
      <c r="P181" s="19"/>
      <c r="Q181" s="19"/>
      <c r="R181" s="8"/>
      <c r="S181" s="8"/>
      <c r="T181" s="8"/>
      <c r="U181" s="8"/>
      <c r="V181" s="8"/>
      <c r="W181" s="8"/>
    </row>
  </sheetData>
  <autoFilter xmlns:etc="http://www.wps.cn/officeDocument/2017/etCustomData" ref="A1:W181" etc:filterBottomFollowUsedRange="0">
    <extLst/>
  </autoFilter>
  <pageMargins left="0.75" right="0.75" top="1" bottom="1" header="0.5" footer="0.5"/>
  <headerFooter/>
  <ignoredErrors>
    <ignoredError sqref="B2:V76" numberStoredAsText="1"/>
  </ignoredErrors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527"/>
  <dimension ref="A1"/>
  <sheetViews>
    <sheetView workbookViewId="0">
      <selection activeCell="M29" sqref="M29"/>
    </sheetView>
  </sheetViews>
  <sheetFormatPr defaultColWidth="9" defaultRowHeight="13.5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K56"/>
  <sheetViews>
    <sheetView tabSelected="1" workbookViewId="0">
      <pane xSplit="1" ySplit="2" topLeftCell="B3" activePane="bottomRight" state="frozen"/>
      <selection/>
      <selection pane="topRight"/>
      <selection pane="bottomLeft"/>
      <selection pane="bottomRight" activeCell="A17" sqref="$A17:$XFD17"/>
    </sheetView>
  </sheetViews>
  <sheetFormatPr defaultColWidth="9" defaultRowHeight="19" customHeight="1"/>
  <cols>
    <col min="1" max="1" width="26.25" style="97" customWidth="1"/>
    <col min="2" max="2" width="21.375" style="42" hidden="1" customWidth="1"/>
    <col min="3" max="3" width="17.5" style="98" customWidth="1"/>
    <col min="4" max="5" width="11.75" style="99" customWidth="1"/>
    <col min="6" max="6" width="13.875" style="100" customWidth="1"/>
    <col min="7" max="7" width="14.875" style="101" customWidth="1"/>
    <col min="8" max="8" width="16.125" style="42" customWidth="1"/>
    <col min="9" max="9" width="12.875" style="42" customWidth="1"/>
    <col min="10" max="10" width="14.125" style="42" customWidth="1"/>
    <col min="11" max="16384" width="9" style="42"/>
  </cols>
  <sheetData>
    <row r="1" ht="29" customHeight="1" spans="1:8">
      <c r="A1" s="103" t="s">
        <v>229</v>
      </c>
      <c r="B1" s="103"/>
      <c r="C1" s="104"/>
      <c r="D1" s="105"/>
      <c r="E1" s="105"/>
      <c r="F1" s="106"/>
      <c r="G1" s="113"/>
      <c r="H1" s="42" t="s">
        <v>230</v>
      </c>
    </row>
    <row r="2" ht="36" customHeight="1" spans="1:10">
      <c r="A2" s="107" t="s">
        <v>231</v>
      </c>
      <c r="B2" s="107" t="s">
        <v>232</v>
      </c>
      <c r="C2" s="108" t="s">
        <v>233</v>
      </c>
      <c r="D2" s="109" t="s">
        <v>234</v>
      </c>
      <c r="E2" s="109" t="s">
        <v>235</v>
      </c>
      <c r="F2" s="108" t="s">
        <v>236</v>
      </c>
      <c r="G2" s="107" t="s">
        <v>237</v>
      </c>
      <c r="H2" s="123" t="s">
        <v>238</v>
      </c>
      <c r="I2" s="123" t="s">
        <v>239</v>
      </c>
      <c r="J2" s="123" t="s">
        <v>52</v>
      </c>
    </row>
    <row r="3" customHeight="1" spans="1:7">
      <c r="A3" s="97" t="s">
        <v>240</v>
      </c>
      <c r="B3" s="42" t="str">
        <f>IFERROR(_xlfn.XLOOKUP('9月份计划'!A3,[5]UNEA!$B:$B,[5]UNEA!$B:$B),IFERROR(_xlfn.XLOOKUP('9月份计划'!A3,[5]MRHK!$B:$B,[5]MRHK!$B:$B),IFERROR(_xlfn.XLOOKUP('9月份计划'!A3,[5]MRHB!$B:$B,[5]MRHB!$B:$B),IFERROR(_xlfn.XLOOKUP('9月份计划'!A3,[5]HA6H!$B:$B,[5]HA6H!$B:$B),IFERROR(_xlfn.XLOOKUP('9月份计划'!A3,[5]HA6H!$B:$B,[5]HA6H!$B:$B)," ")))))</f>
        <v>重庆厚元汽车配件有限公司</v>
      </c>
      <c r="C3" s="98">
        <v>295000.97</v>
      </c>
      <c r="D3" s="99">
        <f>SUMIFS('8月份挂账'!$Q:$Q,'8月份挂账'!$S:$S,$A3)-SUMIFS('8月份挂账'!$P:$P,'8月份挂账'!$S:$S,$A3)</f>
        <v>43726.15</v>
      </c>
      <c r="E3" s="99">
        <f>SUMIFS('9月份挂账'!$Q:$Q,'9月份挂账'!$S:$S,$A3)-SUMIFS('9月份挂账'!$P:$P,'9月份挂账'!$S:$S,$A3)</f>
        <v>113963.66</v>
      </c>
      <c r="F3" s="100">
        <f t="shared" ref="F3:F22" si="0">C3-D3-E3</f>
        <v>137311.16</v>
      </c>
      <c r="G3" s="124">
        <f>F3</f>
        <v>137311.16</v>
      </c>
    </row>
    <row r="4" customHeight="1" spans="1:7">
      <c r="A4" s="97" t="s">
        <v>241</v>
      </c>
      <c r="B4" s="42" t="str">
        <f>IFERROR(_xlfn.XLOOKUP('9月份计划'!A4,[5]UNEA!$B:$B,[5]UNEA!$B:$B),IFERROR(_xlfn.XLOOKUP('9月份计划'!A4,[5]MRHK!$B:$B,[5]MRHK!$B:$B),IFERROR(_xlfn.XLOOKUP('9月份计划'!A4,[5]MRHB!$B:$B,[5]MRHB!$B:$B),IFERROR(_xlfn.XLOOKUP('9月份计划'!A4,[5]HA6H!$B:$B,[5]HA6H!$B:$B),IFERROR(_xlfn.XLOOKUP('9月份计划'!A4,[5]HA6H!$B:$B,[5]HA6H!$B:$B)," ")))))</f>
        <v> </v>
      </c>
      <c r="C4" s="98">
        <v>160034.72</v>
      </c>
      <c r="D4" s="99">
        <f>SUMIFS('8月份挂账'!$Q:$Q,'8月份挂账'!$S:$S,$A4)-SUMIFS('8月份挂账'!$P:$P,'8月份挂账'!$S:$S,$A4)</f>
        <v>96599.41</v>
      </c>
      <c r="E4" s="99">
        <f>SUMIFS('9月份挂账'!$Q:$Q,'9月份挂账'!$S:$S,$A4)-SUMIFS('9月份挂账'!$P:$P,'9月份挂账'!$S:$S,$A4)</f>
        <v>58504.11</v>
      </c>
      <c r="F4" s="100">
        <f t="shared" si="0"/>
        <v>4931.2</v>
      </c>
      <c r="G4" s="124">
        <f>F4</f>
        <v>4931.2</v>
      </c>
    </row>
    <row r="5" customHeight="1" spans="1:7">
      <c r="A5" s="97" t="s">
        <v>242</v>
      </c>
      <c r="B5" s="42" t="str">
        <f>IFERROR(_xlfn.XLOOKUP('9月份计划'!A5,[5]UNEA!$B:$B,[5]UNEA!$B:$B),IFERROR(_xlfn.XLOOKUP('9月份计划'!A5,[5]MRHK!$B:$B,[5]MRHK!$B:$B),IFERROR(_xlfn.XLOOKUP('9月份计划'!A5,[5]MRHB!$B:$B,[5]MRHB!$B:$B),IFERROR(_xlfn.XLOOKUP('9月份计划'!A5,[5]HA6H!$B:$B,[5]HA6H!$B:$B),IFERROR(_xlfn.XLOOKUP('9月份计划'!A5,[5]HA6H!$B:$B,[5]HA6H!$B:$B)," ")))))</f>
        <v> </v>
      </c>
      <c r="C5" s="98">
        <v>51499.65</v>
      </c>
      <c r="D5" s="99">
        <f>SUMIFS('8月份挂账'!$Q:$Q,'8月份挂账'!$S:$S,$A5)-SUMIFS('8月份挂账'!$P:$P,'8月份挂账'!$S:$S,$A5)</f>
        <v>12513.17</v>
      </c>
      <c r="E5" s="99">
        <f>SUMIFS('9月份挂账'!$Q:$Q,'9月份挂账'!$S:$S,$A5)-SUMIFS('9月份挂账'!$P:$P,'9月份挂账'!$S:$S,$A5)</f>
        <v>0</v>
      </c>
      <c r="F5" s="100">
        <f t="shared" si="0"/>
        <v>38986.48</v>
      </c>
      <c r="G5" s="124">
        <f>F5</f>
        <v>38986.48</v>
      </c>
    </row>
    <row r="6" customHeight="1" spans="1:7">
      <c r="A6" s="97" t="s">
        <v>243</v>
      </c>
      <c r="B6" s="42" t="str">
        <f>IFERROR(_xlfn.XLOOKUP('9月份计划'!A6,[5]UNEA!$B:$B,[5]UNEA!$B:$B),IFERROR(_xlfn.XLOOKUP('9月份计划'!A6,[5]MRHK!$B:$B,[5]MRHK!$B:$B),IFERROR(_xlfn.XLOOKUP('9月份计划'!A6,[5]MRHB!$B:$B,[5]MRHB!$B:$B),IFERROR(_xlfn.XLOOKUP('9月份计划'!A6,[5]HA6H!$B:$B,[5]HA6H!$B:$B),IFERROR(_xlfn.XLOOKUP('9月份计划'!A6,[5]HA6H!$B:$B,[5]HA6H!$B:$B)," ")))))</f>
        <v> </v>
      </c>
      <c r="C6" s="98">
        <v>17208.53</v>
      </c>
      <c r="D6" s="99">
        <f>SUMIFS('8月份挂账'!$Q:$Q,'8月份挂账'!$S:$S,$A6)-SUMIFS('8月份挂账'!$P:$P,'8月份挂账'!$S:$S,$A6)</f>
        <v>17208.53</v>
      </c>
      <c r="E6" s="99">
        <f>SUMIFS('9月份挂账'!$Q:$Q,'9月份挂账'!$S:$S,$A6)-SUMIFS('9月份挂账'!$P:$P,'9月份挂账'!$S:$S,$A6)</f>
        <v>0</v>
      </c>
      <c r="F6" s="100">
        <f t="shared" si="0"/>
        <v>0</v>
      </c>
      <c r="G6" s="124"/>
    </row>
    <row r="7" customHeight="1" spans="1:7">
      <c r="A7" s="97" t="s">
        <v>244</v>
      </c>
      <c r="B7" s="42" t="str">
        <f>IFERROR(_xlfn.XLOOKUP('9月份计划'!A7,[5]UNEA!$B:$B,[5]UNEA!$B:$B),IFERROR(_xlfn.XLOOKUP('9月份计划'!A7,[5]MRHK!$B:$B,[5]MRHK!$B:$B),IFERROR(_xlfn.XLOOKUP('9月份计划'!A7,[5]MRHB!$B:$B,[5]MRHB!$B:$B),IFERROR(_xlfn.XLOOKUP('9月份计划'!A7,[5]HA6H!$B:$B,[5]HA6H!$B:$B),IFERROR(_xlfn.XLOOKUP('9月份计划'!A7,[5]HA6H!$B:$B,[5]HA6H!$B:$B)," ")))))</f>
        <v> </v>
      </c>
      <c r="C7" s="98">
        <v>75145.85</v>
      </c>
      <c r="D7" s="99">
        <f>SUMIFS('8月份挂账'!$Q:$Q,'8月份挂账'!$S:$S,$A7)-SUMIFS('8月份挂账'!$P:$P,'8月份挂账'!$S:$S,$A7)</f>
        <v>45688.16</v>
      </c>
      <c r="E7" s="99">
        <f>SUMIFS('9月份挂账'!$Q:$Q,'9月份挂账'!$S:$S,$A7)-SUMIFS('9月份挂账'!$P:$P,'9月份挂账'!$S:$S,$A7)</f>
        <v>20289.15</v>
      </c>
      <c r="F7" s="100">
        <f t="shared" si="0"/>
        <v>9168.54</v>
      </c>
      <c r="G7" s="124">
        <f>F7</f>
        <v>9168.54</v>
      </c>
    </row>
    <row r="8" customHeight="1" spans="1:7">
      <c r="A8" s="97" t="s">
        <v>245</v>
      </c>
      <c r="B8" s="42" t="str">
        <f>IFERROR(_xlfn.XLOOKUP('9月份计划'!A8,[5]UNEA!$B:$B,[5]UNEA!$B:$B),IFERROR(_xlfn.XLOOKUP('9月份计划'!A8,[5]MRHK!$B:$B,[5]MRHK!$B:$B),IFERROR(_xlfn.XLOOKUP('9月份计划'!A8,[5]MRHB!$B:$B,[5]MRHB!$B:$B),IFERROR(_xlfn.XLOOKUP('9月份计划'!A8,[5]HA6H!$B:$B,[5]HA6H!$B:$B),IFERROR(_xlfn.XLOOKUP('9月份计划'!A8,[5]HA6H!$B:$B,[5]HA6H!$B:$B)," ")))))</f>
        <v> </v>
      </c>
      <c r="C8" s="98">
        <v>67119</v>
      </c>
      <c r="D8" s="99">
        <f>SUMIFS('8月份挂账'!$Q:$Q,'8月份挂账'!$S:$S,$A8)-SUMIFS('8月份挂账'!$P:$P,'8月份挂账'!$S:$S,$A8)</f>
        <v>18876.1</v>
      </c>
      <c r="E8" s="99">
        <f>SUMIFS('9月份挂账'!$Q:$Q,'9月份挂账'!$S:$S,$A8)-SUMIFS('9月份挂账'!$P:$P,'9月份挂账'!$S:$S,$A8)</f>
        <v>21778.05</v>
      </c>
      <c r="F8" s="100">
        <f t="shared" si="0"/>
        <v>26464.85</v>
      </c>
      <c r="G8" s="124">
        <f>F8</f>
        <v>26464.85</v>
      </c>
    </row>
    <row r="9" customHeight="1" spans="1:7">
      <c r="A9" s="97" t="s">
        <v>246</v>
      </c>
      <c r="B9" s="42" t="str">
        <f>IFERROR(_xlfn.XLOOKUP('9月份计划'!A9,[5]UNEA!$B:$B,[5]UNEA!$B:$B),IFERROR(_xlfn.XLOOKUP('9月份计划'!A9,[5]MRHK!$B:$B,[5]MRHK!$B:$B),IFERROR(_xlfn.XLOOKUP('9月份计划'!A9,[5]MRHB!$B:$B,[5]MRHB!$B:$B),IFERROR(_xlfn.XLOOKUP('9月份计划'!A9,[5]HA6H!$B:$B,[5]HA6H!$B:$B),IFERROR(_xlfn.XLOOKUP('9月份计划'!A9,[5]HA6H!$B:$B,[5]HA6H!$B:$B)," ")))))</f>
        <v> </v>
      </c>
      <c r="C9" s="98">
        <v>66342.4</v>
      </c>
      <c r="D9" s="99">
        <f>SUMIFS('8月份挂账'!$Q:$Q,'8月份挂账'!$S:$S,$A9)-SUMIFS('8月份挂账'!$P:$P,'8月份挂账'!$S:$S,$A9)</f>
        <v>1668.49</v>
      </c>
      <c r="E9" s="99">
        <f>SUMIFS('9月份挂账'!$Q:$Q,'9月份挂账'!$S:$S,$A9)-SUMIFS('9月份挂账'!$P:$P,'9月份挂账'!$S:$S,$A9)</f>
        <v>53907.16</v>
      </c>
      <c r="F9" s="100">
        <f t="shared" si="0"/>
        <v>10766.75</v>
      </c>
      <c r="G9" s="124">
        <f>F9</f>
        <v>10766.75</v>
      </c>
    </row>
    <row r="10" customHeight="1" spans="1:9">
      <c r="A10" s="97" t="s">
        <v>247</v>
      </c>
      <c r="B10" s="42" t="str">
        <f>IFERROR(_xlfn.XLOOKUP('9月份计划'!A10,[5]UNEA!$B:$B,[5]UNEA!$B:$B),IFERROR(_xlfn.XLOOKUP('9月份计划'!A10,[5]MRHK!$B:$B,[5]MRHK!$B:$B),IFERROR(_xlfn.XLOOKUP('9月份计划'!A10,[5]MRHB!$B:$B,[5]MRHB!$B:$B),IFERROR(_xlfn.XLOOKUP('9月份计划'!A10,[5]HA6H!$B:$B,[5]HA6H!$B:$B),IFERROR(_xlfn.XLOOKUP('9月份计划'!A10,[5]HA6H!$B:$B,[5]HA6H!$B:$B)," ")))))</f>
        <v>黄骅市汇铭汽车部件有限公司</v>
      </c>
      <c r="C10" s="98">
        <v>69248.15</v>
      </c>
      <c r="D10" s="99">
        <f>SUMIFS('8月份挂账'!$Q:$Q,'8月份挂账'!$S:$S,$A10)-SUMIFS('8月份挂账'!$P:$P,'8月份挂账'!$S:$S,$A10)</f>
        <v>22962.21</v>
      </c>
      <c r="E10" s="99">
        <f>SUMIFS('9月份挂账'!$Q:$Q,'9月份挂账'!$S:$S,$A10)-SUMIFS('9月份挂账'!$P:$P,'9月份挂账'!$S:$S,$A10)</f>
        <v>18363.63</v>
      </c>
      <c r="F10" s="100">
        <f t="shared" si="0"/>
        <v>27922.31</v>
      </c>
      <c r="G10" s="125">
        <v>50000</v>
      </c>
      <c r="I10" s="42">
        <f>G10</f>
        <v>50000</v>
      </c>
    </row>
    <row r="11" customHeight="1" spans="1:7">
      <c r="A11" s="97" t="s">
        <v>248</v>
      </c>
      <c r="B11" s="42" t="str">
        <f>IFERROR(_xlfn.XLOOKUP('9月份计划'!A11,[5]UNEA!$B:$B,[5]UNEA!$B:$B),IFERROR(_xlfn.XLOOKUP('9月份计划'!A11,[5]MRHK!$B:$B,[5]MRHK!$B:$B),IFERROR(_xlfn.XLOOKUP('9月份计划'!A11,[5]MRHB!$B:$B,[5]MRHB!$B:$B),IFERROR(_xlfn.XLOOKUP('9月份计划'!A11,[5]HA6H!$B:$B,[5]HA6H!$B:$B),IFERROR(_xlfn.XLOOKUP('9月份计划'!A11,[5]HA6H!$B:$B,[5]HA6H!$B:$B)," ")))))</f>
        <v> </v>
      </c>
      <c r="C11" s="98">
        <v>156040.34</v>
      </c>
      <c r="D11" s="99">
        <f>SUMIFS('8月份挂账'!$Q:$Q,'8月份挂账'!$S:$S,$A11)-SUMIFS('8月份挂账'!$P:$P,'8月份挂账'!$S:$S,$A11)</f>
        <v>0</v>
      </c>
      <c r="E11" s="99">
        <f>SUMIFS('9月份挂账'!$Q:$Q,'9月份挂账'!$S:$S,$A11)-SUMIFS('9月份挂账'!$P:$P,'9月份挂账'!$S:$S,$A11)</f>
        <v>0</v>
      </c>
      <c r="F11" s="100">
        <f t="shared" si="0"/>
        <v>156040.34</v>
      </c>
      <c r="G11" s="124">
        <f>F11</f>
        <v>156040.34</v>
      </c>
    </row>
    <row r="12" customHeight="1" spans="1:7">
      <c r="A12" s="97" t="s">
        <v>249</v>
      </c>
      <c r="B12" s="42" t="str">
        <f>IFERROR(_xlfn.XLOOKUP('9月份计划'!A12,[5]UNEA!$B:$B,[5]UNEA!$B:$B),IFERROR(_xlfn.XLOOKUP('9月份计划'!A12,[5]MRHK!$B:$B,[5]MRHK!$B:$B),IFERROR(_xlfn.XLOOKUP('9月份计划'!A12,[5]MRHB!$B:$B,[5]MRHB!$B:$B),IFERROR(_xlfn.XLOOKUP('9月份计划'!A12,[5]HA6H!$B:$B,[5]HA6H!$B:$B),IFERROR(_xlfn.XLOOKUP('9月份计划'!A12,[5]HA6H!$B:$B,[5]HA6H!$B:$B)," ")))))</f>
        <v> </v>
      </c>
      <c r="C12" s="98">
        <v>4678.2</v>
      </c>
      <c r="D12" s="99">
        <f>SUMIFS('8月份挂账'!$Q:$Q,'8月份挂账'!$S:$S,$A12)-SUMIFS('8月份挂账'!$P:$P,'8月份挂账'!$S:$S,$A12)</f>
        <v>4678.2</v>
      </c>
      <c r="E12" s="99">
        <f>SUMIFS('9月份挂账'!$Q:$Q,'9月份挂账'!$S:$S,$A12)-SUMIFS('9月份挂账'!$P:$P,'9月份挂账'!$S:$S,$A12)</f>
        <v>0</v>
      </c>
      <c r="F12" s="100">
        <f t="shared" si="0"/>
        <v>0</v>
      </c>
      <c r="G12" s="124"/>
    </row>
    <row r="13" customHeight="1" spans="1:8">
      <c r="A13" s="97" t="s">
        <v>250</v>
      </c>
      <c r="B13" s="42" t="str">
        <f>IFERROR(_xlfn.XLOOKUP('9月份计划'!A13,[5]UNEA!$B:$B,[5]UNEA!$B:$B),IFERROR(_xlfn.XLOOKUP('9月份计划'!A13,[5]MRHK!$B:$B,[5]MRHK!$B:$B),IFERROR(_xlfn.XLOOKUP('9月份计划'!A13,[5]MRHB!$B:$B,[5]MRHB!$B:$B),IFERROR(_xlfn.XLOOKUP('9月份计划'!A13,[5]HA6H!$B:$B,[5]HA6H!$B:$B),IFERROR(_xlfn.XLOOKUP('9月份计划'!A13,[5]HA6H!$B:$B,[5]HA6H!$B:$B)," ")))))</f>
        <v> </v>
      </c>
      <c r="C13" s="98">
        <v>211875.23</v>
      </c>
      <c r="D13" s="99">
        <f>SUMIFS('8月份挂账'!$Q:$Q,'8月份挂账'!$S:$S,$A13)-SUMIFS('8月份挂账'!$P:$P,'8月份挂账'!$S:$S,$A13)</f>
        <v>92363.01</v>
      </c>
      <c r="E13" s="99">
        <f>SUMIFS('9月份挂账'!$Q:$Q,'9月份挂账'!$S:$S,$A13)-SUMIFS('9月份挂账'!$P:$P,'9月份挂账'!$S:$S,$A13)</f>
        <v>69533.07</v>
      </c>
      <c r="F13" s="100">
        <f t="shared" si="0"/>
        <v>49979.15</v>
      </c>
      <c r="G13" s="125">
        <v>100000</v>
      </c>
      <c r="H13" s="42">
        <v>100000</v>
      </c>
    </row>
    <row r="14" customHeight="1" spans="1:10">
      <c r="A14" s="126" t="s">
        <v>251</v>
      </c>
      <c r="B14" s="42" t="str">
        <f>IFERROR(_xlfn.XLOOKUP('9月份计划'!A14,[5]UNEA!$B:$B,[5]UNEA!$B:$B),IFERROR(_xlfn.XLOOKUP('9月份计划'!A14,[5]MRHK!$B:$B,[5]MRHK!$B:$B),IFERROR(_xlfn.XLOOKUP('9月份计划'!A14,[5]MRHB!$B:$B,[5]MRHB!$B:$B),IFERROR(_xlfn.XLOOKUP('9月份计划'!A14,[5]HA6H!$B:$B,[5]HA6H!$B:$B),IFERROR(_xlfn.XLOOKUP('9月份计划'!A14,[5]HA6H!$B:$B,[5]HA6H!$B:$B)," ")))))</f>
        <v> </v>
      </c>
      <c r="C14" s="98">
        <v>624316.86</v>
      </c>
      <c r="D14" s="99">
        <f>SUMIFS('8月份挂账'!$Q:$Q,'8月份挂账'!$S:$S,$A14)-SUMIFS('8月份挂账'!$P:$P,'8月份挂账'!$S:$S,$A14)</f>
        <v>146831.97</v>
      </c>
      <c r="E14" s="99">
        <f>SUMIFS('9月份挂账'!$Q:$Q,'9月份挂账'!$S:$S,$A14)-SUMIFS('9月份挂账'!$P:$P,'9月份挂账'!$S:$S,$A14)</f>
        <v>424867.88</v>
      </c>
      <c r="F14" s="100">
        <f ca="1">凯平付款计划!AE3</f>
        <v>369225.01</v>
      </c>
      <c r="G14" s="125">
        <f ca="1">F14</f>
        <v>369225.01</v>
      </c>
      <c r="H14" s="42">
        <v>180000</v>
      </c>
      <c r="J14" s="42">
        <f ca="1">G14-H14</f>
        <v>189225.01</v>
      </c>
    </row>
    <row r="15" customHeight="1" spans="1:7">
      <c r="A15" s="97" t="s">
        <v>252</v>
      </c>
      <c r="B15" s="42" t="str">
        <f>IFERROR(_xlfn.XLOOKUP('9月份计划'!A15,[5]UNEA!$B:$B,[5]UNEA!$B:$B),IFERROR(_xlfn.XLOOKUP('9月份计划'!A15,[5]MRHK!$B:$B,[5]MRHK!$B:$B),IFERROR(_xlfn.XLOOKUP('9月份计划'!A15,[5]MRHB!$B:$B,[5]MRHB!$B:$B),IFERROR(_xlfn.XLOOKUP('9月份计划'!A15,[5]HA6H!$B:$B,[5]HA6H!$B:$B),IFERROR(_xlfn.XLOOKUP('9月份计划'!A15,[5]HA6H!$B:$B,[5]HA6H!$B:$B)," ")))))</f>
        <v> </v>
      </c>
      <c r="C15" s="98">
        <v>66207.06</v>
      </c>
      <c r="D15" s="99">
        <f>SUMIFS('8月份挂账'!$Q:$Q,'8月份挂账'!$S:$S,$A15)-SUMIFS('8月份挂账'!$P:$P,'8月份挂账'!$S:$S,$A15)</f>
        <v>0</v>
      </c>
      <c r="E15" s="99">
        <f>SUMIFS('9月份挂账'!$Q:$Q,'9月份挂账'!$S:$S,$A15)-SUMIFS('9月份挂账'!$P:$P,'9月份挂账'!$S:$S,$A15)</f>
        <v>66207.06</v>
      </c>
      <c r="F15" s="100">
        <f t="shared" si="0"/>
        <v>0</v>
      </c>
      <c r="G15" s="124"/>
    </row>
    <row r="16" ht="20" customHeight="1" spans="1:7">
      <c r="A16" s="97" t="s">
        <v>253</v>
      </c>
      <c r="B16" s="42" t="str">
        <f>IFERROR(_xlfn.XLOOKUP('9月份计划'!A16,[5]UNEA!$B:$B,[5]UNEA!$B:$B),IFERROR(_xlfn.XLOOKUP('9月份计划'!A16,[5]MRHK!$B:$B,[5]MRHK!$B:$B),IFERROR(_xlfn.XLOOKUP('9月份计划'!A16,[5]MRHB!$B:$B,[5]MRHB!$B:$B),IFERROR(_xlfn.XLOOKUP('9月份计划'!A16,[5]HA6H!$B:$B,[5]HA6H!$B:$B),IFERROR(_xlfn.XLOOKUP('9月份计划'!A16,[5]HA6H!$B:$B,[5]HA6H!$B:$B)," ")))))</f>
        <v> </v>
      </c>
      <c r="C16" s="98">
        <v>49683.95</v>
      </c>
      <c r="D16" s="99">
        <f>SUMIFS('8月份挂账'!$Q:$Q,'8月份挂账'!$S:$S,$A16)-SUMIFS('8月份挂账'!$P:$P,'8月份挂账'!$S:$S,$A16)</f>
        <v>13574.43</v>
      </c>
      <c r="E16" s="99">
        <f>SUMIFS('9月份挂账'!$Q:$Q,'9月份挂账'!$S:$S,$A16)-SUMIFS('9月份挂账'!$P:$P,'9月份挂账'!$S:$S,$A16)</f>
        <v>31328.38</v>
      </c>
      <c r="F16" s="100">
        <f t="shared" si="0"/>
        <v>4781.14</v>
      </c>
      <c r="G16" s="124">
        <f>F16</f>
        <v>4781.14</v>
      </c>
    </row>
    <row r="17" customHeight="1" spans="1:7">
      <c r="A17" s="97" t="s">
        <v>254</v>
      </c>
      <c r="B17" s="42" t="str">
        <f>IFERROR(_xlfn.XLOOKUP('9月份计划'!A17,[5]UNEA!$B:$B,[5]UNEA!$B:$B),IFERROR(_xlfn.XLOOKUP('9月份计划'!A17,[5]MRHK!$B:$B,[5]MRHK!$B:$B),IFERROR(_xlfn.XLOOKUP('9月份计划'!A17,[5]MRHB!$B:$B,[5]MRHB!$B:$B),IFERROR(_xlfn.XLOOKUP('9月份计划'!A17,[5]HA6H!$B:$B,[5]HA6H!$B:$B),IFERROR(_xlfn.XLOOKUP('9月份计划'!A17,[5]HA6H!$B:$B,[5]HA6H!$B:$B)," ")))))</f>
        <v> </v>
      </c>
      <c r="C17" s="98">
        <v>867651.62</v>
      </c>
      <c r="D17" s="99">
        <v>370854.55</v>
      </c>
      <c r="E17" s="99">
        <f>SUMIFS('9月份挂账'!$Q:$Q,'9月份挂账'!$S:$S,$A17)-SUMIFS('9月份挂账'!$P:$P,'9月份挂账'!$S:$S,$A17)</f>
        <v>468213.44</v>
      </c>
      <c r="F17" s="100">
        <f t="shared" si="0"/>
        <v>28583.63</v>
      </c>
      <c r="G17" s="125">
        <v>500000</v>
      </c>
    </row>
    <row r="18" customHeight="1" spans="1:7">
      <c r="A18" s="97" t="s">
        <v>255</v>
      </c>
      <c r="B18" s="42" t="str">
        <f>IFERROR(_xlfn.XLOOKUP('9月份计划'!A18,[5]UNEA!$B:$B,[5]UNEA!$B:$B),IFERROR(_xlfn.XLOOKUP('9月份计划'!A18,[5]MRHK!$B:$B,[5]MRHK!$B:$B),IFERROR(_xlfn.XLOOKUP('9月份计划'!A18,[5]MRHB!$B:$B,[5]MRHB!$B:$B),IFERROR(_xlfn.XLOOKUP('9月份计划'!A18,[5]HA6H!$B:$B,[5]HA6H!$B:$B),IFERROR(_xlfn.XLOOKUP('9月份计划'!A18,[5]HA6H!$B:$B,[5]HA6H!$B:$B)," ")))))</f>
        <v> </v>
      </c>
      <c r="C18" s="98">
        <v>50806.77</v>
      </c>
      <c r="D18" s="99">
        <f>SUMIFS('8月份挂账'!$Q:$Q,'8月份挂账'!$S:$S,$A18)-SUMIFS('8月份挂账'!$P:$P,'8月份挂账'!$S:$S,$A18)</f>
        <v>6782.25</v>
      </c>
      <c r="E18" s="99">
        <f>SUMIFS('9月份挂账'!$Q:$Q,'9月份挂账'!$S:$S,$A18)-SUMIFS('9月份挂账'!$P:$P,'9月份挂账'!$S:$S,$A18)</f>
        <v>2033.14</v>
      </c>
      <c r="F18" s="100">
        <f t="shared" si="0"/>
        <v>41991.38</v>
      </c>
      <c r="G18" s="124">
        <f>F18</f>
        <v>41991.38</v>
      </c>
    </row>
    <row r="19" customHeight="1" spans="1:10">
      <c r="A19" s="97" t="s">
        <v>256</v>
      </c>
      <c r="B19" s="42" t="str">
        <f>IFERROR(_xlfn.XLOOKUP('9月份计划'!A19,[5]UNEA!$B:$B,[5]UNEA!$B:$B),IFERROR(_xlfn.XLOOKUP('9月份计划'!A19,[5]MRHK!$B:$B,[5]MRHK!$B:$B),IFERROR(_xlfn.XLOOKUP('9月份计划'!A19,[5]MRHB!$B:$B,[5]MRHB!$B:$B),IFERROR(_xlfn.XLOOKUP('9月份计划'!A19,[5]HA6H!$B:$B,[5]HA6H!$B:$B),IFERROR(_xlfn.XLOOKUP('9月份计划'!A19,[5]HA6H!$B:$B,[5]HA6H!$B:$B)," ")))))</f>
        <v>湘乡简美工贸有限公司</v>
      </c>
      <c r="C19" s="98">
        <v>2217826.11</v>
      </c>
      <c r="D19" s="99">
        <f>SUMIFS('8月份挂账'!$Q:$Q,'8月份挂账'!$S:$S,$A19)-SUMIFS('8月份挂账'!$P:$P,'8月份挂账'!$S:$S,$A19)</f>
        <v>339973.44</v>
      </c>
      <c r="E19" s="99">
        <f>SUMIFS('9月份挂账'!$Q:$Q,'9月份挂账'!$S:$S,$A19)-SUMIFS('9月份挂账'!$P:$P,'9月份挂账'!$S:$S,$A19)</f>
        <v>331210.89</v>
      </c>
      <c r="F19" s="100">
        <f t="shared" si="0"/>
        <v>1546641.78</v>
      </c>
      <c r="G19" s="125">
        <v>350000</v>
      </c>
      <c r="J19" s="42">
        <f>G19</f>
        <v>350000</v>
      </c>
    </row>
    <row r="20" customHeight="1" spans="1:7">
      <c r="A20" s="97" t="s">
        <v>257</v>
      </c>
      <c r="B20" s="42" t="str">
        <f>IFERROR(_xlfn.XLOOKUP('9月份计划'!A20,[5]UNEA!$B:$B,[5]UNEA!$B:$B),IFERROR(_xlfn.XLOOKUP('9月份计划'!A20,[5]MRHK!$B:$B,[5]MRHK!$B:$B),IFERROR(_xlfn.XLOOKUP('9月份计划'!A20,[5]MRHB!$B:$B,[5]MRHB!$B:$B),IFERROR(_xlfn.XLOOKUP('9月份计划'!A20,[5]HA6H!$B:$B,[5]HA6H!$B:$B),IFERROR(_xlfn.XLOOKUP('9月份计划'!A20,[5]HA6H!$B:$B,[5]HA6H!$B:$B)," ")))))</f>
        <v> </v>
      </c>
      <c r="C20" s="98">
        <v>-39.99</v>
      </c>
      <c r="D20" s="99">
        <f>SUMIFS('8月份挂账'!$Q:$Q,'8月份挂账'!$S:$S,$A20)-SUMIFS('8月份挂账'!$P:$P,'8月份挂账'!$S:$S,$A20)</f>
        <v>0</v>
      </c>
      <c r="E20" s="99">
        <f>SUMIFS('9月份挂账'!$Q:$Q,'9月份挂账'!$S:$S,$A20)-SUMIFS('9月份挂账'!$P:$P,'9月份挂账'!$S:$S,$A20)</f>
        <v>0</v>
      </c>
      <c r="F20" s="100">
        <f t="shared" si="0"/>
        <v>-39.99</v>
      </c>
      <c r="G20" s="124"/>
    </row>
    <row r="21" customHeight="1" spans="1:7">
      <c r="A21" s="97" t="s">
        <v>258</v>
      </c>
      <c r="B21" s="42" t="str">
        <f>IFERROR(_xlfn.XLOOKUP('9月份计划'!A21,[5]UNEA!$B:$B,[5]UNEA!$B:$B),IFERROR(_xlfn.XLOOKUP('9月份计划'!A21,[5]MRHK!$B:$B,[5]MRHK!$B:$B),IFERROR(_xlfn.XLOOKUP('9月份计划'!A21,[5]MRHB!$B:$B,[5]MRHB!$B:$B),IFERROR(_xlfn.XLOOKUP('9月份计划'!A21,[5]HA6H!$B:$B,[5]HA6H!$B:$B),IFERROR(_xlfn.XLOOKUP('9月份计划'!A21,[5]HA6H!$B:$B,[5]HA6H!$B:$B)," ")))))</f>
        <v> </v>
      </c>
      <c r="C21" s="98">
        <v>12692.07</v>
      </c>
      <c r="D21" s="99">
        <f>SUMIFS('8月份挂账'!$Q:$Q,'8月份挂账'!$S:$S,$A21)-SUMIFS('8月份挂账'!$P:$P,'8月份挂账'!$S:$S,$A21)</f>
        <v>6789.4</v>
      </c>
      <c r="E21" s="99">
        <f>SUMIFS('9月份挂账'!$Q:$Q,'9月份挂账'!$S:$S,$A21)-SUMIFS('9月份挂账'!$P:$P,'9月份挂账'!$S:$S,$A21)</f>
        <v>5902.67</v>
      </c>
      <c r="F21" s="100">
        <f t="shared" si="0"/>
        <v>0</v>
      </c>
      <c r="G21" s="124"/>
    </row>
    <row r="22" customHeight="1" spans="1:7">
      <c r="A22" s="97" t="s">
        <v>259</v>
      </c>
      <c r="B22" s="42" t="str">
        <f>IFERROR(_xlfn.XLOOKUP('9月份计划'!A22,[5]UNEA!$B:$B,[5]UNEA!$B:$B),IFERROR(_xlfn.XLOOKUP('9月份计划'!A22,[5]MRHK!$B:$B,[5]MRHK!$B:$B),IFERROR(_xlfn.XLOOKUP('9月份计划'!A22,[5]MRHB!$B:$B,[5]MRHB!$B:$B),IFERROR(_xlfn.XLOOKUP('9月份计划'!A22,[5]HA6H!$B:$B,[5]HA6H!$B:$B),IFERROR(_xlfn.XLOOKUP('9月份计划'!A22,[5]HA6H!$B:$B,[5]HA6H!$B:$B)," ")))))</f>
        <v> </v>
      </c>
      <c r="C22" s="98">
        <v>307800.62</v>
      </c>
      <c r="D22" s="99">
        <f>SUMIFS('8月份挂账'!$Q:$Q,'8月份挂账'!$S:$S,$A22)-SUMIFS('8月份挂账'!$P:$P,'8月份挂账'!$S:$S,$A22)</f>
        <v>0</v>
      </c>
      <c r="E22" s="99">
        <f>SUMIFS('9月份挂账'!$Q:$Q,'9月份挂账'!$S:$S,$A22)-SUMIFS('9月份挂账'!$P:$P,'9月份挂账'!$S:$S,$A22)</f>
        <v>0</v>
      </c>
      <c r="F22" s="100">
        <f t="shared" si="0"/>
        <v>307800.62</v>
      </c>
      <c r="G22" s="124">
        <f>F22</f>
        <v>307800.62</v>
      </c>
    </row>
    <row r="23" customHeight="1" spans="1:7">
      <c r="A23" s="97" t="s">
        <v>260</v>
      </c>
      <c r="B23" s="42" t="str">
        <f>IFERROR(_xlfn.XLOOKUP('9月份计划'!A23,[5]UNEA!$B:$B,[5]UNEA!$B:$B),IFERROR(_xlfn.XLOOKUP('9月份计划'!A23,[5]MRHK!$B:$B,[5]MRHK!$B:$B),IFERROR(_xlfn.XLOOKUP('9月份计划'!A23,[5]MRHB!$B:$B,[5]MRHB!$B:$B),IFERROR(_xlfn.XLOOKUP('9月份计划'!A23,[5]HA6H!$B:$B,[5]HA6H!$B:$B),IFERROR(_xlfn.XLOOKUP('9月份计划'!A23,[5]HA6H!$B:$B,[5]HA6H!$B:$B)," ")))))</f>
        <v> </v>
      </c>
      <c r="C23" s="98">
        <v>93545.16</v>
      </c>
      <c r="D23" s="99">
        <f>SUMIFS('8月份挂账'!$Q:$Q,'8月份挂账'!$S:$S,$A23)-SUMIFS('8月份挂账'!$P:$P,'8月份挂账'!$S:$S,$A23)</f>
        <v>40732.2</v>
      </c>
      <c r="E23" s="99">
        <f>SUMIFS('9月份挂账'!$Q:$Q,'9月份挂账'!$S:$S,$A23)-SUMIFS('9月份挂账'!$P:$P,'9月份挂账'!$S:$S,$A23)</f>
        <v>30342.84</v>
      </c>
      <c r="F23" s="100">
        <f t="shared" ref="F23:F54" si="1">C23-D23-E23</f>
        <v>22470.12</v>
      </c>
      <c r="G23" s="124">
        <v>22470.12</v>
      </c>
    </row>
    <row r="24" customHeight="1" spans="1:7">
      <c r="A24" s="97" t="s">
        <v>261</v>
      </c>
      <c r="B24" s="42" t="str">
        <f>IFERROR(_xlfn.XLOOKUP('9月份计划'!A24,[5]UNEA!$B:$B,[5]UNEA!$B:$B),IFERROR(_xlfn.XLOOKUP('9月份计划'!A24,[5]MRHK!$B:$B,[5]MRHK!$B:$B),IFERROR(_xlfn.XLOOKUP('9月份计划'!A24,[5]MRHB!$B:$B,[5]MRHB!$B:$B),IFERROR(_xlfn.XLOOKUP('9月份计划'!A24,[5]HA6H!$B:$B,[5]HA6H!$B:$B),IFERROR(_xlfn.XLOOKUP('9月份计划'!A24,[5]HA6H!$B:$B,[5]HA6H!$B:$B)," ")))))</f>
        <v> </v>
      </c>
      <c r="C24" s="98">
        <v>408624.61</v>
      </c>
      <c r="D24" s="99">
        <v>146932</v>
      </c>
      <c r="E24" s="99">
        <f>SUMIFS('9月份挂账'!$Q:$Q,'9月份挂账'!$S:$S,$A24)-SUMIFS('9月份挂账'!$P:$P,'9月份挂账'!$S:$S,$A24)</f>
        <v>23388</v>
      </c>
      <c r="F24" s="100">
        <f t="shared" si="1"/>
        <v>238304.61</v>
      </c>
      <c r="G24" s="125">
        <v>150000</v>
      </c>
    </row>
    <row r="25" customHeight="1" spans="1:7">
      <c r="A25" s="97" t="s">
        <v>262</v>
      </c>
      <c r="B25" s="42" t="str">
        <f>IFERROR(_xlfn.XLOOKUP('9月份计划'!A25,[5]UNEA!$B:$B,[5]UNEA!$B:$B),IFERROR(_xlfn.XLOOKUP('9月份计划'!A25,[5]MRHK!$B:$B,[5]MRHK!$B:$B),IFERROR(_xlfn.XLOOKUP('9月份计划'!A25,[5]MRHB!$B:$B,[5]MRHB!$B:$B),IFERROR(_xlfn.XLOOKUP('9月份计划'!A25,[5]HA6H!$B:$B,[5]HA6H!$B:$B),IFERROR(_xlfn.XLOOKUP('9月份计划'!A25,[5]HA6H!$B:$B,[5]HA6H!$B:$B)," ")))))</f>
        <v> </v>
      </c>
      <c r="C25" s="98">
        <v>379103.74</v>
      </c>
      <c r="D25" s="99">
        <f>SUMIFS('8月份挂账'!$Q:$Q,'8月份挂账'!$S:$S,$A25)-SUMIFS('8月份挂账'!$P:$P,'8月份挂账'!$S:$S,$A25)</f>
        <v>0</v>
      </c>
      <c r="E25" s="99">
        <f>SUMIFS('9月份挂账'!$Q:$Q,'9月份挂账'!$S:$S,$A25)-SUMIFS('9月份挂账'!$P:$P,'9月份挂账'!$S:$S,$A25)</f>
        <v>0</v>
      </c>
      <c r="F25" s="100">
        <f t="shared" si="1"/>
        <v>379103.74</v>
      </c>
      <c r="G25" s="125">
        <v>150000</v>
      </c>
    </row>
    <row r="26" customHeight="1" spans="1:7">
      <c r="A26" s="97" t="s">
        <v>263</v>
      </c>
      <c r="B26" s="42" t="str">
        <f>IFERROR(_xlfn.XLOOKUP('9月份计划'!A26,[5]UNEA!$B:$B,[5]UNEA!$B:$B),IFERROR(_xlfn.XLOOKUP('9月份计划'!A26,[5]MRHK!$B:$B,[5]MRHK!$B:$B),IFERROR(_xlfn.XLOOKUP('9月份计划'!A26,[5]MRHB!$B:$B,[5]MRHB!$B:$B),IFERROR(_xlfn.XLOOKUP('9月份计划'!A26,[5]HA6H!$B:$B,[5]HA6H!$B:$B),IFERROR(_xlfn.XLOOKUP('9月份计划'!A26,[5]HA6H!$B:$B,[5]HA6H!$B:$B)," ")))))</f>
        <v>武汉德锐隆科技有限公司</v>
      </c>
      <c r="C26" s="98">
        <v>189782.22</v>
      </c>
      <c r="D26" s="99">
        <f>SUMIFS('8月份挂账'!$Q:$Q,'8月份挂账'!$S:$S,$A26)-SUMIFS('8月份挂账'!$P:$P,'8月份挂账'!$S:$S,$A26)</f>
        <v>15358.5</v>
      </c>
      <c r="E26" s="99">
        <f>SUMIFS('9月份挂账'!$Q:$Q,'9月份挂账'!$S:$S,$A26)-SUMIFS('9月份挂账'!$P:$P,'9月份挂账'!$S:$S,$A26)</f>
        <v>49045.74</v>
      </c>
      <c r="F26" s="100">
        <f t="shared" si="1"/>
        <v>125377.98</v>
      </c>
      <c r="G26" s="125">
        <v>150000</v>
      </c>
    </row>
    <row r="27" customHeight="1" spans="1:7">
      <c r="A27" s="97" t="s">
        <v>264</v>
      </c>
      <c r="B27" s="42" t="str">
        <f>IFERROR(_xlfn.XLOOKUP('9月份计划'!A27,[5]UNEA!$B:$B,[5]UNEA!$B:$B),IFERROR(_xlfn.XLOOKUP('9月份计划'!A27,[5]MRHK!$B:$B,[5]MRHK!$B:$B),IFERROR(_xlfn.XLOOKUP('9月份计划'!A27,[5]MRHB!$B:$B,[5]MRHB!$B:$B),IFERROR(_xlfn.XLOOKUP('9月份计划'!A27,[5]HA6H!$B:$B,[5]HA6H!$B:$B),IFERROR(_xlfn.XLOOKUP('9月份计划'!A27,[5]HA6H!$B:$B,[5]HA6H!$B:$B)," ")))))</f>
        <v> </v>
      </c>
      <c r="C27" s="98">
        <v>1302158.72</v>
      </c>
      <c r="D27" s="99">
        <f>SUMIFS('8月份挂账'!$Q:$Q,'8月份挂账'!$S:$S,$A27)-SUMIFS('8月份挂账'!$P:$P,'8月份挂账'!$S:$S,$A27)</f>
        <v>231873.71</v>
      </c>
      <c r="E27" s="99">
        <f>SUMIFS('9月份挂账'!$Q:$Q,'9月份挂账'!$S:$S,$A27)-SUMIFS('9月份挂账'!$P:$P,'9月份挂账'!$S:$S,$A27)</f>
        <v>222355.83</v>
      </c>
      <c r="F27" s="100">
        <f t="shared" si="1"/>
        <v>847929.18</v>
      </c>
      <c r="G27" s="125">
        <v>300000</v>
      </c>
    </row>
    <row r="28" customHeight="1" spans="1:11">
      <c r="A28" s="97" t="s">
        <v>265</v>
      </c>
      <c r="B28" s="42" t="str">
        <f>IFERROR(_xlfn.XLOOKUP('9月份计划'!A28,[5]UNEA!$B:$B,[5]UNEA!$B:$B),IFERROR(_xlfn.XLOOKUP('9月份计划'!A28,[5]MRHK!$B:$B,[5]MRHK!$B:$B),IFERROR(_xlfn.XLOOKUP('9月份计划'!A28,[5]MRHB!$B:$B,[5]MRHB!$B:$B),IFERROR(_xlfn.XLOOKUP('9月份计划'!A28,[5]HA6H!$B:$B,[5]HA6H!$B:$B),IFERROR(_xlfn.XLOOKUP('9月份计划'!A28,[5]HA6H!$B:$B,[5]HA6H!$B:$B)," ")))))</f>
        <v> </v>
      </c>
      <c r="C28" s="98">
        <v>1836854.24</v>
      </c>
      <c r="D28" s="99">
        <f>SUMIFS('8月份挂账'!$Q:$Q,'8月份挂账'!$S:$S,$A28)-SUMIFS('8月份挂账'!$P:$P,'8月份挂账'!$S:$S,$A28)</f>
        <v>762117.04</v>
      </c>
      <c r="E28" s="99">
        <f>SUMIFS('9月份挂账'!$Q:$Q,'9月份挂账'!$S:$S,$A28)-SUMIFS('9月份挂账'!$P:$P,'9月份挂账'!$S:$S,$A28)</f>
        <v>543503.64</v>
      </c>
      <c r="F28" s="100">
        <f t="shared" si="1"/>
        <v>531233.56</v>
      </c>
      <c r="G28" s="125">
        <v>500000</v>
      </c>
      <c r="H28" s="42">
        <f>G28</f>
        <v>500000</v>
      </c>
      <c r="K28" s="42" t="s">
        <v>266</v>
      </c>
    </row>
    <row r="29" customHeight="1" spans="1:7">
      <c r="A29" s="97" t="s">
        <v>267</v>
      </c>
      <c r="B29" s="42" t="str">
        <f>IFERROR(_xlfn.XLOOKUP('9月份计划'!A29,[5]UNEA!$B:$B,[5]UNEA!$B:$B),IFERROR(_xlfn.XLOOKUP('9月份计划'!A29,[5]MRHK!$B:$B,[5]MRHK!$B:$B),IFERROR(_xlfn.XLOOKUP('9月份计划'!A29,[5]MRHB!$B:$B,[5]MRHB!$B:$B),IFERROR(_xlfn.XLOOKUP('9月份计划'!A29,[5]HA6H!$B:$B,[5]HA6H!$B:$B),IFERROR(_xlfn.XLOOKUP('9月份计划'!A29,[5]HA6H!$B:$B,[5]HA6H!$B:$B)," ")))))</f>
        <v> </v>
      </c>
      <c r="C29" s="98">
        <v>4272.99</v>
      </c>
      <c r="D29" s="99">
        <f>SUMIFS('8月份挂账'!$Q:$Q,'8月份挂账'!$S:$S,$A29)-SUMIFS('8月份挂账'!$P:$P,'8月份挂账'!$S:$S,$A29)</f>
        <v>4272.99</v>
      </c>
      <c r="E29" s="99">
        <f>SUMIFS('9月份挂账'!$Q:$Q,'9月份挂账'!$S:$S,$A29)-SUMIFS('9月份挂账'!$P:$P,'9月份挂账'!$S:$S,$A29)</f>
        <v>0</v>
      </c>
      <c r="F29" s="100">
        <f t="shared" si="1"/>
        <v>0</v>
      </c>
      <c r="G29" s="124"/>
    </row>
    <row r="30" customHeight="1" spans="1:7">
      <c r="A30" s="97" t="s">
        <v>268</v>
      </c>
      <c r="B30" s="42" t="str">
        <f>IFERROR(_xlfn.XLOOKUP('9月份计划'!A30,[5]UNEA!$B:$B,[5]UNEA!$B:$B),IFERROR(_xlfn.XLOOKUP('9月份计划'!A30,[5]MRHK!$B:$B,[5]MRHK!$B:$B),IFERROR(_xlfn.XLOOKUP('9月份计划'!A30,[5]MRHB!$B:$B,[5]MRHB!$B:$B),IFERROR(_xlfn.XLOOKUP('9月份计划'!A30,[5]HA6H!$B:$B,[5]HA6H!$B:$B),IFERROR(_xlfn.XLOOKUP('9月份计划'!A30,[5]HA6H!$B:$B,[5]HA6H!$B:$B)," ")))))</f>
        <v> </v>
      </c>
      <c r="C30" s="98">
        <v>12531.25</v>
      </c>
      <c r="D30" s="99">
        <f>SUMIFS('8月份挂账'!$Q:$Q,'8月份挂账'!$S:$S,$A30)-SUMIFS('8月份挂账'!$P:$P,'8月份挂账'!$S:$S,$A30)</f>
        <v>0</v>
      </c>
      <c r="E30" s="99">
        <f>SUMIFS('9月份挂账'!$Q:$Q,'9月份挂账'!$S:$S,$A30)-SUMIFS('9月份挂账'!$P:$P,'9月份挂账'!$S:$S,$A30)</f>
        <v>12531.25</v>
      </c>
      <c r="F30" s="100">
        <f t="shared" si="1"/>
        <v>0</v>
      </c>
      <c r="G30" s="124"/>
    </row>
    <row r="31" customHeight="1" spans="1:7">
      <c r="A31" s="97" t="s">
        <v>269</v>
      </c>
      <c r="B31" s="42" t="str">
        <f>IFERROR(_xlfn.XLOOKUP('9月份计划'!A31,[5]UNEA!$B:$B,[5]UNEA!$B:$B),IFERROR(_xlfn.XLOOKUP('9月份计划'!A31,[5]MRHK!$B:$B,[5]MRHK!$B:$B),IFERROR(_xlfn.XLOOKUP('9月份计划'!A31,[5]MRHB!$B:$B,[5]MRHB!$B:$B),IFERROR(_xlfn.XLOOKUP('9月份计划'!A31,[5]HA6H!$B:$B,[5]HA6H!$B:$B),IFERROR(_xlfn.XLOOKUP('9月份计划'!A31,[5]HA6H!$B:$B,[5]HA6H!$B:$B)," ")))))</f>
        <v> </v>
      </c>
      <c r="C31" s="98">
        <v>-11152.91</v>
      </c>
      <c r="D31" s="99">
        <f>SUMIFS('8月份挂账'!$Q:$Q,'8月份挂账'!$S:$S,$A31)-SUMIFS('8月份挂账'!$P:$P,'8月份挂账'!$S:$S,$A31)</f>
        <v>0</v>
      </c>
      <c r="E31" s="99">
        <f>SUMIFS('9月份挂账'!$Q:$Q,'9月份挂账'!$S:$S,$A31)-SUMIFS('9月份挂账'!$P:$P,'9月份挂账'!$S:$S,$A31)</f>
        <v>0</v>
      </c>
      <c r="F31" s="100">
        <f t="shared" si="1"/>
        <v>-11152.91</v>
      </c>
      <c r="G31" s="124"/>
    </row>
    <row r="32" customHeight="1" spans="1:7">
      <c r="A32" s="97" t="s">
        <v>270</v>
      </c>
      <c r="B32" s="42" t="str">
        <f>IFERROR(_xlfn.XLOOKUP('9月份计划'!A32,[5]UNEA!$B:$B,[5]UNEA!$B:$B),IFERROR(_xlfn.XLOOKUP('9月份计划'!A32,[5]MRHK!$B:$B,[5]MRHK!$B:$B),IFERROR(_xlfn.XLOOKUP('9月份计划'!A32,[5]MRHB!$B:$B,[5]MRHB!$B:$B),IFERROR(_xlfn.XLOOKUP('9月份计划'!A32,[5]HA6H!$B:$B,[5]HA6H!$B:$B),IFERROR(_xlfn.XLOOKUP('9月份计划'!A32,[5]HA6H!$B:$B,[5]HA6H!$B:$B)," ")))))</f>
        <v> </v>
      </c>
      <c r="C32" s="98">
        <v>11884.08</v>
      </c>
      <c r="D32" s="99">
        <f>SUMIFS('8月份挂账'!$Q:$Q,'8月份挂账'!$S:$S,$A32)-SUMIFS('8月份挂账'!$P:$P,'8月份挂账'!$S:$S,$A32)</f>
        <v>3689.67</v>
      </c>
      <c r="E32" s="99">
        <f>SUMIFS('9月份挂账'!$Q:$Q,'9月份挂账'!$S:$S,$A32)-SUMIFS('9月份挂账'!$P:$P,'9月份挂账'!$S:$S,$A32)</f>
        <v>6979.64</v>
      </c>
      <c r="F32" s="100">
        <f t="shared" si="1"/>
        <v>1214.77</v>
      </c>
      <c r="G32" s="124">
        <v>1214.77</v>
      </c>
    </row>
    <row r="33" customHeight="1" spans="1:7">
      <c r="A33" s="97" t="s">
        <v>271</v>
      </c>
      <c r="B33" s="42" t="str">
        <f>IFERROR(_xlfn.XLOOKUP('9月份计划'!A33,[5]UNEA!$B:$B,[5]UNEA!$B:$B),IFERROR(_xlfn.XLOOKUP('9月份计划'!A33,[5]MRHK!$B:$B,[5]MRHK!$B:$B),IFERROR(_xlfn.XLOOKUP('9月份计划'!A33,[5]MRHB!$B:$B,[5]MRHB!$B:$B),IFERROR(_xlfn.XLOOKUP('9月份计划'!A33,[5]HA6H!$B:$B,[5]HA6H!$B:$B),IFERROR(_xlfn.XLOOKUP('9月份计划'!A33,[5]HA6H!$B:$B,[5]HA6H!$B:$B)," ")))))</f>
        <v> </v>
      </c>
      <c r="C33" s="98">
        <v>22774.59</v>
      </c>
      <c r="D33" s="99">
        <f>SUMIFS('8月份挂账'!$Q:$Q,'8月份挂账'!$S:$S,$A33)-SUMIFS('8月份挂账'!$P:$P,'8月份挂账'!$S:$S,$A33)</f>
        <v>0</v>
      </c>
      <c r="E33" s="99">
        <f>SUMIFS('9月份挂账'!$Q:$Q,'9月份挂账'!$S:$S,$A33)-SUMIFS('9月份挂账'!$P:$P,'9月份挂账'!$S:$S,$A33)</f>
        <v>0</v>
      </c>
      <c r="F33" s="100">
        <f t="shared" si="1"/>
        <v>22774.59</v>
      </c>
      <c r="G33" s="124"/>
    </row>
    <row r="34" customHeight="1" spans="1:7">
      <c r="A34" s="97" t="s">
        <v>272</v>
      </c>
      <c r="B34" s="42" t="str">
        <f>IFERROR(_xlfn.XLOOKUP('9月份计划'!A34,[5]UNEA!$B:$B,[5]UNEA!$B:$B),IFERROR(_xlfn.XLOOKUP('9月份计划'!A34,[5]MRHK!$B:$B,[5]MRHK!$B:$B),IFERROR(_xlfn.XLOOKUP('9月份计划'!A34,[5]MRHB!$B:$B,[5]MRHB!$B:$B),IFERROR(_xlfn.XLOOKUP('9月份计划'!A34,[5]HA6H!$B:$B,[5]HA6H!$B:$B),IFERROR(_xlfn.XLOOKUP('9月份计划'!A34,[5]HA6H!$B:$B,[5]HA6H!$B:$B)," ")))))</f>
        <v> </v>
      </c>
      <c r="C34" s="98">
        <v>127105.22</v>
      </c>
      <c r="D34" s="99">
        <f>SUMIFS('8月份挂账'!$Q:$Q,'8月份挂账'!$S:$S,$A34)-SUMIFS('8月份挂账'!$P:$P,'8月份挂账'!$S:$S,$A34)</f>
        <v>21776.5</v>
      </c>
      <c r="E34" s="99">
        <f>SUMIFS('9月份挂账'!$Q:$Q,'9月份挂账'!$S:$S,$A34)-SUMIFS('9月份挂账'!$P:$P,'9月份挂账'!$S:$S,$A34)</f>
        <v>17155.69</v>
      </c>
      <c r="F34" s="100">
        <f t="shared" si="1"/>
        <v>88173.03</v>
      </c>
      <c r="G34" s="124">
        <v>50000</v>
      </c>
    </row>
    <row r="35" customHeight="1" spans="1:7">
      <c r="A35" s="97" t="s">
        <v>273</v>
      </c>
      <c r="B35" s="42" t="str">
        <f>IFERROR(_xlfn.XLOOKUP('9月份计划'!A35,[5]UNEA!$B:$B,[5]UNEA!$B:$B),IFERROR(_xlfn.XLOOKUP('9月份计划'!A35,[5]MRHK!$B:$B,[5]MRHK!$B:$B),IFERROR(_xlfn.XLOOKUP('9月份计划'!A35,[5]MRHB!$B:$B,[5]MRHB!$B:$B),IFERROR(_xlfn.XLOOKUP('9月份计划'!A35,[5]HA6H!$B:$B,[5]HA6H!$B:$B),IFERROR(_xlfn.XLOOKUP('9月份计划'!A35,[5]HA6H!$B:$B,[5]HA6H!$B:$B)," ")))))</f>
        <v>长春超力内饰件有限公司</v>
      </c>
      <c r="C35" s="98">
        <v>250359.41</v>
      </c>
      <c r="D35" s="99">
        <f>SUMIFS('8月份挂账'!$Q:$Q,'8月份挂账'!$S:$S,$A35)-SUMIFS('8月份挂账'!$P:$P,'8月份挂账'!$S:$S,$A35)</f>
        <v>25087.13</v>
      </c>
      <c r="E35" s="99">
        <f>SUMIFS('9月份挂账'!$Q:$Q,'9月份挂账'!$S:$S,$A35)-SUMIFS('9月份挂账'!$P:$P,'9月份挂账'!$S:$S,$A35)</f>
        <v>61086.67</v>
      </c>
      <c r="F35" s="100">
        <f t="shared" si="1"/>
        <v>164185.61</v>
      </c>
      <c r="G35" s="124">
        <v>164185.61</v>
      </c>
    </row>
    <row r="36" customHeight="1" spans="1:7">
      <c r="A36" s="121" t="s">
        <v>274</v>
      </c>
      <c r="B36" s="42" t="str">
        <f>IFERROR(_xlfn.XLOOKUP('9月份计划'!A36,[5]UNEA!$B:$B,[5]UNEA!$B:$B),IFERROR(_xlfn.XLOOKUP('9月份计划'!A36,[5]MRHK!$B:$B,[5]MRHK!$B:$B),IFERROR(_xlfn.XLOOKUP('9月份计划'!A36,[5]MRHB!$B:$B,[5]MRHB!$B:$B),IFERROR(_xlfn.XLOOKUP('9月份计划'!A36,[5]HA6H!$B:$B,[5]HA6H!$B:$B),IFERROR(_xlfn.XLOOKUP('9月份计划'!A36,[5]HA6H!$B:$B,[5]HA6H!$B:$B)," ")))))</f>
        <v> </v>
      </c>
      <c r="C36" s="98">
        <v>158512.03</v>
      </c>
      <c r="D36" s="99">
        <f>SUMIFS('8月份挂账'!$Q:$Q,'8月份挂账'!$S:$S,$A36)-SUMIFS('8月份挂账'!$P:$P,'8月份挂账'!$S:$S,$A36)</f>
        <v>0</v>
      </c>
      <c r="E36" s="99">
        <f>SUMIFS('9月份挂账'!$Q:$Q,'9月份挂账'!$S:$S,$A36)-SUMIFS('9月份挂账'!$P:$P,'9月份挂账'!$S:$S,$A36)</f>
        <v>0</v>
      </c>
      <c r="F36" s="100">
        <f t="shared" si="1"/>
        <v>158512.03</v>
      </c>
      <c r="G36" s="124"/>
    </row>
    <row r="37" customHeight="1" spans="1:7">
      <c r="A37" s="97" t="s">
        <v>275</v>
      </c>
      <c r="B37" s="42" t="str">
        <f>IFERROR(_xlfn.XLOOKUP('9月份计划'!A37,[5]UNEA!$B:$B,[5]UNEA!$B:$B),IFERROR(_xlfn.XLOOKUP('9月份计划'!A37,[5]MRHK!$B:$B,[5]MRHK!$B:$B),IFERROR(_xlfn.XLOOKUP('9月份计划'!A37,[5]MRHB!$B:$B,[5]MRHB!$B:$B),IFERROR(_xlfn.XLOOKUP('9月份计划'!A37,[5]HA6H!$B:$B,[5]HA6H!$B:$B),IFERROR(_xlfn.XLOOKUP('9月份计划'!A37,[5]HA6H!$B:$B,[5]HA6H!$B:$B)," ")))))</f>
        <v> </v>
      </c>
      <c r="C37" s="98">
        <v>20492.35</v>
      </c>
      <c r="D37" s="99">
        <f>SUMIFS('8月份挂账'!$Q:$Q,'8月份挂账'!$S:$S,$A37)-SUMIFS('8月份挂账'!$P:$P,'8月份挂账'!$S:$S,$A37)</f>
        <v>0</v>
      </c>
      <c r="E37" s="99">
        <f>SUMIFS('9月份挂账'!$Q:$Q,'9月份挂账'!$S:$S,$A37)-SUMIFS('9月份挂账'!$P:$P,'9月份挂账'!$S:$S,$A37)</f>
        <v>20492.35</v>
      </c>
      <c r="F37" s="100">
        <f t="shared" si="1"/>
        <v>0</v>
      </c>
      <c r="G37" s="124"/>
    </row>
    <row r="38" customHeight="1" spans="1:7">
      <c r="A38" s="97" t="s">
        <v>276</v>
      </c>
      <c r="B38" s="42" t="str">
        <f>IFERROR(_xlfn.XLOOKUP('9月份计划'!A38,[5]UNEA!$B:$B,[5]UNEA!$B:$B),IFERROR(_xlfn.XLOOKUP('9月份计划'!A38,[5]MRHK!$B:$B,[5]MRHK!$B:$B),IFERROR(_xlfn.XLOOKUP('9月份计划'!A38,[5]MRHB!$B:$B,[5]MRHB!$B:$B),IFERROR(_xlfn.XLOOKUP('9月份计划'!A38,[5]HA6H!$B:$B,[5]HA6H!$B:$B),IFERROR(_xlfn.XLOOKUP('9月份计划'!A38,[5]HA6H!$B:$B,[5]HA6H!$B:$B)," ")))))</f>
        <v> </v>
      </c>
      <c r="C38" s="98">
        <v>38188.24</v>
      </c>
      <c r="D38" s="99">
        <f>SUMIFS('8月份挂账'!$Q:$Q,'8月份挂账'!$S:$S,$A38)-SUMIFS('8月份挂账'!$P:$P,'8月份挂账'!$S:$S,$A38)</f>
        <v>0</v>
      </c>
      <c r="E38" s="99">
        <f>SUMIFS('9月份挂账'!$Q:$Q,'9月份挂账'!$S:$S,$A38)-SUMIFS('9月份挂账'!$P:$P,'9月份挂账'!$S:$S,$A38)</f>
        <v>0</v>
      </c>
      <c r="F38" s="100">
        <f t="shared" si="1"/>
        <v>38188.24</v>
      </c>
      <c r="G38" s="124"/>
    </row>
    <row r="39" customHeight="1" spans="1:10">
      <c r="A39" s="126" t="s">
        <v>277</v>
      </c>
      <c r="B39" s="42" t="str">
        <f>IFERROR(_xlfn.XLOOKUP('9月份计划'!A39,[5]UNEA!$B:$B,[5]UNEA!$B:$B),IFERROR(_xlfn.XLOOKUP('9月份计划'!A39,[5]MRHK!$B:$B,[5]MRHK!$B:$B),IFERROR(_xlfn.XLOOKUP('9月份计划'!A39,[5]MRHB!$B:$B,[5]MRHB!$B:$B),IFERROR(_xlfn.XLOOKUP('9月份计划'!A39,[5]HA6H!$B:$B,[5]HA6H!$B:$B),IFERROR(_xlfn.XLOOKUP('9月份计划'!A39,[5]HA6H!$B:$B,[5]HA6H!$B:$B)," ")))))</f>
        <v> </v>
      </c>
      <c r="C39" s="98">
        <v>3786240.99</v>
      </c>
      <c r="D39" s="99">
        <f>SUMIFS('8月份挂账'!$Q:$Q,'8月份挂账'!$S:$S,$A39)-SUMIFS('8月份挂账'!$P:$P,'8月份挂账'!$S:$S,$A39)</f>
        <v>990808.46</v>
      </c>
      <c r="E39" s="99">
        <f>SUMIFS('9月份挂账'!$Q:$Q,'9月份挂账'!$S:$S,$A39)-SUMIFS('9月份挂账'!$P:$P,'9月份挂账'!$S:$S,$A39)</f>
        <v>1510804.6</v>
      </c>
      <c r="F39" s="100">
        <f t="shared" si="1"/>
        <v>1284627.93</v>
      </c>
      <c r="G39" s="125">
        <v>800000</v>
      </c>
      <c r="J39" s="42">
        <f>G39</f>
        <v>800000</v>
      </c>
    </row>
    <row r="40" customHeight="1" spans="1:7">
      <c r="A40" s="97" t="s">
        <v>278</v>
      </c>
      <c r="B40" s="42" t="str">
        <f>IFERROR(_xlfn.XLOOKUP('9月份计划'!A40,[5]UNEA!$B:$B,[5]UNEA!$B:$B),IFERROR(_xlfn.XLOOKUP('9月份计划'!A40,[5]MRHK!$B:$B,[5]MRHK!$B:$B),IFERROR(_xlfn.XLOOKUP('9月份计划'!A40,[5]MRHB!$B:$B,[5]MRHB!$B:$B),IFERROR(_xlfn.XLOOKUP('9月份计划'!A40,[5]HA6H!$B:$B,[5]HA6H!$B:$B),IFERROR(_xlfn.XLOOKUP('9月份计划'!A40,[5]HA6H!$B:$B,[5]HA6H!$B:$B)," ")))))</f>
        <v> </v>
      </c>
      <c r="C40" s="98">
        <v>3299.6</v>
      </c>
      <c r="D40" s="99">
        <f>SUMIFS('8月份挂账'!$Q:$Q,'8月份挂账'!$S:$S,$A40)-SUMIFS('8月份挂账'!$P:$P,'8月份挂账'!$S:$S,$A40)</f>
        <v>0</v>
      </c>
      <c r="E40" s="99">
        <f>SUMIFS('9月份挂账'!$Q:$Q,'9月份挂账'!$S:$S,$A40)-SUMIFS('9月份挂账'!$P:$P,'9月份挂账'!$S:$S,$A40)</f>
        <v>3299.6</v>
      </c>
      <c r="F40" s="100">
        <f t="shared" si="1"/>
        <v>0</v>
      </c>
      <c r="G40" s="124"/>
    </row>
    <row r="41" customHeight="1" spans="1:7">
      <c r="A41" s="97" t="s">
        <v>279</v>
      </c>
      <c r="B41" s="42" t="str">
        <f>IFERROR(_xlfn.XLOOKUP('9月份计划'!A41,[5]UNEA!$B:$B,[5]UNEA!$B:$B),IFERROR(_xlfn.XLOOKUP('9月份计划'!A41,[5]MRHK!$B:$B,[5]MRHK!$B:$B),IFERROR(_xlfn.XLOOKUP('9月份计划'!A41,[5]MRHB!$B:$B,[5]MRHB!$B:$B),IFERROR(_xlfn.XLOOKUP('9月份计划'!A41,[5]HA6H!$B:$B,[5]HA6H!$B:$B),IFERROR(_xlfn.XLOOKUP('9月份计划'!A41,[5]HA6H!$B:$B,[5]HA6H!$B:$B)," ")))))</f>
        <v> </v>
      </c>
      <c r="C41" s="98">
        <v>13932.9</v>
      </c>
      <c r="D41" s="99">
        <f>SUMIFS('8月份挂账'!$Q:$Q,'8月份挂账'!$S:$S,$A41)-SUMIFS('8月份挂账'!$P:$P,'8月份挂账'!$S:$S,$A41)</f>
        <v>0</v>
      </c>
      <c r="E41" s="99">
        <f>SUMIFS('9月份挂账'!$Q:$Q,'9月份挂账'!$S:$S,$A41)-SUMIFS('9月份挂账'!$P:$P,'9月份挂账'!$S:$S,$A41)</f>
        <v>0</v>
      </c>
      <c r="F41" s="100">
        <f t="shared" si="1"/>
        <v>13932.9</v>
      </c>
      <c r="G41" s="124"/>
    </row>
    <row r="42" customHeight="1" spans="1:7">
      <c r="A42" s="97" t="s">
        <v>280</v>
      </c>
      <c r="B42" s="42" t="str">
        <f>IFERROR(_xlfn.XLOOKUP('9月份计划'!A42,[5]UNEA!$B:$B,[5]UNEA!$B:$B),IFERROR(_xlfn.XLOOKUP('9月份计划'!A42,[5]MRHK!$B:$B,[5]MRHK!$B:$B),IFERROR(_xlfn.XLOOKUP('9月份计划'!A42,[5]MRHB!$B:$B,[5]MRHB!$B:$B),IFERROR(_xlfn.XLOOKUP('9月份计划'!A42,[5]HA6H!$B:$B,[5]HA6H!$B:$B),IFERROR(_xlfn.XLOOKUP('9月份计划'!A42,[5]HA6H!$B:$B,[5]HA6H!$B:$B)," ")))))</f>
        <v> </v>
      </c>
      <c r="C42" s="98">
        <v>18813.54</v>
      </c>
      <c r="D42" s="99">
        <f>SUMIFS('8月份挂账'!$Q:$Q,'8月份挂账'!$S:$S,$A42)-SUMIFS('8月份挂账'!$P:$P,'8月份挂账'!$S:$S,$A42)</f>
        <v>0</v>
      </c>
      <c r="E42" s="99">
        <f>SUMIFS('9月份挂账'!$Q:$Q,'9月份挂账'!$S:$S,$A42)-SUMIFS('9月份挂账'!$P:$P,'9月份挂账'!$S:$S,$A42)</f>
        <v>18813.54</v>
      </c>
      <c r="F42" s="100">
        <f t="shared" si="1"/>
        <v>0</v>
      </c>
      <c r="G42" s="124"/>
    </row>
    <row r="43" customHeight="1" spans="1:7">
      <c r="A43" s="97" t="s">
        <v>281</v>
      </c>
      <c r="B43" s="42" t="str">
        <f>IFERROR(_xlfn.XLOOKUP('9月份计划'!A43,[5]UNEA!$B:$B,[5]UNEA!$B:$B),IFERROR(_xlfn.XLOOKUP('9月份计划'!A43,[5]MRHK!$B:$B,[5]MRHK!$B:$B),IFERROR(_xlfn.XLOOKUP('9月份计划'!A43,[5]MRHB!$B:$B,[5]MRHB!$B:$B),IFERROR(_xlfn.XLOOKUP('9月份计划'!A43,[5]HA6H!$B:$B,[5]HA6H!$B:$B),IFERROR(_xlfn.XLOOKUP('9月份计划'!A43,[5]HA6H!$B:$B,[5]HA6H!$B:$B)," ")))))</f>
        <v> </v>
      </c>
      <c r="C43" s="98">
        <v>9576</v>
      </c>
      <c r="D43" s="99">
        <f>SUMIFS('8月份挂账'!$Q:$Q,'8月份挂账'!$S:$S,$A43)-SUMIFS('8月份挂账'!$P:$P,'8月份挂账'!$S:$S,$A43)</f>
        <v>0</v>
      </c>
      <c r="E43" s="99">
        <f>SUMIFS('9月份挂账'!$Q:$Q,'9月份挂账'!$S:$S,$A43)-SUMIFS('9月份挂账'!$P:$P,'9月份挂账'!$S:$S,$A43)</f>
        <v>9576</v>
      </c>
      <c r="F43" s="100">
        <f t="shared" si="1"/>
        <v>0</v>
      </c>
      <c r="G43" s="124">
        <f>E43</f>
        <v>9576</v>
      </c>
    </row>
    <row r="44" customHeight="1" spans="1:7">
      <c r="A44" s="97" t="s">
        <v>282</v>
      </c>
      <c r="B44" s="42" t="str">
        <f>IFERROR(_xlfn.XLOOKUP('9月份计划'!A44,[5]UNEA!$B:$B,[5]UNEA!$B:$B),IFERROR(_xlfn.XLOOKUP('9月份计划'!A44,[5]MRHK!$B:$B,[5]MRHK!$B:$B),IFERROR(_xlfn.XLOOKUP('9月份计划'!A44,[5]MRHB!$B:$B,[5]MRHB!$B:$B),IFERROR(_xlfn.XLOOKUP('9月份计划'!A44,[5]HA6H!$B:$B,[5]HA6H!$B:$B),IFERROR(_xlfn.XLOOKUP('9月份计划'!A44,[5]HA6H!$B:$B,[5]HA6H!$B:$B)," ")))))</f>
        <v> </v>
      </c>
      <c r="C44" s="98">
        <v>72207</v>
      </c>
      <c r="D44" s="99">
        <f>SUMIFS('8月份挂账'!$Q:$Q,'8月份挂账'!$S:$S,$A44)-SUMIFS('8月份挂账'!$P:$P,'8月份挂账'!$S:$S,$A44)</f>
        <v>10170</v>
      </c>
      <c r="E44" s="99">
        <f>SUMIFS('9月份挂账'!$Q:$Q,'9月份挂账'!$S:$S,$A44)-SUMIFS('9月份挂账'!$P:$P,'9月份挂账'!$S:$S,$A44)</f>
        <v>36612</v>
      </c>
      <c r="F44" s="100">
        <f t="shared" si="1"/>
        <v>25425</v>
      </c>
      <c r="G44" s="124">
        <f>F44</f>
        <v>25425</v>
      </c>
    </row>
    <row r="45" customHeight="1" spans="1:7">
      <c r="A45" s="97" t="s">
        <v>283</v>
      </c>
      <c r="B45" s="42" t="str">
        <f>IFERROR(_xlfn.XLOOKUP('9月份计划'!A45,[5]UNEA!$B:$B,[5]UNEA!$B:$B),IFERROR(_xlfn.XLOOKUP('9月份计划'!A45,[5]MRHK!$B:$B,[5]MRHK!$B:$B),IFERROR(_xlfn.XLOOKUP('9月份计划'!A45,[5]MRHB!$B:$B,[5]MRHB!$B:$B),IFERROR(_xlfn.XLOOKUP('9月份计划'!A45,[5]HA6H!$B:$B,[5]HA6H!$B:$B),IFERROR(_xlfn.XLOOKUP('9月份计划'!A45,[5]HA6H!$B:$B,[5]HA6H!$B:$B)," ")))))</f>
        <v> </v>
      </c>
      <c r="C45" s="98">
        <v>6568.01</v>
      </c>
      <c r="D45" s="99">
        <f>SUMIFS('8月份挂账'!$Q:$Q,'8月份挂账'!$S:$S,$A45)-SUMIFS('8月份挂账'!$P:$P,'8月份挂账'!$S:$S,$A45)</f>
        <v>0</v>
      </c>
      <c r="E45" s="99">
        <f>SUMIFS('9月份挂账'!$Q:$Q,'9月份挂账'!$S:$S,$A45)-SUMIFS('9月份挂账'!$P:$P,'9月份挂账'!$S:$S,$A45)</f>
        <v>0</v>
      </c>
      <c r="F45" s="100">
        <f t="shared" si="1"/>
        <v>6568.01</v>
      </c>
      <c r="G45" s="124">
        <f>F45</f>
        <v>6568.01</v>
      </c>
    </row>
    <row r="46" customHeight="1" spans="1:7">
      <c r="A46" s="97" t="s">
        <v>284</v>
      </c>
      <c r="B46" s="42" t="str">
        <f>IFERROR(_xlfn.XLOOKUP('9月份计划'!A46,[5]UNEA!$B:$B,[5]UNEA!$B:$B),IFERROR(_xlfn.XLOOKUP('9月份计划'!A46,[5]MRHK!$B:$B,[5]MRHK!$B:$B),IFERROR(_xlfn.XLOOKUP('9月份计划'!A46,[5]MRHB!$B:$B,[5]MRHB!$B:$B),IFERROR(_xlfn.XLOOKUP('9月份计划'!A46,[5]HA6H!$B:$B,[5]HA6H!$B:$B),IFERROR(_xlfn.XLOOKUP('9月份计划'!A46,[5]HA6H!$B:$B,[5]HA6H!$B:$B)," ")))))</f>
        <v> </v>
      </c>
      <c r="C46" s="98">
        <v>7359.57</v>
      </c>
      <c r="D46" s="99">
        <f>SUMIFS('8月份挂账'!$Q:$Q,'8月份挂账'!$S:$S,$A46)-SUMIFS('8月份挂账'!$P:$P,'8月份挂账'!$S:$S,$A46)</f>
        <v>0</v>
      </c>
      <c r="E46" s="99">
        <f>SUMIFS('9月份挂账'!$Q:$Q,'9月份挂账'!$S:$S,$A46)-SUMIFS('9月份挂账'!$P:$P,'9月份挂账'!$S:$S,$A46)</f>
        <v>488.16</v>
      </c>
      <c r="F46" s="100">
        <f t="shared" si="1"/>
        <v>6871.41</v>
      </c>
      <c r="G46" s="124">
        <f>F46</f>
        <v>6871.41</v>
      </c>
    </row>
    <row r="47" customHeight="1" spans="1:7">
      <c r="A47" s="97" t="s">
        <v>285</v>
      </c>
      <c r="B47" s="42" t="str">
        <f>IFERROR(_xlfn.XLOOKUP('9月份计划'!A47,[5]UNEA!$B:$B,[5]UNEA!$B:$B),IFERROR(_xlfn.XLOOKUP('9月份计划'!A47,[5]MRHK!$B:$B,[5]MRHK!$B:$B),IFERROR(_xlfn.XLOOKUP('9月份计划'!A47,[5]MRHB!$B:$B,[5]MRHB!$B:$B),IFERROR(_xlfn.XLOOKUP('9月份计划'!A47,[5]HA6H!$B:$B,[5]HA6H!$B:$B),IFERROR(_xlfn.XLOOKUP('9月份计划'!A47,[5]HA6H!$B:$B,[5]HA6H!$B:$B)," ")))))</f>
        <v> </v>
      </c>
      <c r="C47" s="98">
        <v>49099.87</v>
      </c>
      <c r="D47" s="99">
        <f>SUMIFS('8月份挂账'!$Q:$Q,'8月份挂账'!$S:$S,$A47)-SUMIFS('8月份挂账'!$P:$P,'8月份挂账'!$S:$S,$A47)</f>
        <v>0</v>
      </c>
      <c r="E47" s="99">
        <f>SUMIFS('9月份挂账'!$Q:$Q,'9月份挂账'!$S:$S,$A47)-SUMIFS('9月份挂账'!$P:$P,'9月份挂账'!$S:$S,$A47)</f>
        <v>12642.2</v>
      </c>
      <c r="F47" s="100">
        <f t="shared" si="1"/>
        <v>36457.67</v>
      </c>
      <c r="G47" s="124">
        <f>F47</f>
        <v>36457.67</v>
      </c>
    </row>
    <row r="48" customHeight="1" spans="1:7">
      <c r="A48" s="97" t="s">
        <v>286</v>
      </c>
      <c r="B48" s="42" t="str">
        <f>IFERROR(_xlfn.XLOOKUP('9月份计划'!A48,[5]UNEA!$B:$B,[5]UNEA!$B:$B),IFERROR(_xlfn.XLOOKUP('9月份计划'!A48,[5]MRHK!$B:$B,[5]MRHK!$B:$B),IFERROR(_xlfn.XLOOKUP('9月份计划'!A48,[5]MRHB!$B:$B,[5]MRHB!$B:$B),IFERROR(_xlfn.XLOOKUP('9月份计划'!A48,[5]HA6H!$B:$B,[5]HA6H!$B:$B),IFERROR(_xlfn.XLOOKUP('9月份计划'!A48,[5]HA6H!$B:$B,[5]HA6H!$B:$B)," ")))))</f>
        <v> </v>
      </c>
      <c r="C48" s="98">
        <v>82339.15</v>
      </c>
      <c r="D48" s="99">
        <f>SUMIFS('8月份挂账'!$Q:$Q,'8月份挂账'!$S:$S,$A48)-SUMIFS('8月份挂账'!$P:$P,'8月份挂账'!$S:$S,$A48)</f>
        <v>17026.62</v>
      </c>
      <c r="E48" s="99">
        <f>SUMIFS('9月份挂账'!$Q:$Q,'9月份挂账'!$S:$S,$A48)-SUMIFS('9月份挂账'!$P:$P,'9月份挂账'!$S:$S,$A48)</f>
        <v>65312.53</v>
      </c>
      <c r="F48" s="100">
        <f t="shared" si="1"/>
        <v>0</v>
      </c>
      <c r="G48" s="124">
        <f>D48</f>
        <v>17026.62</v>
      </c>
    </row>
    <row r="49" customHeight="1" spans="1:7">
      <c r="A49" s="97" t="s">
        <v>287</v>
      </c>
      <c r="B49" s="42" t="str">
        <f>IFERROR(_xlfn.XLOOKUP('9月份计划'!A49,[5]UNEA!$B:$B,[5]UNEA!$B:$B),IFERROR(_xlfn.XLOOKUP('9月份计划'!A49,[5]MRHK!$B:$B,[5]MRHK!$B:$B),IFERROR(_xlfn.XLOOKUP('9月份计划'!A49,[5]MRHB!$B:$B,[5]MRHB!$B:$B),IFERROR(_xlfn.XLOOKUP('9月份计划'!A49,[5]HA6H!$B:$B,[5]HA6H!$B:$B),IFERROR(_xlfn.XLOOKUP('9月份计划'!A49,[5]HA6H!$B:$B,[5]HA6H!$B:$B)," ")))))</f>
        <v>广州自强汽车零部件有限公司</v>
      </c>
      <c r="C49" s="98">
        <v>10231.31</v>
      </c>
      <c r="D49" s="99">
        <f>SUMIFS('8月份挂账'!$Q:$Q,'8月份挂账'!$S:$S,$A49)-SUMIFS('8月份挂账'!$P:$P,'8月份挂账'!$S:$S,$A49)</f>
        <v>0</v>
      </c>
      <c r="E49" s="99">
        <f>SUMIFS('9月份挂账'!$Q:$Q,'9月份挂账'!$S:$S,$A49)-SUMIFS('9月份挂账'!$P:$P,'9月份挂账'!$S:$S,$A49)</f>
        <v>10231.31</v>
      </c>
      <c r="F49" s="100">
        <f t="shared" si="1"/>
        <v>0</v>
      </c>
      <c r="G49" s="124">
        <f>E49</f>
        <v>10231.31</v>
      </c>
    </row>
    <row r="50" customHeight="1" spans="1:7">
      <c r="A50" s="97" t="s">
        <v>288</v>
      </c>
      <c r="B50" s="42" t="str">
        <f>IFERROR(_xlfn.XLOOKUP('9月份计划'!A50,[5]UNEA!$B:$B,[5]UNEA!$B:$B),IFERROR(_xlfn.XLOOKUP('9月份计划'!A50,[5]MRHK!$B:$B,[5]MRHK!$B:$B),IFERROR(_xlfn.XLOOKUP('9月份计划'!A50,[5]MRHB!$B:$B,[5]MRHB!$B:$B),IFERROR(_xlfn.XLOOKUP('9月份计划'!A50,[5]HA6H!$B:$B,[5]HA6H!$B:$B),IFERROR(_xlfn.XLOOKUP('9月份计划'!A50,[5]HA6H!$B:$B,[5]HA6H!$B:$B)," ")))))</f>
        <v> </v>
      </c>
      <c r="C50" s="98">
        <v>14407.5</v>
      </c>
      <c r="D50" s="99">
        <f>SUMIFS('8月份挂账'!$Q:$Q,'8月份挂账'!$S:$S,$A50)-SUMIFS('8月份挂账'!$P:$P,'8月份挂账'!$S:$S,$A50)</f>
        <v>4514.35</v>
      </c>
      <c r="E50" s="99">
        <f>SUMIFS('9月份挂账'!$Q:$Q,'9月份挂账'!$S:$S,$A50)-SUMIFS('9月份挂账'!$P:$P,'9月份挂账'!$S:$S,$A50)</f>
        <v>9893.15</v>
      </c>
      <c r="F50" s="100">
        <f t="shared" si="1"/>
        <v>0</v>
      </c>
      <c r="G50" s="124">
        <f>D50</f>
        <v>4514.35</v>
      </c>
    </row>
    <row r="51" customHeight="1" spans="1:7">
      <c r="A51" s="97" t="s">
        <v>289</v>
      </c>
      <c r="B51" s="42" t="str">
        <f>IFERROR(_xlfn.XLOOKUP('9月份计划'!A51,[5]UNEA!$B:$B,[5]UNEA!$B:$B),IFERROR(_xlfn.XLOOKUP('9月份计划'!A51,[5]MRHK!$B:$B,[5]MRHK!$B:$B),IFERROR(_xlfn.XLOOKUP('9月份计划'!A51,[5]MRHB!$B:$B,[5]MRHB!$B:$B),IFERROR(_xlfn.XLOOKUP('9月份计划'!A51,[5]HA6H!$B:$B,[5]HA6H!$B:$B),IFERROR(_xlfn.XLOOKUP('9月份计划'!A51,[5]HA6H!$B:$B,[5]HA6H!$B:$B)," ")))))</f>
        <v> </v>
      </c>
      <c r="C51" s="98">
        <v>7739.9</v>
      </c>
      <c r="D51" s="99">
        <f>SUMIFS('8月份挂账'!$Q:$Q,'8月份挂账'!$S:$S,$A51)-SUMIFS('8月份挂账'!$P:$P,'8月份挂账'!$S:$S,$A51)</f>
        <v>0</v>
      </c>
      <c r="E51" s="99">
        <f>SUMIFS('9月份挂账'!$Q:$Q,'9月份挂账'!$S:$S,$A51)-SUMIFS('9月份挂账'!$P:$P,'9月份挂账'!$S:$S,$A51)</f>
        <v>0</v>
      </c>
      <c r="F51" s="100">
        <f t="shared" si="1"/>
        <v>7739.9</v>
      </c>
      <c r="G51" s="124"/>
    </row>
    <row r="52" customHeight="1" spans="1:7">
      <c r="A52" s="97" t="s">
        <v>290</v>
      </c>
      <c r="B52" s="42" t="str">
        <f>IFERROR(_xlfn.XLOOKUP('9月份计划'!A52,[5]UNEA!$B:$B,[5]UNEA!$B:$B),IFERROR(_xlfn.XLOOKUP('9月份计划'!A52,[5]MRHK!$B:$B,[5]MRHK!$B:$B),IFERROR(_xlfn.XLOOKUP('9月份计划'!A52,[5]MRHB!$B:$B,[5]MRHB!$B:$B),IFERROR(_xlfn.XLOOKUP('9月份计划'!A52,[5]HA6H!$B:$B,[5]HA6H!$B:$B),IFERROR(_xlfn.XLOOKUP('9月份计划'!A52,[5]HA6H!$B:$B,[5]HA6H!$B:$B)," ")))))</f>
        <v>江阴同威科技有限公司</v>
      </c>
      <c r="C52" s="98">
        <v>30601.53</v>
      </c>
      <c r="D52" s="99">
        <f>SUMIFS('8月份挂账'!$Q:$Q,'8月份挂账'!$S:$S,$A52)-SUMIFS('8月份挂账'!$P:$P,'8月份挂账'!$S:$S,$A52)</f>
        <v>6600.33</v>
      </c>
      <c r="E52" s="99">
        <f>SUMIFS('9月份挂账'!$Q:$Q,'9月份挂账'!$S:$S,$A52)-SUMIFS('9月份挂账'!$P:$P,'9月份挂账'!$S:$S,$A52)</f>
        <v>24001.2</v>
      </c>
      <c r="F52" s="100">
        <f t="shared" si="1"/>
        <v>0</v>
      </c>
      <c r="G52" s="124">
        <f>D52</f>
        <v>6600.33</v>
      </c>
    </row>
    <row r="53" customHeight="1" spans="1:7">
      <c r="A53" s="97" t="s">
        <v>291</v>
      </c>
      <c r="B53" s="42" t="str">
        <f>IFERROR(_xlfn.XLOOKUP('9月份计划'!A53,[5]UNEA!$B:$B,[5]UNEA!$B:$B),IFERROR(_xlfn.XLOOKUP('9月份计划'!A53,[5]MRHK!$B:$B,[5]MRHK!$B:$B),IFERROR(_xlfn.XLOOKUP('9月份计划'!A53,[5]MRHB!$B:$B,[5]MRHB!$B:$B),IFERROR(_xlfn.XLOOKUP('9月份计划'!A53,[5]HA6H!$B:$B,[5]HA6H!$B:$B),IFERROR(_xlfn.XLOOKUP('9月份计划'!A53,[5]HA6H!$B:$B,[5]HA6H!$B:$B)," ")))))</f>
        <v>深圳市新和荣无纺布有限公司</v>
      </c>
      <c r="C53" s="98">
        <v>0.63</v>
      </c>
      <c r="D53" s="99">
        <f>SUMIFS('8月份挂账'!$Q:$Q,'8月份挂账'!$S:$S,$A53)-SUMIFS('8月份挂账'!$P:$P,'8月份挂账'!$S:$S,$A53)</f>
        <v>0</v>
      </c>
      <c r="E53" s="99">
        <f>SUMIFS('9月份挂账'!$Q:$Q,'9月份挂账'!$S:$S,$A53)-SUMIFS('9月份挂账'!$P:$P,'9月份挂账'!$S:$S,$A53)</f>
        <v>0</v>
      </c>
      <c r="F53" s="100">
        <v>0</v>
      </c>
      <c r="G53" s="124"/>
    </row>
    <row r="54" customHeight="1" spans="1:7">
      <c r="A54" s="97" t="s">
        <v>292</v>
      </c>
      <c r="C54" s="98">
        <v>0</v>
      </c>
      <c r="D54" s="99">
        <f>SUMIFS('8月份挂账'!$Q:$Q,'8月份挂账'!$S:$S,$A54)-SUMIFS('8月份挂账'!$P:$P,'8月份挂账'!$S:$S,$A54)</f>
        <v>53245.6</v>
      </c>
      <c r="E54" s="99">
        <f>SUMIFS('9月份挂账'!$Q:$Q,'9月份挂账'!$S:$S,$A54)-SUMIFS('9月份挂账'!$P:$P,'9月份挂账'!$S:$S,$A54)</f>
        <v>0</v>
      </c>
      <c r="F54" s="100">
        <v>0</v>
      </c>
      <c r="G54" s="124">
        <f>D54</f>
        <v>53245.6</v>
      </c>
    </row>
    <row r="55" customHeight="1" spans="1:10">
      <c r="A55" s="97" t="s">
        <v>29</v>
      </c>
      <c r="C55" s="87">
        <f t="shared" ref="C55:J55" si="2">SUM(C3:C54)</f>
        <v>14328591.55</v>
      </c>
      <c r="D55" s="87">
        <f t="shared" si="2"/>
        <v>3575294.57</v>
      </c>
      <c r="E55" s="87">
        <f t="shared" si="2"/>
        <v>4374658.23</v>
      </c>
      <c r="F55" s="87">
        <f ca="1" t="shared" si="2"/>
        <v>6748491.72</v>
      </c>
      <c r="G55" s="87">
        <f ca="1" t="shared" si="2"/>
        <v>4571854.27</v>
      </c>
      <c r="H55" s="87">
        <f t="shared" si="2"/>
        <v>780000</v>
      </c>
      <c r="I55" s="87">
        <f t="shared" si="2"/>
        <v>50000</v>
      </c>
      <c r="J55" s="87">
        <f ca="1" t="shared" si="2"/>
        <v>1339225.01</v>
      </c>
    </row>
    <row r="56" customHeight="1" spans="1:7">
      <c r="A56" s="97" t="s">
        <v>293</v>
      </c>
      <c r="C56" s="87">
        <f>SUMIFS(C3:C54,C3:C54,"&gt;0")</f>
        <v>14339784.45</v>
      </c>
      <c r="F56" s="88"/>
      <c r="G56" s="120"/>
    </row>
  </sheetData>
  <autoFilter xmlns:etc="http://www.wps.cn/officeDocument/2017/etCustomData" ref="A1:J56" etc:filterBottomFollowUsedRange="0">
    <extLst/>
  </autoFilter>
  <mergeCells count="2">
    <mergeCell ref="A1:G1"/>
    <mergeCell ref="H1:J1"/>
  </mergeCells>
  <conditionalFormatting sqref="A$1:A$1048576">
    <cfRule type="duplicateValues" dxfId="0" priority="1"/>
  </conditionalFormatting>
  <pageMargins left="0.75" right="0.75" top="1" bottom="1" header="0.5" footer="0.5"/>
  <pageSetup paperSize="9" orientation="portrait"/>
  <headerFooter/>
  <ignoredErrors>
    <ignoredError sqref="G49 F14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J84"/>
  <sheetViews>
    <sheetView workbookViewId="0">
      <pane xSplit="1" ySplit="2" topLeftCell="B3" activePane="bottomRight" state="frozen"/>
      <selection/>
      <selection pane="topRight"/>
      <selection pane="bottomLeft"/>
      <selection pane="bottomRight" activeCell="E12" sqref="E12"/>
    </sheetView>
  </sheetViews>
  <sheetFormatPr defaultColWidth="9" defaultRowHeight="19" customHeight="1"/>
  <cols>
    <col min="1" max="1" width="26.25" style="97" customWidth="1"/>
    <col min="2" max="2" width="21.375" style="42" hidden="1" customWidth="1"/>
    <col min="3" max="3" width="16.125" style="98" customWidth="1"/>
    <col min="4" max="5" width="11.75" style="99" customWidth="1"/>
    <col min="6" max="6" width="13.875" style="100" customWidth="1"/>
    <col min="7" max="7" width="14.875" style="101" customWidth="1"/>
    <col min="8" max="8" width="16.125" style="42" customWidth="1"/>
    <col min="9" max="9" width="11.125" style="42" customWidth="1"/>
    <col min="10" max="10" width="11.5" style="42" customWidth="1"/>
    <col min="11" max="16384" width="9" style="42"/>
  </cols>
  <sheetData>
    <row r="1" ht="29" customHeight="1" spans="1:8">
      <c r="A1" s="103" t="s">
        <v>294</v>
      </c>
      <c r="B1" s="103"/>
      <c r="C1" s="104"/>
      <c r="D1" s="105"/>
      <c r="E1" s="105"/>
      <c r="F1" s="106"/>
      <c r="G1" s="113"/>
      <c r="H1" s="42" t="s">
        <v>230</v>
      </c>
    </row>
    <row r="2" ht="36" customHeight="1" spans="1:9">
      <c r="A2" s="107" t="s">
        <v>231</v>
      </c>
      <c r="B2" s="107" t="s">
        <v>232</v>
      </c>
      <c r="C2" s="108" t="s">
        <v>295</v>
      </c>
      <c r="D2" s="109" t="s">
        <v>296</v>
      </c>
      <c r="E2" s="109" t="s">
        <v>234</v>
      </c>
      <c r="F2" s="108" t="s">
        <v>236</v>
      </c>
      <c r="G2" s="107" t="s">
        <v>237</v>
      </c>
      <c r="H2" s="123" t="s">
        <v>238</v>
      </c>
      <c r="I2" s="123" t="s">
        <v>52</v>
      </c>
    </row>
    <row r="3" customHeight="1" spans="1:7">
      <c r="A3" s="97" t="s">
        <v>240</v>
      </c>
      <c r="B3" s="42" t="str">
        <f>IFERROR(_xlfn.XLOOKUP('8月份计划'!A3,[5]UNEA!$B:$B,[5]UNEA!$B:$B),IFERROR(_xlfn.XLOOKUP('8月份计划'!A3,[5]MRHK!$B:$B,[5]MRHK!$B:$B),IFERROR(_xlfn.XLOOKUP('8月份计划'!A3,[5]MRHB!$B:$B,[5]MRHB!$B:$B),IFERROR(_xlfn.XLOOKUP('8月份计划'!A3,[5]HA6H!$B:$B,[5]HA6H!$B:$B),IFERROR(_xlfn.XLOOKUP('8月份计划'!A3,[5]HA6H!$B:$B,[5]HA6H!$B:$B)," ")))))</f>
        <v>重庆厚元汽车配件有限公司</v>
      </c>
      <c r="C3" s="98">
        <f>SUMIFS('8月份科目余额表'!O:O,'8月份科目余额表'!D:D,A3)</f>
        <v>330232.11</v>
      </c>
      <c r="D3" s="99">
        <f>SUMIFS('7月份挂账'!$Q:$Q,'7月份挂账'!$S:$S,$A3)-SUMIFS('7月份挂账'!$P:$P,'7月份挂账'!$S:$S,$A3)</f>
        <v>137311.16</v>
      </c>
      <c r="E3" s="99">
        <f>SUMIFS('8月份挂账'!$Q:$Q,'8月份挂账'!$S:$S,$A3)-SUMIFS('8月份挂账'!$P:$P,'8月份挂账'!$S:$S,$A3)</f>
        <v>43726.15</v>
      </c>
      <c r="F3" s="100">
        <f t="shared" ref="F3:F18" si="0">C3-D3-E3</f>
        <v>149194.8</v>
      </c>
      <c r="G3" s="99"/>
    </row>
    <row r="4" customHeight="1" spans="1:7">
      <c r="A4" s="97" t="s">
        <v>241</v>
      </c>
      <c r="B4" s="42" t="str">
        <f>IFERROR(_xlfn.XLOOKUP('8月份计划'!A4,[5]UNEA!$B:$B,[5]UNEA!$B:$B),IFERROR(_xlfn.XLOOKUP('8月份计划'!A4,[5]MRHK!$B:$B,[5]MRHK!$B:$B),IFERROR(_xlfn.XLOOKUP('8月份计划'!A4,[5]MRHB!$B:$B,[5]MRHB!$B:$B),IFERROR(_xlfn.XLOOKUP('8月份计划'!A4,[5]HA6H!$B:$B,[5]HA6H!$B:$B),IFERROR(_xlfn.XLOOKUP('8月份计划'!A4,[5]HA6H!$B:$B,[5]HA6H!$B:$B)," ")))))</f>
        <v> </v>
      </c>
      <c r="C4" s="98">
        <f>SUMIFS('8月份科目余额表'!O:O,'8月份科目余额表'!D:D,A4)</f>
        <v>125239.59</v>
      </c>
      <c r="D4" s="99">
        <f>SUMIFS('7月份挂账'!$Q:$Q,'7月份挂账'!$S:$S,$A4)-SUMIFS('7月份挂账'!$P:$P,'7月份挂账'!$S:$S,$A4)</f>
        <v>4931.2</v>
      </c>
      <c r="E4" s="99">
        <f>SUMIFS('8月份挂账'!$Q:$Q,'8月份挂账'!$S:$S,$A4)-SUMIFS('8月份挂账'!$P:$P,'8月份挂账'!$S:$S,$A4)</f>
        <v>96599.41</v>
      </c>
      <c r="F4" s="100">
        <f t="shared" si="0"/>
        <v>23708.98</v>
      </c>
      <c r="G4" s="99"/>
    </row>
    <row r="5" customHeight="1" spans="1:7">
      <c r="A5" s="97" t="s">
        <v>242</v>
      </c>
      <c r="B5" s="42" t="str">
        <f>IFERROR(_xlfn.XLOOKUP('8月份计划'!A5,[5]UNEA!$B:$B,[5]UNEA!$B:$B),IFERROR(_xlfn.XLOOKUP('8月份计划'!A5,[5]MRHK!$B:$B,[5]MRHK!$B:$B),IFERROR(_xlfn.XLOOKUP('8月份计划'!A5,[5]MRHB!$B:$B,[5]MRHB!$B:$B),IFERROR(_xlfn.XLOOKUP('8月份计划'!A5,[5]HA6H!$B:$B,[5]HA6H!$B:$B),IFERROR(_xlfn.XLOOKUP('8月份计划'!A5,[5]HA6H!$B:$B,[5]HA6H!$B:$B)," ")))))</f>
        <v> </v>
      </c>
      <c r="C5" s="98">
        <f>SUMIFS('8月份科目余额表'!O:O,'8月份科目余额表'!D:D,A5)</f>
        <v>73452.57</v>
      </c>
      <c r="D5" s="99">
        <f>SUMIFS('7月份挂账'!$Q:$Q,'7月份挂账'!$S:$S,$A5)-SUMIFS('7月份挂账'!$P:$P,'7月份挂账'!$S:$S,$A5)</f>
        <v>38986.48</v>
      </c>
      <c r="E5" s="99">
        <f>SUMIFS('8月份挂账'!$Q:$Q,'8月份挂账'!$S:$S,$A5)-SUMIFS('8月份挂账'!$P:$P,'8月份挂账'!$S:$S,$A5)</f>
        <v>12513.17</v>
      </c>
      <c r="F5" s="100">
        <f t="shared" si="0"/>
        <v>21952.92</v>
      </c>
      <c r="G5" s="99"/>
    </row>
    <row r="6" customHeight="1" spans="1:7">
      <c r="A6" s="97" t="s">
        <v>243</v>
      </c>
      <c r="B6" s="42" t="str">
        <f>IFERROR(_xlfn.XLOOKUP('8月份计划'!A6,[5]UNEA!$B:$B,[5]UNEA!$B:$B),IFERROR(_xlfn.XLOOKUP('8月份计划'!A6,[5]MRHK!$B:$B,[5]MRHK!$B:$B),IFERROR(_xlfn.XLOOKUP('8月份计划'!A6,[5]MRHB!$B:$B,[5]MRHB!$B:$B),IFERROR(_xlfn.XLOOKUP('8月份计划'!A6,[5]HA6H!$B:$B,[5]HA6H!$B:$B),IFERROR(_xlfn.XLOOKUP('8月份计划'!A6,[5]HA6H!$B:$B,[5]HA6H!$B:$B)," ")))))</f>
        <v> </v>
      </c>
      <c r="C6" s="98">
        <f>SUMIFS('8月份科目余额表'!O:O,'8月份科目余额表'!D:D,A6)</f>
        <v>59786.66</v>
      </c>
      <c r="D6" s="99">
        <f>SUMIFS('7月份挂账'!$Q:$Q,'7月份挂账'!$S:$S,$A6)-SUMIFS('7月份挂账'!$P:$P,'7月份挂账'!$S:$S,$A6)</f>
        <v>0</v>
      </c>
      <c r="E6" s="99">
        <f>SUMIFS('8月份挂账'!$Q:$Q,'8月份挂账'!$S:$S,$A6)-SUMIFS('8月份挂账'!$P:$P,'8月份挂账'!$S:$S,$A6)</f>
        <v>17208.53</v>
      </c>
      <c r="F6" s="100">
        <f t="shared" si="0"/>
        <v>42578.13</v>
      </c>
      <c r="G6" s="99"/>
    </row>
    <row r="7" customHeight="1" spans="1:7">
      <c r="A7" s="97" t="s">
        <v>297</v>
      </c>
      <c r="B7" s="42" t="str">
        <f>IFERROR(_xlfn.XLOOKUP('8月份计划'!A7,[5]UNEA!$B:$B,[5]UNEA!$B:$B),IFERROR(_xlfn.XLOOKUP('8月份计划'!A7,[5]MRHK!$B:$B,[5]MRHK!$B:$B),IFERROR(_xlfn.XLOOKUP('8月份计划'!A7,[5]MRHB!$B:$B,[5]MRHB!$B:$B),IFERROR(_xlfn.XLOOKUP('8月份计划'!A7,[5]HA6H!$B:$B,[5]HA6H!$B:$B),IFERROR(_xlfn.XLOOKUP('8月份计划'!A7,[5]HA6H!$B:$B,[5]HA6H!$B:$B)," ")))))</f>
        <v> </v>
      </c>
      <c r="C7" s="98">
        <f>SUMIFS('8月份科目余额表'!O:O,'8月份科目余额表'!D:D,A7)</f>
        <v>11718.84</v>
      </c>
      <c r="D7" s="99">
        <f>SUMIFS('7月份挂账'!$Q:$Q,'7月份挂账'!$S:$S,$A7)-SUMIFS('7月份挂账'!$P:$P,'7月份挂账'!$S:$S,$A7)</f>
        <v>0</v>
      </c>
      <c r="E7" s="99">
        <f>SUMIFS('8月份挂账'!$Q:$Q,'8月份挂账'!$S:$S,$A7)-SUMIFS('8月份挂账'!$P:$P,'8月份挂账'!$S:$S,$A7)</f>
        <v>0</v>
      </c>
      <c r="F7" s="100">
        <f t="shared" si="0"/>
        <v>11718.84</v>
      </c>
      <c r="G7" s="99"/>
    </row>
    <row r="8" customHeight="1" spans="1:7">
      <c r="A8" s="97" t="s">
        <v>244</v>
      </c>
      <c r="B8" s="42" t="str">
        <f>IFERROR(_xlfn.XLOOKUP('8月份计划'!A8,[5]UNEA!$B:$B,[5]UNEA!$B:$B),IFERROR(_xlfn.XLOOKUP('8月份计划'!A8,[5]MRHK!$B:$B,[5]MRHK!$B:$B),IFERROR(_xlfn.XLOOKUP('8月份计划'!A8,[5]MRHB!$B:$B,[5]MRHB!$B:$B),IFERROR(_xlfn.XLOOKUP('8月份计划'!A8,[5]HA6H!$B:$B,[5]HA6H!$B:$B),IFERROR(_xlfn.XLOOKUP('8月份计划'!A8,[5]HA6H!$B:$B,[5]HA6H!$B:$B)," ")))))</f>
        <v> </v>
      </c>
      <c r="C8" s="98">
        <f>SUMIFS('8月份科目余额表'!O:O,'8月份科目余额表'!D:D,A8)</f>
        <v>84856.7</v>
      </c>
      <c r="D8" s="99">
        <f>SUMIFS('7月份挂账'!$Q:$Q,'7月份挂账'!$S:$S,$A8)-SUMIFS('7月份挂账'!$P:$P,'7月份挂账'!$S:$S,$A8)</f>
        <v>7259.01</v>
      </c>
      <c r="E8" s="99">
        <f>SUMIFS('8月份挂账'!$Q:$Q,'8月份挂账'!$S:$S,$A8)-SUMIFS('8月份挂账'!$P:$P,'8月份挂账'!$S:$S,$A8)</f>
        <v>45688.16</v>
      </c>
      <c r="F8" s="100">
        <f t="shared" si="0"/>
        <v>31909.53</v>
      </c>
      <c r="G8" s="99"/>
    </row>
    <row r="9" customHeight="1" spans="1:7">
      <c r="A9" s="97" t="s">
        <v>245</v>
      </c>
      <c r="B9" s="42" t="str">
        <f>IFERROR(_xlfn.XLOOKUP('8月份计划'!A9,[5]UNEA!$B:$B,[5]UNEA!$B:$B),IFERROR(_xlfn.XLOOKUP('8月份计划'!A9,[5]MRHK!$B:$B,[5]MRHK!$B:$B),IFERROR(_xlfn.XLOOKUP('8月份计划'!A9,[5]MRHB!$B:$B,[5]MRHB!$B:$B),IFERROR(_xlfn.XLOOKUP('8月份计划'!A9,[5]HA6H!$B:$B,[5]HA6H!$B:$B),IFERROR(_xlfn.XLOOKUP('8月份计划'!A9,[5]HA6H!$B:$B,[5]HA6H!$B:$B)," ")))))</f>
        <v> </v>
      </c>
      <c r="C9" s="98">
        <f>SUMIFS('8月份科目余额表'!O:O,'8月份科目余额表'!D:D,A9)</f>
        <v>95340.95</v>
      </c>
      <c r="D9" s="99">
        <f>SUMIFS('7月份挂账'!$Q:$Q,'7月份挂账'!$S:$S,$A9)-SUMIFS('7月份挂账'!$P:$P,'7月份挂账'!$S:$S,$A9)</f>
        <v>15229.04</v>
      </c>
      <c r="E9" s="99">
        <f>SUMIFS('8月份挂账'!$Q:$Q,'8月份挂账'!$S:$S,$A9)-SUMIFS('8月份挂账'!$P:$P,'8月份挂账'!$S:$S,$A9)</f>
        <v>18876.1</v>
      </c>
      <c r="F9" s="100">
        <f t="shared" si="0"/>
        <v>61235.81</v>
      </c>
      <c r="G9" s="99"/>
    </row>
    <row r="10" customHeight="1" spans="1:7">
      <c r="A10" s="97" t="s">
        <v>246</v>
      </c>
      <c r="B10" s="42" t="str">
        <f>IFERROR(_xlfn.XLOOKUP('8月份计划'!A10,[5]UNEA!$B:$B,[5]UNEA!$B:$B),IFERROR(_xlfn.XLOOKUP('8月份计划'!A10,[5]MRHK!$B:$B,[5]MRHK!$B:$B),IFERROR(_xlfn.XLOOKUP('8月份计划'!A10,[5]MRHB!$B:$B,[5]MRHB!$B:$B),IFERROR(_xlfn.XLOOKUP('8月份计划'!A10,[5]HA6H!$B:$B,[5]HA6H!$B:$B),IFERROR(_xlfn.XLOOKUP('8月份计划'!A10,[5]HA6H!$B:$B,[5]HA6H!$B:$B)," ")))))</f>
        <v> </v>
      </c>
      <c r="C10" s="98">
        <f>SUMIFS('8月份科目余额表'!O:O,'8月份科目余额表'!D:D,A10)</f>
        <v>39895.15</v>
      </c>
      <c r="D10" s="99">
        <f>SUMIFS('7月份挂账'!$Q:$Q,'7月份挂账'!$S:$S,$A10)-SUMIFS('7月份挂账'!$P:$P,'7月份挂账'!$S:$S,$A10)</f>
        <v>10766.75</v>
      </c>
      <c r="E10" s="99">
        <f>SUMIFS('8月份挂账'!$Q:$Q,'8月份挂账'!$S:$S,$A10)-SUMIFS('8月份挂账'!$P:$P,'8月份挂账'!$S:$S,$A10)</f>
        <v>1668.49</v>
      </c>
      <c r="F10" s="100">
        <f t="shared" si="0"/>
        <v>27459.91</v>
      </c>
      <c r="G10" s="99"/>
    </row>
    <row r="11" customHeight="1" spans="1:7">
      <c r="A11" s="97" t="s">
        <v>247</v>
      </c>
      <c r="B11" s="42" t="str">
        <f>IFERROR(_xlfn.XLOOKUP('8月份计划'!A11,[5]UNEA!$B:$B,[5]UNEA!$B:$B),IFERROR(_xlfn.XLOOKUP('8月份计划'!A11,[5]MRHK!$B:$B,[5]MRHK!$B:$B),IFERROR(_xlfn.XLOOKUP('8月份计划'!A11,[5]MRHB!$B:$B,[5]MRHB!$B:$B),IFERROR(_xlfn.XLOOKUP('8月份计划'!A11,[5]HA6H!$B:$B,[5]HA6H!$B:$B),IFERROR(_xlfn.XLOOKUP('8月份计划'!A11,[5]HA6H!$B:$B,[5]HA6H!$B:$B)," ")))))</f>
        <v>黄骅市汇铭汽车部件有限公司</v>
      </c>
      <c r="C11" s="98">
        <f>SUMIFS('8月份科目余额表'!O:O,'8月份科目余额表'!D:D,A11)</f>
        <v>50884.52</v>
      </c>
      <c r="D11" s="99">
        <f>SUMIFS('7月份挂账'!$Q:$Q,'7月份挂账'!$S:$S,$A11)-SUMIFS('7月份挂账'!$P:$P,'7月份挂账'!$S:$S,$A11)</f>
        <v>27863.56</v>
      </c>
      <c r="E11" s="99">
        <f>SUMIFS('8月份挂账'!$Q:$Q,'8月份挂账'!$S:$S,$A11)-SUMIFS('8月份挂账'!$P:$P,'8月份挂账'!$S:$S,$A11)</f>
        <v>22962.21</v>
      </c>
      <c r="F11" s="100">
        <f t="shared" si="0"/>
        <v>58.7499999999964</v>
      </c>
      <c r="G11" s="99"/>
    </row>
    <row r="12" customHeight="1" spans="1:7">
      <c r="A12" s="97" t="s">
        <v>248</v>
      </c>
      <c r="B12" s="42" t="str">
        <f>IFERROR(_xlfn.XLOOKUP('8月份计划'!A12,[5]UNEA!$B:$B,[5]UNEA!$B:$B),IFERROR(_xlfn.XLOOKUP('8月份计划'!A12,[5]MRHK!$B:$B,[5]MRHK!$B:$B),IFERROR(_xlfn.XLOOKUP('8月份计划'!A12,[5]MRHB!$B:$B,[5]MRHB!$B:$B),IFERROR(_xlfn.XLOOKUP('8月份计划'!A12,[5]HA6H!$B:$B,[5]HA6H!$B:$B),IFERROR(_xlfn.XLOOKUP('8月份计划'!A12,[5]HA6H!$B:$B,[5]HA6H!$B:$B)," ")))))</f>
        <v> </v>
      </c>
      <c r="C12" s="98">
        <f>SUMIFS('8月份科目余额表'!O:O,'8月份科目余额表'!D:D,A12)</f>
        <v>156040.34</v>
      </c>
      <c r="D12" s="99">
        <f>SUMIFS('7月份挂账'!$Q:$Q,'7月份挂账'!$S:$S,$A12)-SUMIFS('7月份挂账'!$P:$P,'7月份挂账'!$S:$S,$A12)</f>
        <v>156040.34</v>
      </c>
      <c r="E12" s="99">
        <f>SUMIFS('8月份挂账'!$Q:$Q,'8月份挂账'!$S:$S,$A12)-SUMIFS('8月份挂账'!$P:$P,'8月份挂账'!$S:$S,$A12)</f>
        <v>0</v>
      </c>
      <c r="F12" s="100">
        <f t="shared" si="0"/>
        <v>0</v>
      </c>
      <c r="G12" s="99"/>
    </row>
    <row r="13" customHeight="1" spans="1:7">
      <c r="A13" s="97" t="s">
        <v>249</v>
      </c>
      <c r="B13" s="42" t="str">
        <f>IFERROR(_xlfn.XLOOKUP('8月份计划'!A13,[5]UNEA!$B:$B,[5]UNEA!$B:$B),IFERROR(_xlfn.XLOOKUP('8月份计划'!A13,[5]MRHK!$B:$B,[5]MRHK!$B:$B),IFERROR(_xlfn.XLOOKUP('8月份计划'!A13,[5]MRHB!$B:$B,[5]MRHB!$B:$B),IFERROR(_xlfn.XLOOKUP('8月份计划'!A13,[5]HA6H!$B:$B,[5]HA6H!$B:$B),IFERROR(_xlfn.XLOOKUP('8月份计划'!A13,[5]HA6H!$B:$B,[5]HA6H!$B:$B)," ")))))</f>
        <v> </v>
      </c>
      <c r="C13" s="98">
        <f>SUMIFS('8月份科目余额表'!O:O,'8月份科目余额表'!D:D,A13)</f>
        <v>52357.41</v>
      </c>
      <c r="D13" s="99">
        <f>SUMIFS('7月份挂账'!$Q:$Q,'7月份挂账'!$S:$S,$A13)-SUMIFS('7月份挂账'!$P:$P,'7月份挂账'!$S:$S,$A13)</f>
        <v>0</v>
      </c>
      <c r="E13" s="99">
        <f>SUMIFS('8月份挂账'!$Q:$Q,'8月份挂账'!$S:$S,$A13)-SUMIFS('8月份挂账'!$P:$P,'8月份挂账'!$S:$S,$A13)</f>
        <v>4678.2</v>
      </c>
      <c r="F13" s="100">
        <f t="shared" si="0"/>
        <v>47679.21</v>
      </c>
      <c r="G13" s="99"/>
    </row>
    <row r="14" customHeight="1" spans="1:7">
      <c r="A14" s="97" t="s">
        <v>250</v>
      </c>
      <c r="B14" s="42" t="str">
        <f>IFERROR(_xlfn.XLOOKUP('8月份计划'!A14,[5]UNEA!$B:$B,[5]UNEA!$B:$B),IFERROR(_xlfn.XLOOKUP('8月份计划'!A14,[5]MRHK!$B:$B,[5]MRHK!$B:$B),IFERROR(_xlfn.XLOOKUP('8月份计划'!A14,[5]MRHB!$B:$B,[5]MRHB!$B:$B),IFERROR(_xlfn.XLOOKUP('8月份计划'!A14,[5]HA6H!$B:$B,[5]HA6H!$B:$B),IFERROR(_xlfn.XLOOKUP('8月份计划'!A14,[5]HA6H!$B:$B,[5]HA6H!$B:$B)," ")))))</f>
        <v> </v>
      </c>
      <c r="C14" s="98">
        <f>SUMIFS('8月份科目余额表'!O:O,'8月份科目余额表'!D:D,A14)</f>
        <v>246202.21</v>
      </c>
      <c r="D14" s="99">
        <f>SUMIFS('7月份挂账'!$Q:$Q,'7月份挂账'!$S:$S,$A14)-SUMIFS('7月份挂账'!$P:$P,'7月份挂账'!$S:$S,$A14)</f>
        <v>49979.15</v>
      </c>
      <c r="E14" s="99">
        <f>SUMIFS('8月份挂账'!$Q:$Q,'8月份挂账'!$S:$S,$A14)-SUMIFS('8月份挂账'!$P:$P,'8月份挂账'!$S:$S,$A14)</f>
        <v>92363.01</v>
      </c>
      <c r="F14" s="100">
        <f t="shared" si="0"/>
        <v>103860.05</v>
      </c>
      <c r="G14" s="99"/>
    </row>
    <row r="15" customHeight="1" spans="1:7">
      <c r="A15" s="97" t="s">
        <v>298</v>
      </c>
      <c r="B15" s="42" t="str">
        <f>IFERROR(_xlfn.XLOOKUP('8月份计划'!A15,[5]UNEA!$B:$B,[5]UNEA!$B:$B),IFERROR(_xlfn.XLOOKUP('8月份计划'!A15,[5]MRHK!$B:$B,[5]MRHK!$B:$B),IFERROR(_xlfn.XLOOKUP('8月份计划'!A15,[5]MRHB!$B:$B,[5]MRHB!$B:$B),IFERROR(_xlfn.XLOOKUP('8月份计划'!A15,[5]HA6H!$B:$B,[5]HA6H!$B:$B),IFERROR(_xlfn.XLOOKUP('8月份计划'!A15,[5]HA6H!$B:$B,[5]HA6H!$B:$B)," ")))))</f>
        <v> </v>
      </c>
      <c r="C15" s="98">
        <f>SUMIFS('8月份科目余额表'!O:O,'8月份科目余额表'!D:D,A15)</f>
        <v>0</v>
      </c>
      <c r="D15" s="99">
        <f>SUMIFS('7月份挂账'!$Q:$Q,'7月份挂账'!$S:$S,$A15)-SUMIFS('7月份挂账'!$P:$P,'7月份挂账'!$S:$S,$A15)</f>
        <v>0</v>
      </c>
      <c r="E15" s="99">
        <f>SUMIFS('8月份挂账'!$Q:$Q,'8月份挂账'!$S:$S,$A15)-SUMIFS('8月份挂账'!$P:$P,'8月份挂账'!$S:$S,$A15)</f>
        <v>0</v>
      </c>
      <c r="F15" s="100">
        <f t="shared" si="0"/>
        <v>0</v>
      </c>
      <c r="G15" s="99"/>
    </row>
    <row r="16" customHeight="1" spans="1:7">
      <c r="A16" s="97" t="s">
        <v>251</v>
      </c>
      <c r="B16" s="42" t="str">
        <f>IFERROR(_xlfn.XLOOKUP('8月份计划'!A16,[5]UNEA!$B:$B,[5]UNEA!$B:$B),IFERROR(_xlfn.XLOOKUP('8月份计划'!A16,[5]MRHK!$B:$B,[5]MRHK!$B:$B),IFERROR(_xlfn.XLOOKUP('8月份计划'!A16,[5]MRHB!$B:$B,[5]MRHB!$B:$B),IFERROR(_xlfn.XLOOKUP('8月份计划'!A16,[5]HA6H!$B:$B,[5]HA6H!$B:$B),IFERROR(_xlfn.XLOOKUP('8月份计划'!A16,[5]HA6H!$B:$B,[5]HA6H!$B:$B)," ")))))</f>
        <v> </v>
      </c>
      <c r="C16" s="98">
        <f>SUMIFS('8月份科目余额表'!O:O,'8月份科目余额表'!D:D,A16)</f>
        <v>622012.14</v>
      </c>
      <c r="D16" s="99">
        <f>SUMIFS('7月份挂账'!$Q:$Q,'7月份挂账'!$S:$S,$A16)-SUMIFS('7月份挂账'!$P:$P,'7月份挂账'!$S:$S,$A16)</f>
        <v>369225.01</v>
      </c>
      <c r="E16" s="99">
        <f>SUMIFS('8月份挂账'!$Q:$Q,'8月份挂账'!$S:$S,$A16)-SUMIFS('8月份挂账'!$P:$P,'8月份挂账'!$S:$S,$A16)</f>
        <v>146831.97</v>
      </c>
      <c r="F16" s="100">
        <f t="shared" si="0"/>
        <v>105955.16</v>
      </c>
      <c r="G16" s="99"/>
    </row>
    <row r="17" customHeight="1" spans="1:7">
      <c r="A17" s="97" t="s">
        <v>252</v>
      </c>
      <c r="B17" s="42" t="str">
        <f>IFERROR(_xlfn.XLOOKUP('8月份计划'!A17,[5]UNEA!$B:$B,[5]UNEA!$B:$B),IFERROR(_xlfn.XLOOKUP('8月份计划'!A17,[5]MRHK!$B:$B,[5]MRHK!$B:$B),IFERROR(_xlfn.XLOOKUP('8月份计划'!A17,[5]MRHB!$B:$B,[5]MRHB!$B:$B),IFERROR(_xlfn.XLOOKUP('8月份计划'!A17,[5]HA6H!$B:$B,[5]HA6H!$B:$B),IFERROR(_xlfn.XLOOKUP('8月份计划'!A17,[5]HA6H!$B:$B,[5]HA6H!$B:$B)," ")))))</f>
        <v> </v>
      </c>
      <c r="C17" s="98">
        <f>SUMIFS('8月份科目余额表'!O:O,'8月份科目余额表'!D:D,A17)</f>
        <v>72307.87</v>
      </c>
      <c r="D17" s="99">
        <f>SUMIFS('7月份挂账'!$Q:$Q,'7月份挂账'!$S:$S,$A17)-SUMIFS('7月份挂账'!$P:$P,'7月份挂账'!$S:$S,$A17)</f>
        <v>0</v>
      </c>
      <c r="E17" s="99">
        <f>SUMIFS('8月份挂账'!$Q:$Q,'8月份挂账'!$S:$S,$A17)-SUMIFS('8月份挂账'!$P:$P,'8月份挂账'!$S:$S,$A17)</f>
        <v>0</v>
      </c>
      <c r="F17" s="100">
        <f t="shared" si="0"/>
        <v>72307.87</v>
      </c>
      <c r="G17" s="99"/>
    </row>
    <row r="18" ht="20" customHeight="1" spans="1:7">
      <c r="A18" s="97" t="s">
        <v>253</v>
      </c>
      <c r="B18" s="42" t="str">
        <f>IFERROR(_xlfn.XLOOKUP('8月份计划'!A18,[5]UNEA!$B:$B,[5]UNEA!$B:$B),IFERROR(_xlfn.XLOOKUP('8月份计划'!A18,[5]MRHK!$B:$B,[5]MRHK!$B:$B),IFERROR(_xlfn.XLOOKUP('8月份计划'!A18,[5]MRHB!$B:$B,[5]MRHB!$B:$B),IFERROR(_xlfn.XLOOKUP('8月份计划'!A18,[5]HA6H!$B:$B,[5]HA6H!$B:$B),IFERROR(_xlfn.XLOOKUP('8月份计划'!A18,[5]HA6H!$B:$B,[5]HA6H!$B:$B)," ")))))</f>
        <v> </v>
      </c>
      <c r="C18" s="98">
        <f>SUMIFS('8月份科目余额表'!O:O,'8月份科目余额表'!D:D,A18)</f>
        <v>295331.22</v>
      </c>
      <c r="D18" s="99">
        <f>SUMIFS('7月份挂账'!$Q:$Q,'7月份挂账'!$S:$S,$A18)-SUMIFS('7月份挂账'!$P:$P,'7月份挂账'!$S:$S,$A18)</f>
        <v>4781.14</v>
      </c>
      <c r="E18" s="99">
        <f>SUMIFS('8月份挂账'!$Q:$Q,'8月份挂账'!$S:$S,$A18)-SUMIFS('8月份挂账'!$P:$P,'8月份挂账'!$S:$S,$A18)</f>
        <v>13574.43</v>
      </c>
      <c r="F18" s="100">
        <f t="shared" si="0"/>
        <v>276975.65</v>
      </c>
      <c r="G18" s="99"/>
    </row>
    <row r="19" customHeight="1" spans="1:7">
      <c r="A19" s="97" t="s">
        <v>254</v>
      </c>
      <c r="B19" s="42" t="str">
        <f>IFERROR(_xlfn.XLOOKUP('8月份计划'!A19,[5]UNEA!$B:$B,[5]UNEA!$B:$B),IFERROR(_xlfn.XLOOKUP('8月份计划'!A19,[5]MRHK!$B:$B,[5]MRHK!$B:$B),IFERROR(_xlfn.XLOOKUP('8月份计划'!A19,[5]MRHB!$B:$B,[5]MRHB!$B:$B),IFERROR(_xlfn.XLOOKUP('8月份计划'!A19,[5]HA6H!$B:$B,[5]HA6H!$B:$B),IFERROR(_xlfn.XLOOKUP('8月份计划'!A19,[5]HA6H!$B:$B,[5]HA6H!$B:$B)," ")))))</f>
        <v> </v>
      </c>
      <c r="C19" s="98">
        <f>SUMIFS('8月份科目余额表'!O:O,'8月份科目余额表'!D:D,A19)</f>
        <v>399438.18</v>
      </c>
      <c r="D19" s="99">
        <v>539377.26</v>
      </c>
      <c r="E19" s="99">
        <v>370854.55</v>
      </c>
      <c r="G19" s="99"/>
    </row>
    <row r="20" customHeight="1" spans="1:7">
      <c r="A20" s="97" t="s">
        <v>255</v>
      </c>
      <c r="B20" s="42" t="str">
        <f>IFERROR(_xlfn.XLOOKUP('8月份计划'!A20,[5]UNEA!$B:$B,[5]UNEA!$B:$B),IFERROR(_xlfn.XLOOKUP('8月份计划'!A20,[5]MRHK!$B:$B,[5]MRHK!$B:$B),IFERROR(_xlfn.XLOOKUP('8月份计划'!A20,[5]MRHB!$B:$B,[5]MRHB!$B:$B),IFERROR(_xlfn.XLOOKUP('8月份计划'!A20,[5]HA6H!$B:$B,[5]HA6H!$B:$B),IFERROR(_xlfn.XLOOKUP('8月份计划'!A20,[5]HA6H!$B:$B,[5]HA6H!$B:$B)," ")))))</f>
        <v> </v>
      </c>
      <c r="C20" s="98">
        <f>SUMIFS('8月份科目余额表'!O:O,'8月份科目余额表'!D:D,A20)</f>
        <v>98722.96</v>
      </c>
      <c r="D20" s="99">
        <f>SUMIFS('7月份挂账'!$Q:$Q,'7月份挂账'!$S:$S,$A20)-SUMIFS('7月份挂账'!$P:$P,'7月份挂账'!$S:$S,$A20)</f>
        <v>41991.38</v>
      </c>
      <c r="E20" s="99">
        <f>SUMIFS('8月份挂账'!$Q:$Q,'8月份挂账'!$S:$S,$A20)-SUMIFS('8月份挂账'!$P:$P,'8月份挂账'!$S:$S,$A20)</f>
        <v>6782.25</v>
      </c>
      <c r="F20" s="100">
        <f t="shared" ref="F20:F34" si="1">C20-D20-E20</f>
        <v>49949.33</v>
      </c>
      <c r="G20" s="99"/>
    </row>
    <row r="21" customHeight="1" spans="1:7">
      <c r="A21" s="97" t="s">
        <v>256</v>
      </c>
      <c r="B21" s="42" t="str">
        <f>IFERROR(_xlfn.XLOOKUP('8月份计划'!A21,[5]UNEA!$B:$B,[5]UNEA!$B:$B),IFERROR(_xlfn.XLOOKUP('8月份计划'!A21,[5]MRHK!$B:$B,[5]MRHK!$B:$B),IFERROR(_xlfn.XLOOKUP('8月份计划'!A21,[5]MRHB!$B:$B,[5]MRHB!$B:$B),IFERROR(_xlfn.XLOOKUP('8月份计划'!A21,[5]HA6H!$B:$B,[5]HA6H!$B:$B),IFERROR(_xlfn.XLOOKUP('8月份计划'!A21,[5]HA6H!$B:$B,[5]HA6H!$B:$B)," ")))))</f>
        <v>湘乡简美工贸有限公司</v>
      </c>
      <c r="C21" s="98">
        <f>SUMIFS('8月份科目余额表'!O:O,'8月份科目余额表'!D:D,A21)</f>
        <v>2390069.52</v>
      </c>
      <c r="D21" s="99">
        <f>SUMIFS('7月份挂账'!$Q:$Q,'7月份挂账'!$S:$S,$A21)-SUMIFS('7月份挂账'!$P:$P,'7月份挂账'!$S:$S,$A21)</f>
        <v>967465.11</v>
      </c>
      <c r="E21" s="99">
        <f>SUMIFS('8月份挂账'!$Q:$Q,'8月份挂账'!$S:$S,$A21)-SUMIFS('8月份挂账'!$P:$P,'8月份挂账'!$S:$S,$A21)</f>
        <v>339973.44</v>
      </c>
      <c r="F21" s="100">
        <f t="shared" si="1"/>
        <v>1082630.97</v>
      </c>
      <c r="G21" s="99">
        <v>1000000</v>
      </c>
    </row>
    <row r="22" customHeight="1" spans="1:7">
      <c r="A22" s="97" t="s">
        <v>257</v>
      </c>
      <c r="B22" s="42" t="str">
        <f>IFERROR(_xlfn.XLOOKUP('8月份计划'!A22,[5]UNEA!$B:$B,[5]UNEA!$B:$B),IFERROR(_xlfn.XLOOKUP('8月份计划'!A22,[5]MRHK!$B:$B,[5]MRHK!$B:$B),IFERROR(_xlfn.XLOOKUP('8月份计划'!A22,[5]MRHB!$B:$B,[5]MRHB!$B:$B),IFERROR(_xlfn.XLOOKUP('8月份计划'!A22,[5]HA6H!$B:$B,[5]HA6H!$B:$B),IFERROR(_xlfn.XLOOKUP('8月份计划'!A22,[5]HA6H!$B:$B,[5]HA6H!$B:$B)," ")))))</f>
        <v> </v>
      </c>
      <c r="C22" s="98">
        <f>SUMIFS('8月份科目余额表'!O:O,'8月份科目余额表'!D:D,A22)</f>
        <v>-39.99</v>
      </c>
      <c r="D22" s="99">
        <f>SUMIFS('7月份挂账'!$Q:$Q,'7月份挂账'!$S:$S,$A22)-SUMIFS('7月份挂账'!$P:$P,'7月份挂账'!$S:$S,$A22)</f>
        <v>0</v>
      </c>
      <c r="E22" s="99">
        <f>SUMIFS('8月份挂账'!$Q:$Q,'8月份挂账'!$S:$S,$A22)-SUMIFS('8月份挂账'!$P:$P,'8月份挂账'!$S:$S,$A22)</f>
        <v>0</v>
      </c>
      <c r="F22" s="100">
        <f t="shared" si="1"/>
        <v>-39.99</v>
      </c>
      <c r="G22" s="99"/>
    </row>
    <row r="23" customHeight="1" spans="1:7">
      <c r="A23" s="97" t="s">
        <v>258</v>
      </c>
      <c r="B23" s="42" t="str">
        <f>IFERROR(_xlfn.XLOOKUP('8月份计划'!A23,[5]UNEA!$B:$B,[5]UNEA!$B:$B),IFERROR(_xlfn.XLOOKUP('8月份计划'!A23,[5]MRHK!$B:$B,[5]MRHK!$B:$B),IFERROR(_xlfn.XLOOKUP('8月份计划'!A23,[5]MRHB!$B:$B,[5]MRHB!$B:$B),IFERROR(_xlfn.XLOOKUP('8月份计划'!A23,[5]HA6H!$B:$B,[5]HA6H!$B:$B),IFERROR(_xlfn.XLOOKUP('8月份计划'!A23,[5]HA6H!$B:$B,[5]HA6H!$B:$B)," ")))))</f>
        <v> </v>
      </c>
      <c r="C23" s="98">
        <f>SUMIFS('8月份科目余额表'!O:O,'8月份科目余额表'!D:D,A23)</f>
        <v>51059.41</v>
      </c>
      <c r="D23" s="99">
        <f>SUMIFS('7月份挂账'!$Q:$Q,'7月份挂账'!$S:$S,$A23)-SUMIFS('7月份挂账'!$P:$P,'7月份挂账'!$S:$S,$A23)</f>
        <v>44270.01</v>
      </c>
      <c r="E23" s="99">
        <f>SUMIFS('8月份挂账'!$Q:$Q,'8月份挂账'!$S:$S,$A23)-SUMIFS('8月份挂账'!$P:$P,'8月份挂账'!$S:$S,$A23)</f>
        <v>6789.4</v>
      </c>
      <c r="F23" s="100">
        <f t="shared" si="1"/>
        <v>0</v>
      </c>
      <c r="G23" s="99"/>
    </row>
    <row r="24" customHeight="1" spans="1:7">
      <c r="A24" s="97" t="s">
        <v>259</v>
      </c>
      <c r="B24" s="42" t="str">
        <f>IFERROR(_xlfn.XLOOKUP('8月份计划'!A24,[5]UNEA!$B:$B,[5]UNEA!$B:$B),IFERROR(_xlfn.XLOOKUP('8月份计划'!A24,[5]MRHK!$B:$B,[5]MRHK!$B:$B),IFERROR(_xlfn.XLOOKUP('8月份计划'!A24,[5]MRHB!$B:$B,[5]MRHB!$B:$B),IFERROR(_xlfn.XLOOKUP('8月份计划'!A24,[5]HA6H!$B:$B,[5]HA6H!$B:$B),IFERROR(_xlfn.XLOOKUP('8月份计划'!A24,[5]HA6H!$B:$B,[5]HA6H!$B:$B)," ")))))</f>
        <v> </v>
      </c>
      <c r="C24" s="98">
        <f>SUMIFS('8月份科目余额表'!O:O,'8月份科目余额表'!D:D,A24)</f>
        <v>807800.62</v>
      </c>
      <c r="D24" s="99">
        <f>SUMIFS('7月份挂账'!$Q:$Q,'7月份挂账'!$S:$S,$A24)-SUMIFS('7月份挂账'!$P:$P,'7月份挂账'!$S:$S,$A24)</f>
        <v>0</v>
      </c>
      <c r="E24" s="99">
        <f>SUMIFS('8月份挂账'!$Q:$Q,'8月份挂账'!$S:$S,$A24)-SUMIFS('8月份挂账'!$P:$P,'8月份挂账'!$S:$S,$A24)</f>
        <v>0</v>
      </c>
      <c r="F24" s="100">
        <f t="shared" si="1"/>
        <v>807800.62</v>
      </c>
      <c r="G24" s="99"/>
    </row>
    <row r="25" customHeight="1" spans="1:7">
      <c r="A25" s="97" t="s">
        <v>299</v>
      </c>
      <c r="B25" s="42" t="str">
        <f>IFERROR(_xlfn.XLOOKUP('8月份计划'!A25,[5]UNEA!$B:$B,[5]UNEA!$B:$B),IFERROR(_xlfn.XLOOKUP('8月份计划'!A25,[5]MRHK!$B:$B,[5]MRHK!$B:$B),IFERROR(_xlfn.XLOOKUP('8月份计划'!A25,[5]MRHB!$B:$B,[5]MRHB!$B:$B),IFERROR(_xlfn.XLOOKUP('8月份计划'!A25,[5]HA6H!$B:$B,[5]HA6H!$B:$B),IFERROR(_xlfn.XLOOKUP('8月份计划'!A25,[5]HA6H!$B:$B,[5]HA6H!$B:$B)," ")))))</f>
        <v> </v>
      </c>
      <c r="C25" s="98">
        <f>SUMIFS('8月份科目余额表'!O:O,'8月份科目余额表'!D:D,A25)</f>
        <v>0</v>
      </c>
      <c r="D25" s="99">
        <f>SUMIFS('7月份挂账'!$Q:$Q,'7月份挂账'!$S:$S,$A25)-SUMIFS('7月份挂账'!$P:$P,'7月份挂账'!$S:$S,$A25)</f>
        <v>0</v>
      </c>
      <c r="E25" s="99">
        <f>SUMIFS('8月份挂账'!$Q:$Q,'8月份挂账'!$S:$S,$A25)-SUMIFS('8月份挂账'!$P:$P,'8月份挂账'!$S:$S,$A25)</f>
        <v>0</v>
      </c>
      <c r="F25" s="100">
        <f t="shared" si="1"/>
        <v>0</v>
      </c>
      <c r="G25" s="99"/>
    </row>
    <row r="26" customHeight="1" spans="1:7">
      <c r="A26" s="97" t="s">
        <v>260</v>
      </c>
      <c r="B26" s="42" t="str">
        <f>IFERROR(_xlfn.XLOOKUP('8月份计划'!A26,[5]UNEA!$B:$B,[5]UNEA!$B:$B),IFERROR(_xlfn.XLOOKUP('8月份计划'!A26,[5]MRHK!$B:$B,[5]MRHK!$B:$B),IFERROR(_xlfn.XLOOKUP('8月份计划'!A26,[5]MRHB!$B:$B,[5]MRHB!$B:$B),IFERROR(_xlfn.XLOOKUP('8月份计划'!A26,[5]HA6H!$B:$B,[5]HA6H!$B:$B),IFERROR(_xlfn.XLOOKUP('8月份计划'!A26,[5]HA6H!$B:$B,[5]HA6H!$B:$B)," ")))))</f>
        <v> </v>
      </c>
      <c r="C26" s="98">
        <f>SUMIFS('8月份科目余额表'!O:O,'8月份科目余额表'!D:D,A26)</f>
        <v>192609.91</v>
      </c>
      <c r="D26" s="99">
        <f>SUMIFS('7月份挂账'!$Q:$Q,'7月份挂账'!$S:$S,$A26)-SUMIFS('7月份挂账'!$P:$P,'7月份挂账'!$S:$S,$A26)</f>
        <v>22470.12</v>
      </c>
      <c r="E26" s="99">
        <f>SUMIFS('8月份挂账'!$Q:$Q,'8月份挂账'!$S:$S,$A26)-SUMIFS('8月份挂账'!$P:$P,'8月份挂账'!$S:$S,$A26)</f>
        <v>40732.2</v>
      </c>
      <c r="F26" s="100">
        <f t="shared" si="1"/>
        <v>129407.59</v>
      </c>
      <c r="G26" s="99"/>
    </row>
    <row r="27" customHeight="1" spans="1:7">
      <c r="A27" s="97" t="s">
        <v>261</v>
      </c>
      <c r="B27" s="42" t="str">
        <f>IFERROR(_xlfn.XLOOKUP('8月份计划'!A27,[5]UNEA!$B:$B,[5]UNEA!$B:$B),IFERROR(_xlfn.XLOOKUP('8月份计划'!A27,[5]MRHK!$B:$B,[5]MRHK!$B:$B),IFERROR(_xlfn.XLOOKUP('8月份计划'!A27,[5]MRHB!$B:$B,[5]MRHB!$B:$B),IFERROR(_xlfn.XLOOKUP('8月份计划'!A27,[5]HA6H!$B:$B,[5]HA6H!$B:$B),IFERROR(_xlfn.XLOOKUP('8月份计划'!A27,[5]HA6H!$B:$B,[5]HA6H!$B:$B)," ")))))</f>
        <v> </v>
      </c>
      <c r="C27" s="98">
        <f>SUMIFS('8月份科目余额表'!O:O,'8月份科目余额表'!D:D,A27)</f>
        <v>361917.11</v>
      </c>
      <c r="D27" s="99">
        <f>SUMIFS('7月份挂账'!$Q:$Q,'7月份挂账'!$S:$S,$A27)-SUMIFS('7月份挂账'!$P:$P,'7月份挂账'!$S:$S,$A27)</f>
        <v>0</v>
      </c>
      <c r="E27" s="99">
        <v>146932</v>
      </c>
      <c r="F27" s="100">
        <f t="shared" si="1"/>
        <v>214985.11</v>
      </c>
      <c r="G27" s="99">
        <v>100000</v>
      </c>
    </row>
    <row r="28" customHeight="1" spans="1:7">
      <c r="A28" s="97" t="s">
        <v>262</v>
      </c>
      <c r="B28" s="42" t="str">
        <f>IFERROR(_xlfn.XLOOKUP('8月份计划'!A28,[5]UNEA!$B:$B,[5]UNEA!$B:$B),IFERROR(_xlfn.XLOOKUP('8月份计划'!A28,[5]MRHK!$B:$B,[5]MRHK!$B:$B),IFERROR(_xlfn.XLOOKUP('8月份计划'!A28,[5]MRHB!$B:$B,[5]MRHB!$B:$B),IFERROR(_xlfn.XLOOKUP('8月份计划'!A28,[5]HA6H!$B:$B,[5]HA6H!$B:$B),IFERROR(_xlfn.XLOOKUP('8月份计划'!A28,[5]HA6H!$B:$B,[5]HA6H!$B:$B)," ")))))</f>
        <v> </v>
      </c>
      <c r="C28" s="98">
        <f>SUMIFS('8月份科目余额表'!O:O,'8月份科目余额表'!D:D,A28)</f>
        <v>579103.74</v>
      </c>
      <c r="D28" s="99">
        <f>SUMIFS('7月份挂账'!$Q:$Q,'7月份挂账'!$S:$S,$A28)-SUMIFS('7月份挂账'!$P:$P,'7月份挂账'!$S:$S,$A28)</f>
        <v>0</v>
      </c>
      <c r="E28" s="99">
        <f>SUMIFS('8月份挂账'!$Q:$Q,'8月份挂账'!$S:$S,$A28)-SUMIFS('8月份挂账'!$P:$P,'8月份挂账'!$S:$S,$A28)</f>
        <v>0</v>
      </c>
      <c r="F28" s="100">
        <f t="shared" si="1"/>
        <v>579103.74</v>
      </c>
      <c r="G28" s="99">
        <v>200000</v>
      </c>
    </row>
    <row r="29" customHeight="1" spans="1:7">
      <c r="A29" s="97" t="s">
        <v>263</v>
      </c>
      <c r="B29" s="42" t="str">
        <f>IFERROR(_xlfn.XLOOKUP('8月份计划'!A29,[5]UNEA!$B:$B,[5]UNEA!$B:$B),IFERROR(_xlfn.XLOOKUP('8月份计划'!A29,[5]MRHK!$B:$B,[5]MRHK!$B:$B),IFERROR(_xlfn.XLOOKUP('8月份计划'!A29,[5]MRHB!$B:$B,[5]MRHB!$B:$B),IFERROR(_xlfn.XLOOKUP('8月份计划'!A29,[5]HA6H!$B:$B,[5]HA6H!$B:$B),IFERROR(_xlfn.XLOOKUP('8月份计划'!A29,[5]HA6H!$B:$B,[5]HA6H!$B:$B)," ")))))</f>
        <v>武汉德锐隆科技有限公司</v>
      </c>
      <c r="C29" s="98">
        <f>SUMIFS('8月份科目余额表'!O:O,'8月份科目余额表'!D:D,A29)</f>
        <v>140736.48</v>
      </c>
      <c r="D29" s="99">
        <f>SUMIFS('7月份挂账'!$Q:$Q,'7月份挂账'!$S:$S,$A29)-SUMIFS('7月份挂账'!$P:$P,'7月份挂账'!$S:$S,$A29)</f>
        <v>125377.98</v>
      </c>
      <c r="E29" s="99">
        <f>SUMIFS('8月份挂账'!$Q:$Q,'8月份挂账'!$S:$S,$A29)-SUMIFS('8月份挂账'!$P:$P,'8月份挂账'!$S:$S,$A29)</f>
        <v>15358.5</v>
      </c>
      <c r="F29" s="100">
        <f t="shared" si="1"/>
        <v>1.45519152283669e-11</v>
      </c>
      <c r="G29" s="99"/>
    </row>
    <row r="30" customHeight="1" spans="1:7">
      <c r="A30" s="97" t="s">
        <v>264</v>
      </c>
      <c r="B30" s="42" t="str">
        <f>IFERROR(_xlfn.XLOOKUP('8月份计划'!A30,[5]UNEA!$B:$B,[5]UNEA!$B:$B),IFERROR(_xlfn.XLOOKUP('8月份计划'!A30,[5]MRHK!$B:$B,[5]MRHK!$B:$B),IFERROR(_xlfn.XLOOKUP('8月份计划'!A30,[5]MRHB!$B:$B,[5]MRHB!$B:$B),IFERROR(_xlfn.XLOOKUP('8月份计划'!A30,[5]HA6H!$B:$B,[5]HA6H!$B:$B),IFERROR(_xlfn.XLOOKUP('8月份计划'!A30,[5]HA6H!$B:$B,[5]HA6H!$B:$B)," ")))))</f>
        <v> </v>
      </c>
      <c r="C30" s="98">
        <f>SUMIFS('8月份科目余额表'!O:O,'8月份科目余额表'!D:D,A30)</f>
        <v>1781802.89</v>
      </c>
      <c r="D30" s="99">
        <f>SUMIFS('7月份挂账'!$Q:$Q,'7月份挂账'!$S:$S,$A30)-SUMIFS('7月份挂账'!$P:$P,'7月份挂账'!$S:$S,$A30)</f>
        <v>360148.6</v>
      </c>
      <c r="E30" s="99">
        <f>SUMIFS('8月份挂账'!$Q:$Q,'8月份挂账'!$S:$S,$A30)-SUMIFS('8月份挂账'!$P:$P,'8月份挂账'!$S:$S,$A30)</f>
        <v>231873.71</v>
      </c>
      <c r="F30" s="100">
        <f t="shared" si="1"/>
        <v>1189780.58</v>
      </c>
      <c r="G30" s="99">
        <v>700000</v>
      </c>
    </row>
    <row r="31" customHeight="1" spans="1:7">
      <c r="A31" s="97" t="s">
        <v>265</v>
      </c>
      <c r="B31" s="42" t="str">
        <f>IFERROR(_xlfn.XLOOKUP('8月份计划'!A31,[5]UNEA!$B:$B,[5]UNEA!$B:$B),IFERROR(_xlfn.XLOOKUP('8月份计划'!A31,[5]MRHK!$B:$B,[5]MRHK!$B:$B),IFERROR(_xlfn.XLOOKUP('8月份计划'!A31,[5]MRHB!$B:$B,[5]MRHB!$B:$B),IFERROR(_xlfn.XLOOKUP('8月份计划'!A31,[5]HA6H!$B:$B,[5]HA6H!$B:$B),IFERROR(_xlfn.XLOOKUP('8月份计划'!A31,[5]HA6H!$B:$B,[5]HA6H!$B:$B)," ")))))</f>
        <v> </v>
      </c>
      <c r="C31" s="98">
        <f>SUMIFS('8月份科目余额表'!O:O,'8月份科目余额表'!D:D,A31)</f>
        <v>2308350.6</v>
      </c>
      <c r="D31" s="99">
        <f>SUMIFS('7月份挂账'!$Q:$Q,'7月份挂账'!$S:$S,$A31)-SUMIFS('7月份挂账'!$P:$P,'7月份挂账'!$S:$S,$A31)</f>
        <v>455503.12</v>
      </c>
      <c r="E31" s="99">
        <f>SUMIFS('8月份挂账'!$Q:$Q,'8月份挂账'!$S:$S,$A31)-SUMIFS('8月份挂账'!$P:$P,'8月份挂账'!$S:$S,$A31)</f>
        <v>762117.04</v>
      </c>
      <c r="F31" s="100">
        <f t="shared" si="1"/>
        <v>1090730.44</v>
      </c>
      <c r="G31" s="99">
        <v>1000000</v>
      </c>
    </row>
    <row r="32" customHeight="1" spans="1:7">
      <c r="A32" s="97" t="s">
        <v>267</v>
      </c>
      <c r="B32" s="42" t="str">
        <f>IFERROR(_xlfn.XLOOKUP('8月份计划'!A32,[5]UNEA!$B:$B,[5]UNEA!$B:$B),IFERROR(_xlfn.XLOOKUP('8月份计划'!A32,[5]MRHK!$B:$B,[5]MRHK!$B:$B),IFERROR(_xlfn.XLOOKUP('8月份计划'!A32,[5]MRHB!$B:$B,[5]MRHB!$B:$B),IFERROR(_xlfn.XLOOKUP('8月份计划'!A32,[5]HA6H!$B:$B,[5]HA6H!$B:$B),IFERROR(_xlfn.XLOOKUP('8月份计划'!A32,[5]HA6H!$B:$B,[5]HA6H!$B:$B)," ")))))</f>
        <v> </v>
      </c>
      <c r="C32" s="98">
        <f>SUMIFS('8月份科目余额表'!O:O,'8月份科目余额表'!D:D,A32)</f>
        <v>8623.21</v>
      </c>
      <c r="D32" s="99">
        <f>SUMIFS('7月份挂账'!$Q:$Q,'7月份挂账'!$S:$S,$A32)-SUMIFS('7月份挂账'!$P:$P,'7月份挂账'!$S:$S,$A32)</f>
        <v>0</v>
      </c>
      <c r="E32" s="99">
        <f>SUMIFS('8月份挂账'!$Q:$Q,'8月份挂账'!$S:$S,$A32)-SUMIFS('8月份挂账'!$P:$P,'8月份挂账'!$S:$S,$A32)</f>
        <v>4272.99</v>
      </c>
      <c r="F32" s="100">
        <f t="shared" si="1"/>
        <v>4350.22</v>
      </c>
      <c r="G32" s="99"/>
    </row>
    <row r="33" customHeight="1" spans="1:7">
      <c r="A33" s="97" t="s">
        <v>268</v>
      </c>
      <c r="B33" s="42" t="str">
        <f>IFERROR(_xlfn.XLOOKUP('8月份计划'!A33,[5]UNEA!$B:$B,[5]UNEA!$B:$B),IFERROR(_xlfn.XLOOKUP('8月份计划'!A33,[5]MRHK!$B:$B,[5]MRHK!$B:$B),IFERROR(_xlfn.XLOOKUP('8月份计划'!A33,[5]MRHB!$B:$B,[5]MRHB!$B:$B),IFERROR(_xlfn.XLOOKUP('8月份计划'!A33,[5]HA6H!$B:$B,[5]HA6H!$B:$B),IFERROR(_xlfn.XLOOKUP('8月份计划'!A33,[5]HA6H!$B:$B,[5]HA6H!$B:$B)," ")))))</f>
        <v> </v>
      </c>
      <c r="C33" s="98">
        <f>SUMIFS('8月份科目余额表'!O:O,'8月份科目余额表'!D:D,A33)</f>
        <v>12533.25</v>
      </c>
      <c r="D33" s="99">
        <f>SUMIFS('7月份挂账'!$Q:$Q,'7月份挂账'!$S:$S,$A33)-SUMIFS('7月份挂账'!$P:$P,'7月份挂账'!$S:$S,$A33)</f>
        <v>0</v>
      </c>
      <c r="E33" s="99">
        <f>SUMIFS('8月份挂账'!$Q:$Q,'8月份挂账'!$S:$S,$A33)-SUMIFS('8月份挂账'!$P:$P,'8月份挂账'!$S:$S,$A33)</f>
        <v>0</v>
      </c>
      <c r="F33" s="100">
        <f t="shared" si="1"/>
        <v>12533.25</v>
      </c>
      <c r="G33" s="99"/>
    </row>
    <row r="34" customHeight="1" spans="1:7">
      <c r="A34" s="97" t="s">
        <v>300</v>
      </c>
      <c r="B34" s="42" t="str">
        <f>IFERROR(_xlfn.XLOOKUP('8月份计划'!A34,[5]UNEA!$B:$B,[5]UNEA!$B:$B),IFERROR(_xlfn.XLOOKUP('8月份计划'!A34,[5]MRHK!$B:$B,[5]MRHK!$B:$B),IFERROR(_xlfn.XLOOKUP('8月份计划'!A34,[5]MRHB!$B:$B,[5]MRHB!$B:$B),IFERROR(_xlfn.XLOOKUP('8月份计划'!A34,[5]HA6H!$B:$B,[5]HA6H!$B:$B),IFERROR(_xlfn.XLOOKUP('8月份计划'!A34,[5]HA6H!$B:$B,[5]HA6H!$B:$B)," ")))))</f>
        <v> </v>
      </c>
      <c r="C34" s="98">
        <f>SUMIFS('8月份科目余额表'!O:O,'8月份科目余额表'!D:D,A34)</f>
        <v>13119.3</v>
      </c>
      <c r="D34" s="99">
        <f>SUMIFS('7月份挂账'!$Q:$Q,'7月份挂账'!$S:$S,$A34)-SUMIFS('7月份挂账'!$P:$P,'7月份挂账'!$S:$S,$A34)</f>
        <v>0</v>
      </c>
      <c r="E34" s="99">
        <f>SUMIFS('8月份挂账'!$Q:$Q,'8月份挂账'!$S:$S,$A34)-SUMIFS('8月份挂账'!$P:$P,'8月份挂账'!$S:$S,$A34)</f>
        <v>0</v>
      </c>
      <c r="F34" s="100">
        <f t="shared" si="1"/>
        <v>13119.3</v>
      </c>
      <c r="G34" s="99"/>
    </row>
    <row r="35" customHeight="1" spans="1:7">
      <c r="A35" s="97" t="s">
        <v>301</v>
      </c>
      <c r="B35" s="42" t="str">
        <f>IFERROR(_xlfn.XLOOKUP('8月份计划'!A35,[5]UNEA!$B:$B,[5]UNEA!$B:$B),IFERROR(_xlfn.XLOOKUP('8月份计划'!A35,[5]MRHK!$B:$B,[5]MRHK!$B:$B),IFERROR(_xlfn.XLOOKUP('8月份计划'!A35,[5]MRHB!$B:$B,[5]MRHB!$B:$B),IFERROR(_xlfn.XLOOKUP('8月份计划'!A35,[5]HA6H!$B:$B,[5]HA6H!$B:$B),IFERROR(_xlfn.XLOOKUP('8月份计划'!A35,[5]HA6H!$B:$B,[5]HA6H!$B:$B)," ")))))</f>
        <v> </v>
      </c>
      <c r="C35" s="98">
        <f>SUMIFS('8月份科目余额表'!O:O,'8月份科目余额表'!D:D,A35)</f>
        <v>0</v>
      </c>
      <c r="D35" s="99">
        <f>SUMIFS('7月份挂账'!$Q:$Q,'7月份挂账'!$S:$S,$A35)-SUMIFS('7月份挂账'!$P:$P,'7月份挂账'!$S:$S,$A35)</f>
        <v>29659.42</v>
      </c>
      <c r="E35" s="99">
        <f>SUMIFS('8月份挂账'!$Q:$Q,'8月份挂账'!$S:$S,$A35)-SUMIFS('8月份挂账'!$P:$P,'8月份挂账'!$S:$S,$A35)</f>
        <v>0</v>
      </c>
      <c r="G35" s="99"/>
    </row>
    <row r="36" customHeight="1" spans="1:7">
      <c r="A36" s="97" t="s">
        <v>269</v>
      </c>
      <c r="B36" s="42" t="str">
        <f>IFERROR(_xlfn.XLOOKUP('8月份计划'!A36,[5]UNEA!$B:$B,[5]UNEA!$B:$B),IFERROR(_xlfn.XLOOKUP('8月份计划'!A36,[5]MRHK!$B:$B,[5]MRHK!$B:$B),IFERROR(_xlfn.XLOOKUP('8月份计划'!A36,[5]MRHB!$B:$B,[5]MRHB!$B:$B),IFERROR(_xlfn.XLOOKUP('8月份计划'!A36,[5]HA6H!$B:$B,[5]HA6H!$B:$B),IFERROR(_xlfn.XLOOKUP('8月份计划'!A36,[5]HA6H!$B:$B,[5]HA6H!$B:$B)," ")))))</f>
        <v> </v>
      </c>
      <c r="C36" s="98">
        <f>SUMIFS('8月份科目余额表'!O:O,'8月份科目余额表'!D:D,A36)</f>
        <v>-11152.91</v>
      </c>
      <c r="D36" s="99">
        <f>SUMIFS('7月份挂账'!$Q:$Q,'7月份挂账'!$S:$S,$A36)-SUMIFS('7月份挂账'!$P:$P,'7月份挂账'!$S:$S,$A36)</f>
        <v>0</v>
      </c>
      <c r="E36" s="99">
        <f>SUMIFS('8月份挂账'!$Q:$Q,'8月份挂账'!$S:$S,$A36)-SUMIFS('8月份挂账'!$P:$P,'8月份挂账'!$S:$S,$A36)</f>
        <v>0</v>
      </c>
      <c r="G36" s="99"/>
    </row>
    <row r="37" customHeight="1" spans="1:7">
      <c r="A37" s="97" t="s">
        <v>270</v>
      </c>
      <c r="B37" s="42" t="str">
        <f>IFERROR(_xlfn.XLOOKUP('8月份计划'!A37,[5]UNEA!$B:$B,[5]UNEA!$B:$B),IFERROR(_xlfn.XLOOKUP('8月份计划'!A37,[5]MRHK!$B:$B,[5]MRHK!$B:$B),IFERROR(_xlfn.XLOOKUP('8月份计划'!A37,[5]MRHB!$B:$B,[5]MRHB!$B:$B),IFERROR(_xlfn.XLOOKUP('8月份计划'!A37,[5]HA6H!$B:$B,[5]HA6H!$B:$B),IFERROR(_xlfn.XLOOKUP('8月份计划'!A37,[5]HA6H!$B:$B,[5]HA6H!$B:$B)," ")))))</f>
        <v> </v>
      </c>
      <c r="C37" s="98">
        <f>SUMIFS('8月份科目余额表'!O:O,'8月份科目余额表'!D:D,A37)</f>
        <v>8389.14</v>
      </c>
      <c r="D37" s="99">
        <f>SUMIFS('7月份挂账'!$Q:$Q,'7月份挂账'!$S:$S,$A37)-SUMIFS('7月份挂账'!$P:$P,'7月份挂账'!$S:$S,$A37)</f>
        <v>1214.77</v>
      </c>
      <c r="E37" s="99">
        <f>SUMIFS('8月份挂账'!$Q:$Q,'8月份挂账'!$S:$S,$A37)-SUMIFS('8月份挂账'!$P:$P,'8月份挂账'!$S:$S,$A37)</f>
        <v>3689.67</v>
      </c>
      <c r="F37" s="100">
        <f t="shared" ref="F37:F78" si="2">C37-D37-E37</f>
        <v>3484.7</v>
      </c>
      <c r="G37" s="99"/>
    </row>
    <row r="38" customHeight="1" spans="1:7">
      <c r="A38" s="97" t="s">
        <v>271</v>
      </c>
      <c r="B38" s="42" t="str">
        <f>IFERROR(_xlfn.XLOOKUP('8月份计划'!A38,[5]UNEA!$B:$B,[5]UNEA!$B:$B),IFERROR(_xlfn.XLOOKUP('8月份计划'!A38,[5]MRHK!$B:$B,[5]MRHK!$B:$B),IFERROR(_xlfn.XLOOKUP('8月份计划'!A38,[5]MRHB!$B:$B,[5]MRHB!$B:$B),IFERROR(_xlfn.XLOOKUP('8月份计划'!A38,[5]HA6H!$B:$B,[5]HA6H!$B:$B),IFERROR(_xlfn.XLOOKUP('8月份计划'!A38,[5]HA6H!$B:$B,[5]HA6H!$B:$B)," ")))))</f>
        <v> </v>
      </c>
      <c r="C38" s="98">
        <f>SUMIFS('8月份科目余额表'!O:O,'8月份科目余额表'!D:D,A38)</f>
        <v>22774.59</v>
      </c>
      <c r="D38" s="99">
        <f>SUMIFS('7月份挂账'!$Q:$Q,'7月份挂账'!$S:$S,$A38)-SUMIFS('7月份挂账'!$P:$P,'7月份挂账'!$S:$S,$A38)</f>
        <v>0</v>
      </c>
      <c r="E38" s="99">
        <f>SUMIFS('8月份挂账'!$Q:$Q,'8月份挂账'!$S:$S,$A38)-SUMIFS('8月份挂账'!$P:$P,'8月份挂账'!$S:$S,$A38)</f>
        <v>0</v>
      </c>
      <c r="F38" s="100">
        <f t="shared" si="2"/>
        <v>22774.59</v>
      </c>
      <c r="G38" s="99"/>
    </row>
    <row r="39" customHeight="1" spans="1:7">
      <c r="A39" s="97" t="s">
        <v>272</v>
      </c>
      <c r="B39" s="42" t="str">
        <f>IFERROR(_xlfn.XLOOKUP('8月份计划'!A39,[5]UNEA!$B:$B,[5]UNEA!$B:$B),IFERROR(_xlfn.XLOOKUP('8月份计划'!A39,[5]MRHK!$B:$B,[5]MRHK!$B:$B),IFERROR(_xlfn.XLOOKUP('8月份计划'!A39,[5]MRHB!$B:$B,[5]MRHB!$B:$B),IFERROR(_xlfn.XLOOKUP('8月份计划'!A39,[5]HA6H!$B:$B,[5]HA6H!$B:$B),IFERROR(_xlfn.XLOOKUP('8月份计划'!A39,[5]HA6H!$B:$B,[5]HA6H!$B:$B)," ")))))</f>
        <v> </v>
      </c>
      <c r="C39" s="98">
        <f>SUMIFS('8月份科目余额表'!O:O,'8月份科目余额表'!D:D,A39)</f>
        <v>279949.53</v>
      </c>
      <c r="D39" s="99">
        <f>SUMIFS('7月份挂账'!$Q:$Q,'7月份挂账'!$S:$S,$A39)-SUMIFS('7月份挂账'!$P:$P,'7月份挂账'!$S:$S,$A39)</f>
        <v>17003.42</v>
      </c>
      <c r="E39" s="99">
        <f>SUMIFS('8月份挂账'!$Q:$Q,'8月份挂账'!$S:$S,$A39)-SUMIFS('8月份挂账'!$P:$P,'8月份挂账'!$S:$S,$A39)</f>
        <v>21776.5</v>
      </c>
      <c r="F39" s="100">
        <f t="shared" si="2"/>
        <v>241169.61</v>
      </c>
      <c r="G39" s="99"/>
    </row>
    <row r="40" customHeight="1" spans="1:7">
      <c r="A40" s="97" t="s">
        <v>273</v>
      </c>
      <c r="B40" s="42" t="str">
        <f>IFERROR(_xlfn.XLOOKUP('8月份计划'!A40,[5]UNEA!$B:$B,[5]UNEA!$B:$B),IFERROR(_xlfn.XLOOKUP('8月份计划'!A40,[5]MRHK!$B:$B,[5]MRHK!$B:$B),IFERROR(_xlfn.XLOOKUP('8月份计划'!A40,[5]MRHB!$B:$B,[5]MRHB!$B:$B),IFERROR(_xlfn.XLOOKUP('8月份计划'!A40,[5]HA6H!$B:$B,[5]HA6H!$B:$B),IFERROR(_xlfn.XLOOKUP('8月份计划'!A40,[5]HA6H!$B:$B,[5]HA6H!$B:$B)," ")))))</f>
        <v>长春超力内饰件有限公司</v>
      </c>
      <c r="C40" s="98">
        <f>SUMIFS('8月份科目余额表'!O:O,'8月份科目余额表'!D:D,A40)</f>
        <v>189272.74</v>
      </c>
      <c r="D40" s="99">
        <f>SUMIFS('7月份挂账'!$Q:$Q,'7月份挂账'!$S:$S,$A40)-SUMIFS('7月份挂账'!$P:$P,'7月份挂账'!$S:$S,$A40)</f>
        <v>164185.61</v>
      </c>
      <c r="E40" s="99">
        <f>SUMIFS('8月份挂账'!$Q:$Q,'8月份挂账'!$S:$S,$A40)-SUMIFS('8月份挂账'!$P:$P,'8月份挂账'!$S:$S,$A40)</f>
        <v>25087.13</v>
      </c>
      <c r="F40" s="100">
        <f t="shared" si="2"/>
        <v>0</v>
      </c>
      <c r="G40" s="99"/>
    </row>
    <row r="41" customHeight="1" spans="1:7">
      <c r="A41" s="97" t="s">
        <v>302</v>
      </c>
      <c r="B41" s="42" t="str">
        <f>IFERROR(_xlfn.XLOOKUP('8月份计划'!A41,[5]UNEA!$B:$B,[5]UNEA!$B:$B),IFERROR(_xlfn.XLOOKUP('8月份计划'!A41,[5]MRHK!$B:$B,[5]MRHK!$B:$B),IFERROR(_xlfn.XLOOKUP('8月份计划'!A41,[5]MRHB!$B:$B,[5]MRHB!$B:$B),IFERROR(_xlfn.XLOOKUP('8月份计划'!A41,[5]HA6H!$B:$B,[5]HA6H!$B:$B),IFERROR(_xlfn.XLOOKUP('8月份计划'!A41,[5]HA6H!$B:$B,[5]HA6H!$B:$B)," ")))))</f>
        <v> </v>
      </c>
      <c r="C41" s="98">
        <f>SUMIFS('8月份科目余额表'!O:O,'8月份科目余额表'!D:D,A41)</f>
        <v>0</v>
      </c>
      <c r="D41" s="99">
        <f>SUMIFS('7月份挂账'!$Q:$Q,'7月份挂账'!$S:$S,$A41)-SUMIFS('7月份挂账'!$P:$P,'7月份挂账'!$S:$S,$A41)</f>
        <v>0</v>
      </c>
      <c r="E41" s="99">
        <f>SUMIFS('8月份挂账'!$Q:$Q,'8月份挂账'!$S:$S,$A41)-SUMIFS('8月份挂账'!$P:$P,'8月份挂账'!$S:$S,$A41)</f>
        <v>0</v>
      </c>
      <c r="F41" s="100">
        <f t="shared" si="2"/>
        <v>0</v>
      </c>
      <c r="G41" s="99"/>
    </row>
    <row r="42" customHeight="1" spans="1:7">
      <c r="A42" s="121" t="s">
        <v>274</v>
      </c>
      <c r="B42" s="42" t="str">
        <f>IFERROR(_xlfn.XLOOKUP('8月份计划'!A42,[5]UNEA!$B:$B,[5]UNEA!$B:$B),IFERROR(_xlfn.XLOOKUP('8月份计划'!A42,[5]MRHK!$B:$B,[5]MRHK!$B:$B),IFERROR(_xlfn.XLOOKUP('8月份计划'!A42,[5]MRHB!$B:$B,[5]MRHB!$B:$B),IFERROR(_xlfn.XLOOKUP('8月份计划'!A42,[5]HA6H!$B:$B,[5]HA6H!$B:$B),IFERROR(_xlfn.XLOOKUP('8月份计划'!A42,[5]HA6H!$B:$B,[5]HA6H!$B:$B)," ")))))</f>
        <v> </v>
      </c>
      <c r="C42" s="98">
        <f>SUMIFS('8月份科目余额表'!O:O,'8月份科目余额表'!D:D,A42)</f>
        <v>158512.03</v>
      </c>
      <c r="D42" s="99">
        <f>SUMIFS('7月份挂账'!$Q:$Q,'7月份挂账'!$S:$S,$A42)-SUMIFS('7月份挂账'!$P:$P,'7月份挂账'!$S:$S,$A42)</f>
        <v>31046.95</v>
      </c>
      <c r="E42" s="99">
        <f>SUMIFS('8月份挂账'!$Q:$Q,'8月份挂账'!$S:$S,$A42)-SUMIFS('8月份挂账'!$P:$P,'8月份挂账'!$S:$S,$A42)</f>
        <v>0</v>
      </c>
      <c r="F42" s="100">
        <f t="shared" si="2"/>
        <v>127465.08</v>
      </c>
      <c r="G42" s="99"/>
    </row>
    <row r="43" customHeight="1" spans="1:7">
      <c r="A43" s="97" t="s">
        <v>275</v>
      </c>
      <c r="B43" s="42" t="str">
        <f>IFERROR(_xlfn.XLOOKUP('8月份计划'!A43,[5]UNEA!$B:$B,[5]UNEA!$B:$B),IFERROR(_xlfn.XLOOKUP('8月份计划'!A43,[5]MRHK!$B:$B,[5]MRHK!$B:$B),IFERROR(_xlfn.XLOOKUP('8月份计划'!A43,[5]MRHB!$B:$B,[5]MRHB!$B:$B),IFERROR(_xlfn.XLOOKUP('8月份计划'!A43,[5]HA6H!$B:$B,[5]HA6H!$B:$B),IFERROR(_xlfn.XLOOKUP('8月份计划'!A43,[5]HA6H!$B:$B,[5]HA6H!$B:$B)," ")))))</f>
        <v> </v>
      </c>
      <c r="C43" s="98">
        <f>SUMIFS('8月份科目余额表'!O:O,'8月份科目余额表'!D:D,A43)</f>
        <v>21320.32</v>
      </c>
      <c r="D43" s="99">
        <f>SUMIFS('7月份挂账'!$Q:$Q,'7月份挂账'!$S:$S,$A43)-SUMIFS('7月份挂账'!$P:$P,'7月份挂账'!$S:$S,$A43)</f>
        <v>0</v>
      </c>
      <c r="E43" s="99">
        <f>SUMIFS('8月份挂账'!$Q:$Q,'8月份挂账'!$S:$S,$A43)-SUMIFS('8月份挂账'!$P:$P,'8月份挂账'!$S:$S,$A43)</f>
        <v>0</v>
      </c>
      <c r="F43" s="100">
        <f t="shared" si="2"/>
        <v>21320.32</v>
      </c>
      <c r="G43" s="99"/>
    </row>
    <row r="44" customHeight="1" spans="1:7">
      <c r="A44" s="97" t="s">
        <v>276</v>
      </c>
      <c r="B44" s="42" t="str">
        <f>IFERROR(_xlfn.XLOOKUP('8月份计划'!A44,[5]UNEA!$B:$B,[5]UNEA!$B:$B),IFERROR(_xlfn.XLOOKUP('8月份计划'!A44,[5]MRHK!$B:$B,[5]MRHK!$B:$B),IFERROR(_xlfn.XLOOKUP('8月份计划'!A44,[5]MRHB!$B:$B,[5]MRHB!$B:$B),IFERROR(_xlfn.XLOOKUP('8月份计划'!A44,[5]HA6H!$B:$B,[5]HA6H!$B:$B),IFERROR(_xlfn.XLOOKUP('8月份计划'!A44,[5]HA6H!$B:$B,[5]HA6H!$B:$B)," ")))))</f>
        <v> </v>
      </c>
      <c r="C44" s="98">
        <f>SUMIFS('8月份科目余额表'!O:O,'8月份科目余额表'!D:D,A44)</f>
        <v>38188.24</v>
      </c>
      <c r="D44" s="99">
        <f>SUMIFS('7月份挂账'!$Q:$Q,'7月份挂账'!$S:$S,$A44)-SUMIFS('7月份挂账'!$P:$P,'7月份挂账'!$S:$S,$A44)</f>
        <v>0</v>
      </c>
      <c r="E44" s="99">
        <f>SUMIFS('8月份挂账'!$Q:$Q,'8月份挂账'!$S:$S,$A44)-SUMIFS('8月份挂账'!$P:$P,'8月份挂账'!$S:$S,$A44)</f>
        <v>0</v>
      </c>
      <c r="F44" s="100">
        <f t="shared" si="2"/>
        <v>38188.24</v>
      </c>
      <c r="G44" s="99"/>
    </row>
    <row r="45" customHeight="1" spans="1:7">
      <c r="A45" s="97" t="s">
        <v>303</v>
      </c>
      <c r="B45" s="42" t="str">
        <f>IFERROR(_xlfn.XLOOKUP('8月份计划'!A45,[5]UNEA!$B:$B,[5]UNEA!$B:$B),IFERROR(_xlfn.XLOOKUP('8月份计划'!A45,[5]MRHK!$B:$B,[5]MRHK!$B:$B),IFERROR(_xlfn.XLOOKUP('8月份计划'!A45,[5]MRHB!$B:$B,[5]MRHB!$B:$B),IFERROR(_xlfn.XLOOKUP('8月份计划'!A45,[5]HA6H!$B:$B,[5]HA6H!$B:$B),IFERROR(_xlfn.XLOOKUP('8月份计划'!A45,[5]HA6H!$B:$B,[5]HA6H!$B:$B)," ")))))</f>
        <v> </v>
      </c>
      <c r="C45" s="98">
        <f>SUMIFS('8月份科目余额表'!O:O,'8月份科目余额表'!D:D,A45)</f>
        <v>0</v>
      </c>
      <c r="D45" s="99">
        <f>SUMIFS('7月份挂账'!$Q:$Q,'7月份挂账'!$S:$S,$A45)-SUMIFS('7月份挂账'!$P:$P,'7月份挂账'!$S:$S,$A45)</f>
        <v>0</v>
      </c>
      <c r="E45" s="99">
        <f>SUMIFS('8月份挂账'!$Q:$Q,'8月份挂账'!$S:$S,$A45)-SUMIFS('8月份挂账'!$P:$P,'8月份挂账'!$S:$S,$A45)</f>
        <v>0</v>
      </c>
      <c r="F45" s="100">
        <f t="shared" si="2"/>
        <v>0</v>
      </c>
      <c r="G45" s="99"/>
    </row>
    <row r="46" customHeight="1" spans="1:7">
      <c r="A46" s="97" t="s">
        <v>277</v>
      </c>
      <c r="B46" s="42" t="str">
        <f>IFERROR(_xlfn.XLOOKUP('8月份计划'!A46,[5]UNEA!$B:$B,[5]UNEA!$B:$B),IFERROR(_xlfn.XLOOKUP('8月份计划'!A46,[5]MRHK!$B:$B,[5]MRHK!$B:$B),IFERROR(_xlfn.XLOOKUP('8月份计划'!A46,[5]MRHB!$B:$B,[5]MRHB!$B:$B),IFERROR(_xlfn.XLOOKUP('8月份计划'!A46,[5]HA6H!$B:$B,[5]HA6H!$B:$B),IFERROR(_xlfn.XLOOKUP('8月份计划'!A46,[5]HA6H!$B:$B,[5]HA6H!$B:$B)," ")))))</f>
        <v> </v>
      </c>
      <c r="C46" s="98">
        <f>SUMIFS('8月份科目余额表'!O:O,'8月份科目余额表'!D:D,A46)</f>
        <v>3583052.71</v>
      </c>
      <c r="D46" s="99">
        <f>SUMIFS('7月份挂账'!$Q:$Q,'7月份挂账'!$S:$S,$A46)-SUMIFS('7月份挂账'!$P:$P,'7月份挂账'!$S:$S,$A46)</f>
        <v>1923043.94</v>
      </c>
      <c r="E46" s="99">
        <f>SUMIFS('8月份挂账'!$Q:$Q,'8月份挂账'!$S:$S,$A46)-SUMIFS('8月份挂账'!$P:$P,'8月份挂账'!$S:$S,$A46)</f>
        <v>990808.46</v>
      </c>
      <c r="F46" s="100">
        <f t="shared" si="2"/>
        <v>669200.31</v>
      </c>
      <c r="G46" s="99">
        <f ca="1">汇阅付款计划!AE3</f>
        <v>1307616.320624</v>
      </c>
    </row>
    <row r="47" customHeight="1" spans="1:7">
      <c r="A47" s="97" t="s">
        <v>304</v>
      </c>
      <c r="B47" s="42" t="str">
        <f>IFERROR(_xlfn.XLOOKUP('8月份计划'!A47,[5]UNEA!$B:$B,[5]UNEA!$B:$B),IFERROR(_xlfn.XLOOKUP('8月份计划'!A47,[5]MRHK!$B:$B,[5]MRHK!$B:$B),IFERROR(_xlfn.XLOOKUP('8月份计划'!A47,[5]MRHB!$B:$B,[5]MRHB!$B:$B),IFERROR(_xlfn.XLOOKUP('8月份计划'!A47,[5]HA6H!$B:$B,[5]HA6H!$B:$B),IFERROR(_xlfn.XLOOKUP('8月份计划'!A47,[5]HA6H!$B:$B,[5]HA6H!$B:$B)," ")))))</f>
        <v> </v>
      </c>
      <c r="C47" s="98">
        <f>SUMIFS('8月份科目余额表'!O:O,'8月份科目余额表'!D:D,A47)</f>
        <v>0</v>
      </c>
      <c r="D47" s="99">
        <f>SUMIFS('7月份挂账'!$Q:$Q,'7月份挂账'!$S:$S,$A47)-SUMIFS('7月份挂账'!$P:$P,'7月份挂账'!$S:$S,$A47)</f>
        <v>0</v>
      </c>
      <c r="E47" s="99">
        <f>SUMIFS('8月份挂账'!$Q:$Q,'8月份挂账'!$S:$S,$A47)-SUMIFS('8月份挂账'!$P:$P,'8月份挂账'!$S:$S,$A47)</f>
        <v>0</v>
      </c>
      <c r="F47" s="100">
        <f t="shared" si="2"/>
        <v>0</v>
      </c>
      <c r="G47" s="99"/>
    </row>
    <row r="48" customHeight="1" spans="1:7">
      <c r="A48" s="97" t="s">
        <v>305</v>
      </c>
      <c r="B48" s="42" t="str">
        <f>IFERROR(_xlfn.XLOOKUP('8月份计划'!A48,[5]UNEA!$B:$B,[5]UNEA!$B:$B),IFERROR(_xlfn.XLOOKUP('8月份计划'!A48,[5]MRHK!$B:$B,[5]MRHK!$B:$B),IFERROR(_xlfn.XLOOKUP('8月份计划'!A48,[5]MRHB!$B:$B,[5]MRHB!$B:$B),IFERROR(_xlfn.XLOOKUP('8月份计划'!A48,[5]HA6H!$B:$B,[5]HA6H!$B:$B),IFERROR(_xlfn.XLOOKUP('8月份计划'!A48,[5]HA6H!$B:$B,[5]HA6H!$B:$B)," ")))))</f>
        <v> </v>
      </c>
      <c r="C48" s="98">
        <f>SUMIFS('8月份科目余额表'!O:O,'8月份科目余额表'!D:D,A48)</f>
        <v>4135.8</v>
      </c>
      <c r="D48" s="99">
        <f>SUMIFS('7月份挂账'!$Q:$Q,'7月份挂账'!$S:$S,$A48)-SUMIFS('7月份挂账'!$P:$P,'7月份挂账'!$S:$S,$A48)</f>
        <v>0</v>
      </c>
      <c r="E48" s="99">
        <f>SUMIFS('8月份挂账'!$Q:$Q,'8月份挂账'!$S:$S,$A48)-SUMIFS('8月份挂账'!$P:$P,'8月份挂账'!$S:$S,$A48)</f>
        <v>0</v>
      </c>
      <c r="F48" s="100">
        <f t="shared" si="2"/>
        <v>4135.8</v>
      </c>
      <c r="G48" s="99"/>
    </row>
    <row r="49" customHeight="1" spans="1:7">
      <c r="A49" s="97" t="s">
        <v>278</v>
      </c>
      <c r="B49" s="42" t="str">
        <f>IFERROR(_xlfn.XLOOKUP('8月份计划'!A49,[5]UNEA!$B:$B,[5]UNEA!$B:$B),IFERROR(_xlfn.XLOOKUP('8月份计划'!A49,[5]MRHK!$B:$B,[5]MRHK!$B:$B),IFERROR(_xlfn.XLOOKUP('8月份计划'!A49,[5]MRHB!$B:$B,[5]MRHB!$B:$B),IFERROR(_xlfn.XLOOKUP('8月份计划'!A49,[5]HA6H!$B:$B,[5]HA6H!$B:$B),IFERROR(_xlfn.XLOOKUP('8月份计划'!A49,[5]HA6H!$B:$B,[5]HA6H!$B:$B)," ")))))</f>
        <v> </v>
      </c>
      <c r="C49" s="98">
        <f>SUMIFS('8月份科目余额表'!O:O,'8月份科目余额表'!D:D,A49)</f>
        <v>0</v>
      </c>
      <c r="D49" s="99">
        <f>SUMIFS('7月份挂账'!$Q:$Q,'7月份挂账'!$S:$S,$A49)-SUMIFS('7月份挂账'!$P:$P,'7月份挂账'!$S:$S,$A49)</f>
        <v>0</v>
      </c>
      <c r="E49" s="99">
        <f>SUMIFS('8月份挂账'!$Q:$Q,'8月份挂账'!$S:$S,$A49)-SUMIFS('8月份挂账'!$P:$P,'8月份挂账'!$S:$S,$A49)</f>
        <v>0</v>
      </c>
      <c r="F49" s="100">
        <f t="shared" si="2"/>
        <v>0</v>
      </c>
      <c r="G49" s="99"/>
    </row>
    <row r="50" customHeight="1" spans="1:7">
      <c r="A50" s="97" t="s">
        <v>306</v>
      </c>
      <c r="B50" s="42" t="str">
        <f>IFERROR(_xlfn.XLOOKUP('8月份计划'!A50,[5]UNEA!$B:$B,[5]UNEA!$B:$B),IFERROR(_xlfn.XLOOKUP('8月份计划'!A50,[5]MRHK!$B:$B,[5]MRHK!$B:$B),IFERROR(_xlfn.XLOOKUP('8月份计划'!A50,[5]MRHB!$B:$B,[5]MRHB!$B:$B),IFERROR(_xlfn.XLOOKUP('8月份计划'!A50,[5]HA6H!$B:$B,[5]HA6H!$B:$B),IFERROR(_xlfn.XLOOKUP('8月份计划'!A50,[5]HA6H!$B:$B,[5]HA6H!$B:$B)," ")))))</f>
        <v> </v>
      </c>
      <c r="C50" s="98">
        <f>SUMIFS('8月份科目余额表'!O:O,'8月份科目余额表'!D:D,A50)</f>
        <v>0</v>
      </c>
      <c r="D50" s="99">
        <f>SUMIFS('7月份挂账'!$Q:$Q,'7月份挂账'!$S:$S,$A50)-SUMIFS('7月份挂账'!$P:$P,'7月份挂账'!$S:$S,$A50)</f>
        <v>0</v>
      </c>
      <c r="E50" s="99">
        <f>SUMIFS('8月份挂账'!$Q:$Q,'8月份挂账'!$S:$S,$A50)-SUMIFS('8月份挂账'!$P:$P,'8月份挂账'!$S:$S,$A50)</f>
        <v>0</v>
      </c>
      <c r="F50" s="100">
        <f t="shared" si="2"/>
        <v>0</v>
      </c>
      <c r="G50" s="99"/>
    </row>
    <row r="51" customHeight="1" spans="1:7">
      <c r="A51" s="97" t="s">
        <v>279</v>
      </c>
      <c r="B51" s="42" t="str">
        <f>IFERROR(_xlfn.XLOOKUP('8月份计划'!A51,[5]UNEA!$B:$B,[5]UNEA!$B:$B),IFERROR(_xlfn.XLOOKUP('8月份计划'!A51,[5]MRHK!$B:$B,[5]MRHK!$B:$B),IFERROR(_xlfn.XLOOKUP('8月份计划'!A51,[5]MRHB!$B:$B,[5]MRHB!$B:$B),IFERROR(_xlfn.XLOOKUP('8月份计划'!A51,[5]HA6H!$B:$B,[5]HA6H!$B:$B),IFERROR(_xlfn.XLOOKUP('8月份计划'!A51,[5]HA6H!$B:$B,[5]HA6H!$B:$B)," ")))))</f>
        <v> </v>
      </c>
      <c r="C51" s="98">
        <f>SUMIFS('8月份科目余额表'!O:O,'8月份科目余额表'!D:D,A51)</f>
        <v>13932.9</v>
      </c>
      <c r="D51" s="99">
        <f>SUMIFS('7月份挂账'!$Q:$Q,'7月份挂账'!$S:$S,$A51)-SUMIFS('7月份挂账'!$P:$P,'7月份挂账'!$S:$S,$A51)</f>
        <v>0</v>
      </c>
      <c r="E51" s="99">
        <f>SUMIFS('8月份挂账'!$Q:$Q,'8月份挂账'!$S:$S,$A51)-SUMIFS('8月份挂账'!$P:$P,'8月份挂账'!$S:$S,$A51)</f>
        <v>0</v>
      </c>
      <c r="F51" s="100">
        <f t="shared" si="2"/>
        <v>13932.9</v>
      </c>
      <c r="G51" s="99"/>
    </row>
    <row r="52" customHeight="1" spans="1:7">
      <c r="A52" s="97" t="s">
        <v>280</v>
      </c>
      <c r="B52" s="42" t="str">
        <f>IFERROR(_xlfn.XLOOKUP('8月份计划'!A52,[5]UNEA!$B:$B,[5]UNEA!$B:$B),IFERROR(_xlfn.XLOOKUP('8月份计划'!A52,[5]MRHK!$B:$B,[5]MRHK!$B:$B),IFERROR(_xlfn.XLOOKUP('8月份计划'!A52,[5]MRHB!$B:$B,[5]MRHB!$B:$B),IFERROR(_xlfn.XLOOKUP('8月份计划'!A52,[5]HA6H!$B:$B,[5]HA6H!$B:$B),IFERROR(_xlfn.XLOOKUP('8月份计划'!A52,[5]HA6H!$B:$B,[5]HA6H!$B:$B)," ")))))</f>
        <v> </v>
      </c>
      <c r="C52" s="98">
        <f>SUMIFS('8月份科目余额表'!O:O,'8月份科目余额表'!D:D,A52)</f>
        <v>55294.29</v>
      </c>
      <c r="D52" s="99">
        <f>SUMIFS('7月份挂账'!$Q:$Q,'7月份挂账'!$S:$S,$A52)-SUMIFS('7月份挂账'!$P:$P,'7月份挂账'!$S:$S,$A52)</f>
        <v>0</v>
      </c>
      <c r="E52" s="99">
        <f>SUMIFS('8月份挂账'!$Q:$Q,'8月份挂账'!$S:$S,$A52)-SUMIFS('8月份挂账'!$P:$P,'8月份挂账'!$S:$S,$A52)</f>
        <v>0</v>
      </c>
      <c r="F52" s="100">
        <f t="shared" si="2"/>
        <v>55294.29</v>
      </c>
      <c r="G52" s="99"/>
    </row>
    <row r="53" customHeight="1" spans="1:7">
      <c r="A53" s="97" t="s">
        <v>307</v>
      </c>
      <c r="B53" s="42" t="str">
        <f>IFERROR(_xlfn.XLOOKUP('8月份计划'!A53,[5]UNEA!$B:$B,[5]UNEA!$B:$B),IFERROR(_xlfn.XLOOKUP('8月份计划'!A53,[5]MRHK!$B:$B,[5]MRHK!$B:$B),IFERROR(_xlfn.XLOOKUP('8月份计划'!A53,[5]MRHB!$B:$B,[5]MRHB!$B:$B),IFERROR(_xlfn.XLOOKUP('8月份计划'!A53,[5]HA6H!$B:$B,[5]HA6H!$B:$B),IFERROR(_xlfn.XLOOKUP('8月份计划'!A53,[5]HA6H!$B:$B,[5]HA6H!$B:$B)," ")))))</f>
        <v> </v>
      </c>
      <c r="C53" s="98">
        <f>SUMIFS('8月份科目余额表'!O:O,'8月份科目余额表'!D:D,A53)</f>
        <v>17866.2</v>
      </c>
      <c r="D53" s="99">
        <f>SUMIFS('7月份挂账'!$Q:$Q,'7月份挂账'!$S:$S,$A53)-SUMIFS('7月份挂账'!$P:$P,'7月份挂账'!$S:$S,$A53)</f>
        <v>0</v>
      </c>
      <c r="E53" s="99">
        <f>SUMIFS('8月份挂账'!$Q:$Q,'8月份挂账'!$S:$S,$A53)-SUMIFS('8月份挂账'!$P:$P,'8月份挂账'!$S:$S,$A53)</f>
        <v>0</v>
      </c>
      <c r="F53" s="100">
        <f t="shared" si="2"/>
        <v>17866.2</v>
      </c>
      <c r="G53" s="99"/>
    </row>
    <row r="54" customHeight="1" spans="1:7">
      <c r="A54" s="97" t="s">
        <v>308</v>
      </c>
      <c r="B54" s="42" t="str">
        <f>IFERROR(_xlfn.XLOOKUP('8月份计划'!A54,[5]UNEA!$B:$B,[5]UNEA!$B:$B),IFERROR(_xlfn.XLOOKUP('8月份计划'!A54,[5]MRHK!$B:$B,[5]MRHK!$B:$B),IFERROR(_xlfn.XLOOKUP('8月份计划'!A54,[5]MRHB!$B:$B,[5]MRHB!$B:$B),IFERROR(_xlfn.XLOOKUP('8月份计划'!A54,[5]HA6H!$B:$B,[5]HA6H!$B:$B),IFERROR(_xlfn.XLOOKUP('8月份计划'!A54,[5]HA6H!$B:$B,[5]HA6H!$B:$B)," ")))))</f>
        <v> </v>
      </c>
      <c r="C54" s="98">
        <f>SUMIFS('8月份科目余额表'!O:O,'8月份科目余额表'!D:D,A54)</f>
        <v>10276.22</v>
      </c>
      <c r="D54" s="99">
        <f>SUMIFS('7月份挂账'!$Q:$Q,'7月份挂账'!$S:$S,$A54)-SUMIFS('7月份挂账'!$P:$P,'7月份挂账'!$S:$S,$A54)</f>
        <v>0</v>
      </c>
      <c r="E54" s="99">
        <f>SUMIFS('8月份挂账'!$Q:$Q,'8月份挂账'!$S:$S,$A54)-SUMIFS('8月份挂账'!$P:$P,'8月份挂账'!$S:$S,$A54)</f>
        <v>0</v>
      </c>
      <c r="F54" s="100">
        <f t="shared" si="2"/>
        <v>10276.22</v>
      </c>
      <c r="G54" s="99"/>
    </row>
    <row r="55" customHeight="1" spans="1:7">
      <c r="A55" s="97" t="s">
        <v>309</v>
      </c>
      <c r="B55" s="42" t="str">
        <f>IFERROR(_xlfn.XLOOKUP('8月份计划'!A55,[5]UNEA!$B:$B,[5]UNEA!$B:$B),IFERROR(_xlfn.XLOOKUP('8月份计划'!A55,[5]MRHK!$B:$B,[5]MRHK!$B:$B),IFERROR(_xlfn.XLOOKUP('8月份计划'!A55,[5]MRHB!$B:$B,[5]MRHB!$B:$B),IFERROR(_xlfn.XLOOKUP('8月份计划'!A55,[5]HA6H!$B:$B,[5]HA6H!$B:$B),IFERROR(_xlfn.XLOOKUP('8月份计划'!A55,[5]HA6H!$B:$B,[5]HA6H!$B:$B)," ")))))</f>
        <v> </v>
      </c>
      <c r="C55" s="98">
        <f>SUMIFS('8月份科目余额表'!O:O,'8月份科目余额表'!D:D,A55)</f>
        <v>0</v>
      </c>
      <c r="D55" s="99">
        <f>SUMIFS('7月份挂账'!$Q:$Q,'7月份挂账'!$S:$S,$A55)-SUMIFS('7月份挂账'!$P:$P,'7月份挂账'!$S:$S,$A55)</f>
        <v>0</v>
      </c>
      <c r="E55" s="99">
        <f>SUMIFS('8月份挂账'!$Q:$Q,'8月份挂账'!$S:$S,$A55)-SUMIFS('8月份挂账'!$P:$P,'8月份挂账'!$S:$S,$A55)</f>
        <v>0</v>
      </c>
      <c r="F55" s="100">
        <f t="shared" si="2"/>
        <v>0</v>
      </c>
      <c r="G55" s="99"/>
    </row>
    <row r="56" customHeight="1" spans="1:7">
      <c r="A56" s="97" t="s">
        <v>281</v>
      </c>
      <c r="B56" s="42" t="str">
        <f>IFERROR(_xlfn.XLOOKUP('8月份计划'!A56,[5]UNEA!$B:$B,[5]UNEA!$B:$B),IFERROR(_xlfn.XLOOKUP('8月份计划'!A56,[5]MRHK!$B:$B,[5]MRHK!$B:$B),IFERROR(_xlfn.XLOOKUP('8月份计划'!A56,[5]MRHB!$B:$B,[5]MRHB!$B:$B),IFERROR(_xlfn.XLOOKUP('8月份计划'!A56,[5]HA6H!$B:$B,[5]HA6H!$B:$B),IFERROR(_xlfn.XLOOKUP('8月份计划'!A56,[5]HA6H!$B:$B,[5]HA6H!$B:$B)," ")))))</f>
        <v> </v>
      </c>
      <c r="C56" s="98">
        <f>SUMIFS('8月份科目余额表'!O:O,'8月份科目余额表'!D:D,A56)</f>
        <v>0</v>
      </c>
      <c r="D56" s="99">
        <f>SUMIFS('7月份挂账'!$Q:$Q,'7月份挂账'!$S:$S,$A56)-SUMIFS('7月份挂账'!$P:$P,'7月份挂账'!$S:$S,$A56)</f>
        <v>0</v>
      </c>
      <c r="E56" s="99">
        <f>SUMIFS('8月份挂账'!$Q:$Q,'8月份挂账'!$S:$S,$A56)-SUMIFS('8月份挂账'!$P:$P,'8月份挂账'!$S:$S,$A56)</f>
        <v>0</v>
      </c>
      <c r="F56" s="100">
        <f t="shared" si="2"/>
        <v>0</v>
      </c>
      <c r="G56" s="99"/>
    </row>
    <row r="57" customHeight="1" spans="1:7">
      <c r="A57" s="97" t="s">
        <v>282</v>
      </c>
      <c r="B57" s="42" t="str">
        <f>IFERROR(_xlfn.XLOOKUP('8月份计划'!A57,[5]UNEA!$B:$B,[5]UNEA!$B:$B),IFERROR(_xlfn.XLOOKUP('8月份计划'!A57,[5]MRHK!$B:$B,[5]MRHK!$B:$B),IFERROR(_xlfn.XLOOKUP('8月份计划'!A57,[5]MRHB!$B:$B,[5]MRHB!$B:$B),IFERROR(_xlfn.XLOOKUP('8月份计划'!A57,[5]HA6H!$B:$B,[5]HA6H!$B:$B),IFERROR(_xlfn.XLOOKUP('8月份计划'!A57,[5]HA6H!$B:$B,[5]HA6H!$B:$B)," ")))))</f>
        <v> </v>
      </c>
      <c r="C57" s="98">
        <f>SUMIFS('8月份科目余额表'!O:O,'8月份科目余额表'!D:D,A57)</f>
        <v>70173</v>
      </c>
      <c r="D57" s="99">
        <f>SUMIFS('7月份挂账'!$Q:$Q,'7月份挂账'!$S:$S,$A57)-SUMIFS('7月份挂账'!$P:$P,'7月份挂账'!$S:$S,$A57)</f>
        <v>25425</v>
      </c>
      <c r="E57" s="99">
        <f>SUMIFS('8月份挂账'!$Q:$Q,'8月份挂账'!$S:$S,$A57)-SUMIFS('8月份挂账'!$P:$P,'8月份挂账'!$S:$S,$A57)</f>
        <v>10170</v>
      </c>
      <c r="F57" s="100">
        <f t="shared" si="2"/>
        <v>34578</v>
      </c>
      <c r="G57" s="99"/>
    </row>
    <row r="58" customHeight="1" spans="1:7">
      <c r="A58" s="97" t="s">
        <v>310</v>
      </c>
      <c r="B58" s="42" t="str">
        <f>IFERROR(_xlfn.XLOOKUP('8月份计划'!A58,[5]UNEA!$B:$B,[5]UNEA!$B:$B),IFERROR(_xlfn.XLOOKUP('8月份计划'!A58,[5]MRHK!$B:$B,[5]MRHK!$B:$B),IFERROR(_xlfn.XLOOKUP('8月份计划'!A58,[5]MRHB!$B:$B,[5]MRHB!$B:$B),IFERROR(_xlfn.XLOOKUP('8月份计划'!A58,[5]HA6H!$B:$B,[5]HA6H!$B:$B),IFERROR(_xlfn.XLOOKUP('8月份计划'!A58,[5]HA6H!$B:$B,[5]HA6H!$B:$B)," ")))))</f>
        <v> </v>
      </c>
      <c r="C58" s="98">
        <f>SUMIFS('8月份科目余额表'!O:O,'8月份科目余额表'!D:D,A58)</f>
        <v>0</v>
      </c>
      <c r="D58" s="99">
        <f>SUMIFS('7月份挂账'!$Q:$Q,'7月份挂账'!$S:$S,$A58)-SUMIFS('7月份挂账'!$P:$P,'7月份挂账'!$S:$S,$A58)</f>
        <v>0</v>
      </c>
      <c r="E58" s="99">
        <f>SUMIFS('8月份挂账'!$Q:$Q,'8月份挂账'!$S:$S,$A58)-SUMIFS('8月份挂账'!$P:$P,'8月份挂账'!$S:$S,$A58)</f>
        <v>0</v>
      </c>
      <c r="F58" s="100">
        <f t="shared" si="2"/>
        <v>0</v>
      </c>
      <c r="G58" s="99"/>
    </row>
    <row r="59" customHeight="1" spans="1:7">
      <c r="A59" s="97" t="s">
        <v>311</v>
      </c>
      <c r="B59" s="42" t="str">
        <f>IFERROR(_xlfn.XLOOKUP('8月份计划'!A59,[5]UNEA!$B:$B,[5]UNEA!$B:$B),IFERROR(_xlfn.XLOOKUP('8月份计划'!A59,[5]MRHK!$B:$B,[5]MRHK!$B:$B),IFERROR(_xlfn.XLOOKUP('8月份计划'!A59,[5]MRHB!$B:$B,[5]MRHB!$B:$B),IFERROR(_xlfn.XLOOKUP('8月份计划'!A59,[5]HA6H!$B:$B,[5]HA6H!$B:$B),IFERROR(_xlfn.XLOOKUP('8月份计划'!A59,[5]HA6H!$B:$B,[5]HA6H!$B:$B)," ")))))</f>
        <v> </v>
      </c>
      <c r="C59" s="98">
        <f>SUMIFS('8月份科目余额表'!O:O,'8月份科目余额表'!D:D,A59)</f>
        <v>0</v>
      </c>
      <c r="D59" s="99">
        <f>SUMIFS('7月份挂账'!$Q:$Q,'7月份挂账'!$S:$S,$A59)-SUMIFS('7月份挂账'!$P:$P,'7月份挂账'!$S:$S,$A59)</f>
        <v>0</v>
      </c>
      <c r="E59" s="99">
        <f>SUMIFS('8月份挂账'!$Q:$Q,'8月份挂账'!$S:$S,$A59)-SUMIFS('8月份挂账'!$P:$P,'8月份挂账'!$S:$S,$A59)</f>
        <v>0</v>
      </c>
      <c r="F59" s="100">
        <f t="shared" si="2"/>
        <v>0</v>
      </c>
      <c r="G59" s="99"/>
    </row>
    <row r="60" customHeight="1" spans="1:7">
      <c r="A60" s="97" t="s">
        <v>283</v>
      </c>
      <c r="B60" s="42" t="str">
        <f>IFERROR(_xlfn.XLOOKUP('8月份计划'!A60,[5]UNEA!$B:$B,[5]UNEA!$B:$B),IFERROR(_xlfn.XLOOKUP('8月份计划'!A60,[5]MRHK!$B:$B,[5]MRHK!$B:$B),IFERROR(_xlfn.XLOOKUP('8月份计划'!A60,[5]MRHB!$B:$B,[5]MRHB!$B:$B),IFERROR(_xlfn.XLOOKUP('8月份计划'!A60,[5]HA6H!$B:$B,[5]HA6H!$B:$B),IFERROR(_xlfn.XLOOKUP('8月份计划'!A60,[5]HA6H!$B:$B,[5]HA6H!$B:$B)," ")))))</f>
        <v> </v>
      </c>
      <c r="C60" s="98">
        <f>SUMIFS('8月份科目余额表'!O:O,'8月份科目余额表'!D:D,A60)</f>
        <v>15100.81</v>
      </c>
      <c r="D60" s="99">
        <f>SUMIFS('7月份挂账'!$Q:$Q,'7月份挂账'!$S:$S,$A60)-SUMIFS('7月份挂账'!$P:$P,'7月份挂账'!$S:$S,$A60)</f>
        <v>6568.01</v>
      </c>
      <c r="E60" s="99">
        <f>SUMIFS('8月份挂账'!$Q:$Q,'8月份挂账'!$S:$S,$A60)-SUMIFS('8月份挂账'!$P:$P,'8月份挂账'!$S:$S,$A60)</f>
        <v>0</v>
      </c>
      <c r="F60" s="100">
        <f t="shared" si="2"/>
        <v>8532.8</v>
      </c>
      <c r="G60" s="99"/>
    </row>
    <row r="61" customHeight="1" spans="1:7">
      <c r="A61" s="97" t="s">
        <v>312</v>
      </c>
      <c r="B61" s="42" t="str">
        <f>IFERROR(_xlfn.XLOOKUP('8月份计划'!A61,[5]UNEA!$B:$B,[5]UNEA!$B:$B),IFERROR(_xlfn.XLOOKUP('8月份计划'!A61,[5]MRHK!$B:$B,[5]MRHK!$B:$B),IFERROR(_xlfn.XLOOKUP('8月份计划'!A61,[5]MRHB!$B:$B,[5]MRHB!$B:$B),IFERROR(_xlfn.XLOOKUP('8月份计划'!A61,[5]HA6H!$B:$B,[5]HA6H!$B:$B),IFERROR(_xlfn.XLOOKUP('8月份计划'!A61,[5]HA6H!$B:$B,[5]HA6H!$B:$B)," ")))))</f>
        <v> </v>
      </c>
      <c r="C61" s="98">
        <f>SUMIFS('8月份科目余额表'!O:O,'8月份科目余额表'!D:D,A61)</f>
        <v>0</v>
      </c>
      <c r="D61" s="99">
        <f>SUMIFS('7月份挂账'!$Q:$Q,'7月份挂账'!$S:$S,$A61)-SUMIFS('7月份挂账'!$P:$P,'7月份挂账'!$S:$S,$A61)</f>
        <v>0</v>
      </c>
      <c r="E61" s="99">
        <f>SUMIFS('8月份挂账'!$Q:$Q,'8月份挂账'!$S:$S,$A61)-SUMIFS('8月份挂账'!$P:$P,'8月份挂账'!$S:$S,$A61)</f>
        <v>0</v>
      </c>
      <c r="F61" s="100">
        <f t="shared" si="2"/>
        <v>0</v>
      </c>
      <c r="G61" s="99"/>
    </row>
    <row r="62" customHeight="1" spans="1:7">
      <c r="A62" s="97" t="s">
        <v>313</v>
      </c>
      <c r="B62" s="42" t="str">
        <f>IFERROR(_xlfn.XLOOKUP('8月份计划'!A62,[5]UNEA!$B:$B,[5]UNEA!$B:$B),IFERROR(_xlfn.XLOOKUP('8月份计划'!A62,[5]MRHK!$B:$B,[5]MRHK!$B:$B),IFERROR(_xlfn.XLOOKUP('8月份计划'!A62,[5]MRHB!$B:$B,[5]MRHB!$B:$B),IFERROR(_xlfn.XLOOKUP('8月份计划'!A62,[5]HA6H!$B:$B,[5]HA6H!$B:$B),IFERROR(_xlfn.XLOOKUP('8月份计划'!A62,[5]HA6H!$B:$B,[5]HA6H!$B:$B)," ")))))</f>
        <v> </v>
      </c>
      <c r="C62" s="98">
        <f>SUMIFS('8月份科目余额表'!O:O,'8月份科目余额表'!D:D,A62)</f>
        <v>0</v>
      </c>
      <c r="D62" s="99">
        <f>SUMIFS('7月份挂账'!$Q:$Q,'7月份挂账'!$S:$S,$A62)-SUMIFS('7月份挂账'!$P:$P,'7月份挂账'!$S:$S,$A62)</f>
        <v>0</v>
      </c>
      <c r="E62" s="99">
        <f>SUMIFS('8月份挂账'!$Q:$Q,'8月份挂账'!$S:$S,$A62)-SUMIFS('8月份挂账'!$P:$P,'8月份挂账'!$S:$S,$A62)</f>
        <v>0</v>
      </c>
      <c r="F62" s="100">
        <f t="shared" si="2"/>
        <v>0</v>
      </c>
      <c r="G62" s="99"/>
    </row>
    <row r="63" customHeight="1" spans="1:7">
      <c r="A63" s="97" t="s">
        <v>284</v>
      </c>
      <c r="B63" s="42" t="str">
        <f>IFERROR(_xlfn.XLOOKUP('8月份计划'!A63,[5]UNEA!$B:$B,[5]UNEA!$B:$B),IFERROR(_xlfn.XLOOKUP('8月份计划'!A63,[5]MRHK!$B:$B,[5]MRHK!$B:$B),IFERROR(_xlfn.XLOOKUP('8月份计划'!A63,[5]MRHB!$B:$B,[5]MRHB!$B:$B),IFERROR(_xlfn.XLOOKUP('8月份计划'!A63,[5]HA6H!$B:$B,[5]HA6H!$B:$B),IFERROR(_xlfn.XLOOKUP('8月份计划'!A63,[5]HA6H!$B:$B,[5]HA6H!$B:$B)," ")))))</f>
        <v> </v>
      </c>
      <c r="C63" s="98">
        <f>SUMIFS('8月份科目余额表'!O:O,'8月份科目余额表'!D:D,A63)</f>
        <v>15472.28</v>
      </c>
      <c r="D63" s="99">
        <f>SUMIFS('7月份挂账'!$Q:$Q,'7月份挂账'!$S:$S,$A63)-SUMIFS('7月份挂账'!$P:$P,'7月份挂账'!$S:$S,$A63)</f>
        <v>6871.41</v>
      </c>
      <c r="E63" s="99">
        <f>SUMIFS('8月份挂账'!$Q:$Q,'8月份挂账'!$S:$S,$A63)-SUMIFS('8月份挂账'!$P:$P,'8月份挂账'!$S:$S,$A63)</f>
        <v>0</v>
      </c>
      <c r="F63" s="100">
        <f t="shared" si="2"/>
        <v>8600.87</v>
      </c>
      <c r="G63" s="99"/>
    </row>
    <row r="64" customHeight="1" spans="1:7">
      <c r="A64" s="97" t="s">
        <v>285</v>
      </c>
      <c r="B64" s="42" t="str">
        <f>IFERROR(_xlfn.XLOOKUP('8月份计划'!A64,[5]UNEA!$B:$B,[5]UNEA!$B:$B),IFERROR(_xlfn.XLOOKUP('8月份计划'!A64,[5]MRHK!$B:$B,[5]MRHK!$B:$B),IFERROR(_xlfn.XLOOKUP('8月份计划'!A64,[5]MRHB!$B:$B,[5]MRHB!$B:$B),IFERROR(_xlfn.XLOOKUP('8月份计划'!A64,[5]HA6H!$B:$B,[5]HA6H!$B:$B),IFERROR(_xlfn.XLOOKUP('8月份计划'!A64,[5]HA6H!$B:$B,[5]HA6H!$B:$B)," ")))))</f>
        <v> </v>
      </c>
      <c r="C64" s="98">
        <f>SUMIFS('8月份科目余额表'!O:O,'8月份科目余额表'!D:D,A64)</f>
        <v>87309.68</v>
      </c>
      <c r="D64" s="99">
        <f>SUMIFS('7月份挂账'!$Q:$Q,'7月份挂账'!$S:$S,$A64)-SUMIFS('7月份挂账'!$P:$P,'7月份挂账'!$S:$S,$A64)</f>
        <v>41457.67</v>
      </c>
      <c r="E64" s="99">
        <f>SUMIFS('8月份挂账'!$Q:$Q,'8月份挂账'!$S:$S,$A64)-SUMIFS('8月份挂账'!$P:$P,'8月份挂账'!$S:$S,$A64)</f>
        <v>0</v>
      </c>
      <c r="F64" s="100">
        <f t="shared" si="2"/>
        <v>45852.01</v>
      </c>
      <c r="G64" s="99"/>
    </row>
    <row r="65" customHeight="1" spans="1:7">
      <c r="A65" s="97" t="s">
        <v>314</v>
      </c>
      <c r="B65" s="42" t="str">
        <f>IFERROR(_xlfn.XLOOKUP('8月份计划'!A65,[5]UNEA!$B:$B,[5]UNEA!$B:$B),IFERROR(_xlfn.XLOOKUP('8月份计划'!A65,[5]MRHK!$B:$B,[5]MRHK!$B:$B),IFERROR(_xlfn.XLOOKUP('8月份计划'!A65,[5]MRHB!$B:$B,[5]MRHB!$B:$B),IFERROR(_xlfn.XLOOKUP('8月份计划'!A65,[5]HA6H!$B:$B,[5]HA6H!$B:$B),IFERROR(_xlfn.XLOOKUP('8月份计划'!A65,[5]HA6H!$B:$B,[5]HA6H!$B:$B)," ")))))</f>
        <v> </v>
      </c>
      <c r="C65" s="98">
        <f>SUMIFS('8月份科目余额表'!O:O,'8月份科目余额表'!D:D,A65)</f>
        <v>0</v>
      </c>
      <c r="D65" s="99">
        <f>SUMIFS('7月份挂账'!$Q:$Q,'7月份挂账'!$S:$S,$A65)-SUMIFS('7月份挂账'!$P:$P,'7月份挂账'!$S:$S,$A65)</f>
        <v>0</v>
      </c>
      <c r="E65" s="99">
        <f>SUMIFS('8月份挂账'!$Q:$Q,'8月份挂账'!$S:$S,$A65)-SUMIFS('8月份挂账'!$P:$P,'8月份挂账'!$S:$S,$A65)</f>
        <v>0</v>
      </c>
      <c r="F65" s="100">
        <f t="shared" si="2"/>
        <v>0</v>
      </c>
      <c r="G65" s="99"/>
    </row>
    <row r="66" customHeight="1" spans="1:7">
      <c r="A66" s="97" t="s">
        <v>315</v>
      </c>
      <c r="B66" s="42" t="str">
        <f>IFERROR(_xlfn.XLOOKUP('8月份计划'!A66,[5]UNEA!$B:$B,[5]UNEA!$B:$B),IFERROR(_xlfn.XLOOKUP('8月份计划'!A66,[5]MRHK!$B:$B,[5]MRHK!$B:$B),IFERROR(_xlfn.XLOOKUP('8月份计划'!A66,[5]MRHB!$B:$B,[5]MRHB!$B:$B),IFERROR(_xlfn.XLOOKUP('8月份计划'!A66,[5]HA6H!$B:$B,[5]HA6H!$B:$B),IFERROR(_xlfn.XLOOKUP('8月份计划'!A66,[5]HA6H!$B:$B,[5]HA6H!$B:$B)," ")))))</f>
        <v> </v>
      </c>
      <c r="C66" s="98">
        <f>SUMIFS('8月份科目余额表'!O:O,'8月份科目余额表'!D:D,A66)</f>
        <v>0</v>
      </c>
      <c r="D66" s="99">
        <f>SUMIFS('7月份挂账'!$Q:$Q,'7月份挂账'!$S:$S,$A66)-SUMIFS('7月份挂账'!$P:$P,'7月份挂账'!$S:$S,$A66)</f>
        <v>0</v>
      </c>
      <c r="E66" s="99">
        <f>SUMIFS('8月份挂账'!$Q:$Q,'8月份挂账'!$S:$S,$A66)-SUMIFS('8月份挂账'!$P:$P,'8月份挂账'!$S:$S,$A66)</f>
        <v>0</v>
      </c>
      <c r="F66" s="100">
        <f t="shared" si="2"/>
        <v>0</v>
      </c>
      <c r="G66" s="99"/>
    </row>
    <row r="67" customHeight="1" spans="1:7">
      <c r="A67" s="97" t="s">
        <v>316</v>
      </c>
      <c r="B67" s="42" t="str">
        <f>IFERROR(_xlfn.XLOOKUP('8月份计划'!A67,[5]UNEA!$B:$B,[5]UNEA!$B:$B),IFERROR(_xlfn.XLOOKUP('8月份计划'!A67,[5]MRHK!$B:$B,[5]MRHK!$B:$B),IFERROR(_xlfn.XLOOKUP('8月份计划'!A67,[5]MRHB!$B:$B,[5]MRHB!$B:$B),IFERROR(_xlfn.XLOOKUP('8月份计划'!A67,[5]HA6H!$B:$B,[5]HA6H!$B:$B),IFERROR(_xlfn.XLOOKUP('8月份计划'!A67,[5]HA6H!$B:$B,[5]HA6H!$B:$B)," ")))))</f>
        <v>无锡中天汽车部件有限公司</v>
      </c>
      <c r="C67" s="98">
        <f>SUMIFS('8月份科目余额表'!O:O,'8月份科目余额表'!D:D,A67)</f>
        <v>0</v>
      </c>
      <c r="D67" s="99">
        <f>SUMIFS('7月份挂账'!$Q:$Q,'7月份挂账'!$S:$S,$A67)-SUMIFS('7月份挂账'!$P:$P,'7月份挂账'!$S:$S,$A67)</f>
        <v>0</v>
      </c>
      <c r="E67" s="99">
        <f>SUMIFS('8月份挂账'!$Q:$Q,'8月份挂账'!$S:$S,$A67)-SUMIFS('8月份挂账'!$P:$P,'8月份挂账'!$S:$S,$A67)</f>
        <v>0</v>
      </c>
      <c r="F67" s="100">
        <f t="shared" si="2"/>
        <v>0</v>
      </c>
      <c r="G67" s="99"/>
    </row>
    <row r="68" customHeight="1" spans="1:7">
      <c r="A68" s="97" t="s">
        <v>317</v>
      </c>
      <c r="B68" s="42" t="str">
        <f>IFERROR(_xlfn.XLOOKUP('8月份计划'!A68,[5]UNEA!$B:$B,[5]UNEA!$B:$B),IFERROR(_xlfn.XLOOKUP('8月份计划'!A68,[5]MRHK!$B:$B,[5]MRHK!$B:$B),IFERROR(_xlfn.XLOOKUP('8月份计划'!A68,[5]MRHB!$B:$B,[5]MRHB!$B:$B),IFERROR(_xlfn.XLOOKUP('8月份计划'!A68,[5]HA6H!$B:$B,[5]HA6H!$B:$B),IFERROR(_xlfn.XLOOKUP('8月份计划'!A68,[5]HA6H!$B:$B,[5]HA6H!$B:$B)," ")))))</f>
        <v>天津力登维汽车部件有限公司</v>
      </c>
      <c r="C68" s="98">
        <f>SUMIFS('8月份科目余额表'!O:O,'8月份科目余额表'!D:D,A68)</f>
        <v>15820</v>
      </c>
      <c r="D68" s="99">
        <f>SUMIFS('7月份挂账'!$Q:$Q,'7月份挂账'!$S:$S,$A68)-SUMIFS('7月份挂账'!$P:$P,'7月份挂账'!$S:$S,$A68)</f>
        <v>0</v>
      </c>
      <c r="E68" s="99">
        <f>SUMIFS('8月份挂账'!$Q:$Q,'8月份挂账'!$S:$S,$A68)-SUMIFS('8月份挂账'!$P:$P,'8月份挂账'!$S:$S,$A68)</f>
        <v>0</v>
      </c>
      <c r="F68" s="100">
        <f t="shared" si="2"/>
        <v>15820</v>
      </c>
      <c r="G68" s="99"/>
    </row>
    <row r="69" s="42" customFormat="1" customHeight="1" spans="1:7">
      <c r="A69" s="97" t="s">
        <v>318</v>
      </c>
      <c r="B69" s="42" t="str">
        <f>IFERROR(_xlfn.XLOOKUP('8月份计划'!A69,[5]UNEA!$B:$B,[5]UNEA!$B:$B),IFERROR(_xlfn.XLOOKUP('8月份计划'!A69,[5]MRHK!$B:$B,[5]MRHK!$B:$B),IFERROR(_xlfn.XLOOKUP('8月份计划'!A69,[5]MRHB!$B:$B,[5]MRHB!$B:$B),IFERROR(_xlfn.XLOOKUP('8月份计划'!A69,[5]HA6H!$B:$B,[5]HA6H!$B:$B),IFERROR(_xlfn.XLOOKUP('8月份计划'!A69,[5]HA6H!$B:$B,[5]HA6H!$B:$B)," ")))))</f>
        <v> </v>
      </c>
      <c r="C69" s="98">
        <f>SUMIFS('8月份科目余额表'!O:O,'8月份科目余额表'!D:D,A69)</f>
        <v>0</v>
      </c>
      <c r="D69" s="99">
        <f>SUMIFS('7月份挂账'!$Q:$Q,'7月份挂账'!$S:$S,$A69)-SUMIFS('7月份挂账'!$P:$P,'7月份挂账'!$S:$S,$A69)</f>
        <v>0</v>
      </c>
      <c r="E69" s="99">
        <f>SUMIFS('8月份挂账'!$Q:$Q,'8月份挂账'!$S:$S,$A69)-SUMIFS('8月份挂账'!$P:$P,'8月份挂账'!$S:$S,$A69)</f>
        <v>0</v>
      </c>
      <c r="F69" s="100">
        <f t="shared" si="2"/>
        <v>0</v>
      </c>
      <c r="G69" s="99"/>
    </row>
    <row r="70" customHeight="1" spans="1:7">
      <c r="A70" s="97" t="s">
        <v>319</v>
      </c>
      <c r="B70" s="42" t="str">
        <f>IFERROR(_xlfn.XLOOKUP('8月份计划'!A70,[5]UNEA!$B:$B,[5]UNEA!$B:$B),IFERROR(_xlfn.XLOOKUP('8月份计划'!A70,[5]MRHK!$B:$B,[5]MRHK!$B:$B),IFERROR(_xlfn.XLOOKUP('8月份计划'!A70,[5]MRHB!$B:$B,[5]MRHB!$B:$B),IFERROR(_xlfn.XLOOKUP('8月份计划'!A70,[5]HA6H!$B:$B,[5]HA6H!$B:$B),IFERROR(_xlfn.XLOOKUP('8月份计划'!A70,[5]HA6H!$B:$B,[5]HA6H!$B:$B)," ")))))</f>
        <v> </v>
      </c>
      <c r="C70" s="98">
        <f>SUMIFS('8月份科目余额表'!O:O,'8月份科目余额表'!D:D,A70)</f>
        <v>0</v>
      </c>
      <c r="D70" s="99">
        <f>SUMIFS('7月份挂账'!$Q:$Q,'7月份挂账'!$S:$S,$A70)-SUMIFS('7月份挂账'!$P:$P,'7月份挂账'!$S:$S,$A70)</f>
        <v>0</v>
      </c>
      <c r="E70" s="99">
        <f>SUMIFS('8月份挂账'!$Q:$Q,'8月份挂账'!$S:$S,$A70)-SUMIFS('8月份挂账'!$P:$P,'8月份挂账'!$S:$S,$A70)</f>
        <v>0</v>
      </c>
      <c r="F70" s="100">
        <f t="shared" si="2"/>
        <v>0</v>
      </c>
      <c r="G70" s="99"/>
    </row>
    <row r="71" customHeight="1" spans="1:7">
      <c r="A71" s="97" t="s">
        <v>286</v>
      </c>
      <c r="B71" s="42" t="str">
        <f>IFERROR(_xlfn.XLOOKUP('8月份计划'!A71,[5]UNEA!$B:$B,[5]UNEA!$B:$B),IFERROR(_xlfn.XLOOKUP('8月份计划'!A71,[5]MRHK!$B:$B,[5]MRHK!$B:$B),IFERROR(_xlfn.XLOOKUP('8月份计划'!A71,[5]MRHB!$B:$B,[5]MRHB!$B:$B),IFERROR(_xlfn.XLOOKUP('8月份计划'!A71,[5]HA6H!$B:$B,[5]HA6H!$B:$B),IFERROR(_xlfn.XLOOKUP('8月份计划'!A71,[5]HA6H!$B:$B,[5]HA6H!$B:$B)," ")))))</f>
        <v> </v>
      </c>
      <c r="C71" s="98">
        <f>SUMIFS('8月份科目余额表'!O:O,'8月份科目余额表'!D:D,A71)</f>
        <v>37728.22</v>
      </c>
      <c r="D71" s="99">
        <f>SUMIFS('7月份挂账'!$Q:$Q,'7月份挂账'!$S:$S,$A71)-SUMIFS('7月份挂账'!$P:$P,'7月份挂账'!$S:$S,$A71)</f>
        <v>20701.6</v>
      </c>
      <c r="E71" s="99">
        <f>SUMIFS('8月份挂账'!$Q:$Q,'8月份挂账'!$S:$S,$A71)-SUMIFS('8月份挂账'!$P:$P,'8月份挂账'!$S:$S,$A71)</f>
        <v>17026.62</v>
      </c>
      <c r="F71" s="100">
        <f t="shared" si="2"/>
        <v>0</v>
      </c>
      <c r="G71" s="99"/>
    </row>
    <row r="72" customHeight="1" spans="1:7">
      <c r="A72" s="97" t="s">
        <v>287</v>
      </c>
      <c r="B72" s="42" t="str">
        <f>IFERROR(_xlfn.XLOOKUP('8月份计划'!A72,[5]UNEA!$B:$B,[5]UNEA!$B:$B),IFERROR(_xlfn.XLOOKUP('8月份计划'!A72,[5]MRHK!$B:$B,[5]MRHK!$B:$B),IFERROR(_xlfn.XLOOKUP('8月份计划'!A72,[5]MRHB!$B:$B,[5]MRHB!$B:$B),IFERROR(_xlfn.XLOOKUP('8月份计划'!A72,[5]HA6H!$B:$B,[5]HA6H!$B:$B),IFERROR(_xlfn.XLOOKUP('8月份计划'!A72,[5]HA6H!$B:$B,[5]HA6H!$B:$B)," ")))))</f>
        <v>广州自强汽车零部件有限公司</v>
      </c>
      <c r="C72" s="98">
        <f>SUMIFS('8月份科目余额表'!O:O,'8月份科目余额表'!D:D,A72)</f>
        <v>0</v>
      </c>
      <c r="D72" s="99">
        <f>SUMIFS('7月份挂账'!$Q:$Q,'7月份挂账'!$S:$S,$A72)-SUMIFS('7月份挂账'!$P:$P,'7月份挂账'!$S:$S,$A72)</f>
        <v>0</v>
      </c>
      <c r="E72" s="99">
        <f>SUMIFS('8月份挂账'!$Q:$Q,'8月份挂账'!$S:$S,$A72)-SUMIFS('8月份挂账'!$P:$P,'8月份挂账'!$S:$S,$A72)</f>
        <v>0</v>
      </c>
      <c r="F72" s="100">
        <f t="shared" si="2"/>
        <v>0</v>
      </c>
      <c r="G72" s="99"/>
    </row>
    <row r="73" customHeight="1" spans="1:7">
      <c r="A73" s="97" t="s">
        <v>288</v>
      </c>
      <c r="B73" s="42" t="str">
        <f>IFERROR(_xlfn.XLOOKUP('8月份计划'!A73,[5]UNEA!$B:$B,[5]UNEA!$B:$B),IFERROR(_xlfn.XLOOKUP('8月份计划'!A73,[5]MRHK!$B:$B,[5]MRHK!$B:$B),IFERROR(_xlfn.XLOOKUP('8月份计划'!A73,[5]MRHB!$B:$B,[5]MRHB!$B:$B),IFERROR(_xlfn.XLOOKUP('8月份计划'!A73,[5]HA6H!$B:$B,[5]HA6H!$B:$B),IFERROR(_xlfn.XLOOKUP('8月份计划'!A73,[5]HA6H!$B:$B,[5]HA6H!$B:$B)," ")))))</f>
        <v> </v>
      </c>
      <c r="C73" s="98">
        <f>SUMIFS('8月份科目余额表'!O:O,'8月份科目余额表'!D:D,A73)</f>
        <v>24696.15</v>
      </c>
      <c r="D73" s="99">
        <f>SUMIFS('7月份挂账'!$Q:$Q,'7月份挂账'!$S:$S,$A73)-SUMIFS('7月份挂账'!$P:$P,'7月份挂账'!$S:$S,$A73)</f>
        <v>20181.8</v>
      </c>
      <c r="E73" s="99">
        <f>SUMIFS('8月份挂账'!$Q:$Q,'8月份挂账'!$S:$S,$A73)-SUMIFS('8月份挂账'!$P:$P,'8月份挂账'!$S:$S,$A73)</f>
        <v>4514.35</v>
      </c>
      <c r="F73" s="100">
        <f t="shared" si="2"/>
        <v>0</v>
      </c>
      <c r="G73" s="99"/>
    </row>
    <row r="74" customHeight="1" spans="1:7">
      <c r="A74" s="97" t="s">
        <v>289</v>
      </c>
      <c r="B74" s="42" t="str">
        <f>IFERROR(_xlfn.XLOOKUP('8月份计划'!A74,[5]UNEA!$B:$B,[5]UNEA!$B:$B),IFERROR(_xlfn.XLOOKUP('8月份计划'!A74,[5]MRHK!$B:$B,[5]MRHK!$B:$B),IFERROR(_xlfn.XLOOKUP('8月份计划'!A74,[5]MRHB!$B:$B,[5]MRHB!$B:$B),IFERROR(_xlfn.XLOOKUP('8月份计划'!A74,[5]HA6H!$B:$B,[5]HA6H!$B:$B),IFERROR(_xlfn.XLOOKUP('8月份计划'!A74,[5]HA6H!$B:$B,[5]HA6H!$B:$B)," ")))))</f>
        <v> </v>
      </c>
      <c r="C74" s="98">
        <f>SUMIFS('8月份科目余额表'!O:O,'8月份科目余额表'!D:D,A74)</f>
        <v>7739.9</v>
      </c>
      <c r="D74" s="99">
        <f>SUMIFS('7月份挂账'!$Q:$Q,'7月份挂账'!$S:$S,$A74)-SUMIFS('7月份挂账'!$P:$P,'7月份挂账'!$S:$S,$A74)</f>
        <v>0</v>
      </c>
      <c r="E74" s="99">
        <f>SUMIFS('8月份挂账'!$Q:$Q,'8月份挂账'!$S:$S,$A74)-SUMIFS('8月份挂账'!$P:$P,'8月份挂账'!$S:$S,$A74)</f>
        <v>0</v>
      </c>
      <c r="F74" s="100">
        <f t="shared" si="2"/>
        <v>7739.9</v>
      </c>
      <c r="G74" s="99"/>
    </row>
    <row r="75" customHeight="1" spans="1:7">
      <c r="A75" s="97" t="s">
        <v>320</v>
      </c>
      <c r="B75" s="42" t="str">
        <f>IFERROR(_xlfn.XLOOKUP('8月份计划'!A75,[5]UNEA!$B:$B,[5]UNEA!$B:$B),IFERROR(_xlfn.XLOOKUP('8月份计划'!A75,[5]MRHK!$B:$B,[5]MRHK!$B:$B),IFERROR(_xlfn.XLOOKUP('8月份计划'!A75,[5]MRHB!$B:$B,[5]MRHB!$B:$B),IFERROR(_xlfn.XLOOKUP('8月份计划'!A75,[5]HA6H!$B:$B,[5]HA6H!$B:$B),IFERROR(_xlfn.XLOOKUP('8月份计划'!A75,[5]HA6H!$B:$B,[5]HA6H!$B:$B)," ")))))</f>
        <v>武汉凯密科汽车零部件有限公司</v>
      </c>
      <c r="C75" s="98">
        <f>SUMIFS('8月份科目余额表'!O:O,'8月份科目余额表'!D:D,A75)</f>
        <v>3640.86</v>
      </c>
      <c r="D75" s="99">
        <f>SUMIFS('7月份挂账'!$Q:$Q,'7月份挂账'!$S:$S,$A75)-SUMIFS('7月份挂账'!$P:$P,'7月份挂账'!$S:$S,$A75)</f>
        <v>3640.86</v>
      </c>
      <c r="E75" s="99">
        <f>SUMIFS('8月份挂账'!$Q:$Q,'8月份挂账'!$S:$S,$A75)-SUMIFS('8月份挂账'!$P:$P,'8月份挂账'!$S:$S,$A75)</f>
        <v>0</v>
      </c>
      <c r="F75" s="100">
        <f t="shared" si="2"/>
        <v>0</v>
      </c>
      <c r="G75" s="99"/>
    </row>
    <row r="76" customHeight="1" spans="1:7">
      <c r="A76" s="97" t="s">
        <v>321</v>
      </c>
      <c r="B76" s="42" t="str">
        <f>IFERROR(_xlfn.XLOOKUP('8月份计划'!A76,[5]UNEA!$B:$B,[5]UNEA!$B:$B),IFERROR(_xlfn.XLOOKUP('8月份计划'!A76,[5]MRHK!$B:$B,[5]MRHK!$B:$B),IFERROR(_xlfn.XLOOKUP('8月份计划'!A76,[5]MRHB!$B:$B,[5]MRHB!$B:$B),IFERROR(_xlfn.XLOOKUP('8月份计划'!A76,[5]HA6H!$B:$B,[5]HA6H!$B:$B),IFERROR(_xlfn.XLOOKUP('8月份计划'!A76,[5]HA6H!$B:$B,[5]HA6H!$B:$B)," ")))))</f>
        <v> </v>
      </c>
      <c r="C76" s="98">
        <f>SUMIFS('8月份科目余额表'!O:O,'8月份科目余额表'!D:D,A76)</f>
        <v>0</v>
      </c>
      <c r="D76" s="99">
        <f>SUMIFS('7月份挂账'!$Q:$Q,'7月份挂账'!$S:$S,$A76)-SUMIFS('7月份挂账'!$P:$P,'7月份挂账'!$S:$S,$A76)</f>
        <v>0</v>
      </c>
      <c r="E76" s="99">
        <f>SUMIFS('8月份挂账'!$Q:$Q,'8月份挂账'!$S:$S,$A76)-SUMIFS('8月份挂账'!$P:$P,'8月份挂账'!$S:$S,$A76)</f>
        <v>0</v>
      </c>
      <c r="F76" s="100">
        <f t="shared" si="2"/>
        <v>0</v>
      </c>
      <c r="G76" s="99"/>
    </row>
    <row r="77" customHeight="1" spans="1:7">
      <c r="A77" s="97" t="s">
        <v>290</v>
      </c>
      <c r="B77" s="42" t="str">
        <f>IFERROR(_xlfn.XLOOKUP('8月份计划'!A77,[5]UNEA!$B:$B,[5]UNEA!$B:$B),IFERROR(_xlfn.XLOOKUP('8月份计划'!A77,[5]MRHK!$B:$B,[5]MRHK!$B:$B),IFERROR(_xlfn.XLOOKUP('8月份计划'!A77,[5]MRHB!$B:$B,[5]MRHB!$B:$B),IFERROR(_xlfn.XLOOKUP('8月份计划'!A77,[5]HA6H!$B:$B,[5]HA6H!$B:$B),IFERROR(_xlfn.XLOOKUP('8月份计划'!A77,[5]HA6H!$B:$B,[5]HA6H!$B:$B)," ")))))</f>
        <v>江阴同威科技有限公司</v>
      </c>
      <c r="C77" s="98">
        <f>SUMIFS('8月份科目余额表'!O:O,'8月份科目余额表'!D:D,A77)</f>
        <v>49802.49</v>
      </c>
      <c r="D77" s="99">
        <f>SUMIFS('7月份挂账'!$Q:$Q,'7月份挂账'!$S:$S,$A77)-SUMIFS('7月份挂账'!$P:$P,'7月份挂账'!$S:$S,$A77)</f>
        <v>43202.16</v>
      </c>
      <c r="E77" s="99">
        <f>SUMIFS('8月份挂账'!$Q:$Q,'8月份挂账'!$S:$S,$A77)-SUMIFS('8月份挂账'!$P:$P,'8月份挂账'!$S:$S,$A77)</f>
        <v>6600.33</v>
      </c>
      <c r="F77" s="100">
        <f t="shared" si="2"/>
        <v>0</v>
      </c>
      <c r="G77" s="99"/>
    </row>
    <row r="78" customHeight="1" spans="1:7">
      <c r="A78" s="97" t="s">
        <v>291</v>
      </c>
      <c r="B78" s="42" t="str">
        <f>IFERROR(_xlfn.XLOOKUP('8月份计划'!A78,[5]UNEA!$B:$B,[5]UNEA!$B:$B),IFERROR(_xlfn.XLOOKUP('8月份计划'!A78,[5]MRHK!$B:$B,[5]MRHK!$B:$B),IFERROR(_xlfn.XLOOKUP('8月份计划'!A78,[5]MRHB!$B:$B,[5]MRHB!$B:$B),IFERROR(_xlfn.XLOOKUP('8月份计划'!A78,[5]HA6H!$B:$B,[5]HA6H!$B:$B),IFERROR(_xlfn.XLOOKUP('8月份计划'!A78,[5]HA6H!$B:$B,[5]HA6H!$B:$B)," ")))))</f>
        <v>深圳市新和荣无纺布有限公司</v>
      </c>
      <c r="C78" s="98">
        <f>SUMIFS('8月份科目余额表'!O:O,'8月份科目余额表'!D:D,A78)</f>
        <v>0.63</v>
      </c>
      <c r="D78" s="99">
        <f>SUMIFS('7月份挂账'!$Q:$Q,'7月份挂账'!$S:$S,$A78)-SUMIFS('7月份挂账'!$P:$P,'7月份挂账'!$S:$S,$A78)</f>
        <v>0</v>
      </c>
      <c r="E78" s="99">
        <f>SUMIFS('8月份挂账'!$Q:$Q,'8月份挂账'!$S:$S,$A78)-SUMIFS('8月份挂账'!$P:$P,'8月份挂账'!$S:$S,$A78)</f>
        <v>0</v>
      </c>
      <c r="F78" s="100">
        <f t="shared" si="2"/>
        <v>0.63</v>
      </c>
      <c r="G78" s="99"/>
    </row>
    <row r="79" customHeight="1" spans="1:7">
      <c r="A79" s="97" t="s">
        <v>292</v>
      </c>
      <c r="C79" s="98">
        <f>SUMIFS('8月份科目余额表'!O:O,'8月份科目余额表'!D:D,A79)</f>
        <v>53245.6</v>
      </c>
      <c r="D79" s="99">
        <f>SUMIFS('7月份挂账'!$Q:$Q,'7月份挂账'!$S:$S,$A79)-SUMIFS('7月份挂账'!$P:$P,'7月份挂账'!$S:$S,$A79)</f>
        <v>35030</v>
      </c>
      <c r="E79" s="99">
        <f>SUMIFS('8月份挂账'!$Q:$Q,'8月份挂账'!$S:$S,$A79)-SUMIFS('8月份挂账'!$P:$P,'8月份挂账'!$S:$S,$A79)</f>
        <v>53245.6</v>
      </c>
      <c r="F79" s="100">
        <f>C79-E79</f>
        <v>0</v>
      </c>
      <c r="G79" s="99"/>
    </row>
    <row r="80" customHeight="1" spans="1:7">
      <c r="A80" s="97" t="s">
        <v>322</v>
      </c>
      <c r="C80" s="98">
        <f>SUMIFS('8月份科目余额表'!O:O,'8月份科目余额表'!D:D,A80)</f>
        <v>14800</v>
      </c>
      <c r="D80" s="99">
        <f>SUMIFS('7月份挂账'!$Q:$Q,'7月份挂账'!$S:$S,$A80)-SUMIFS('7月份挂账'!$P:$P,'7月份挂账'!$S:$S,$A80)</f>
        <v>0</v>
      </c>
      <c r="E80" s="99">
        <f>SUMIFS('8月份挂账'!$Q:$Q,'8月份挂账'!$S:$S,$A80)-SUMIFS('8月份挂账'!$P:$P,'8月份挂账'!$S:$S,$A80)</f>
        <v>0</v>
      </c>
      <c r="F80" s="100">
        <f>C80-D80-E80</f>
        <v>14800</v>
      </c>
      <c r="G80" s="99"/>
    </row>
    <row r="81" customHeight="1" spans="7:7">
      <c r="G81" s="99"/>
    </row>
    <row r="83" customHeight="1" spans="1:7">
      <c r="A83" s="97" t="s">
        <v>29</v>
      </c>
      <c r="C83" s="87">
        <f>SUM(C3:C82)</f>
        <v>16248846.89</v>
      </c>
      <c r="D83" s="87">
        <f>SUM(D3:D82)</f>
        <v>5748209.04</v>
      </c>
      <c r="E83" s="87">
        <f>SUM(E3:E82)</f>
        <v>3575294.57</v>
      </c>
      <c r="F83" s="87">
        <f>SUM(F3:F82)</f>
        <v>7511979.24</v>
      </c>
      <c r="G83" s="87">
        <f ca="1">SUM(G3:G82)</f>
        <v>4307616.320624</v>
      </c>
    </row>
    <row r="84" customHeight="1" spans="1:7">
      <c r="A84" s="97" t="s">
        <v>293</v>
      </c>
      <c r="C84" s="87"/>
      <c r="F84" s="88"/>
      <c r="G84" s="120"/>
    </row>
  </sheetData>
  <autoFilter xmlns:etc="http://www.wps.cn/officeDocument/2017/etCustomData" ref="A2:G85" etc:filterBottomFollowUsedRange="0">
    <extLst/>
  </autoFilter>
  <mergeCells count="2">
    <mergeCell ref="A1:G1"/>
    <mergeCell ref="H1:J1"/>
  </mergeCells>
  <conditionalFormatting sqref="A$1:A$1048576">
    <cfRule type="duplicateValues" dxfId="0" priority="2"/>
  </conditionalFormatting>
  <pageMargins left="0.75" right="0.75" top="1" bottom="1" header="0.5" footer="0.5"/>
  <pageSetup paperSize="9" orientation="portrait"/>
  <headerFooter/>
  <ignoredErrors>
    <ignoredError sqref="F79" 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4"/>
  <dimension ref="A1:L85"/>
  <sheetViews>
    <sheetView workbookViewId="0">
      <pane xSplit="1" ySplit="2" topLeftCell="B23" activePane="bottomRight" state="frozen"/>
      <selection/>
      <selection pane="topRight"/>
      <selection pane="bottomLeft"/>
      <selection pane="bottomRight" activeCell="I37" sqref="I37"/>
    </sheetView>
  </sheetViews>
  <sheetFormatPr defaultColWidth="9" defaultRowHeight="19" customHeight="1"/>
  <cols>
    <col min="1" max="1" width="26.25" style="97" customWidth="1"/>
    <col min="2" max="2" width="21.375" style="42" hidden="1" customWidth="1"/>
    <col min="3" max="3" width="12.625" style="98" customWidth="1"/>
    <col min="4" max="5" width="11.75" style="99" customWidth="1"/>
    <col min="6" max="6" width="13.875" style="100" customWidth="1"/>
    <col min="7" max="7" width="14.875" style="101" customWidth="1"/>
    <col min="8" max="8" width="16.125" style="42" customWidth="1"/>
    <col min="9" max="16384" width="9" style="42"/>
  </cols>
  <sheetData>
    <row r="1" ht="29" customHeight="1" spans="1:7">
      <c r="A1" s="103" t="s">
        <v>323</v>
      </c>
      <c r="B1" s="103"/>
      <c r="C1" s="104"/>
      <c r="D1" s="105"/>
      <c r="E1" s="105"/>
      <c r="F1" s="106"/>
      <c r="G1" s="113"/>
    </row>
    <row r="2" ht="36" customHeight="1" spans="1:7">
      <c r="A2" s="107" t="s">
        <v>231</v>
      </c>
      <c r="B2" s="107" t="s">
        <v>232</v>
      </c>
      <c r="C2" s="108" t="s">
        <v>324</v>
      </c>
      <c r="D2" s="109" t="s">
        <v>325</v>
      </c>
      <c r="E2" s="109" t="s">
        <v>296</v>
      </c>
      <c r="F2" s="108" t="s">
        <v>236</v>
      </c>
      <c r="G2" s="107" t="s">
        <v>237</v>
      </c>
    </row>
    <row r="3" customHeight="1" spans="1:7">
      <c r="A3" s="97" t="s">
        <v>240</v>
      </c>
      <c r="B3" s="42" t="str">
        <f>IFERROR(_xlfn.XLOOKUP('7月份计划'!A3,[5]UNEA!$B:$B,[5]UNEA!$B:$B),IFERROR(_xlfn.XLOOKUP('7月份计划'!A3,[5]MRHK!$B:$B,[5]MRHK!$B:$B),IFERROR(_xlfn.XLOOKUP('7月份计划'!A3,[5]MRHB!$B:$B,[5]MRHB!$B:$B),IFERROR(_xlfn.XLOOKUP('7月份计划'!A3,[5]HA6H!$B:$B,[5]HA6H!$B:$B),IFERROR(_xlfn.XLOOKUP('7月份计划'!A3,[5]HA6H!$B:$B,[5]HA6H!$B:$B)," ")))))</f>
        <v>重庆厚元汽车配件有限公司</v>
      </c>
      <c r="C3" s="98">
        <f>SUMIFS('7月份科目余额表'!O:O,'7月份科目余额表'!D:D,A3)</f>
        <v>563241.83</v>
      </c>
      <c r="D3" s="99">
        <f>SUMIFS('6月份挂账'!$Q:$Q,'6月份挂账'!$S:$S,$A3)-SUMIFS('6月份挂账'!$P:$P,'6月份挂账'!$S:$S,$A3)</f>
        <v>149194.8</v>
      </c>
      <c r="E3" s="99">
        <f>SUMIFS('7月份挂账'!$Q:$Q,'7月份挂账'!$S:$S,$A3)-SUMIFS('7月份挂账'!$P:$P,'7月份挂账'!$S:$S,$A3)</f>
        <v>137311.16</v>
      </c>
      <c r="F3" s="100">
        <f t="shared" ref="F3:F18" si="0">C3-E3-D3</f>
        <v>276735.87</v>
      </c>
      <c r="G3" s="99">
        <v>276735.87</v>
      </c>
    </row>
    <row r="4" customHeight="1" spans="1:7">
      <c r="A4" s="97" t="s">
        <v>241</v>
      </c>
      <c r="B4" s="42" t="str">
        <f>IFERROR(_xlfn.XLOOKUP('7月份计划'!A4,[5]UNEA!$B:$B,[5]UNEA!$B:$B),IFERROR(_xlfn.XLOOKUP('7月份计划'!A4,[5]MRHK!$B:$B,[5]MRHK!$B:$B),IFERROR(_xlfn.XLOOKUP('7月份计划'!A4,[5]MRHB!$B:$B,[5]MRHB!$B:$B),IFERROR(_xlfn.XLOOKUP('7月份计划'!A4,[5]HA6H!$B:$B,[5]HA6H!$B:$B),IFERROR(_xlfn.XLOOKUP('7月份计划'!A4,[5]HA6H!$B:$B,[5]HA6H!$B:$B)," ")))))</f>
        <v> </v>
      </c>
      <c r="C4" s="98">
        <f>SUMIFS('7月份科目余额表'!O:O,'7月份科目余额表'!D:D,A4)</f>
        <v>49618.48</v>
      </c>
      <c r="D4" s="99">
        <f>SUMIFS('6月份挂账'!$Q:$Q,'6月份挂账'!$S:$S,$A4)-SUMIFS('6月份挂账'!$P:$P,'6月份挂账'!$S:$S,$A4)</f>
        <v>23708.98</v>
      </c>
      <c r="E4" s="99">
        <f>SUMIFS('7月份挂账'!$Q:$Q,'7月份挂账'!$S:$S,$A4)-SUMIFS('7月份挂账'!$P:$P,'7月份挂账'!$S:$S,$A4)</f>
        <v>4931.2</v>
      </c>
      <c r="F4" s="100">
        <f t="shared" si="0"/>
        <v>20978.3</v>
      </c>
      <c r="G4" s="99">
        <v>20978.3</v>
      </c>
    </row>
    <row r="5" customHeight="1" spans="1:7">
      <c r="A5" s="97" t="s">
        <v>242</v>
      </c>
      <c r="B5" s="42" t="str">
        <f>IFERROR(_xlfn.XLOOKUP('7月份计划'!A5,[5]UNEA!$B:$B,[5]UNEA!$B:$B),IFERROR(_xlfn.XLOOKUP('7月份计划'!A5,[5]MRHK!$B:$B,[5]MRHK!$B:$B),IFERROR(_xlfn.XLOOKUP('7月份计划'!A5,[5]MRHB!$B:$B,[5]MRHB!$B:$B),IFERROR(_xlfn.XLOOKUP('7月份计划'!A5,[5]HA6H!$B:$B,[5]HA6H!$B:$B),IFERROR(_xlfn.XLOOKUP('7月份计划'!A5,[5]HA6H!$B:$B,[5]HA6H!$B:$B)," ")))))</f>
        <v> </v>
      </c>
      <c r="C5" s="98">
        <f>SUMIFS('7月份科目余额表'!O:O,'7月份科目余额表'!D:D,A5)</f>
        <v>106941.31</v>
      </c>
      <c r="D5" s="99">
        <f>SUMIFS('6月份挂账'!$Q:$Q,'6月份挂账'!$S:$S,$A5)-SUMIFS('6月份挂账'!$P:$P,'6月份挂账'!$S:$S,$A5)</f>
        <v>21952.92</v>
      </c>
      <c r="E5" s="99">
        <f>SUMIFS('7月份挂账'!$Q:$Q,'7月份挂账'!$S:$S,$A5)-SUMIFS('7月份挂账'!$P:$P,'7月份挂账'!$S:$S,$A5)</f>
        <v>38986.48</v>
      </c>
      <c r="F5" s="100">
        <f t="shared" si="0"/>
        <v>46001.91</v>
      </c>
      <c r="G5" s="99">
        <v>46001.91</v>
      </c>
    </row>
    <row r="6" customHeight="1" spans="1:7">
      <c r="A6" s="97" t="s">
        <v>243</v>
      </c>
      <c r="B6" s="42" t="str">
        <f>IFERROR(_xlfn.XLOOKUP('7月份计划'!A6,[5]UNEA!$B:$B,[5]UNEA!$B:$B),IFERROR(_xlfn.XLOOKUP('7月份计划'!A6,[5]MRHK!$B:$B,[5]MRHK!$B:$B),IFERROR(_xlfn.XLOOKUP('7月份计划'!A6,[5]MRHB!$B:$B,[5]MRHB!$B:$B),IFERROR(_xlfn.XLOOKUP('7月份计划'!A6,[5]HA6H!$B:$B,[5]HA6H!$B:$B),IFERROR(_xlfn.XLOOKUP('7月份计划'!A6,[5]HA6H!$B:$B,[5]HA6H!$B:$B)," ")))))</f>
        <v> </v>
      </c>
      <c r="C6" s="98">
        <f>SUMIFS('7月份科目余额表'!O:O,'7月份科目余额表'!D:D,A6)</f>
        <v>92578.13</v>
      </c>
      <c r="D6" s="99">
        <f>SUMIFS('6月份挂账'!$Q:$Q,'6月份挂账'!$S:$S,$A6)-SUMIFS('6月份挂账'!$P:$P,'6月份挂账'!$S:$S,$A6)</f>
        <v>0</v>
      </c>
      <c r="E6" s="99">
        <f>SUMIFS('7月份挂账'!$Q:$Q,'7月份挂账'!$S:$S,$A6)-SUMIFS('7月份挂账'!$P:$P,'7月份挂账'!$S:$S,$A6)</f>
        <v>0</v>
      </c>
      <c r="F6" s="100">
        <f t="shared" si="0"/>
        <v>92578.13</v>
      </c>
      <c r="G6" s="99">
        <v>50000</v>
      </c>
    </row>
    <row r="7" customHeight="1" spans="1:7">
      <c r="A7" s="97" t="s">
        <v>297</v>
      </c>
      <c r="B7" s="42" t="str">
        <f>IFERROR(_xlfn.XLOOKUP('7月份计划'!A7,[5]UNEA!$B:$B,[5]UNEA!$B:$B),IFERROR(_xlfn.XLOOKUP('7月份计划'!A7,[5]MRHK!$B:$B,[5]MRHK!$B:$B),IFERROR(_xlfn.XLOOKUP('7月份计划'!A7,[5]MRHB!$B:$B,[5]MRHB!$B:$B),IFERROR(_xlfn.XLOOKUP('7月份计划'!A7,[5]HA6H!$B:$B,[5]HA6H!$B:$B),IFERROR(_xlfn.XLOOKUP('7月份计划'!A7,[5]HA6H!$B:$B,[5]HA6H!$B:$B)," ")))))</f>
        <v> </v>
      </c>
      <c r="C7" s="98">
        <f>SUMIFS('7月份科目余额表'!O:O,'7月份科目余额表'!D:D,A7)</f>
        <v>25334.21</v>
      </c>
      <c r="D7" s="99">
        <f>SUMIFS('6月份挂账'!$Q:$Q,'6月份挂账'!$S:$S,$A7)-SUMIFS('6月份挂账'!$P:$P,'6月份挂账'!$S:$S,$A7)</f>
        <v>11718.84</v>
      </c>
      <c r="E7" s="99">
        <f>SUMIFS('7月份挂账'!$Q:$Q,'7月份挂账'!$S:$S,$A7)-SUMIFS('7月份挂账'!$P:$P,'7月份挂账'!$S:$S,$A7)</f>
        <v>0</v>
      </c>
      <c r="F7" s="100">
        <f t="shared" si="0"/>
        <v>13615.37</v>
      </c>
      <c r="G7" s="99">
        <v>13615.37</v>
      </c>
    </row>
    <row r="8" customHeight="1" spans="1:7">
      <c r="A8" s="97" t="s">
        <v>244</v>
      </c>
      <c r="B8" s="42" t="str">
        <f>IFERROR(_xlfn.XLOOKUP('7月份计划'!A8,[5]UNEA!$B:$B,[5]UNEA!$B:$B),IFERROR(_xlfn.XLOOKUP('7月份计划'!A8,[5]MRHK!$B:$B,[5]MRHK!$B:$B),IFERROR(_xlfn.XLOOKUP('7月份计划'!A8,[5]MRHB!$B:$B,[5]MRHB!$B:$B),IFERROR(_xlfn.XLOOKUP('7月份计划'!A8,[5]HA6H!$B:$B,[5]HA6H!$B:$B),IFERROR(_xlfn.XLOOKUP('7月份计划'!A8,[5]HA6H!$B:$B,[5]HA6H!$B:$B)," ")))))</f>
        <v> </v>
      </c>
      <c r="C8" s="98">
        <f>SUMIFS('7月份科目余额表'!O:O,'7月份科目余额表'!D:D,A8)</f>
        <v>89168.54</v>
      </c>
      <c r="D8" s="99">
        <f>SUMIFS('6月份挂账'!$Q:$Q,'6月份挂账'!$S:$S,$A8)-SUMIFS('6月份挂账'!$P:$P,'6月份挂账'!$S:$S,$A8)</f>
        <v>18425.55</v>
      </c>
      <c r="E8" s="99">
        <f>SUMIFS('7月份挂账'!$Q:$Q,'7月份挂账'!$S:$S,$A8)-SUMIFS('7月份挂账'!$P:$P,'7月份挂账'!$S:$S,$A8)</f>
        <v>7259.01</v>
      </c>
      <c r="F8" s="100">
        <f t="shared" si="0"/>
        <v>63483.98</v>
      </c>
      <c r="G8" s="99">
        <v>50000</v>
      </c>
    </row>
    <row r="9" customHeight="1" spans="1:7">
      <c r="A9" s="97" t="s">
        <v>245</v>
      </c>
      <c r="B9" s="42" t="str">
        <f>IFERROR(_xlfn.XLOOKUP('7月份计划'!A9,[5]UNEA!$B:$B,[5]UNEA!$B:$B),IFERROR(_xlfn.XLOOKUP('7月份计划'!A9,[5]MRHK!$B:$B,[5]MRHK!$B:$B),IFERROR(_xlfn.XLOOKUP('7月份计划'!A9,[5]MRHB!$B:$B,[5]MRHB!$B:$B),IFERROR(_xlfn.XLOOKUP('7月份计划'!A9,[5]HA6H!$B:$B,[5]HA6H!$B:$B),IFERROR(_xlfn.XLOOKUP('7月份计划'!A9,[5]HA6H!$B:$B,[5]HA6H!$B:$B)," ")))))</f>
        <v> </v>
      </c>
      <c r="C9" s="98">
        <f>SUMIFS('7月份科目余额表'!O:O,'7月份科目余额表'!D:D,A9)</f>
        <v>126464.85</v>
      </c>
      <c r="D9" s="99">
        <f>SUMIFS('6月份挂账'!$Q:$Q,'6月份挂账'!$S:$S,$A9)-SUMIFS('6月份挂账'!$P:$P,'6月份挂账'!$S:$S,$A9)</f>
        <v>32444.38</v>
      </c>
      <c r="E9" s="99">
        <f>SUMIFS('7月份挂账'!$Q:$Q,'7月份挂账'!$S:$S,$A9)-SUMIFS('7月份挂账'!$P:$P,'7月份挂账'!$S:$S,$A9)</f>
        <v>15229.04</v>
      </c>
      <c r="F9" s="100">
        <f t="shared" si="0"/>
        <v>78791.43</v>
      </c>
      <c r="G9" s="99">
        <v>50000</v>
      </c>
    </row>
    <row r="10" customHeight="1" spans="1:7">
      <c r="A10" s="97" t="s">
        <v>246</v>
      </c>
      <c r="B10" s="42" t="str">
        <f>IFERROR(_xlfn.XLOOKUP('7月份计划'!A10,[5]UNEA!$B:$B,[5]UNEA!$B:$B),IFERROR(_xlfn.XLOOKUP('7月份计划'!A10,[5]MRHK!$B:$B,[5]MRHK!$B:$B),IFERROR(_xlfn.XLOOKUP('7月份计划'!A10,[5]MRHB!$B:$B,[5]MRHB!$B:$B),IFERROR(_xlfn.XLOOKUP('7月份计划'!A10,[5]HA6H!$B:$B,[5]HA6H!$B:$B),IFERROR(_xlfn.XLOOKUP('7月份计划'!A10,[5]HA6H!$B:$B,[5]HA6H!$B:$B)," ")))))</f>
        <v> </v>
      </c>
      <c r="C10" s="98">
        <f>SUMIFS('7月份科目余额表'!O:O,'7月份科目余额表'!D:D,A10)</f>
        <v>88226.66</v>
      </c>
      <c r="D10" s="99">
        <f>SUMIFS('6月份挂账'!$Q:$Q,'6月份挂账'!$S:$S,$A10)-SUMIFS('6月份挂账'!$P:$P,'6月份挂账'!$S:$S,$A10)</f>
        <v>11158.92</v>
      </c>
      <c r="E10" s="99">
        <f>SUMIFS('7月份挂账'!$Q:$Q,'7月份挂账'!$S:$S,$A10)-SUMIFS('7月份挂账'!$P:$P,'7月份挂账'!$S:$S,$A10)</f>
        <v>10766.75</v>
      </c>
      <c r="F10" s="100">
        <f t="shared" si="0"/>
        <v>66300.99</v>
      </c>
      <c r="G10" s="99">
        <v>50000</v>
      </c>
    </row>
    <row r="11" customHeight="1" spans="1:7">
      <c r="A11" s="97" t="s">
        <v>247</v>
      </c>
      <c r="B11" s="42" t="str">
        <f>IFERROR(_xlfn.XLOOKUP('7月份计划'!A11,[5]UNEA!$B:$B,[5]UNEA!$B:$B),IFERROR(_xlfn.XLOOKUP('7月份计划'!A11,[5]MRHK!$B:$B,[5]MRHK!$B:$B),IFERROR(_xlfn.XLOOKUP('7月份计划'!A11,[5]MRHB!$B:$B,[5]MRHB!$B:$B),IFERROR(_xlfn.XLOOKUP('7月份计划'!A11,[5]HA6H!$B:$B,[5]HA6H!$B:$B),IFERROR(_xlfn.XLOOKUP('7月份计划'!A11,[5]HA6H!$B:$B,[5]HA6H!$B:$B)," ")))))</f>
        <v>黄骅市汇铭汽车部件有限公司</v>
      </c>
      <c r="C11" s="98">
        <f>SUMIFS('7月份科目余额表'!O:O,'7月份科目余额表'!D:D,A11)</f>
        <v>77922.31</v>
      </c>
      <c r="D11" s="99">
        <f>SUMIFS('6月份挂账'!$Q:$Q,'6月份挂账'!$S:$S,$A11)-SUMIFS('6月份挂账'!$P:$P,'6月份挂账'!$S:$S,$A11)</f>
        <v>49663.64</v>
      </c>
      <c r="E11" s="99">
        <f>SUMIFS('7月份挂账'!$Q:$Q,'7月份挂账'!$S:$S,$A11)-SUMIFS('7月份挂账'!$P:$P,'7月份挂账'!$S:$S,$A11)</f>
        <v>27863.56</v>
      </c>
      <c r="F11" s="100">
        <f t="shared" si="0"/>
        <v>395.110000000001</v>
      </c>
      <c r="G11" s="99">
        <v>50000</v>
      </c>
    </row>
    <row r="12" customHeight="1" spans="1:7">
      <c r="A12" s="97" t="s">
        <v>248</v>
      </c>
      <c r="B12" s="42" t="str">
        <f>IFERROR(_xlfn.XLOOKUP('7月份计划'!A12,[5]UNEA!$B:$B,[5]UNEA!$B:$B),IFERROR(_xlfn.XLOOKUP('7月份计划'!A12,[5]MRHK!$B:$B,[5]MRHK!$B:$B),IFERROR(_xlfn.XLOOKUP('7月份计划'!A12,[5]MRHB!$B:$B,[5]MRHB!$B:$B),IFERROR(_xlfn.XLOOKUP('7月份计划'!A12,[5]HA6H!$B:$B,[5]HA6H!$B:$B),IFERROR(_xlfn.XLOOKUP('7月份计划'!A12,[5]HA6H!$B:$B,[5]HA6H!$B:$B)," ")))))</f>
        <v> </v>
      </c>
      <c r="C12" s="98">
        <f>SUMIFS('7月份科目余额表'!O:O,'7月份科目余额表'!D:D,A12)</f>
        <v>156040.34</v>
      </c>
      <c r="D12" s="99">
        <f>SUMIFS('6月份挂账'!$Q:$Q,'6月份挂账'!$S:$S,$A12)-SUMIFS('6月份挂账'!$P:$P,'6月份挂账'!$S:$S,$A12)</f>
        <v>0</v>
      </c>
      <c r="E12" s="99">
        <f>SUMIFS('7月份挂账'!$Q:$Q,'7月份挂账'!$S:$S,$A12)-SUMIFS('7月份挂账'!$P:$P,'7月份挂账'!$S:$S,$A12)</f>
        <v>156040.34</v>
      </c>
      <c r="F12" s="100">
        <f t="shared" si="0"/>
        <v>0</v>
      </c>
      <c r="G12" s="99"/>
    </row>
    <row r="13" customHeight="1" spans="1:7">
      <c r="A13" s="97" t="s">
        <v>249</v>
      </c>
      <c r="B13" s="42" t="str">
        <f>IFERROR(_xlfn.XLOOKUP('7月份计划'!A13,[5]UNEA!$B:$B,[5]UNEA!$B:$B),IFERROR(_xlfn.XLOOKUP('7月份计划'!A13,[5]MRHK!$B:$B,[5]MRHK!$B:$B),IFERROR(_xlfn.XLOOKUP('7月份计划'!A13,[5]MRHB!$B:$B,[5]MRHB!$B:$B),IFERROR(_xlfn.XLOOKUP('7月份计划'!A13,[5]HA6H!$B:$B,[5]HA6H!$B:$B),IFERROR(_xlfn.XLOOKUP('7月份计划'!A13,[5]HA6H!$B:$B,[5]HA6H!$B:$B)," ")))))</f>
        <v> </v>
      </c>
      <c r="C13" s="98">
        <f>SUMIFS('7月份科目余额表'!O:O,'7月份科目余额表'!D:D,A13)</f>
        <v>202755.37</v>
      </c>
      <c r="D13" s="99">
        <f>SUMIFS('6月份挂账'!$Q:$Q,'6月份挂账'!$S:$S,$A13)-SUMIFS('6月份挂账'!$P:$P,'6月份挂账'!$S:$S,$A13)</f>
        <v>47679.21</v>
      </c>
      <c r="E13" s="99">
        <f>SUMIFS('7月份挂账'!$Q:$Q,'7月份挂账'!$S:$S,$A13)-SUMIFS('7月份挂账'!$P:$P,'7月份挂账'!$S:$S,$A13)</f>
        <v>0</v>
      </c>
      <c r="F13" s="100">
        <f t="shared" si="0"/>
        <v>155076.16</v>
      </c>
      <c r="G13" s="99">
        <v>155076.16</v>
      </c>
    </row>
    <row r="14" customHeight="1" spans="1:7">
      <c r="A14" s="97" t="s">
        <v>250</v>
      </c>
      <c r="B14" s="42" t="str">
        <f>IFERROR(_xlfn.XLOOKUP('7月份计划'!A14,[5]UNEA!$B:$B,[5]UNEA!$B:$B),IFERROR(_xlfn.XLOOKUP('7月份计划'!A14,[5]MRHK!$B:$B,[5]MRHK!$B:$B),IFERROR(_xlfn.XLOOKUP('7月份计划'!A14,[5]MRHB!$B:$B,[5]MRHB!$B:$B),IFERROR(_xlfn.XLOOKUP('7月份计划'!A14,[5]HA6H!$B:$B,[5]HA6H!$B:$B),IFERROR(_xlfn.XLOOKUP('7月份计划'!A14,[5]HA6H!$B:$B,[5]HA6H!$B:$B)," ")))))</f>
        <v> </v>
      </c>
      <c r="C14" s="98">
        <f>SUMIFS('7月份科目余额表'!O:O,'7月份科目余额表'!D:D,A14)</f>
        <v>408139.15</v>
      </c>
      <c r="D14" s="99">
        <f>SUMIFS('6月份挂账'!$Q:$Q,'6月份挂账'!$S:$S,$A14)-SUMIFS('6月份挂账'!$P:$P,'6月份挂账'!$S:$S,$A14)</f>
        <v>103860.05</v>
      </c>
      <c r="E14" s="99">
        <f>SUMIFS('7月份挂账'!$Q:$Q,'7月份挂账'!$S:$S,$A14)-SUMIFS('7月份挂账'!$P:$P,'7月份挂账'!$S:$S,$A14)</f>
        <v>49979.15</v>
      </c>
      <c r="F14" s="100">
        <f t="shared" si="0"/>
        <v>254299.95</v>
      </c>
      <c r="G14" s="99">
        <v>254299.95</v>
      </c>
    </row>
    <row r="15" customHeight="1" spans="1:7">
      <c r="A15" s="97" t="s">
        <v>298</v>
      </c>
      <c r="B15" s="42" t="str">
        <f>IFERROR(_xlfn.XLOOKUP('7月份计划'!A15,[5]UNEA!$B:$B,[5]UNEA!$B:$B),IFERROR(_xlfn.XLOOKUP('7月份计划'!A15,[5]MRHK!$B:$B,[5]MRHK!$B:$B),IFERROR(_xlfn.XLOOKUP('7月份计划'!A15,[5]MRHB!$B:$B,[5]MRHB!$B:$B),IFERROR(_xlfn.XLOOKUP('7月份计划'!A15,[5]HA6H!$B:$B,[5]HA6H!$B:$B),IFERROR(_xlfn.XLOOKUP('7月份计划'!A15,[5]HA6H!$B:$B,[5]HA6H!$B:$B)," ")))))</f>
        <v> </v>
      </c>
      <c r="C15" s="98">
        <f>SUMIFS('7月份科目余额表'!O:O,'7月份科目余额表'!D:D,A15)</f>
        <v>43392</v>
      </c>
      <c r="D15" s="99">
        <f>SUMIFS('6月份挂账'!$Q:$Q,'6月份挂账'!$S:$S,$A15)-SUMIFS('6月份挂账'!$P:$P,'6月份挂账'!$S:$S,$A15)</f>
        <v>0</v>
      </c>
      <c r="E15" s="99">
        <f>SUMIFS('7月份挂账'!$Q:$Q,'7月份挂账'!$S:$S,$A15)-SUMIFS('7月份挂账'!$P:$P,'7月份挂账'!$S:$S,$A15)</f>
        <v>0</v>
      </c>
      <c r="F15" s="100">
        <f t="shared" si="0"/>
        <v>43392</v>
      </c>
      <c r="G15" s="99">
        <v>43392</v>
      </c>
    </row>
    <row r="16" customHeight="1" spans="1:7">
      <c r="A16" s="97" t="s">
        <v>251</v>
      </c>
      <c r="B16" s="42" t="str">
        <f>IFERROR(_xlfn.XLOOKUP('7月份计划'!A16,[5]UNEA!$B:$B,[5]UNEA!$B:$B),IFERROR(_xlfn.XLOOKUP('7月份计划'!A16,[5]MRHK!$B:$B,[5]MRHK!$B:$B),IFERROR(_xlfn.XLOOKUP('7月份计划'!A16,[5]MRHB!$B:$B,[5]MRHB!$B:$B),IFERROR(_xlfn.XLOOKUP('7月份计划'!A16,[5]HA6H!$B:$B,[5]HA6H!$B:$B),IFERROR(_xlfn.XLOOKUP('7月份计划'!A16,[5]HA6H!$B:$B,[5]HA6H!$B:$B)," ")))))</f>
        <v> </v>
      </c>
      <c r="C16" s="98">
        <f>SUMIFS('7月份科目余额表'!O:O,'7月份科目余额表'!D:D,A16)</f>
        <v>544769.3</v>
      </c>
      <c r="D16" s="99">
        <f>SUMIFS('6月份挂账'!$Q:$Q,'6月份挂账'!$S:$S,$A16)-SUMIFS('6月份挂账'!$P:$P,'6月份挂账'!$S:$S,$A16)</f>
        <v>105955.16</v>
      </c>
      <c r="E16" s="99">
        <f>SUMIFS('7月份挂账'!$Q:$Q,'7月份挂账'!$S:$S,$A16)-SUMIFS('7月份挂账'!$P:$P,'7月份挂账'!$S:$S,$A16)</f>
        <v>369225.01</v>
      </c>
      <c r="F16" s="100">
        <f t="shared" si="0"/>
        <v>69589.13</v>
      </c>
      <c r="G16" s="99">
        <v>69589.13</v>
      </c>
    </row>
    <row r="17" customHeight="1" spans="1:7">
      <c r="A17" s="97" t="s">
        <v>252</v>
      </c>
      <c r="B17" s="42" t="str">
        <f>IFERROR(_xlfn.XLOOKUP('7月份计划'!A17,[5]UNEA!$B:$B,[5]UNEA!$B:$B),IFERROR(_xlfn.XLOOKUP('7月份计划'!A17,[5]MRHK!$B:$B,[5]MRHK!$B:$B),IFERROR(_xlfn.XLOOKUP('7月份计划'!A17,[5]MRHB!$B:$B,[5]MRHB!$B:$B),IFERROR(_xlfn.XLOOKUP('7月份计划'!A17,[5]HA6H!$B:$B,[5]HA6H!$B:$B),IFERROR(_xlfn.XLOOKUP('7月份计划'!A17,[5]HA6H!$B:$B,[5]HA6H!$B:$B)," ")))))</f>
        <v> </v>
      </c>
      <c r="C17" s="98">
        <f>SUMIFS('7月份科目余额表'!O:O,'7月份科目余额表'!D:D,A17)</f>
        <v>206828.21</v>
      </c>
      <c r="D17" s="99">
        <f>SUMIFS('6月份挂账'!$Q:$Q,'6月份挂账'!$S:$S,$A17)-SUMIFS('6月份挂账'!$P:$P,'6月份挂账'!$S:$S,$A17)</f>
        <v>72307.87</v>
      </c>
      <c r="E17" s="99">
        <f>SUMIFS('7月份挂账'!$Q:$Q,'7月份挂账'!$S:$S,$A17)-SUMIFS('7月份挂账'!$P:$P,'7月份挂账'!$S:$S,$A17)</f>
        <v>0</v>
      </c>
      <c r="F17" s="100">
        <f t="shared" si="0"/>
        <v>134520.34</v>
      </c>
      <c r="G17" s="99">
        <v>134520.34</v>
      </c>
    </row>
    <row r="18" ht="20" customHeight="1" spans="1:7">
      <c r="A18" s="97" t="s">
        <v>253</v>
      </c>
      <c r="B18" s="42" t="str">
        <f>IFERROR(_xlfn.XLOOKUP('7月份计划'!A18,[5]UNEA!$B:$B,[5]UNEA!$B:$B),IFERROR(_xlfn.XLOOKUP('7月份计划'!A18,[5]MRHK!$B:$B,[5]MRHK!$B:$B),IFERROR(_xlfn.XLOOKUP('7月份计划'!A18,[5]MRHB!$B:$B,[5]MRHB!$B:$B),IFERROR(_xlfn.XLOOKUP('7月份计划'!A18,[5]HA6H!$B:$B,[5]HA6H!$B:$B),IFERROR(_xlfn.XLOOKUP('7月份计划'!A18,[5]HA6H!$B:$B,[5]HA6H!$B:$B)," ")))))</f>
        <v> </v>
      </c>
      <c r="C18" s="98">
        <f>SUMIFS('7月份科目余额表'!O:O,'7月份科目余额表'!D:D,A18)</f>
        <v>469726.32</v>
      </c>
      <c r="D18" s="99">
        <f>SUMIFS('6月份挂账'!$Q:$Q,'6月份挂账'!$S:$S,$A18)-SUMIFS('6月份挂账'!$P:$P,'6月份挂账'!$S:$S,$A18)</f>
        <v>276975.65</v>
      </c>
      <c r="E18" s="99">
        <f>SUMIFS('7月份挂账'!$Q:$Q,'7月份挂账'!$S:$S,$A18)-SUMIFS('7月份挂账'!$P:$P,'7月份挂账'!$S:$S,$A18)</f>
        <v>4781.14</v>
      </c>
      <c r="F18" s="100">
        <f t="shared" si="0"/>
        <v>187969.53</v>
      </c>
      <c r="G18" s="99">
        <v>187969.53</v>
      </c>
    </row>
    <row r="19" customHeight="1" spans="1:7">
      <c r="A19" s="97" t="s">
        <v>254</v>
      </c>
      <c r="B19" s="42" t="str">
        <f>IFERROR(_xlfn.XLOOKUP('7月份计划'!A19,[5]UNEA!$B:$B,[5]UNEA!$B:$B),IFERROR(_xlfn.XLOOKUP('7月份计划'!A19,[5]MRHK!$B:$B,[5]MRHK!$B:$B),IFERROR(_xlfn.XLOOKUP('7月份计划'!A19,[5]MRHB!$B:$B,[5]MRHB!$B:$B),IFERROR(_xlfn.XLOOKUP('7月份计划'!A19,[5]HA6H!$B:$B,[5]HA6H!$B:$B),IFERROR(_xlfn.XLOOKUP('7月份计划'!A19,[5]HA6H!$B:$B,[5]HA6H!$B:$B)," ")))))</f>
        <v> </v>
      </c>
      <c r="C19" s="98">
        <f>SUMIFS('7月份科目余额表'!O:O,'7月份科目余额表'!D:D,A19)</f>
        <v>728583.63</v>
      </c>
      <c r="D19" s="99">
        <f>SUMIFS('6月份挂账'!$Q:$Q,'6月份挂账'!$S:$S,$A19)-SUMIFS('6月份挂账'!$P:$P,'6月份挂账'!$S:$S,$A19)</f>
        <v>450609.52</v>
      </c>
      <c r="E19" s="99">
        <f>SUMIFS('7月份挂账'!$Q:$Q,'7月份挂账'!$S:$S,$A19)-SUMIFS('7月份挂账'!$P:$P,'7月份挂账'!$S:$S,$A19)</f>
        <v>439377.26</v>
      </c>
      <c r="G19" s="99">
        <v>300000</v>
      </c>
    </row>
    <row r="20" customHeight="1" spans="1:7">
      <c r="A20" s="97" t="s">
        <v>255</v>
      </c>
      <c r="B20" s="42" t="str">
        <f>IFERROR(_xlfn.XLOOKUP('7月份计划'!A20,[5]UNEA!$B:$B,[5]UNEA!$B:$B),IFERROR(_xlfn.XLOOKUP('7月份计划'!A20,[5]MRHK!$B:$B,[5]MRHK!$B:$B),IFERROR(_xlfn.XLOOKUP('7月份计划'!A20,[5]MRHB!$B:$B,[5]MRHB!$B:$B),IFERROR(_xlfn.XLOOKUP('7月份计划'!A20,[5]HA6H!$B:$B,[5]HA6H!$B:$B),IFERROR(_xlfn.XLOOKUP('7月份计划'!A20,[5]HA6H!$B:$B,[5]HA6H!$B:$B)," ")))))</f>
        <v> </v>
      </c>
      <c r="C20" s="98">
        <f>SUMIFS('7月份科目余额表'!O:O,'7月份科目余额表'!D:D,A20)</f>
        <v>118421.13</v>
      </c>
      <c r="D20" s="99">
        <f>SUMIFS('6月份挂账'!$Q:$Q,'6月份挂账'!$S:$S,$A20)-SUMIFS('6月份挂账'!$P:$P,'6月份挂账'!$S:$S,$A20)</f>
        <v>49949.33</v>
      </c>
      <c r="E20" s="99">
        <f>SUMIFS('7月份挂账'!$Q:$Q,'7月份挂账'!$S:$S,$A20)-SUMIFS('7月份挂账'!$P:$P,'7月份挂账'!$S:$S,$A20)</f>
        <v>41991.38</v>
      </c>
      <c r="F20" s="100">
        <f t="shared" ref="F20:F35" si="1">C20-E20-D20</f>
        <v>26480.42</v>
      </c>
      <c r="G20" s="99">
        <v>26480.42</v>
      </c>
    </row>
    <row r="21" customHeight="1" spans="1:7">
      <c r="A21" s="97" t="s">
        <v>256</v>
      </c>
      <c r="B21" s="42" t="str">
        <f>IFERROR(_xlfn.XLOOKUP('7月份计划'!A21,[5]UNEA!$B:$B,[5]UNEA!$B:$B),IFERROR(_xlfn.XLOOKUP('7月份计划'!A21,[5]MRHK!$B:$B,[5]MRHK!$B:$B),IFERROR(_xlfn.XLOOKUP('7月份计划'!A21,[5]MRHB!$B:$B,[5]MRHB!$B:$B),IFERROR(_xlfn.XLOOKUP('7月份计划'!A21,[5]HA6H!$B:$B,[5]HA6H!$B:$B),IFERROR(_xlfn.XLOOKUP('7月份计划'!A21,[5]HA6H!$B:$B,[5]HA6H!$B:$B)," ")))))</f>
        <v>湘乡简美工贸有限公司</v>
      </c>
      <c r="C21" s="98">
        <f>SUMIFS('7月份科目余额表'!O:O,'7月份科目余额表'!D:D,A21)</f>
        <v>3073515.31</v>
      </c>
      <c r="D21" s="99">
        <f>SUMIFS('6月份挂账'!$Q:$Q,'6月份挂账'!$S:$S,$A21)-SUMIFS('6月份挂账'!$P:$P,'6月份挂账'!$S:$S,$A21)</f>
        <v>814718.94</v>
      </c>
      <c r="E21" s="99">
        <f>SUMIFS('7月份挂账'!$Q:$Q,'7月份挂账'!$S:$S,$A21)-SUMIFS('7月份挂账'!$P:$P,'7月份挂账'!$S:$S,$A21)</f>
        <v>967465.11</v>
      </c>
      <c r="F21" s="100">
        <f t="shared" si="1"/>
        <v>1291331.26</v>
      </c>
      <c r="G21" s="99">
        <v>1000000</v>
      </c>
    </row>
    <row r="22" customHeight="1" spans="1:7">
      <c r="A22" s="97" t="s">
        <v>257</v>
      </c>
      <c r="B22" s="42" t="str">
        <f>IFERROR(_xlfn.XLOOKUP('7月份计划'!A22,[5]UNEA!$B:$B,[5]UNEA!$B:$B),IFERROR(_xlfn.XLOOKUP('7月份计划'!A22,[5]MRHK!$B:$B,[5]MRHK!$B:$B),IFERROR(_xlfn.XLOOKUP('7月份计划'!A22,[5]MRHB!$B:$B,[5]MRHB!$B:$B),IFERROR(_xlfn.XLOOKUP('7月份计划'!A22,[5]HA6H!$B:$B,[5]HA6H!$B:$B),IFERROR(_xlfn.XLOOKUP('7月份计划'!A22,[5]HA6H!$B:$B,[5]HA6H!$B:$B)," ")))))</f>
        <v> </v>
      </c>
      <c r="C22" s="98">
        <f>SUMIFS('7月份科目余额表'!O:O,'7月份科目余额表'!D:D,A22)</f>
        <v>-39.99</v>
      </c>
      <c r="D22" s="99">
        <f>SUMIFS('6月份挂账'!$Q:$Q,'6月份挂账'!$S:$S,$A22)-SUMIFS('6月份挂账'!$P:$P,'6月份挂账'!$S:$S,$A22)</f>
        <v>0</v>
      </c>
      <c r="E22" s="99">
        <f>SUMIFS('7月份挂账'!$Q:$Q,'7月份挂账'!$S:$S,$A22)-SUMIFS('7月份挂账'!$P:$P,'7月份挂账'!$S:$S,$A22)</f>
        <v>0</v>
      </c>
      <c r="F22" s="100">
        <f t="shared" si="1"/>
        <v>-39.99</v>
      </c>
      <c r="G22" s="99"/>
    </row>
    <row r="23" customHeight="1" spans="1:7">
      <c r="A23" s="97" t="s">
        <v>258</v>
      </c>
      <c r="B23" s="42" t="str">
        <f>IFERROR(_xlfn.XLOOKUP('7月份计划'!A23,[5]UNEA!$B:$B,[5]UNEA!$B:$B),IFERROR(_xlfn.XLOOKUP('7月份计划'!A23,[5]MRHK!$B:$B,[5]MRHK!$B:$B),IFERROR(_xlfn.XLOOKUP('7月份计划'!A23,[5]MRHB!$B:$B,[5]MRHB!$B:$B),IFERROR(_xlfn.XLOOKUP('7月份计划'!A23,[5]HA6H!$B:$B,[5]HA6H!$B:$B),IFERROR(_xlfn.XLOOKUP('7月份计划'!A23,[5]HA6H!$B:$B,[5]HA6H!$B:$B)," ")))))</f>
        <v> </v>
      </c>
      <c r="C23" s="98">
        <f>SUMIFS('7月份科目余额表'!O:O,'7月份科目余额表'!D:D,A23)</f>
        <v>441432.7</v>
      </c>
      <c r="D23" s="99">
        <f>SUMIFS('6月份挂账'!$Q:$Q,'6月份挂账'!$S:$S,$A23)-SUMIFS('6月份挂账'!$P:$P,'6月份挂账'!$S:$S,$A23)</f>
        <v>0</v>
      </c>
      <c r="E23" s="99">
        <f>SUMIFS('7月份挂账'!$Q:$Q,'7月份挂账'!$S:$S,$A23)-SUMIFS('7月份挂账'!$P:$P,'7月份挂账'!$S:$S,$A23)</f>
        <v>44270.01</v>
      </c>
      <c r="F23" s="100">
        <f t="shared" si="1"/>
        <v>397162.69</v>
      </c>
      <c r="G23" s="99">
        <v>397162.69</v>
      </c>
    </row>
    <row r="24" customHeight="1" spans="1:7">
      <c r="A24" s="97" t="s">
        <v>259</v>
      </c>
      <c r="B24" s="42" t="str">
        <f>IFERROR(_xlfn.XLOOKUP('7月份计划'!A24,[5]UNEA!$B:$B,[5]UNEA!$B:$B),IFERROR(_xlfn.XLOOKUP('7月份计划'!A24,[5]MRHK!$B:$B,[5]MRHK!$B:$B),IFERROR(_xlfn.XLOOKUP('7月份计划'!A24,[5]MRHB!$B:$B,[5]MRHB!$B:$B),IFERROR(_xlfn.XLOOKUP('7月份计划'!A24,[5]HA6H!$B:$B,[5]HA6H!$B:$B),IFERROR(_xlfn.XLOOKUP('7月份计划'!A24,[5]HA6H!$B:$B,[5]HA6H!$B:$B)," ")))))</f>
        <v> </v>
      </c>
      <c r="C24" s="98">
        <f>SUMIFS('7月份科目余额表'!O:O,'7月份科目余额表'!D:D,A24)</f>
        <v>807800.62</v>
      </c>
      <c r="D24" s="99">
        <f>SUMIFS('6月份挂账'!$Q:$Q,'6月份挂账'!$S:$S,$A24)-SUMIFS('6月份挂账'!$P:$P,'6月份挂账'!$S:$S,$A24)</f>
        <v>50996.9</v>
      </c>
      <c r="E24" s="99">
        <f>SUMIFS('7月份挂账'!$Q:$Q,'7月份挂账'!$S:$S,$A24)-SUMIFS('7月份挂账'!$P:$P,'7月份挂账'!$S:$S,$A24)</f>
        <v>0</v>
      </c>
      <c r="F24" s="100">
        <f t="shared" si="1"/>
        <v>756803.72</v>
      </c>
      <c r="G24" s="99">
        <v>500000</v>
      </c>
    </row>
    <row r="25" customHeight="1" spans="1:7">
      <c r="A25" s="97" t="s">
        <v>299</v>
      </c>
      <c r="B25" s="42" t="str">
        <f>IFERROR(_xlfn.XLOOKUP('7月份计划'!A25,[5]UNEA!$B:$B,[5]UNEA!$B:$B),IFERROR(_xlfn.XLOOKUP('7月份计划'!A25,[5]MRHK!$B:$B,[5]MRHK!$B:$B),IFERROR(_xlfn.XLOOKUP('7月份计划'!A25,[5]MRHB!$B:$B,[5]MRHB!$B:$B),IFERROR(_xlfn.XLOOKUP('7月份计划'!A25,[5]HA6H!$B:$B,[5]HA6H!$B:$B),IFERROR(_xlfn.XLOOKUP('7月份计划'!A25,[5]HA6H!$B:$B,[5]HA6H!$B:$B)," ")))))</f>
        <v> </v>
      </c>
      <c r="C25" s="98">
        <f>SUMIFS('7月份科目余额表'!O:O,'7月份科目余额表'!D:D,A25)</f>
        <v>229728.16</v>
      </c>
      <c r="D25" s="99">
        <f>SUMIFS('6月份挂账'!$Q:$Q,'6月份挂账'!$S:$S,$A25)-SUMIFS('6月份挂账'!$P:$P,'6月份挂账'!$S:$S,$A25)</f>
        <v>0</v>
      </c>
      <c r="E25" s="99">
        <f>SUMIFS('7月份挂账'!$Q:$Q,'7月份挂账'!$S:$S,$A25)-SUMIFS('7月份挂账'!$P:$P,'7月份挂账'!$S:$S,$A25)</f>
        <v>0</v>
      </c>
      <c r="F25" s="100">
        <f t="shared" si="1"/>
        <v>229728.16</v>
      </c>
      <c r="G25" s="99">
        <v>229728.16</v>
      </c>
    </row>
    <row r="26" customHeight="1" spans="1:7">
      <c r="A26" s="97" t="s">
        <v>260</v>
      </c>
      <c r="B26" s="42" t="str">
        <f>IFERROR(_xlfn.XLOOKUP('7月份计划'!A26,[5]UNEA!$B:$B,[5]UNEA!$B:$B),IFERROR(_xlfn.XLOOKUP('7月份计划'!A26,[5]MRHK!$B:$B,[5]MRHK!$B:$B),IFERROR(_xlfn.XLOOKUP('7月份计划'!A26,[5]MRHB!$B:$B,[5]MRHB!$B:$B),IFERROR(_xlfn.XLOOKUP('7月份计划'!A26,[5]HA6H!$B:$B,[5]HA6H!$B:$B),IFERROR(_xlfn.XLOOKUP('7月份计划'!A26,[5]HA6H!$B:$B,[5]HA6H!$B:$B)," ")))))</f>
        <v> </v>
      </c>
      <c r="C26" s="98">
        <f>SUMIFS('7月份科目余额表'!O:O,'7月份科目余额表'!D:D,A26)</f>
        <v>301877.71</v>
      </c>
      <c r="D26" s="99">
        <f>SUMIFS('6月份挂账'!$Q:$Q,'6月份挂账'!$S:$S,$A26)-SUMIFS('6月份挂账'!$P:$P,'6月份挂账'!$S:$S,$A26)</f>
        <v>35218.55</v>
      </c>
      <c r="E26" s="99">
        <f>SUMIFS('7月份挂账'!$Q:$Q,'7月份挂账'!$S:$S,$A26)-SUMIFS('7月份挂账'!$P:$P,'7月份挂账'!$S:$S,$A26)</f>
        <v>22470.12</v>
      </c>
      <c r="F26" s="100">
        <f t="shared" si="1"/>
        <v>244189.04</v>
      </c>
      <c r="G26" s="99">
        <v>150000</v>
      </c>
    </row>
    <row r="27" customHeight="1" spans="1:7">
      <c r="A27" s="97" t="s">
        <v>261</v>
      </c>
      <c r="B27" s="42" t="str">
        <f>IFERROR(_xlfn.XLOOKUP('7月份计划'!A27,[5]UNEA!$B:$B,[5]UNEA!$B:$B),IFERROR(_xlfn.XLOOKUP('7月份计划'!A27,[5]MRHK!$B:$B,[5]MRHK!$B:$B),IFERROR(_xlfn.XLOOKUP('7月份计划'!A27,[5]MRHB!$B:$B,[5]MRHB!$B:$B),IFERROR(_xlfn.XLOOKUP('7月份计划'!A27,[5]HA6H!$B:$B,[5]HA6H!$B:$B),IFERROR(_xlfn.XLOOKUP('7月份计划'!A27,[5]HA6H!$B:$B,[5]HA6H!$B:$B)," ")))))</f>
        <v> </v>
      </c>
      <c r="C27" s="98">
        <f>SUMIFS('7月份科目余额表'!O:O,'7月份科目余额表'!D:D,A27)</f>
        <v>414985.11</v>
      </c>
      <c r="D27" s="99">
        <f>SUMIFS('6月份挂账'!$Q:$Q,'6月份挂账'!$S:$S,$A27)-SUMIFS('6月份挂账'!$P:$P,'6月份挂账'!$S:$S,$A27)</f>
        <v>0</v>
      </c>
      <c r="E27" s="99">
        <f>SUMIFS('7月份挂账'!$Q:$Q,'7月份挂账'!$S:$S,$A27)-SUMIFS('7月份挂账'!$P:$P,'7月份挂账'!$S:$S,$A27)</f>
        <v>0</v>
      </c>
      <c r="F27" s="100">
        <f t="shared" si="1"/>
        <v>414985.11</v>
      </c>
      <c r="G27" s="99">
        <v>200000</v>
      </c>
    </row>
    <row r="28" customHeight="1" spans="1:7">
      <c r="A28" s="97" t="s">
        <v>262</v>
      </c>
      <c r="B28" s="42" t="str">
        <f>IFERROR(_xlfn.XLOOKUP('7月份计划'!A28,[5]UNEA!$B:$B,[5]UNEA!$B:$B),IFERROR(_xlfn.XLOOKUP('7月份计划'!A28,[5]MRHK!$B:$B,[5]MRHK!$B:$B),IFERROR(_xlfn.XLOOKUP('7月份计划'!A28,[5]MRHB!$B:$B,[5]MRHB!$B:$B),IFERROR(_xlfn.XLOOKUP('7月份计划'!A28,[5]HA6H!$B:$B,[5]HA6H!$B:$B),IFERROR(_xlfn.XLOOKUP('7月份计划'!A28,[5]HA6H!$B:$B,[5]HA6H!$B:$B)," ")))))</f>
        <v> </v>
      </c>
      <c r="C28" s="98">
        <f>SUMIFS('7月份科目余额表'!O:O,'7月份科目余额表'!D:D,A28)</f>
        <v>879103.74</v>
      </c>
      <c r="D28" s="99">
        <f>SUMIFS('6月份挂账'!$Q:$Q,'6月份挂账'!$S:$S,$A28)-SUMIFS('6月份挂账'!$P:$P,'6月份挂账'!$S:$S,$A28)</f>
        <v>606664.74</v>
      </c>
      <c r="E28" s="99">
        <f>SUMIFS('7月份挂账'!$Q:$Q,'7月份挂账'!$S:$S,$A28)-SUMIFS('7月份挂账'!$P:$P,'7月份挂账'!$S:$S,$A28)</f>
        <v>0</v>
      </c>
      <c r="F28" s="100">
        <f t="shared" si="1"/>
        <v>272439</v>
      </c>
      <c r="G28" s="99">
        <v>300000</v>
      </c>
    </row>
    <row r="29" customHeight="1" spans="1:7">
      <c r="A29" s="97" t="s">
        <v>263</v>
      </c>
      <c r="B29" s="42" t="str">
        <f>IFERROR(_xlfn.XLOOKUP('7月份计划'!A29,[5]UNEA!$B:$B,[5]UNEA!$B:$B),IFERROR(_xlfn.XLOOKUP('7月份计划'!A29,[5]MRHK!$B:$B,[5]MRHK!$B:$B),IFERROR(_xlfn.XLOOKUP('7月份计划'!A29,[5]MRHB!$B:$B,[5]MRHB!$B:$B),IFERROR(_xlfn.XLOOKUP('7月份计划'!A29,[5]HA6H!$B:$B,[5]HA6H!$B:$B),IFERROR(_xlfn.XLOOKUP('7月份计划'!A29,[5]HA6H!$B:$B,[5]HA6H!$B:$B)," ")))))</f>
        <v>武汉德锐隆科技有限公司</v>
      </c>
      <c r="C29" s="98">
        <f>SUMIFS('7月份科目余额表'!O:O,'7月份科目余额表'!D:D,A29)</f>
        <v>369504.27</v>
      </c>
      <c r="D29" s="99">
        <f>SUMIFS('6月份挂账'!$Q:$Q,'6月份挂账'!$S:$S,$A29)-SUMIFS('6月份挂账'!$P:$P,'6月份挂账'!$S:$S,$A29)</f>
        <v>149909.42</v>
      </c>
      <c r="E29" s="99">
        <f>SUMIFS('7月份挂账'!$Q:$Q,'7月份挂账'!$S:$S,$A29)-SUMIFS('7月份挂账'!$P:$P,'7月份挂账'!$S:$S,$A29)</f>
        <v>125377.98</v>
      </c>
      <c r="F29" s="100">
        <f t="shared" si="1"/>
        <v>94216.87</v>
      </c>
      <c r="G29" s="99">
        <v>244126.29</v>
      </c>
    </row>
    <row r="30" customHeight="1" spans="1:7">
      <c r="A30" s="97" t="s">
        <v>264</v>
      </c>
      <c r="B30" s="42" t="str">
        <f>IFERROR(_xlfn.XLOOKUP('7月份计划'!A30,[5]UNEA!$B:$B,[5]UNEA!$B:$B),IFERROR(_xlfn.XLOOKUP('7月份计划'!A30,[5]MRHK!$B:$B,[5]MRHK!$B:$B),IFERROR(_xlfn.XLOOKUP('7月份计划'!A30,[5]MRHB!$B:$B,[5]MRHB!$B:$B),IFERROR(_xlfn.XLOOKUP('7月份计划'!A30,[5]HA6H!$B:$B,[5]HA6H!$B:$B),IFERROR(_xlfn.XLOOKUP('7月份计划'!A30,[5]HA6H!$B:$B,[5]HA6H!$B:$B)," ")))))</f>
        <v> </v>
      </c>
      <c r="C30" s="98">
        <f>SUMIFS('7月份科目余额表'!O:O,'7月份科目余额表'!D:D,A30)</f>
        <v>2149929.18</v>
      </c>
      <c r="D30" s="99">
        <f>SUMIFS('6月份挂账'!$Q:$Q,'6月份挂账'!$S:$S,$A30)-SUMIFS('6月份挂账'!$P:$P,'6月份挂账'!$S:$S,$A30)</f>
        <v>393473.55</v>
      </c>
      <c r="E30" s="99">
        <f>SUMIFS('7月份挂账'!$Q:$Q,'7月份挂账'!$S:$S,$A30)-SUMIFS('7月份挂账'!$P:$P,'7月份挂账'!$S:$S,$A30)</f>
        <v>360148.6</v>
      </c>
      <c r="F30" s="100">
        <f t="shared" si="1"/>
        <v>1396307.03</v>
      </c>
      <c r="G30" s="99">
        <v>600000</v>
      </c>
    </row>
    <row r="31" customHeight="1" spans="1:7">
      <c r="A31" s="97" t="s">
        <v>265</v>
      </c>
      <c r="B31" s="42" t="str">
        <f>IFERROR(_xlfn.XLOOKUP('7月份计划'!A31,[5]UNEA!$B:$B,[5]UNEA!$B:$B),IFERROR(_xlfn.XLOOKUP('7月份计划'!A31,[5]MRHK!$B:$B,[5]MRHK!$B:$B),IFERROR(_xlfn.XLOOKUP('7月份计划'!A31,[5]MRHB!$B:$B,[5]MRHB!$B:$B),IFERROR(_xlfn.XLOOKUP('7月份计划'!A31,[5]HA6H!$B:$B,[5]HA6H!$B:$B),IFERROR(_xlfn.XLOOKUP('7月份计划'!A31,[5]HA6H!$B:$B,[5]HA6H!$B:$B)," ")))))</f>
        <v> </v>
      </c>
      <c r="C31" s="98">
        <f>SUMIFS('7月份科目余额表'!O:O,'7月份科目余额表'!D:D,A31)</f>
        <v>2246233.56</v>
      </c>
      <c r="D31" s="99">
        <f>SUMIFS('6月份挂账'!$Q:$Q,'6月份挂账'!$S:$S,$A31)-SUMIFS('6月份挂账'!$P:$P,'6月份挂账'!$S:$S,$A31)</f>
        <v>704372.64</v>
      </c>
      <c r="E31" s="99">
        <f>SUMIFS('7月份挂账'!$Q:$Q,'7月份挂账'!$S:$S,$A31)-SUMIFS('7月份挂账'!$P:$P,'7月份挂账'!$S:$S,$A31)</f>
        <v>455503.12</v>
      </c>
      <c r="F31" s="100">
        <f t="shared" si="1"/>
        <v>1086357.8</v>
      </c>
      <c r="G31" s="99">
        <v>700000</v>
      </c>
    </row>
    <row r="32" customHeight="1" spans="1:7">
      <c r="A32" s="97" t="s">
        <v>267</v>
      </c>
      <c r="B32" s="42" t="str">
        <f>IFERROR(_xlfn.XLOOKUP('7月份计划'!A32,[5]UNEA!$B:$B,[5]UNEA!$B:$B),IFERROR(_xlfn.XLOOKUP('7月份计划'!A32,[5]MRHK!$B:$B,[5]MRHK!$B:$B),IFERROR(_xlfn.XLOOKUP('7月份计划'!A32,[5]MRHB!$B:$B,[5]MRHB!$B:$B),IFERROR(_xlfn.XLOOKUP('7月份计划'!A32,[5]HA6H!$B:$B,[5]HA6H!$B:$B),IFERROR(_xlfn.XLOOKUP('7月份计划'!A32,[5]HA6H!$B:$B,[5]HA6H!$B:$B)," ")))))</f>
        <v> </v>
      </c>
      <c r="C32" s="98">
        <f>SUMIFS('7月份科目余额表'!O:O,'7月份科目余额表'!D:D,A32)</f>
        <v>24851.5</v>
      </c>
      <c r="D32" s="99">
        <f>SUMIFS('6月份挂账'!$Q:$Q,'6月份挂账'!$S:$S,$A32)-SUMIFS('6月份挂账'!$P:$P,'6月份挂账'!$S:$S,$A32)</f>
        <v>4350.22</v>
      </c>
      <c r="E32" s="99">
        <f>SUMIFS('7月份挂账'!$Q:$Q,'7月份挂账'!$S:$S,$A32)-SUMIFS('7月份挂账'!$P:$P,'7月份挂账'!$S:$S,$A32)</f>
        <v>0</v>
      </c>
      <c r="F32" s="100">
        <f t="shared" si="1"/>
        <v>20501.28</v>
      </c>
      <c r="G32" s="99">
        <v>20501.28</v>
      </c>
    </row>
    <row r="33" customHeight="1" spans="1:7">
      <c r="A33" s="97" t="s">
        <v>268</v>
      </c>
      <c r="B33" s="42" t="str">
        <f>IFERROR(_xlfn.XLOOKUP('7月份计划'!A33,[5]UNEA!$B:$B,[5]UNEA!$B:$B),IFERROR(_xlfn.XLOOKUP('7月份计划'!A33,[5]MRHK!$B:$B,[5]MRHK!$B:$B),IFERROR(_xlfn.XLOOKUP('7月份计划'!A33,[5]MRHB!$B:$B,[5]MRHB!$B:$B),IFERROR(_xlfn.XLOOKUP('7月份计划'!A33,[5]HA6H!$B:$B,[5]HA6H!$B:$B),IFERROR(_xlfn.XLOOKUP('7月份计划'!A33,[5]HA6H!$B:$B,[5]HA6H!$B:$B)," ")))))</f>
        <v> </v>
      </c>
      <c r="C33" s="98">
        <f>SUMIFS('7月份科目余额表'!O:O,'7月份科目余额表'!D:D,A33)</f>
        <v>12533.25</v>
      </c>
      <c r="D33" s="99">
        <f>SUMIFS('6月份挂账'!$Q:$Q,'6月份挂账'!$S:$S,$A33)-SUMIFS('6月份挂账'!$P:$P,'6月份挂账'!$S:$S,$A33)</f>
        <v>12531.25</v>
      </c>
      <c r="E33" s="99">
        <f>SUMIFS('7月份挂账'!$Q:$Q,'7月份挂账'!$S:$S,$A33)-SUMIFS('7月份挂账'!$P:$P,'7月份挂账'!$S:$S,$A33)</f>
        <v>0</v>
      </c>
      <c r="F33" s="100">
        <f t="shared" si="1"/>
        <v>2</v>
      </c>
      <c r="G33" s="99"/>
    </row>
    <row r="34" customHeight="1" spans="1:7">
      <c r="A34" s="97" t="s">
        <v>300</v>
      </c>
      <c r="B34" s="42" t="str">
        <f>IFERROR(_xlfn.XLOOKUP('7月份计划'!A34,[5]UNEA!$B:$B,[5]UNEA!$B:$B),IFERROR(_xlfn.XLOOKUP('7月份计划'!A34,[5]MRHK!$B:$B,[5]MRHK!$B:$B),IFERROR(_xlfn.XLOOKUP('7月份计划'!A34,[5]MRHB!$B:$B,[5]MRHB!$B:$B),IFERROR(_xlfn.XLOOKUP('7月份计划'!A34,[5]HA6H!$B:$B,[5]HA6H!$B:$B),IFERROR(_xlfn.XLOOKUP('7月份计划'!A34,[5]HA6H!$B:$B,[5]HA6H!$B:$B)," ")))))</f>
        <v> </v>
      </c>
      <c r="C34" s="98">
        <f>SUMIFS('7月份科目余额表'!O:O,'7月份科目余额表'!D:D,A34)</f>
        <v>58827.8</v>
      </c>
      <c r="D34" s="99">
        <f>SUMIFS('6月份挂账'!$Q:$Q,'6月份挂账'!$S:$S,$A34)-SUMIFS('6月份挂账'!$P:$P,'6月份挂账'!$S:$S,$A34)</f>
        <v>13119.3</v>
      </c>
      <c r="E34" s="99">
        <f>SUMIFS('7月份挂账'!$Q:$Q,'7月份挂账'!$S:$S,$A34)-SUMIFS('7月份挂账'!$P:$P,'7月份挂账'!$S:$S,$A34)</f>
        <v>0</v>
      </c>
      <c r="F34" s="100">
        <f t="shared" si="1"/>
        <v>45708.5</v>
      </c>
      <c r="G34" s="99">
        <v>45708.5</v>
      </c>
    </row>
    <row r="35" customHeight="1" spans="1:7">
      <c r="A35" s="97" t="s">
        <v>301</v>
      </c>
      <c r="B35" s="42" t="str">
        <f>IFERROR(_xlfn.XLOOKUP('7月份计划'!A35,[5]UNEA!$B:$B,[5]UNEA!$B:$B),IFERROR(_xlfn.XLOOKUP('7月份计划'!A35,[5]MRHK!$B:$B,[5]MRHK!$B:$B),IFERROR(_xlfn.XLOOKUP('7月份计划'!A35,[5]MRHB!$B:$B,[5]MRHB!$B:$B),IFERROR(_xlfn.XLOOKUP('7月份计划'!A35,[5]HA6H!$B:$B,[5]HA6H!$B:$B),IFERROR(_xlfn.XLOOKUP('7月份计划'!A35,[5]HA6H!$B:$B,[5]HA6H!$B:$B)," ")))))</f>
        <v> </v>
      </c>
      <c r="C35" s="98">
        <f>SUMIFS('7月份科目余额表'!O:O,'7月份科目余额表'!D:D,A35)</f>
        <v>29659.42</v>
      </c>
      <c r="D35" s="99">
        <f>SUMIFS('6月份挂账'!$Q:$Q,'6月份挂账'!$S:$S,$A35)-SUMIFS('6月份挂账'!$P:$P,'6月份挂账'!$S:$S,$A35)</f>
        <v>0</v>
      </c>
      <c r="E35" s="99">
        <f>SUMIFS('7月份挂账'!$Q:$Q,'7月份挂账'!$S:$S,$A35)-SUMIFS('7月份挂账'!$P:$P,'7月份挂账'!$S:$S,$A35)</f>
        <v>29659.42</v>
      </c>
      <c r="F35" s="100">
        <f t="shared" si="1"/>
        <v>0</v>
      </c>
      <c r="G35" s="99">
        <v>29659.42</v>
      </c>
    </row>
    <row r="36" customHeight="1" spans="1:7">
      <c r="A36" s="97" t="s">
        <v>269</v>
      </c>
      <c r="B36" s="42" t="str">
        <f>IFERROR(_xlfn.XLOOKUP('7月份计划'!A36,[5]UNEA!$B:$B,[5]UNEA!$B:$B),IFERROR(_xlfn.XLOOKUP('7月份计划'!A36,[5]MRHK!$B:$B,[5]MRHK!$B:$B),IFERROR(_xlfn.XLOOKUP('7月份计划'!A36,[5]MRHB!$B:$B,[5]MRHB!$B:$B),IFERROR(_xlfn.XLOOKUP('7月份计划'!A36,[5]HA6H!$B:$B,[5]HA6H!$B:$B),IFERROR(_xlfn.XLOOKUP('7月份计划'!A36,[5]HA6H!$B:$B,[5]HA6H!$B:$B)," ")))))</f>
        <v> </v>
      </c>
      <c r="C36" s="98">
        <f>SUMIFS('7月份科目余额表'!O:O,'7月份科目余额表'!D:D,A36)</f>
        <v>-11152.91</v>
      </c>
      <c r="D36" s="99">
        <f>SUMIFS('6月份挂账'!$Q:$Q,'6月份挂账'!$S:$S,$A36)-SUMIFS('6月份挂账'!$P:$P,'6月份挂账'!$S:$S,$A36)</f>
        <v>46621</v>
      </c>
      <c r="E36" s="99">
        <f>SUMIFS('7月份挂账'!$Q:$Q,'7月份挂账'!$S:$S,$A36)-SUMIFS('7月份挂账'!$P:$P,'7月份挂账'!$S:$S,$A36)</f>
        <v>0</v>
      </c>
      <c r="G36" s="99"/>
    </row>
    <row r="37" customHeight="1" spans="1:7">
      <c r="A37" s="97" t="s">
        <v>270</v>
      </c>
      <c r="B37" s="42" t="str">
        <f>IFERROR(_xlfn.XLOOKUP('7月份计划'!A37,[5]UNEA!$B:$B,[5]UNEA!$B:$B),IFERROR(_xlfn.XLOOKUP('7月份计划'!A37,[5]MRHK!$B:$B,[5]MRHK!$B:$B),IFERROR(_xlfn.XLOOKUP('7月份计划'!A37,[5]MRHB!$B:$B,[5]MRHB!$B:$B),IFERROR(_xlfn.XLOOKUP('7月份计划'!A37,[5]HA6H!$B:$B,[5]HA6H!$B:$B),IFERROR(_xlfn.XLOOKUP('7月份计划'!A37,[5]HA6H!$B:$B,[5]HA6H!$B:$B)," ")))))</f>
        <v> </v>
      </c>
      <c r="C37" s="98">
        <f>SUMIFS('7月份科目余额表'!O:O,'7月份科目余额表'!D:D,A37)</f>
        <v>19729.55</v>
      </c>
      <c r="D37" s="99">
        <f>SUMIFS('6月份挂账'!$Q:$Q,'6月份挂账'!$S:$S,$A37)-SUMIFS('6月份挂账'!$P:$P,'6月份挂账'!$S:$S,$A37)</f>
        <v>3484.7</v>
      </c>
      <c r="E37" s="99">
        <f>SUMIFS('7月份挂账'!$Q:$Q,'7月份挂账'!$S:$S,$A37)-SUMIFS('7月份挂账'!$P:$P,'7月份挂账'!$S:$S,$A37)</f>
        <v>1214.77</v>
      </c>
      <c r="F37" s="100">
        <f t="shared" ref="F37:F78" si="2">C37-E37-D37</f>
        <v>15030.08</v>
      </c>
      <c r="G37" s="99">
        <v>15030.08</v>
      </c>
    </row>
    <row r="38" customHeight="1" spans="1:7">
      <c r="A38" s="97" t="s">
        <v>271</v>
      </c>
      <c r="B38" s="42" t="str">
        <f>IFERROR(_xlfn.XLOOKUP('7月份计划'!A38,[5]UNEA!$B:$B,[5]UNEA!$B:$B),IFERROR(_xlfn.XLOOKUP('7月份计划'!A38,[5]MRHK!$B:$B,[5]MRHK!$B:$B),IFERROR(_xlfn.XLOOKUP('7月份计划'!A38,[5]MRHB!$B:$B,[5]MRHB!$B:$B),IFERROR(_xlfn.XLOOKUP('7月份计划'!A38,[5]HA6H!$B:$B,[5]HA6H!$B:$B),IFERROR(_xlfn.XLOOKUP('7月份计划'!A38,[5]HA6H!$B:$B,[5]HA6H!$B:$B)," ")))))</f>
        <v> </v>
      </c>
      <c r="C38" s="98">
        <f>SUMIFS('7月份科目余额表'!O:O,'7月份科目余额表'!D:D,A38)</f>
        <v>22774.59</v>
      </c>
      <c r="D38" s="99">
        <f>SUMIFS('6月份挂账'!$Q:$Q,'6月份挂账'!$S:$S,$A38)-SUMIFS('6月份挂账'!$P:$P,'6月份挂账'!$S:$S,$A38)</f>
        <v>0</v>
      </c>
      <c r="E38" s="99">
        <f>SUMIFS('7月份挂账'!$Q:$Q,'7月份挂账'!$S:$S,$A38)-SUMIFS('7月份挂账'!$P:$P,'7月份挂账'!$S:$S,$A38)</f>
        <v>0</v>
      </c>
      <c r="F38" s="100">
        <f t="shared" si="2"/>
        <v>22774.59</v>
      </c>
      <c r="G38" s="99"/>
    </row>
    <row r="39" customHeight="1" spans="1:7">
      <c r="A39" s="97" t="s">
        <v>272</v>
      </c>
      <c r="B39" s="42" t="str">
        <f>IFERROR(_xlfn.XLOOKUP('7月份计划'!A39,[5]UNEA!$B:$B,[5]UNEA!$B:$B),IFERROR(_xlfn.XLOOKUP('7月份计划'!A39,[5]MRHK!$B:$B,[5]MRHK!$B:$B),IFERROR(_xlfn.XLOOKUP('7月份计划'!A39,[5]MRHB!$B:$B,[5]MRHB!$B:$B),IFERROR(_xlfn.XLOOKUP('7月份计划'!A39,[5]HA6H!$B:$B,[5]HA6H!$B:$B),IFERROR(_xlfn.XLOOKUP('7月份计划'!A39,[5]HA6H!$B:$B,[5]HA6H!$B:$B)," ")))))</f>
        <v> </v>
      </c>
      <c r="C39" s="98">
        <f>SUMIFS('7月份科目余额表'!O:O,'7月份科目余额表'!D:D,A39)</f>
        <v>258173.03</v>
      </c>
      <c r="D39" s="99">
        <f>SUMIFS('6月份挂账'!$Q:$Q,'6月份挂账'!$S:$S,$A39)-SUMIFS('6月份挂账'!$P:$P,'6月份挂账'!$S:$S,$A39)</f>
        <v>29367.34</v>
      </c>
      <c r="E39" s="99">
        <f>SUMIFS('7月份挂账'!$Q:$Q,'7月份挂账'!$S:$S,$A39)-SUMIFS('7月份挂账'!$P:$P,'7月份挂账'!$S:$S,$A39)</f>
        <v>17003.42</v>
      </c>
      <c r="F39" s="100">
        <f t="shared" si="2"/>
        <v>211802.27</v>
      </c>
      <c r="G39" s="99">
        <v>170000</v>
      </c>
    </row>
    <row r="40" customHeight="1" spans="1:7">
      <c r="A40" s="97" t="s">
        <v>273</v>
      </c>
      <c r="B40" s="42" t="str">
        <f>IFERROR(_xlfn.XLOOKUP('7月份计划'!A40,[5]UNEA!$B:$B,[5]UNEA!$B:$B),IFERROR(_xlfn.XLOOKUP('7月份计划'!A40,[5]MRHK!$B:$B,[5]MRHK!$B:$B),IFERROR(_xlfn.XLOOKUP('7月份计划'!A40,[5]MRHB!$B:$B,[5]MRHB!$B:$B),IFERROR(_xlfn.XLOOKUP('7月份计划'!A40,[5]HA6H!$B:$B,[5]HA6H!$B:$B),IFERROR(_xlfn.XLOOKUP('7月份计划'!A40,[5]HA6H!$B:$B,[5]HA6H!$B:$B)," ")))))</f>
        <v>长春超力内饰件有限公司</v>
      </c>
      <c r="C40" s="98">
        <f>SUMIFS('7月份科目余额表'!O:O,'7月份科目余额表'!D:D,A40)</f>
        <v>347940.88</v>
      </c>
      <c r="D40" s="99">
        <f>SUMIFS('6月份挂账'!$Q:$Q,'6月份挂账'!$S:$S,$A40)-SUMIFS('6月份挂账'!$P:$P,'6月份挂账'!$S:$S,$A40)</f>
        <v>0</v>
      </c>
      <c r="E40" s="99">
        <f>SUMIFS('7月份挂账'!$Q:$Q,'7月份挂账'!$S:$S,$A40)-SUMIFS('7月份挂账'!$P:$P,'7月份挂账'!$S:$S,$A40)</f>
        <v>164185.61</v>
      </c>
      <c r="F40" s="100">
        <f t="shared" si="2"/>
        <v>183755.27</v>
      </c>
      <c r="G40" s="99">
        <v>183755.27</v>
      </c>
    </row>
    <row r="41" customHeight="1" spans="1:7">
      <c r="A41" s="97" t="s">
        <v>302</v>
      </c>
      <c r="B41" s="42" t="str">
        <f>IFERROR(_xlfn.XLOOKUP('7月份计划'!A41,[5]UNEA!$B:$B,[5]UNEA!$B:$B),IFERROR(_xlfn.XLOOKUP('7月份计划'!A41,[5]MRHK!$B:$B,[5]MRHK!$B:$B),IFERROR(_xlfn.XLOOKUP('7月份计划'!A41,[5]MRHB!$B:$B,[5]MRHB!$B:$B),IFERROR(_xlfn.XLOOKUP('7月份计划'!A41,[5]HA6H!$B:$B,[5]HA6H!$B:$B),IFERROR(_xlfn.XLOOKUP('7月份计划'!A41,[5]HA6H!$B:$B,[5]HA6H!$B:$B)," ")))))</f>
        <v> </v>
      </c>
      <c r="C41" s="98">
        <f>SUMIFS('7月份科目余额表'!O:O,'7月份科目余额表'!D:D,A41)</f>
        <v>72571.67</v>
      </c>
      <c r="D41" s="99">
        <f>SUMIFS('6月份挂账'!$Q:$Q,'6月份挂账'!$S:$S,$A41)-SUMIFS('6月份挂账'!$P:$P,'6月份挂账'!$S:$S,$A41)</f>
        <v>0</v>
      </c>
      <c r="E41" s="99">
        <f>SUMIFS('7月份挂账'!$Q:$Q,'7月份挂账'!$S:$S,$A41)-SUMIFS('7月份挂账'!$P:$P,'7月份挂账'!$S:$S,$A41)</f>
        <v>0</v>
      </c>
      <c r="F41" s="100">
        <f t="shared" si="2"/>
        <v>72571.67</v>
      </c>
      <c r="G41" s="99">
        <v>72571.67</v>
      </c>
    </row>
    <row r="42" customHeight="1" spans="1:7">
      <c r="A42" s="121" t="s">
        <v>274</v>
      </c>
      <c r="B42" s="42" t="str">
        <f>IFERROR(_xlfn.XLOOKUP('7月份计划'!A42,[5]UNEA!$B:$B,[5]UNEA!$B:$B),IFERROR(_xlfn.XLOOKUP('7月份计划'!A42,[5]MRHK!$B:$B,[5]MRHK!$B:$B),IFERROR(_xlfn.XLOOKUP('7月份计划'!A42,[5]MRHB!$B:$B,[5]MRHB!$B:$B),IFERROR(_xlfn.XLOOKUP('7月份计划'!A42,[5]HA6H!$B:$B,[5]HA6H!$B:$B),IFERROR(_xlfn.XLOOKUP('7月份计划'!A42,[5]HA6H!$B:$B,[5]HA6H!$B:$B)," ")))))</f>
        <v> </v>
      </c>
      <c r="C42" s="98">
        <f>SUMIFS('7月份科目余额表'!O:O,'7月份科目余额表'!D:D,A42)</f>
        <v>258512.03</v>
      </c>
      <c r="D42" s="99">
        <f>SUMIFS('6月份挂账'!$Q:$Q,'6月份挂账'!$S:$S,$A42)-SUMIFS('6月份挂账'!$P:$P,'6月份挂账'!$S:$S,$A42)</f>
        <v>0</v>
      </c>
      <c r="E42" s="99">
        <f>SUMIFS('7月份挂账'!$Q:$Q,'7月份挂账'!$S:$S,$A42)-SUMIFS('7月份挂账'!$P:$P,'7月份挂账'!$S:$S,$A42)</f>
        <v>31046.95</v>
      </c>
      <c r="F42" s="100">
        <f t="shared" si="2"/>
        <v>227465.08</v>
      </c>
      <c r="G42" s="99"/>
    </row>
    <row r="43" customHeight="1" spans="1:7">
      <c r="A43" s="97" t="s">
        <v>275</v>
      </c>
      <c r="B43" s="42" t="str">
        <f>IFERROR(_xlfn.XLOOKUP('7月份计划'!A43,[5]UNEA!$B:$B,[5]UNEA!$B:$B),IFERROR(_xlfn.XLOOKUP('7月份计划'!A43,[5]MRHK!$B:$B,[5]MRHK!$B:$B),IFERROR(_xlfn.XLOOKUP('7月份计划'!A43,[5]MRHB!$B:$B,[5]MRHB!$B:$B),IFERROR(_xlfn.XLOOKUP('7月份计划'!A43,[5]HA6H!$B:$B,[5]HA6H!$B:$B),IFERROR(_xlfn.XLOOKUP('7月份计划'!A43,[5]HA6H!$B:$B,[5]HA6H!$B:$B)," ")))))</f>
        <v> </v>
      </c>
      <c r="C43" s="98">
        <f>SUMIFS('7月份科目余额表'!O:O,'7月份科目余额表'!D:D,A43)</f>
        <v>26646.6</v>
      </c>
      <c r="D43" s="99">
        <f>SUMIFS('6月份挂账'!$Q:$Q,'6月份挂账'!$S:$S,$A43)-SUMIFS('6月份挂账'!$P:$P,'6月份挂账'!$S:$S,$A43)</f>
        <v>21320.32</v>
      </c>
      <c r="E43" s="99">
        <f>SUMIFS('7月份挂账'!$Q:$Q,'7月份挂账'!$S:$S,$A43)-SUMIFS('7月份挂账'!$P:$P,'7月份挂账'!$S:$S,$A43)</f>
        <v>0</v>
      </c>
      <c r="F43" s="100">
        <f t="shared" si="2"/>
        <v>5326.28</v>
      </c>
      <c r="G43" s="99">
        <v>5326.28</v>
      </c>
    </row>
    <row r="44" customHeight="1" spans="1:7">
      <c r="A44" s="97" t="s">
        <v>276</v>
      </c>
      <c r="B44" s="42" t="str">
        <f>IFERROR(_xlfn.XLOOKUP('7月份计划'!A44,[5]UNEA!$B:$B,[5]UNEA!$B:$B),IFERROR(_xlfn.XLOOKUP('7月份计划'!A44,[5]MRHK!$B:$B,[5]MRHK!$B:$B),IFERROR(_xlfn.XLOOKUP('7月份计划'!A44,[5]MRHB!$B:$B,[5]MRHB!$B:$B),IFERROR(_xlfn.XLOOKUP('7月份计划'!A44,[5]HA6H!$B:$B,[5]HA6H!$B:$B),IFERROR(_xlfn.XLOOKUP('7月份计划'!A44,[5]HA6H!$B:$B,[5]HA6H!$B:$B)," ")))))</f>
        <v> </v>
      </c>
      <c r="C44" s="98">
        <f>SUMIFS('7月份科目余额表'!O:O,'7月份科目余额表'!D:D,A44)</f>
        <v>38188.24</v>
      </c>
      <c r="D44" s="99">
        <f>SUMIFS('6月份挂账'!$Q:$Q,'6月份挂账'!$S:$S,$A44)-SUMIFS('6月份挂账'!$P:$P,'6月份挂账'!$S:$S,$A44)</f>
        <v>0</v>
      </c>
      <c r="E44" s="99">
        <f>SUMIFS('7月份挂账'!$Q:$Q,'7月份挂账'!$S:$S,$A44)-SUMIFS('7月份挂账'!$P:$P,'7月份挂账'!$S:$S,$A44)</f>
        <v>0</v>
      </c>
      <c r="F44" s="100">
        <f t="shared" si="2"/>
        <v>38188.24</v>
      </c>
      <c r="G44" s="99"/>
    </row>
    <row r="45" customHeight="1" spans="1:7">
      <c r="A45" s="97" t="s">
        <v>303</v>
      </c>
      <c r="B45" s="42" t="str">
        <f>IFERROR(_xlfn.XLOOKUP('7月份计划'!A45,[5]UNEA!$B:$B,[5]UNEA!$B:$B),IFERROR(_xlfn.XLOOKUP('7月份计划'!A45,[5]MRHK!$B:$B,[5]MRHK!$B:$B),IFERROR(_xlfn.XLOOKUP('7月份计划'!A45,[5]MRHB!$B:$B,[5]MRHB!$B:$B),IFERROR(_xlfn.XLOOKUP('7月份计划'!A45,[5]HA6H!$B:$B,[5]HA6H!$B:$B),IFERROR(_xlfn.XLOOKUP('7月份计划'!A45,[5]HA6H!$B:$B,[5]HA6H!$B:$B)," ")))))</f>
        <v> </v>
      </c>
      <c r="C45" s="98">
        <f>SUMIFS('7月份科目余额表'!O:O,'7月份科目余额表'!D:D,A45)</f>
        <v>0</v>
      </c>
      <c r="D45" s="99">
        <f>SUMIFS('6月份挂账'!$Q:$Q,'6月份挂账'!$S:$S,$A45)-SUMIFS('6月份挂账'!$P:$P,'6月份挂账'!$S:$S,$A45)</f>
        <v>0</v>
      </c>
      <c r="E45" s="99">
        <f>SUMIFS('7月份挂账'!$Q:$Q,'7月份挂账'!$S:$S,$A45)-SUMIFS('7月份挂账'!$P:$P,'7月份挂账'!$S:$S,$A45)</f>
        <v>0</v>
      </c>
      <c r="F45" s="100">
        <f t="shared" si="2"/>
        <v>0</v>
      </c>
      <c r="G45" s="99"/>
    </row>
    <row r="46" customHeight="1" spans="1:7">
      <c r="A46" s="97" t="s">
        <v>277</v>
      </c>
      <c r="B46" s="42" t="str">
        <f>IFERROR(_xlfn.XLOOKUP('7月份计划'!A46,[5]UNEA!$B:$B,[5]UNEA!$B:$B),IFERROR(_xlfn.XLOOKUP('7月份计划'!A46,[5]MRHK!$B:$B,[5]MRHK!$B:$B),IFERROR(_xlfn.XLOOKUP('7月份计划'!A46,[5]MRHB!$B:$B,[5]MRHB!$B:$B),IFERROR(_xlfn.XLOOKUP('7月份计划'!A46,[5]HA6H!$B:$B,[5]HA6H!$B:$B),IFERROR(_xlfn.XLOOKUP('7月份计划'!A46,[5]HA6H!$B:$B,[5]HA6H!$B:$B)," ")))))</f>
        <v> </v>
      </c>
      <c r="C46" s="98">
        <f>SUMIFS('7月份科目余额表'!O:O,'7月份科目余额表'!D:D,A46)</f>
        <v>3990189.19</v>
      </c>
      <c r="D46" s="99">
        <f>SUMIFS('6月份挂账'!$Q:$Q,'6月份挂账'!$S:$S,$A46)-SUMIFS('6月份挂账'!$P:$P,'6月份挂账'!$S:$S,$A46)</f>
        <v>1776612.32</v>
      </c>
      <c r="E46" s="99">
        <f>SUMIFS('7月份挂账'!$Q:$Q,'7月份挂账'!$S:$S,$A46)-SUMIFS('7月份挂账'!$P:$P,'7月份挂账'!$S:$S,$A46)</f>
        <v>1923043.94</v>
      </c>
      <c r="F46" s="100">
        <f t="shared" si="2"/>
        <v>290532.93</v>
      </c>
      <c r="G46" s="99">
        <v>1397944.94</v>
      </c>
    </row>
    <row r="47" customHeight="1" spans="1:7">
      <c r="A47" s="97" t="s">
        <v>304</v>
      </c>
      <c r="B47" s="42" t="str">
        <f>IFERROR(_xlfn.XLOOKUP('7月份计划'!A47,[5]UNEA!$B:$B,[5]UNEA!$B:$B),IFERROR(_xlfn.XLOOKUP('7月份计划'!A47,[5]MRHK!$B:$B,[5]MRHK!$B:$B),IFERROR(_xlfn.XLOOKUP('7月份计划'!A47,[5]MRHB!$B:$B,[5]MRHB!$B:$B),IFERROR(_xlfn.XLOOKUP('7月份计划'!A47,[5]HA6H!$B:$B,[5]HA6H!$B:$B),IFERROR(_xlfn.XLOOKUP('7月份计划'!A47,[5]HA6H!$B:$B,[5]HA6H!$B:$B)," ")))))</f>
        <v> </v>
      </c>
      <c r="C47" s="98">
        <f>SUMIFS('7月份科目余额表'!O:O,'7月份科目余额表'!D:D,A47)</f>
        <v>22724.3</v>
      </c>
      <c r="D47" s="99">
        <f>SUMIFS('6月份挂账'!$Q:$Q,'6月份挂账'!$S:$S,$A47)-SUMIFS('6月份挂账'!$P:$P,'6月份挂账'!$S:$S,$A47)</f>
        <v>0</v>
      </c>
      <c r="E47" s="99">
        <f>SUMIFS('7月份挂账'!$Q:$Q,'7月份挂账'!$S:$S,$A47)-SUMIFS('7月份挂账'!$P:$P,'7月份挂账'!$S:$S,$A47)</f>
        <v>0</v>
      </c>
      <c r="F47" s="100">
        <f t="shared" si="2"/>
        <v>22724.3</v>
      </c>
      <c r="G47" s="99">
        <v>22724.3</v>
      </c>
    </row>
    <row r="48" customHeight="1" spans="1:7">
      <c r="A48" s="97" t="s">
        <v>305</v>
      </c>
      <c r="B48" s="42" t="str">
        <f>IFERROR(_xlfn.XLOOKUP('7月份计划'!A48,[5]UNEA!$B:$B,[5]UNEA!$B:$B),IFERROR(_xlfn.XLOOKUP('7月份计划'!A48,[5]MRHK!$B:$B,[5]MRHK!$B:$B),IFERROR(_xlfn.XLOOKUP('7月份计划'!A48,[5]MRHB!$B:$B,[5]MRHB!$B:$B),IFERROR(_xlfn.XLOOKUP('7月份计划'!A48,[5]HA6H!$B:$B,[5]HA6H!$B:$B),IFERROR(_xlfn.XLOOKUP('7月份计划'!A48,[5]HA6H!$B:$B,[5]HA6H!$B:$B)," ")))))</f>
        <v> </v>
      </c>
      <c r="C48" s="98">
        <f>SUMIFS('7月份科目余额表'!O:O,'7月份科目余额表'!D:D,A48)</f>
        <v>21051.93</v>
      </c>
      <c r="D48" s="99">
        <f>SUMIFS('6月份挂账'!$Q:$Q,'6月份挂账'!$S:$S,$A48)-SUMIFS('6月份挂账'!$P:$P,'6月份挂账'!$S:$S,$A48)</f>
        <v>4135.8</v>
      </c>
      <c r="E48" s="99">
        <f>SUMIFS('7月份挂账'!$Q:$Q,'7月份挂账'!$S:$S,$A48)-SUMIFS('7月份挂账'!$P:$P,'7月份挂账'!$S:$S,$A48)</f>
        <v>0</v>
      </c>
      <c r="F48" s="100">
        <f t="shared" si="2"/>
        <v>16916.13</v>
      </c>
      <c r="G48" s="99">
        <v>16916.13</v>
      </c>
    </row>
    <row r="49" customHeight="1" spans="1:7">
      <c r="A49" s="97" t="s">
        <v>278</v>
      </c>
      <c r="B49" s="42" t="str">
        <f>IFERROR(_xlfn.XLOOKUP('7月份计划'!A49,[5]UNEA!$B:$B,[5]UNEA!$B:$B),IFERROR(_xlfn.XLOOKUP('7月份计划'!A49,[5]MRHK!$B:$B,[5]MRHK!$B:$B),IFERROR(_xlfn.XLOOKUP('7月份计划'!A49,[5]MRHB!$B:$B,[5]MRHB!$B:$B),IFERROR(_xlfn.XLOOKUP('7月份计划'!A49,[5]HA6H!$B:$B,[5]HA6H!$B:$B),IFERROR(_xlfn.XLOOKUP('7月份计划'!A49,[5]HA6H!$B:$B,[5]HA6H!$B:$B)," ")))))</f>
        <v> </v>
      </c>
      <c r="C49" s="98">
        <f>SUMIFS('7月份科目余额表'!O:O,'7月份科目余额表'!D:D,A49)</f>
        <v>5279.36</v>
      </c>
      <c r="D49" s="99">
        <f>SUMIFS('6月份挂账'!$Q:$Q,'6月份挂账'!$S:$S,$A49)-SUMIFS('6月份挂账'!$P:$P,'6月份挂账'!$S:$S,$A49)</f>
        <v>5279.36</v>
      </c>
      <c r="E49" s="99">
        <f>SUMIFS('7月份挂账'!$Q:$Q,'7月份挂账'!$S:$S,$A49)-SUMIFS('7月份挂账'!$P:$P,'7月份挂账'!$S:$S,$A49)</f>
        <v>0</v>
      </c>
      <c r="F49" s="100">
        <f t="shared" si="2"/>
        <v>0</v>
      </c>
      <c r="G49" s="99">
        <v>5279.36</v>
      </c>
    </row>
    <row r="50" customHeight="1" spans="1:7">
      <c r="A50" s="97" t="s">
        <v>306</v>
      </c>
      <c r="B50" s="42" t="str">
        <f>IFERROR(_xlfn.XLOOKUP('7月份计划'!A50,[5]UNEA!$B:$B,[5]UNEA!$B:$B),IFERROR(_xlfn.XLOOKUP('7月份计划'!A50,[5]MRHK!$B:$B,[5]MRHK!$B:$B),IFERROR(_xlfn.XLOOKUP('7月份计划'!A50,[5]MRHB!$B:$B,[5]MRHB!$B:$B),IFERROR(_xlfn.XLOOKUP('7月份计划'!A50,[5]HA6H!$B:$B,[5]HA6H!$B:$B),IFERROR(_xlfn.XLOOKUP('7月份计划'!A50,[5]HA6H!$B:$B,[5]HA6H!$B:$B)," ")))))</f>
        <v> </v>
      </c>
      <c r="C50" s="98">
        <f>SUMIFS('7月份科目余额表'!O:O,'7月份科目余额表'!D:D,A50)</f>
        <v>19789.69</v>
      </c>
      <c r="D50" s="99">
        <f>SUMIFS('6月份挂账'!$Q:$Q,'6月份挂账'!$S:$S,$A50)-SUMIFS('6月份挂账'!$P:$P,'6月份挂账'!$S:$S,$A50)</f>
        <v>0</v>
      </c>
      <c r="E50" s="99">
        <f>SUMIFS('7月份挂账'!$Q:$Q,'7月份挂账'!$S:$S,$A50)-SUMIFS('7月份挂账'!$P:$P,'7月份挂账'!$S:$S,$A50)</f>
        <v>0</v>
      </c>
      <c r="F50" s="100">
        <f t="shared" si="2"/>
        <v>19789.69</v>
      </c>
      <c r="G50" s="99">
        <v>19789.69</v>
      </c>
    </row>
    <row r="51" customHeight="1" spans="1:7">
      <c r="A51" s="97" t="s">
        <v>279</v>
      </c>
      <c r="B51" s="42" t="str">
        <f>IFERROR(_xlfn.XLOOKUP('7月份计划'!A51,[5]UNEA!$B:$B,[5]UNEA!$B:$B),IFERROR(_xlfn.XLOOKUP('7月份计划'!A51,[5]MRHK!$B:$B,[5]MRHK!$B:$B),IFERROR(_xlfn.XLOOKUP('7月份计划'!A51,[5]MRHB!$B:$B,[5]MRHB!$B:$B),IFERROR(_xlfn.XLOOKUP('7月份计划'!A51,[5]HA6H!$B:$B,[5]HA6H!$B:$B),IFERROR(_xlfn.XLOOKUP('7月份计划'!A51,[5]HA6H!$B:$B,[5]HA6H!$B:$B)," ")))))</f>
        <v> </v>
      </c>
      <c r="C51" s="98">
        <f>SUMIFS('7月份科目余额表'!O:O,'7月份科目余额表'!D:D,A51)</f>
        <v>13932.9</v>
      </c>
      <c r="D51" s="99">
        <f>SUMIFS('6月份挂账'!$Q:$Q,'6月份挂账'!$S:$S,$A51)-SUMIFS('6月份挂账'!$P:$P,'6月份挂账'!$S:$S,$A51)</f>
        <v>0</v>
      </c>
      <c r="E51" s="99">
        <f>SUMIFS('7月份挂账'!$Q:$Q,'7月份挂账'!$S:$S,$A51)-SUMIFS('7月份挂账'!$P:$P,'7月份挂账'!$S:$S,$A51)</f>
        <v>0</v>
      </c>
      <c r="F51" s="100">
        <f t="shared" si="2"/>
        <v>13932.9</v>
      </c>
      <c r="G51" s="99"/>
    </row>
    <row r="52" customHeight="1" spans="1:7">
      <c r="A52" s="97" t="s">
        <v>280</v>
      </c>
      <c r="B52" s="42" t="str">
        <f>IFERROR(_xlfn.XLOOKUP('7月份计划'!A52,[5]UNEA!$B:$B,[5]UNEA!$B:$B),IFERROR(_xlfn.XLOOKUP('7月份计划'!A52,[5]MRHK!$B:$B,[5]MRHK!$B:$B),IFERROR(_xlfn.XLOOKUP('7月份计划'!A52,[5]MRHB!$B:$B,[5]MRHB!$B:$B),IFERROR(_xlfn.XLOOKUP('7月份计划'!A52,[5]HA6H!$B:$B,[5]HA6H!$B:$B),IFERROR(_xlfn.XLOOKUP('7月份计划'!A52,[5]HA6H!$B:$B,[5]HA6H!$B:$B)," ")))))</f>
        <v> </v>
      </c>
      <c r="C52" s="98">
        <f>SUMIFS('7月份科目余额表'!O:O,'7月份科目余额表'!D:D,A52)</f>
        <v>104741.97</v>
      </c>
      <c r="D52" s="99">
        <f>SUMIFS('6月份挂账'!$Q:$Q,'6月份挂账'!$S:$S,$A52)-SUMIFS('6月份挂账'!$P:$P,'6月份挂账'!$S:$S,$A52)</f>
        <v>55294.29</v>
      </c>
      <c r="E52" s="99">
        <f>SUMIFS('7月份挂账'!$Q:$Q,'7月份挂账'!$S:$S,$A52)-SUMIFS('7月份挂账'!$P:$P,'7月份挂账'!$S:$S,$A52)</f>
        <v>0</v>
      </c>
      <c r="F52" s="100">
        <f t="shared" si="2"/>
        <v>49447.68</v>
      </c>
      <c r="G52" s="99">
        <v>49447.68</v>
      </c>
    </row>
    <row r="53" customHeight="1" spans="1:7">
      <c r="A53" s="97" t="s">
        <v>307</v>
      </c>
      <c r="B53" s="42" t="str">
        <f>IFERROR(_xlfn.XLOOKUP('7月份计划'!A53,[5]UNEA!$B:$B,[5]UNEA!$B:$B),IFERROR(_xlfn.XLOOKUP('7月份计划'!A53,[5]MRHK!$B:$B,[5]MRHK!$B:$B),IFERROR(_xlfn.XLOOKUP('7月份计划'!A53,[5]MRHB!$B:$B,[5]MRHB!$B:$B),IFERROR(_xlfn.XLOOKUP('7月份计划'!A53,[5]HA6H!$B:$B,[5]HA6H!$B:$B),IFERROR(_xlfn.XLOOKUP('7月份计划'!A53,[5]HA6H!$B:$B,[5]HA6H!$B:$B)," ")))))</f>
        <v> </v>
      </c>
      <c r="C53" s="98">
        <f>SUMIFS('7月份科目余额表'!O:O,'7月份科目余额表'!D:D,A53)</f>
        <v>17866.2</v>
      </c>
      <c r="D53" s="99">
        <f>SUMIFS('6月份挂账'!$Q:$Q,'6月份挂账'!$S:$S,$A53)-SUMIFS('6月份挂账'!$P:$P,'6月份挂账'!$S:$S,$A53)</f>
        <v>6748.53</v>
      </c>
      <c r="E53" s="99">
        <f>SUMIFS('7月份挂账'!$Q:$Q,'7月份挂账'!$S:$S,$A53)-SUMIFS('7月份挂账'!$P:$P,'7月份挂账'!$S:$S,$A53)</f>
        <v>0</v>
      </c>
      <c r="F53" s="100">
        <f t="shared" si="2"/>
        <v>11117.67</v>
      </c>
      <c r="G53" s="99">
        <v>11117.67</v>
      </c>
    </row>
    <row r="54" customHeight="1" spans="1:7">
      <c r="A54" s="97" t="s">
        <v>308</v>
      </c>
      <c r="B54" s="42" t="str">
        <f>IFERROR(_xlfn.XLOOKUP('7月份计划'!A54,[5]UNEA!$B:$B,[5]UNEA!$B:$B),IFERROR(_xlfn.XLOOKUP('7月份计划'!A54,[5]MRHK!$B:$B,[5]MRHK!$B:$B),IFERROR(_xlfn.XLOOKUP('7月份计划'!A54,[5]MRHB!$B:$B,[5]MRHB!$B:$B),IFERROR(_xlfn.XLOOKUP('7月份计划'!A54,[5]HA6H!$B:$B,[5]HA6H!$B:$B),IFERROR(_xlfn.XLOOKUP('7月份计划'!A54,[5]HA6H!$B:$B,[5]HA6H!$B:$B)," ")))))</f>
        <v> </v>
      </c>
      <c r="C54" s="98">
        <f>SUMIFS('7月份科目余额表'!O:O,'7月份科目余额表'!D:D,A54)</f>
        <v>32220.82</v>
      </c>
      <c r="D54" s="99">
        <f>SUMIFS('6月份挂账'!$Q:$Q,'6月份挂账'!$S:$S,$A54)-SUMIFS('6月份挂账'!$P:$P,'6月份挂账'!$S:$S,$A54)</f>
        <v>10276.22</v>
      </c>
      <c r="E54" s="99">
        <f>SUMIFS('7月份挂账'!$Q:$Q,'7月份挂账'!$S:$S,$A54)-SUMIFS('7月份挂账'!$P:$P,'7月份挂账'!$S:$S,$A54)</f>
        <v>0</v>
      </c>
      <c r="F54" s="100">
        <f t="shared" si="2"/>
        <v>21944.6</v>
      </c>
      <c r="G54" s="99">
        <v>21944.6</v>
      </c>
    </row>
    <row r="55" customHeight="1" spans="1:7">
      <c r="A55" s="97" t="s">
        <v>309</v>
      </c>
      <c r="B55" s="42" t="str">
        <f>IFERROR(_xlfn.XLOOKUP('7月份计划'!A55,[5]UNEA!$B:$B,[5]UNEA!$B:$B),IFERROR(_xlfn.XLOOKUP('7月份计划'!A55,[5]MRHK!$B:$B,[5]MRHK!$B:$B),IFERROR(_xlfn.XLOOKUP('7月份计划'!A55,[5]MRHB!$B:$B,[5]MRHB!$B:$B),IFERROR(_xlfn.XLOOKUP('7月份计划'!A55,[5]HA6H!$B:$B,[5]HA6H!$B:$B),IFERROR(_xlfn.XLOOKUP('7月份计划'!A55,[5]HA6H!$B:$B,[5]HA6H!$B:$B)," ")))))</f>
        <v> </v>
      </c>
      <c r="C55" s="98">
        <f>SUMIFS('7月份科目余额表'!O:O,'7月份科目余额表'!D:D,A55)</f>
        <v>1622.68</v>
      </c>
      <c r="D55" s="99">
        <f>SUMIFS('6月份挂账'!$Q:$Q,'6月份挂账'!$S:$S,$A55)-SUMIFS('6月份挂账'!$P:$P,'6月份挂账'!$S:$S,$A55)</f>
        <v>0</v>
      </c>
      <c r="E55" s="99">
        <f>SUMIFS('7月份挂账'!$Q:$Q,'7月份挂账'!$S:$S,$A55)-SUMIFS('7月份挂账'!$P:$P,'7月份挂账'!$S:$S,$A55)</f>
        <v>0</v>
      </c>
      <c r="F55" s="100">
        <f t="shared" si="2"/>
        <v>1622.68</v>
      </c>
      <c r="G55" s="99">
        <v>1622.68</v>
      </c>
    </row>
    <row r="56" customHeight="1" spans="1:7">
      <c r="A56" s="97" t="s">
        <v>281</v>
      </c>
      <c r="B56" s="42" t="str">
        <f>IFERROR(_xlfn.XLOOKUP('7月份计划'!A56,[5]UNEA!$B:$B,[5]UNEA!$B:$B),IFERROR(_xlfn.XLOOKUP('7月份计划'!A56,[5]MRHK!$B:$B,[5]MRHK!$B:$B),IFERROR(_xlfn.XLOOKUP('7月份计划'!A56,[5]MRHB!$B:$B,[5]MRHB!$B:$B),IFERROR(_xlfn.XLOOKUP('7月份计划'!A56,[5]HA6H!$B:$B,[5]HA6H!$B:$B),IFERROR(_xlfn.XLOOKUP('7月份计划'!A56,[5]HA6H!$B:$B,[5]HA6H!$B:$B)," ")))))</f>
        <v> </v>
      </c>
      <c r="C56" s="98">
        <f>SUMIFS('7月份科目余额表'!O:O,'7月份科目余额表'!D:D,A56)</f>
        <v>9576</v>
      </c>
      <c r="D56" s="99">
        <f>SUMIFS('6月份挂账'!$Q:$Q,'6月份挂账'!$S:$S,$A56)-SUMIFS('6月份挂账'!$P:$P,'6月份挂账'!$S:$S,$A56)</f>
        <v>0</v>
      </c>
      <c r="E56" s="99">
        <f>SUMIFS('7月份挂账'!$Q:$Q,'7月份挂账'!$S:$S,$A56)-SUMIFS('7月份挂账'!$P:$P,'7月份挂账'!$S:$S,$A56)</f>
        <v>0</v>
      </c>
      <c r="F56" s="100">
        <f t="shared" si="2"/>
        <v>9576</v>
      </c>
      <c r="G56" s="99">
        <v>9576</v>
      </c>
    </row>
    <row r="57" customHeight="1" spans="1:7">
      <c r="A57" s="97" t="s">
        <v>282</v>
      </c>
      <c r="B57" s="42" t="str">
        <f>IFERROR(_xlfn.XLOOKUP('7月份计划'!A57,[5]UNEA!$B:$B,[5]UNEA!$B:$B),IFERROR(_xlfn.XLOOKUP('7月份计划'!A57,[5]MRHK!$B:$B,[5]MRHK!$B:$B),IFERROR(_xlfn.XLOOKUP('7月份计划'!A57,[5]MRHB!$B:$B,[5]MRHB!$B:$B),IFERROR(_xlfn.XLOOKUP('7月份计划'!A57,[5]HA6H!$B:$B,[5]HA6H!$B:$B),IFERROR(_xlfn.XLOOKUP('7月份计划'!A57,[5]HA6H!$B:$B,[5]HA6H!$B:$B)," ")))))</f>
        <v> </v>
      </c>
      <c r="C57" s="98">
        <f>SUMIFS('7月份科目余额表'!O:O,'7月份科目余额表'!D:D,A57)</f>
        <v>163737</v>
      </c>
      <c r="D57" s="99">
        <f>SUMIFS('6月份挂账'!$Q:$Q,'6月份挂账'!$S:$S,$A57)-SUMIFS('6月份挂账'!$P:$P,'6月份挂账'!$S:$S,$A57)</f>
        <v>34578</v>
      </c>
      <c r="E57" s="99">
        <f>SUMIFS('7月份挂账'!$Q:$Q,'7月份挂账'!$S:$S,$A57)-SUMIFS('7月份挂账'!$P:$P,'7月份挂账'!$S:$S,$A57)</f>
        <v>25425</v>
      </c>
      <c r="F57" s="100">
        <f t="shared" si="2"/>
        <v>103734</v>
      </c>
      <c r="G57" s="99">
        <v>103734</v>
      </c>
    </row>
    <row r="58" customHeight="1" spans="1:7">
      <c r="A58" s="97" t="s">
        <v>310</v>
      </c>
      <c r="B58" s="42" t="str">
        <f>IFERROR(_xlfn.XLOOKUP('7月份计划'!A58,[5]UNEA!$B:$B,[5]UNEA!$B:$B),IFERROR(_xlfn.XLOOKUP('7月份计划'!A58,[5]MRHK!$B:$B,[5]MRHK!$B:$B),IFERROR(_xlfn.XLOOKUP('7月份计划'!A58,[5]MRHB!$B:$B,[5]MRHB!$B:$B),IFERROR(_xlfn.XLOOKUP('7月份计划'!A58,[5]HA6H!$B:$B,[5]HA6H!$B:$B),IFERROR(_xlfn.XLOOKUP('7月份计划'!A58,[5]HA6H!$B:$B,[5]HA6H!$B:$B)," ")))))</f>
        <v> </v>
      </c>
      <c r="C58" s="98">
        <f>SUMIFS('7月份科目余额表'!O:O,'7月份科目余额表'!D:D,A58)</f>
        <v>0</v>
      </c>
      <c r="D58" s="99">
        <f>SUMIFS('6月份挂账'!$Q:$Q,'6月份挂账'!$S:$S,$A58)-SUMIFS('6月份挂账'!$P:$P,'6月份挂账'!$S:$S,$A58)</f>
        <v>0</v>
      </c>
      <c r="E58" s="99">
        <f>SUMIFS('7月份挂账'!$Q:$Q,'7月份挂账'!$S:$S,$A58)-SUMIFS('7月份挂账'!$P:$P,'7月份挂账'!$S:$S,$A58)</f>
        <v>0</v>
      </c>
      <c r="F58" s="100">
        <f t="shared" si="2"/>
        <v>0</v>
      </c>
      <c r="G58" s="99"/>
    </row>
    <row r="59" customHeight="1" spans="1:7">
      <c r="A59" s="97" t="s">
        <v>311</v>
      </c>
      <c r="B59" s="42" t="str">
        <f>IFERROR(_xlfn.XLOOKUP('7月份计划'!A59,[5]UNEA!$B:$B,[5]UNEA!$B:$B),IFERROR(_xlfn.XLOOKUP('7月份计划'!A59,[5]MRHK!$B:$B,[5]MRHK!$B:$B),IFERROR(_xlfn.XLOOKUP('7月份计划'!A59,[5]MRHB!$B:$B,[5]MRHB!$B:$B),IFERROR(_xlfn.XLOOKUP('7月份计划'!A59,[5]HA6H!$B:$B,[5]HA6H!$B:$B),IFERROR(_xlfn.XLOOKUP('7月份计划'!A59,[5]HA6H!$B:$B,[5]HA6H!$B:$B)," ")))))</f>
        <v> </v>
      </c>
      <c r="C59" s="98">
        <f>SUMIFS('7月份科目余额表'!O:O,'7月份科目余额表'!D:D,A59)</f>
        <v>88818</v>
      </c>
      <c r="D59" s="99">
        <f>SUMIFS('6月份挂账'!$Q:$Q,'6月份挂账'!$S:$S,$A59)-SUMIFS('6月份挂账'!$P:$P,'6月份挂账'!$S:$S,$A59)</f>
        <v>0</v>
      </c>
      <c r="E59" s="99">
        <f>SUMIFS('7月份挂账'!$Q:$Q,'7月份挂账'!$S:$S,$A59)-SUMIFS('7月份挂账'!$P:$P,'7月份挂账'!$S:$S,$A59)</f>
        <v>0</v>
      </c>
      <c r="F59" s="100">
        <f t="shared" si="2"/>
        <v>88818</v>
      </c>
      <c r="G59" s="99">
        <v>88818</v>
      </c>
    </row>
    <row r="60" customHeight="1" spans="1:7">
      <c r="A60" s="97" t="s">
        <v>283</v>
      </c>
      <c r="B60" s="42" t="str">
        <f>IFERROR(_xlfn.XLOOKUP('7月份计划'!A60,[5]UNEA!$B:$B,[5]UNEA!$B:$B),IFERROR(_xlfn.XLOOKUP('7月份计划'!A60,[5]MRHK!$B:$B,[5]MRHK!$B:$B),IFERROR(_xlfn.XLOOKUP('7月份计划'!A60,[5]MRHB!$B:$B,[5]MRHB!$B:$B),IFERROR(_xlfn.XLOOKUP('7月份计划'!A60,[5]HA6H!$B:$B,[5]HA6H!$B:$B),IFERROR(_xlfn.XLOOKUP('7月份计划'!A60,[5]HA6H!$B:$B,[5]HA6H!$B:$B)," ")))))</f>
        <v> </v>
      </c>
      <c r="C60" s="98">
        <f>SUMIFS('7月份科目余额表'!O:O,'7月份科目余额表'!D:D,A60)</f>
        <v>36763.93</v>
      </c>
      <c r="D60" s="99">
        <f>SUMIFS('6月份挂账'!$Q:$Q,'6月份挂账'!$S:$S,$A60)-SUMIFS('6月份挂账'!$P:$P,'6月份挂账'!$S:$S,$A60)</f>
        <v>8532.8</v>
      </c>
      <c r="E60" s="99">
        <f>SUMIFS('7月份挂账'!$Q:$Q,'7月份挂账'!$S:$S,$A60)-SUMIFS('7月份挂账'!$P:$P,'7月份挂账'!$S:$S,$A60)</f>
        <v>6568.01</v>
      </c>
      <c r="F60" s="100">
        <f t="shared" si="2"/>
        <v>21663.12</v>
      </c>
      <c r="G60" s="99">
        <v>21663.12</v>
      </c>
    </row>
    <row r="61" customHeight="1" spans="1:7">
      <c r="A61" s="97" t="s">
        <v>312</v>
      </c>
      <c r="B61" s="42" t="str">
        <f>IFERROR(_xlfn.XLOOKUP('7月份计划'!A61,[5]UNEA!$B:$B,[5]UNEA!$B:$B),IFERROR(_xlfn.XLOOKUP('7月份计划'!A61,[5]MRHK!$B:$B,[5]MRHK!$B:$B),IFERROR(_xlfn.XLOOKUP('7月份计划'!A61,[5]MRHB!$B:$B,[5]MRHB!$B:$B),IFERROR(_xlfn.XLOOKUP('7月份计划'!A61,[5]HA6H!$B:$B,[5]HA6H!$B:$B),IFERROR(_xlfn.XLOOKUP('7月份计划'!A61,[5]HA6H!$B:$B,[5]HA6H!$B:$B)," ")))))</f>
        <v> </v>
      </c>
      <c r="C61" s="98">
        <f>SUMIFS('7月份科目余额表'!O:O,'7月份科目余额表'!D:D,A61)</f>
        <v>0</v>
      </c>
      <c r="D61" s="99">
        <f>SUMIFS('6月份挂账'!$Q:$Q,'6月份挂账'!$S:$S,$A61)-SUMIFS('6月份挂账'!$P:$P,'6月份挂账'!$S:$S,$A61)</f>
        <v>0</v>
      </c>
      <c r="E61" s="99">
        <f>SUMIFS('7月份挂账'!$Q:$Q,'7月份挂账'!$S:$S,$A61)-SUMIFS('7月份挂账'!$P:$P,'7月份挂账'!$S:$S,$A61)</f>
        <v>0</v>
      </c>
      <c r="F61" s="100">
        <f t="shared" si="2"/>
        <v>0</v>
      </c>
      <c r="G61" s="99"/>
    </row>
    <row r="62" customHeight="1" spans="1:7">
      <c r="A62" s="97" t="s">
        <v>313</v>
      </c>
      <c r="B62" s="42" t="str">
        <f>IFERROR(_xlfn.XLOOKUP('7月份计划'!A62,[5]UNEA!$B:$B,[5]UNEA!$B:$B),IFERROR(_xlfn.XLOOKUP('7月份计划'!A62,[5]MRHK!$B:$B,[5]MRHK!$B:$B),IFERROR(_xlfn.XLOOKUP('7月份计划'!A62,[5]MRHB!$B:$B,[5]MRHB!$B:$B),IFERROR(_xlfn.XLOOKUP('7月份计划'!A62,[5]HA6H!$B:$B,[5]HA6H!$B:$B),IFERROR(_xlfn.XLOOKUP('7月份计划'!A62,[5]HA6H!$B:$B,[5]HA6H!$B:$B)," ")))))</f>
        <v> </v>
      </c>
      <c r="C62" s="98">
        <f>SUMIFS('7月份科目余额表'!O:O,'7月份科目余额表'!D:D,A62)</f>
        <v>4430</v>
      </c>
      <c r="D62" s="99">
        <f>SUMIFS('6月份挂账'!$Q:$Q,'6月份挂账'!$S:$S,$A62)-SUMIFS('6月份挂账'!$P:$P,'6月份挂账'!$S:$S,$A62)</f>
        <v>4429.6</v>
      </c>
      <c r="E62" s="99">
        <f>SUMIFS('7月份挂账'!$Q:$Q,'7月份挂账'!$S:$S,$A62)-SUMIFS('7月份挂账'!$P:$P,'7月份挂账'!$S:$S,$A62)</f>
        <v>0</v>
      </c>
      <c r="F62" s="100">
        <f t="shared" si="2"/>
        <v>0.399999999999636</v>
      </c>
      <c r="G62" s="99">
        <v>4430</v>
      </c>
    </row>
    <row r="63" customHeight="1" spans="1:7">
      <c r="A63" s="97" t="s">
        <v>284</v>
      </c>
      <c r="B63" s="42" t="str">
        <f>IFERROR(_xlfn.XLOOKUP('7月份计划'!A63,[5]UNEA!$B:$B,[5]UNEA!$B:$B),IFERROR(_xlfn.XLOOKUP('7月份计划'!A63,[5]MRHK!$B:$B,[5]MRHK!$B:$B),IFERROR(_xlfn.XLOOKUP('7月份计划'!A63,[5]MRHB!$B:$B,[5]MRHB!$B:$B),IFERROR(_xlfn.XLOOKUP('7月份计划'!A63,[5]HA6H!$B:$B,[5]HA6H!$B:$B),IFERROR(_xlfn.XLOOKUP('7月份计划'!A63,[5]HA6H!$B:$B,[5]HA6H!$B:$B)," ")))))</f>
        <v> </v>
      </c>
      <c r="C63" s="98">
        <f>SUMIFS('7月份科目余额表'!O:O,'7月份科目余额表'!D:D,A63)</f>
        <v>91489.28</v>
      </c>
      <c r="D63" s="99">
        <f>SUMIFS('6月份挂账'!$Q:$Q,'6月份挂账'!$S:$S,$A63)-SUMIFS('6月份挂账'!$P:$P,'6月份挂账'!$S:$S,$A63)</f>
        <v>8600.87</v>
      </c>
      <c r="E63" s="99">
        <f>SUMIFS('7月份挂账'!$Q:$Q,'7月份挂账'!$S:$S,$A63)-SUMIFS('7月份挂账'!$P:$P,'7月份挂账'!$S:$S,$A63)</f>
        <v>6871.41</v>
      </c>
      <c r="F63" s="100">
        <f t="shared" si="2"/>
        <v>76017</v>
      </c>
      <c r="G63" s="99">
        <v>76017</v>
      </c>
    </row>
    <row r="64" customHeight="1" spans="1:7">
      <c r="A64" s="97" t="s">
        <v>285</v>
      </c>
      <c r="B64" s="42" t="str">
        <f>IFERROR(_xlfn.XLOOKUP('7月份计划'!A64,[5]UNEA!$B:$B,[5]UNEA!$B:$B),IFERROR(_xlfn.XLOOKUP('7月份计划'!A64,[5]MRHK!$B:$B,[5]MRHK!$B:$B),IFERROR(_xlfn.XLOOKUP('7月份计划'!A64,[5]MRHB!$B:$B,[5]MRHB!$B:$B),IFERROR(_xlfn.XLOOKUP('7月份计划'!A64,[5]HA6H!$B:$B,[5]HA6H!$B:$B),IFERROR(_xlfn.XLOOKUP('7月份计划'!A64,[5]HA6H!$B:$B,[5]HA6H!$B:$B)," ")))))</f>
        <v> </v>
      </c>
      <c r="C64" s="98">
        <f>SUMIFS('7月份科目余额表'!O:O,'7月份科目余额表'!D:D,A64)</f>
        <v>163878.59</v>
      </c>
      <c r="D64" s="99">
        <f>SUMIFS('6月份挂账'!$Q:$Q,'6月份挂账'!$S:$S,$A64)-SUMIFS('6月份挂账'!$P:$P,'6月份挂账'!$S:$S,$A64)</f>
        <v>45852.01</v>
      </c>
      <c r="E64" s="99">
        <f>SUMIFS('7月份挂账'!$Q:$Q,'7月份挂账'!$S:$S,$A64)-SUMIFS('7月份挂账'!$P:$P,'7月份挂账'!$S:$S,$A64)</f>
        <v>41457.67</v>
      </c>
      <c r="F64" s="100">
        <f t="shared" si="2"/>
        <v>76568.91</v>
      </c>
      <c r="G64" s="99">
        <v>76568.91</v>
      </c>
    </row>
    <row r="65" customHeight="1" spans="1:7">
      <c r="A65" s="97" t="s">
        <v>314</v>
      </c>
      <c r="B65" s="42" t="str">
        <f>IFERROR(_xlfn.XLOOKUP('7月份计划'!A65,[5]UNEA!$B:$B,[5]UNEA!$B:$B),IFERROR(_xlfn.XLOOKUP('7月份计划'!A65,[5]MRHK!$B:$B,[5]MRHK!$B:$B),IFERROR(_xlfn.XLOOKUP('7月份计划'!A65,[5]MRHB!$B:$B,[5]MRHB!$B:$B),IFERROR(_xlfn.XLOOKUP('7月份计划'!A65,[5]HA6H!$B:$B,[5]HA6H!$B:$B),IFERROR(_xlfn.XLOOKUP('7月份计划'!A65,[5]HA6H!$B:$B,[5]HA6H!$B:$B)," ")))))</f>
        <v> </v>
      </c>
      <c r="C65" s="98">
        <f>SUMIFS('7月份科目余额表'!O:O,'7月份科目余额表'!D:D,A65)</f>
        <v>29180.95</v>
      </c>
      <c r="D65" s="99">
        <f>SUMIFS('6月份挂账'!$Q:$Q,'6月份挂账'!$S:$S,$A65)-SUMIFS('6月份挂账'!$P:$P,'6月份挂账'!$S:$S,$A65)</f>
        <v>29180.95</v>
      </c>
      <c r="E65" s="99">
        <f>SUMIFS('7月份挂账'!$Q:$Q,'7月份挂账'!$S:$S,$A65)-SUMIFS('7月份挂账'!$P:$P,'7月份挂账'!$S:$S,$A65)</f>
        <v>0</v>
      </c>
      <c r="F65" s="100">
        <f t="shared" si="2"/>
        <v>0</v>
      </c>
      <c r="G65" s="99">
        <v>29180.95</v>
      </c>
    </row>
    <row r="66" customHeight="1" spans="1:7">
      <c r="A66" s="97" t="s">
        <v>315</v>
      </c>
      <c r="B66" s="42" t="str">
        <f>IFERROR(_xlfn.XLOOKUP('7月份计划'!A66,[5]UNEA!$B:$B,[5]UNEA!$B:$B),IFERROR(_xlfn.XLOOKUP('7月份计划'!A66,[5]MRHK!$B:$B,[5]MRHK!$B:$B),IFERROR(_xlfn.XLOOKUP('7月份计划'!A66,[5]MRHB!$B:$B,[5]MRHB!$B:$B),IFERROR(_xlfn.XLOOKUP('7月份计划'!A66,[5]HA6H!$B:$B,[5]HA6H!$B:$B),IFERROR(_xlfn.XLOOKUP('7月份计划'!A66,[5]HA6H!$B:$B,[5]HA6H!$B:$B)," ")))))</f>
        <v> </v>
      </c>
      <c r="C66" s="98">
        <f>SUMIFS('7月份科目余额表'!O:O,'7月份科目余额表'!D:D,A66)</f>
        <v>14543.1</v>
      </c>
      <c r="D66" s="99">
        <f>SUMIFS('6月份挂账'!$Q:$Q,'6月份挂账'!$S:$S,$A66)-SUMIFS('6月份挂账'!$P:$P,'6月份挂账'!$S:$S,$A66)</f>
        <v>0</v>
      </c>
      <c r="E66" s="99">
        <f>SUMIFS('7月份挂账'!$Q:$Q,'7月份挂账'!$S:$S,$A66)-SUMIFS('7月份挂账'!$P:$P,'7月份挂账'!$S:$S,$A66)</f>
        <v>0</v>
      </c>
      <c r="F66" s="100">
        <f t="shared" si="2"/>
        <v>14543.1</v>
      </c>
      <c r="G66" s="99">
        <v>14543.1</v>
      </c>
    </row>
    <row r="67" customHeight="1" spans="1:7">
      <c r="A67" s="97" t="s">
        <v>316</v>
      </c>
      <c r="B67" s="42" t="str">
        <f>IFERROR(_xlfn.XLOOKUP('7月份计划'!A67,[5]UNEA!$B:$B,[5]UNEA!$B:$B),IFERROR(_xlfn.XLOOKUP('7月份计划'!A67,[5]MRHK!$B:$B,[5]MRHK!$B:$B),IFERROR(_xlfn.XLOOKUP('7月份计划'!A67,[5]MRHB!$B:$B,[5]MRHB!$B:$B),IFERROR(_xlfn.XLOOKUP('7月份计划'!A67,[5]HA6H!$B:$B,[5]HA6H!$B:$B),IFERROR(_xlfn.XLOOKUP('7月份计划'!A67,[5]HA6H!$B:$B,[5]HA6H!$B:$B)," ")))))</f>
        <v>无锡中天汽车部件有限公司</v>
      </c>
      <c r="C67" s="98">
        <f>SUMIFS('7月份科目余额表'!O:O,'7月份科目余额表'!D:D,A67)</f>
        <v>0</v>
      </c>
      <c r="D67" s="99">
        <f>SUMIFS('6月份挂账'!$Q:$Q,'6月份挂账'!$S:$S,$A67)-SUMIFS('6月份挂账'!$P:$P,'6月份挂账'!$S:$S,$A67)</f>
        <v>0</v>
      </c>
      <c r="E67" s="99">
        <f>SUMIFS('7月份挂账'!$Q:$Q,'7月份挂账'!$S:$S,$A67)-SUMIFS('7月份挂账'!$P:$P,'7月份挂账'!$S:$S,$A67)</f>
        <v>0</v>
      </c>
      <c r="F67" s="100">
        <f t="shared" si="2"/>
        <v>0</v>
      </c>
      <c r="G67" s="99"/>
    </row>
    <row r="68" customHeight="1" spans="1:7">
      <c r="A68" s="97" t="s">
        <v>317</v>
      </c>
      <c r="B68" s="42" t="str">
        <f>IFERROR(_xlfn.XLOOKUP('7月份计划'!A68,[5]UNEA!$B:$B,[5]UNEA!$B:$B),IFERROR(_xlfn.XLOOKUP('7月份计划'!A68,[5]MRHK!$B:$B,[5]MRHK!$B:$B),IFERROR(_xlfn.XLOOKUP('7月份计划'!A68,[5]MRHB!$B:$B,[5]MRHB!$B:$B),IFERROR(_xlfn.XLOOKUP('7月份计划'!A68,[5]HA6H!$B:$B,[5]HA6H!$B:$B),IFERROR(_xlfn.XLOOKUP('7月份计划'!A68,[5]HA6H!$B:$B,[5]HA6H!$B:$B)," ")))))</f>
        <v>天津力登维汽车部件有限公司</v>
      </c>
      <c r="C68" s="98">
        <f>SUMIFS('7月份科目余额表'!O:O,'7月份科目余额表'!D:D,A68)</f>
        <v>56873.98</v>
      </c>
      <c r="D68" s="99">
        <f>SUMIFS('6月份挂账'!$Q:$Q,'6月份挂账'!$S:$S,$A68)-SUMIFS('6月份挂账'!$P:$P,'6月份挂账'!$S:$S,$A68)</f>
        <v>15820</v>
      </c>
      <c r="E68" s="99">
        <f>SUMIFS('7月份挂账'!$Q:$Q,'7月份挂账'!$S:$S,$A68)-SUMIFS('7月份挂账'!$P:$P,'7月份挂账'!$S:$S,$A68)</f>
        <v>0</v>
      </c>
      <c r="F68" s="100">
        <f t="shared" si="2"/>
        <v>41053.98</v>
      </c>
      <c r="G68" s="99">
        <v>41053.98</v>
      </c>
    </row>
    <row r="69" s="42" customFormat="1" customHeight="1" spans="1:7">
      <c r="A69" s="97" t="s">
        <v>318</v>
      </c>
      <c r="B69" s="42" t="str">
        <f>IFERROR(_xlfn.XLOOKUP('7月份计划'!A69,[5]UNEA!$B:$B,[5]UNEA!$B:$B),IFERROR(_xlfn.XLOOKUP('7月份计划'!A69,[5]MRHK!$B:$B,[5]MRHK!$B:$B),IFERROR(_xlfn.XLOOKUP('7月份计划'!A69,[5]MRHB!$B:$B,[5]MRHB!$B:$B),IFERROR(_xlfn.XLOOKUP('7月份计划'!A69,[5]HA6H!$B:$B,[5]HA6H!$B:$B),IFERROR(_xlfn.XLOOKUP('7月份计划'!A69,[5]HA6H!$B:$B,[5]HA6H!$B:$B)," ")))))</f>
        <v> </v>
      </c>
      <c r="C69" s="98">
        <f>SUMIFS('7月份科目余额表'!O:O,'7月份科目余额表'!D:D,A69)</f>
        <v>122340.58</v>
      </c>
      <c r="D69" s="99">
        <f>SUMIFS('6月份挂账'!$Q:$Q,'6月份挂账'!$S:$S,$A69)-SUMIFS('6月份挂账'!$P:$P,'6月份挂账'!$S:$S,$A69)</f>
        <v>0</v>
      </c>
      <c r="E69" s="99">
        <f>SUMIFS('7月份挂账'!$Q:$Q,'7月份挂账'!$S:$S,$A69)-SUMIFS('7月份挂账'!$P:$P,'7月份挂账'!$S:$S,$A69)</f>
        <v>0</v>
      </c>
      <c r="F69" s="100">
        <f t="shared" si="2"/>
        <v>122340.58</v>
      </c>
      <c r="G69" s="99">
        <v>122340.58</v>
      </c>
    </row>
    <row r="70" customHeight="1" spans="1:7">
      <c r="A70" s="97" t="s">
        <v>319</v>
      </c>
      <c r="B70" s="42" t="str">
        <f>IFERROR(_xlfn.XLOOKUP('7月份计划'!A70,[5]UNEA!$B:$B,[5]UNEA!$B:$B),IFERROR(_xlfn.XLOOKUP('7月份计划'!A70,[5]MRHK!$B:$B,[5]MRHK!$B:$B),IFERROR(_xlfn.XLOOKUP('7月份计划'!A70,[5]MRHB!$B:$B,[5]MRHB!$B:$B),IFERROR(_xlfn.XLOOKUP('7月份计划'!A70,[5]HA6H!$B:$B,[5]HA6H!$B:$B),IFERROR(_xlfn.XLOOKUP('7月份计划'!A70,[5]HA6H!$B:$B,[5]HA6H!$B:$B)," ")))))</f>
        <v> </v>
      </c>
      <c r="C70" s="98">
        <f>SUMIFS('7月份科目余额表'!O:O,'7月份科目余额表'!D:D,A70)</f>
        <v>0</v>
      </c>
      <c r="D70" s="99">
        <f>SUMIFS('6月份挂账'!$Q:$Q,'6月份挂账'!$S:$S,$A70)-SUMIFS('6月份挂账'!$P:$P,'6月份挂账'!$S:$S,$A70)</f>
        <v>0</v>
      </c>
      <c r="E70" s="99">
        <f>SUMIFS('7月份挂账'!$Q:$Q,'7月份挂账'!$S:$S,$A70)-SUMIFS('7月份挂账'!$P:$P,'7月份挂账'!$S:$S,$A70)</f>
        <v>0</v>
      </c>
      <c r="F70" s="100">
        <f t="shared" si="2"/>
        <v>0</v>
      </c>
      <c r="G70" s="99"/>
    </row>
    <row r="71" customHeight="1" spans="1:7">
      <c r="A71" s="97" t="s">
        <v>286</v>
      </c>
      <c r="B71" s="42" t="str">
        <f>IFERROR(_xlfn.XLOOKUP('7月份计划'!A71,[5]UNEA!$B:$B,[5]UNEA!$B:$B),IFERROR(_xlfn.XLOOKUP('7月份计划'!A71,[5]MRHK!$B:$B,[5]MRHK!$B:$B),IFERROR(_xlfn.XLOOKUP('7月份计划'!A71,[5]MRHB!$B:$B,[5]MRHB!$B:$B),IFERROR(_xlfn.XLOOKUP('7月份计划'!A71,[5]HA6H!$B:$B,[5]HA6H!$B:$B),IFERROR(_xlfn.XLOOKUP('7月份计划'!A71,[5]HA6H!$B:$B,[5]HA6H!$B:$B)," ")))))</f>
        <v> </v>
      </c>
      <c r="C71" s="98">
        <f>SUMIFS('7月份科目余额表'!O:O,'7月份科目余额表'!D:D,A71)</f>
        <v>20701.6</v>
      </c>
      <c r="D71" s="99">
        <f>SUMIFS('6月份挂账'!$Q:$Q,'6月份挂账'!$S:$S,$A71)-SUMIFS('6月份挂账'!$P:$P,'6月份挂账'!$S:$S,$A71)</f>
        <v>0</v>
      </c>
      <c r="E71" s="99">
        <f>SUMIFS('7月份挂账'!$Q:$Q,'7月份挂账'!$S:$S,$A71)-SUMIFS('7月份挂账'!$P:$P,'7月份挂账'!$S:$S,$A71)</f>
        <v>20701.6</v>
      </c>
      <c r="F71" s="100">
        <f t="shared" si="2"/>
        <v>0</v>
      </c>
      <c r="G71" s="99"/>
    </row>
    <row r="72" customHeight="1" spans="1:7">
      <c r="A72" s="97" t="s">
        <v>287</v>
      </c>
      <c r="B72" s="42" t="str">
        <f>IFERROR(_xlfn.XLOOKUP('7月份计划'!A72,[5]UNEA!$B:$B,[5]UNEA!$B:$B),IFERROR(_xlfn.XLOOKUP('7月份计划'!A72,[5]MRHK!$B:$B,[5]MRHK!$B:$B),IFERROR(_xlfn.XLOOKUP('7月份计划'!A72,[5]MRHB!$B:$B,[5]MRHB!$B:$B),IFERROR(_xlfn.XLOOKUP('7月份计划'!A72,[5]HA6H!$B:$B,[5]HA6H!$B:$B),IFERROR(_xlfn.XLOOKUP('7月份计划'!A72,[5]HA6H!$B:$B,[5]HA6H!$B:$B)," ")))))</f>
        <v>广州自强汽车零部件有限公司</v>
      </c>
      <c r="C72" s="98">
        <f>SUMIFS('7月份科目余额表'!O:O,'7月份科目余额表'!D:D,A72)</f>
        <v>0</v>
      </c>
      <c r="D72" s="99">
        <f>SUMIFS('6月份挂账'!$Q:$Q,'6月份挂账'!$S:$S,$A72)-SUMIFS('6月份挂账'!$P:$P,'6月份挂账'!$S:$S,$A72)</f>
        <v>0</v>
      </c>
      <c r="E72" s="99">
        <f>SUMIFS('7月份挂账'!$Q:$Q,'7月份挂账'!$S:$S,$A72)-SUMIFS('7月份挂账'!$P:$P,'7月份挂账'!$S:$S,$A72)</f>
        <v>0</v>
      </c>
      <c r="F72" s="100">
        <f t="shared" si="2"/>
        <v>0</v>
      </c>
      <c r="G72" s="99"/>
    </row>
    <row r="73" customHeight="1" spans="1:7">
      <c r="A73" s="97" t="s">
        <v>288</v>
      </c>
      <c r="B73" s="42" t="str">
        <f>IFERROR(_xlfn.XLOOKUP('7月份计划'!A73,[5]UNEA!$B:$B,[5]UNEA!$B:$B),IFERROR(_xlfn.XLOOKUP('7月份计划'!A73,[5]MRHK!$B:$B,[5]MRHK!$B:$B),IFERROR(_xlfn.XLOOKUP('7月份计划'!A73,[5]MRHB!$B:$B,[5]MRHB!$B:$B),IFERROR(_xlfn.XLOOKUP('7月份计划'!A73,[5]HA6H!$B:$B,[5]HA6H!$B:$B),IFERROR(_xlfn.XLOOKUP('7月份计划'!A73,[5]HA6H!$B:$B,[5]HA6H!$B:$B)," ")))))</f>
        <v> </v>
      </c>
      <c r="C73" s="98">
        <f>SUMIFS('7月份科目余额表'!O:O,'7月份科目余额表'!D:D,A73)</f>
        <v>38268.48</v>
      </c>
      <c r="D73" s="99">
        <f>SUMIFS('6月份挂账'!$Q:$Q,'6月份挂账'!$S:$S,$A73)-SUMIFS('6月份挂账'!$P:$P,'6月份挂账'!$S:$S,$A73)</f>
        <v>15763.5</v>
      </c>
      <c r="E73" s="99">
        <f>SUMIFS('7月份挂账'!$Q:$Q,'7月份挂账'!$S:$S,$A73)-SUMIFS('7月份挂账'!$P:$P,'7月份挂账'!$S:$S,$A73)</f>
        <v>20181.8</v>
      </c>
      <c r="F73" s="100">
        <f t="shared" si="2"/>
        <v>2323.18</v>
      </c>
      <c r="G73" s="99">
        <v>18086.68</v>
      </c>
    </row>
    <row r="74" customHeight="1" spans="1:7">
      <c r="A74" s="97" t="s">
        <v>289</v>
      </c>
      <c r="B74" s="42" t="str">
        <f>IFERROR(_xlfn.XLOOKUP('7月份计划'!A74,[5]UNEA!$B:$B,[5]UNEA!$B:$B),IFERROR(_xlfn.XLOOKUP('7月份计划'!A74,[5]MRHK!$B:$B,[5]MRHK!$B:$B),IFERROR(_xlfn.XLOOKUP('7月份计划'!A74,[5]MRHB!$B:$B,[5]MRHB!$B:$B),IFERROR(_xlfn.XLOOKUP('7月份计划'!A74,[5]HA6H!$B:$B,[5]HA6H!$B:$B),IFERROR(_xlfn.XLOOKUP('7月份计划'!A74,[5]HA6H!$B:$B,[5]HA6H!$B:$B)," ")))))</f>
        <v> </v>
      </c>
      <c r="C74" s="98">
        <f>SUMIFS('7月份科目余额表'!O:O,'7月份科目余额表'!D:D,A74)</f>
        <v>7739.9</v>
      </c>
      <c r="D74" s="99">
        <f>SUMIFS('6月份挂账'!$Q:$Q,'6月份挂账'!$S:$S,$A74)-SUMIFS('6月份挂账'!$P:$P,'6月份挂账'!$S:$S,$A74)</f>
        <v>0</v>
      </c>
      <c r="E74" s="99">
        <f>SUMIFS('7月份挂账'!$Q:$Q,'7月份挂账'!$S:$S,$A74)-SUMIFS('7月份挂账'!$P:$P,'7月份挂账'!$S:$S,$A74)</f>
        <v>0</v>
      </c>
      <c r="F74" s="100">
        <f t="shared" si="2"/>
        <v>7739.9</v>
      </c>
      <c r="G74" s="99"/>
    </row>
    <row r="75" customHeight="1" spans="1:7">
      <c r="A75" s="97" t="s">
        <v>320</v>
      </c>
      <c r="B75" s="42" t="str">
        <f>IFERROR(_xlfn.XLOOKUP('7月份计划'!A75,[5]UNEA!$B:$B,[5]UNEA!$B:$B),IFERROR(_xlfn.XLOOKUP('7月份计划'!A75,[5]MRHK!$B:$B,[5]MRHK!$B:$B),IFERROR(_xlfn.XLOOKUP('7月份计划'!A75,[5]MRHB!$B:$B,[5]MRHB!$B:$B),IFERROR(_xlfn.XLOOKUP('7月份计划'!A75,[5]HA6H!$B:$B,[5]HA6H!$B:$B),IFERROR(_xlfn.XLOOKUP('7月份计划'!A75,[5]HA6H!$B:$B,[5]HA6H!$B:$B)," ")))))</f>
        <v>武汉凯密科汽车零部件有限公司</v>
      </c>
      <c r="C75" s="98">
        <f>SUMIFS('7月份科目余额表'!O:O,'7月份科目余额表'!D:D,A75)</f>
        <v>7659.25</v>
      </c>
      <c r="D75" s="99">
        <f>SUMIFS('6月份挂账'!$Q:$Q,'6月份挂账'!$S:$S,$A75)-SUMIFS('6月份挂账'!$P:$P,'6月份挂账'!$S:$S,$A75)</f>
        <v>0</v>
      </c>
      <c r="E75" s="99">
        <f>SUMIFS('7月份挂账'!$Q:$Q,'7月份挂账'!$S:$S,$A75)-SUMIFS('7月份挂账'!$P:$P,'7月份挂账'!$S:$S,$A75)</f>
        <v>3640.86</v>
      </c>
      <c r="F75" s="100">
        <f t="shared" si="2"/>
        <v>4018.39</v>
      </c>
      <c r="G75" s="99">
        <v>4018.39</v>
      </c>
    </row>
    <row r="76" customHeight="1" spans="1:7">
      <c r="A76" s="97" t="s">
        <v>321</v>
      </c>
      <c r="B76" s="42" t="str">
        <f>IFERROR(_xlfn.XLOOKUP('7月份计划'!A76,[5]UNEA!$B:$B,[5]UNEA!$B:$B),IFERROR(_xlfn.XLOOKUP('7月份计划'!A76,[5]MRHK!$B:$B,[5]MRHK!$B:$B),IFERROR(_xlfn.XLOOKUP('7月份计划'!A76,[5]MRHB!$B:$B,[5]MRHB!$B:$B),IFERROR(_xlfn.XLOOKUP('7月份计划'!A76,[5]HA6H!$B:$B,[5]HA6H!$B:$B),IFERROR(_xlfn.XLOOKUP('7月份计划'!A76,[5]HA6H!$B:$B,[5]HA6H!$B:$B)," ")))))</f>
        <v> </v>
      </c>
      <c r="C76" s="98">
        <f>SUMIFS('7月份科目余额表'!O:O,'7月份科目余额表'!D:D,A76)</f>
        <v>874.37</v>
      </c>
      <c r="D76" s="99">
        <f>SUMIFS('6月份挂账'!$Q:$Q,'6月份挂账'!$S:$S,$A76)-SUMIFS('6月份挂账'!$P:$P,'6月份挂账'!$S:$S,$A76)</f>
        <v>0</v>
      </c>
      <c r="E76" s="99">
        <f>SUMIFS('7月份挂账'!$Q:$Q,'7月份挂账'!$S:$S,$A76)-SUMIFS('7月份挂账'!$P:$P,'7月份挂账'!$S:$S,$A76)</f>
        <v>0</v>
      </c>
      <c r="F76" s="100">
        <f t="shared" si="2"/>
        <v>874.37</v>
      </c>
      <c r="G76" s="99">
        <v>874.37</v>
      </c>
    </row>
    <row r="77" customHeight="1" spans="1:7">
      <c r="A77" s="97" t="s">
        <v>290</v>
      </c>
      <c r="B77" s="42" t="str">
        <f>IFERROR(_xlfn.XLOOKUP('7月份计划'!A77,[5]UNEA!$B:$B,[5]UNEA!$B:$B),IFERROR(_xlfn.XLOOKUP('7月份计划'!A77,[5]MRHK!$B:$B,[5]MRHK!$B:$B),IFERROR(_xlfn.XLOOKUP('7月份计划'!A77,[5]MRHB!$B:$B,[5]MRHB!$B:$B),IFERROR(_xlfn.XLOOKUP('7月份计划'!A77,[5]HA6H!$B:$B,[5]HA6H!$B:$B),IFERROR(_xlfn.XLOOKUP('7月份计划'!A77,[5]HA6H!$B:$B,[5]HA6H!$B:$B)," ")))))</f>
        <v>江阴同威科技有限公司</v>
      </c>
      <c r="C77" s="98">
        <f>SUMIFS('7月份科目余额表'!O:O,'7月份科目余额表'!D:D,A77)</f>
        <v>57602.88</v>
      </c>
      <c r="D77" s="99">
        <f>SUMIFS('6月份挂账'!$Q:$Q,'6月份挂账'!$S:$S,$A77)-SUMIFS('6月份挂账'!$P:$P,'6月份挂账'!$S:$S,$A77)</f>
        <v>14400.72</v>
      </c>
      <c r="E77" s="99">
        <f>SUMIFS('7月份挂账'!$Q:$Q,'7月份挂账'!$S:$S,$A77)-SUMIFS('7月份挂账'!$P:$P,'7月份挂账'!$S:$S,$A77)</f>
        <v>43202.16</v>
      </c>
      <c r="F77" s="100">
        <f t="shared" si="2"/>
        <v>0</v>
      </c>
      <c r="G77" s="99">
        <v>14400.72</v>
      </c>
    </row>
    <row r="78" customHeight="1" spans="1:12">
      <c r="A78" s="97" t="s">
        <v>291</v>
      </c>
      <c r="B78" s="42" t="str">
        <f>IFERROR(_xlfn.XLOOKUP('7月份计划'!A78,[5]UNEA!$B:$B,[5]UNEA!$B:$B),IFERROR(_xlfn.XLOOKUP('7月份计划'!A78,[5]MRHK!$B:$B,[5]MRHK!$B:$B),IFERROR(_xlfn.XLOOKUP('7月份计划'!A78,[5]MRHB!$B:$B,[5]MRHB!$B:$B),IFERROR(_xlfn.XLOOKUP('7月份计划'!A78,[5]HA6H!$B:$B,[5]HA6H!$B:$B),IFERROR(_xlfn.XLOOKUP('7月份计划'!A78,[5]HA6H!$B:$B,[5]HA6H!$B:$B)," ")))))</f>
        <v>深圳市新和荣无纺布有限公司</v>
      </c>
      <c r="C78" s="98">
        <f>SUMIFS('7月份科目余额表'!O:O,'7月份科目余额表'!D:D,A78)</f>
        <v>15481.97</v>
      </c>
      <c r="D78" s="99">
        <f>SUMIFS('6月份挂账'!$Q:$Q,'6月份挂账'!$S:$S,$A78)-SUMIFS('6月份挂账'!$P:$P,'6月份挂账'!$S:$S,$A78)</f>
        <v>15481.34</v>
      </c>
      <c r="E78" s="99">
        <f>SUMIFS('7月份挂账'!$Q:$Q,'7月份挂账'!$S:$S,$A78)-SUMIFS('7月份挂账'!$P:$P,'7月份挂账'!$S:$S,$A78)</f>
        <v>0</v>
      </c>
      <c r="F78" s="100">
        <f t="shared" si="2"/>
        <v>0.6299999999992</v>
      </c>
      <c r="G78" s="99">
        <v>15481.34</v>
      </c>
      <c r="L78" s="42">
        <f>COUNTBLANK(E84:E88)</f>
        <v>3</v>
      </c>
    </row>
    <row r="79" customHeight="1" spans="1:7">
      <c r="A79" s="97" t="s">
        <v>292</v>
      </c>
      <c r="C79" s="98">
        <f>SUMIFS('7月份科目余额表'!O:O,'7月份科目余额表'!D:D,A79)</f>
        <v>35030</v>
      </c>
      <c r="D79" s="99">
        <f>SUMIFS('6月份挂账'!$Q:$Q,'6月份挂账'!$S:$S,$A79)-SUMIFS('6月份挂账'!$P:$P,'6月份挂账'!$S:$S,$A79)</f>
        <v>22035</v>
      </c>
      <c r="E79" s="99">
        <f>SUMIFS('7月份挂账'!$Q:$Q,'7月份挂账'!$S:$S,$A79)-SUMIFS('7月份挂账'!$P:$P,'7月份挂账'!$S:$S,$A79)</f>
        <v>35030</v>
      </c>
      <c r="F79" s="100">
        <f>C79-E79</f>
        <v>0</v>
      </c>
      <c r="G79" s="99">
        <v>35030</v>
      </c>
    </row>
    <row r="80" customHeight="1" spans="7:7">
      <c r="G80" s="99"/>
    </row>
    <row r="81" customHeight="1" spans="7:7">
      <c r="G81" s="99"/>
    </row>
    <row r="82" customHeight="1" spans="4:4">
      <c r="D82" s="99">
        <f>SUMIFS('6月份挂账'!$Q:$Q,'6月份挂账'!$S:$S,$A82)-SUMIFS('6月份挂账'!$P:$P,'6月份挂账'!$S:$S,$A82)</f>
        <v>0</v>
      </c>
    </row>
    <row r="83" customHeight="1" spans="1:7">
      <c r="A83" s="97" t="s">
        <v>29</v>
      </c>
      <c r="C83" s="87">
        <f>SUM(C3:C82)</f>
        <v>21365886.69</v>
      </c>
      <c r="D83" s="87">
        <f>SUM(D3:D82)</f>
        <v>6384775</v>
      </c>
      <c r="E83" s="87">
        <f>SUM(E3:E82)</f>
        <v>5648209.04</v>
      </c>
      <c r="F83" s="87">
        <f>SUM(F3:F82)</f>
        <v>9574114.71</v>
      </c>
      <c r="G83" s="87">
        <f>SUM(G3:G82)</f>
        <v>8864832.81</v>
      </c>
    </row>
    <row r="84" customHeight="1" spans="1:7">
      <c r="A84" s="97" t="s">
        <v>293</v>
      </c>
      <c r="C84" s="87"/>
      <c r="E84" s="99">
        <v>1</v>
      </c>
      <c r="F84" s="88"/>
      <c r="G84" s="120">
        <f>540+140+300</f>
        <v>980</v>
      </c>
    </row>
    <row r="85" customHeight="1" spans="5:7">
      <c r="E85" s="99">
        <v>2</v>
      </c>
      <c r="G85" s="101">
        <v>-200</v>
      </c>
    </row>
  </sheetData>
  <autoFilter xmlns:etc="http://www.wps.cn/officeDocument/2017/etCustomData" ref="A2:G85" etc:filterBottomFollowUsedRange="0">
    <extLst/>
  </autoFilter>
  <mergeCells count="1">
    <mergeCell ref="A1:G1"/>
  </mergeCells>
  <conditionalFormatting sqref="A$1:A$1048576">
    <cfRule type="duplicateValues" dxfId="0" priority="1"/>
  </conditionalFormatting>
  <pageMargins left="0.75" right="0.75" top="1" bottom="1" header="0.5" footer="0.5"/>
  <pageSetup paperSize="9" orientation="portrait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5"/>
  <dimension ref="A1:J81"/>
  <sheetViews>
    <sheetView workbookViewId="0">
      <pane xSplit="1" ySplit="2" topLeftCell="B55" activePane="bottomRight" state="frozen"/>
      <selection/>
      <selection pane="topRight"/>
      <selection pane="bottomLeft"/>
      <selection pane="bottomRight" activeCell="D72" sqref="D72"/>
    </sheetView>
  </sheetViews>
  <sheetFormatPr defaultColWidth="9" defaultRowHeight="19" customHeight="1"/>
  <cols>
    <col min="1" max="1" width="26.25" style="97" customWidth="1"/>
    <col min="2" max="2" width="21.375" style="42" hidden="1" customWidth="1"/>
    <col min="3" max="5" width="12.625" style="98" customWidth="1"/>
    <col min="6" max="8" width="11.75" style="99" customWidth="1"/>
    <col min="9" max="9" width="13.875" style="100" customWidth="1"/>
    <col min="10" max="10" width="11.75" style="101" customWidth="1"/>
    <col min="11" max="16384" width="9" style="42"/>
  </cols>
  <sheetData>
    <row r="1" ht="29" customHeight="1" spans="1:10">
      <c r="A1" s="103" t="s">
        <v>326</v>
      </c>
      <c r="B1" s="103"/>
      <c r="C1" s="104"/>
      <c r="D1" s="104"/>
      <c r="E1" s="104"/>
      <c r="F1" s="105"/>
      <c r="G1" s="105"/>
      <c r="H1" s="105"/>
      <c r="I1" s="106"/>
      <c r="J1" s="113"/>
    </row>
    <row r="2" ht="36" customHeight="1" spans="1:10">
      <c r="A2" s="107" t="s">
        <v>231</v>
      </c>
      <c r="B2" s="107" t="s">
        <v>232</v>
      </c>
      <c r="C2" s="108" t="s">
        <v>327</v>
      </c>
      <c r="D2" s="108" t="s">
        <v>328</v>
      </c>
      <c r="E2" s="108" t="s">
        <v>329</v>
      </c>
      <c r="F2" s="109" t="s">
        <v>330</v>
      </c>
      <c r="G2" s="109" t="s">
        <v>331</v>
      </c>
      <c r="H2" s="109" t="s">
        <v>325</v>
      </c>
      <c r="I2" s="108" t="s">
        <v>236</v>
      </c>
      <c r="J2" s="107" t="s">
        <v>237</v>
      </c>
    </row>
    <row r="3" customHeight="1" spans="1:10">
      <c r="A3" s="97" t="s">
        <v>240</v>
      </c>
      <c r="B3" s="42" t="str">
        <f>IFERROR(_xlfn.XLOOKUP('6月份计划'!A3,[5]UNEA!$B:$B,[5]UNEA!$B:$B),IFERROR(_xlfn.XLOOKUP('6月份计划'!A3,[5]MRHK!$B:$B,[5]MRHK!$B:$B),IFERROR(_xlfn.XLOOKUP('6月份计划'!A3,[5]MRHB!$B:$B,[5]MRHB!$B:$B),IFERROR(_xlfn.XLOOKUP('6月份计划'!A3,[5]HA6H!$B:$B,[5]HA6H!$B:$B),IFERROR(_xlfn.XLOOKUP('6月份计划'!A3,[5]HA6H!$B:$B,[5]HA6H!$B:$B)," ")))))</f>
        <v>重庆厚元汽车配件有限公司</v>
      </c>
      <c r="C3" s="98">
        <f>SUMIFS('6月份科目余额表'!O:O,'6月份科目余额表'!D:D,A3)</f>
        <v>425930.67</v>
      </c>
      <c r="E3" s="98">
        <f t="shared" ref="E3:E66" si="0">C3-D3</f>
        <v>425930.67</v>
      </c>
      <c r="F3" s="99">
        <v>87944.28</v>
      </c>
      <c r="G3" s="99">
        <f>SUMIFS('5月份挂账'!$Q:$Q,'5月份挂账'!$S:$S,$A3)-SUMIFS('5月份挂账'!$P:$P,'5月份挂账'!$S:$S,$A3)</f>
        <v>188791.59</v>
      </c>
      <c r="H3" s="99">
        <f>SUMIFS('6月份挂账'!$Q:$Q,'6月份挂账'!$S:$S,$A3)-SUMIFS('6月份挂账'!$P:$P,'6月份挂账'!$S:$S,$A3)</f>
        <v>149194.8</v>
      </c>
      <c r="I3" s="100">
        <f>E3-G3-H3</f>
        <v>87944.28</v>
      </c>
      <c r="J3" s="99"/>
    </row>
    <row r="4" customHeight="1" spans="1:10">
      <c r="A4" s="97" t="s">
        <v>241</v>
      </c>
      <c r="B4" s="42" t="str">
        <f>IFERROR(_xlfn.XLOOKUP('6月份计划'!A4,[5]UNEA!$B:$B,[5]UNEA!$B:$B),IFERROR(_xlfn.XLOOKUP('6月份计划'!A4,[5]MRHK!$B:$B,[5]MRHK!$B:$B),IFERROR(_xlfn.XLOOKUP('6月份计划'!A4,[5]MRHB!$B:$B,[5]MRHB!$B:$B),IFERROR(_xlfn.XLOOKUP('6月份计划'!A4,[5]HA6H!$B:$B,[5]HA6H!$B:$B),IFERROR(_xlfn.XLOOKUP('6月份计划'!A4,[5]HA6H!$B:$B,[5]HA6H!$B:$B)," ")))))</f>
        <v> </v>
      </c>
      <c r="C4" s="98">
        <f>SUMIFS('6月份科目余额表'!O:O,'6月份科目余额表'!D:D,A4)</f>
        <v>44687.28</v>
      </c>
      <c r="E4" s="98">
        <f t="shared" si="0"/>
        <v>44687.28</v>
      </c>
      <c r="F4" s="99">
        <v>0</v>
      </c>
      <c r="G4" s="99">
        <f>SUMIFS('5月份挂账'!Q:Q,'5月份挂账'!S:S,A4)-SUMIFS('5月份挂账'!P:P,'5月份挂账'!S:S,A4)</f>
        <v>17002.08</v>
      </c>
      <c r="H4" s="99">
        <f>SUMIFS('6月份挂账'!$Q:$Q,'6月份挂账'!$S:$S,$A4)-SUMIFS('6月份挂账'!$P:$P,'6月份挂账'!$S:$S,$A4)</f>
        <v>23708.98</v>
      </c>
      <c r="I4" s="100">
        <f t="shared" ref="I4:I18" si="1">IF(E4-G4-F4&gt;0,E4-G4-F4,0)</f>
        <v>27685.2</v>
      </c>
      <c r="J4" s="99"/>
    </row>
    <row r="5" customHeight="1" spans="1:10">
      <c r="A5" s="97" t="s">
        <v>242</v>
      </c>
      <c r="B5" s="42" t="str">
        <f>IFERROR(_xlfn.XLOOKUP('6月份计划'!A5,[5]UNEA!$B:$B,[5]UNEA!$B:$B),IFERROR(_xlfn.XLOOKUP('6月份计划'!A5,[5]MRHK!$B:$B,[5]MRHK!$B:$B),IFERROR(_xlfn.XLOOKUP('6月份计划'!A5,[5]MRHB!$B:$B,[5]MRHB!$B:$B),IFERROR(_xlfn.XLOOKUP('6月份计划'!A5,[5]HA6H!$B:$B,[5]HA6H!$B:$B),IFERROR(_xlfn.XLOOKUP('6月份计划'!A5,[5]HA6H!$B:$B,[5]HA6H!$B:$B)," ")))))</f>
        <v> </v>
      </c>
      <c r="C5" s="98">
        <f>SUMIFS('6月份科目余额表'!O:O,'6月份科目余额表'!D:D,A5)</f>
        <v>67954.83</v>
      </c>
      <c r="E5" s="98">
        <f t="shared" si="0"/>
        <v>67954.83</v>
      </c>
      <c r="F5" s="99">
        <v>24472.28</v>
      </c>
      <c r="G5" s="99">
        <f>SUMIFS('5月份挂账'!Q:Q,'5月份挂账'!S:S,A5)-SUMIFS('5月份挂账'!P:P,'5月份挂账'!S:S,A5)</f>
        <v>0</v>
      </c>
      <c r="H5" s="99">
        <f>SUMIFS('6月份挂账'!$Q:$Q,'6月份挂账'!$S:$S,$A5)-SUMIFS('6月份挂账'!$P:$P,'6月份挂账'!$S:$S,$A5)</f>
        <v>21952.92</v>
      </c>
      <c r="I5" s="100">
        <f t="shared" si="1"/>
        <v>43482.55</v>
      </c>
      <c r="J5" s="99"/>
    </row>
    <row r="6" customHeight="1" spans="1:10">
      <c r="A6" s="97" t="s">
        <v>243</v>
      </c>
      <c r="B6" s="42" t="str">
        <f>IFERROR(_xlfn.XLOOKUP('6月份计划'!A6,[5]UNEA!$B:$B,[5]UNEA!$B:$B),IFERROR(_xlfn.XLOOKUP('6月份计划'!A6,[5]MRHK!$B:$B,[5]MRHK!$B:$B),IFERROR(_xlfn.XLOOKUP('6月份计划'!A6,[5]MRHB!$B:$B,[5]MRHB!$B:$B),IFERROR(_xlfn.XLOOKUP('6月份计划'!A6,[5]HA6H!$B:$B,[5]HA6H!$B:$B),IFERROR(_xlfn.XLOOKUP('6月份计划'!A6,[5]HA6H!$B:$B,[5]HA6H!$B:$B)," ")))))</f>
        <v> </v>
      </c>
      <c r="C6" s="98">
        <f>SUMIFS('6月份科目余额表'!O:O,'6月份科目余额表'!D:D,A6)</f>
        <v>92578.13</v>
      </c>
      <c r="E6" s="98">
        <f t="shared" si="0"/>
        <v>92578.13</v>
      </c>
      <c r="F6" s="99">
        <v>27519.66</v>
      </c>
      <c r="G6" s="99">
        <f>SUMIFS('5月份挂账'!Q:Q,'5月份挂账'!S:S,A6)-SUMIFS('5月份挂账'!P:P,'5月份挂账'!S:S,A6)</f>
        <v>51075.89</v>
      </c>
      <c r="H6" s="99">
        <f>SUMIFS('6月份挂账'!$Q:$Q,'6月份挂账'!$S:$S,$A6)-SUMIFS('6月份挂账'!$P:$P,'6月份挂账'!$S:$S,$A6)</f>
        <v>0</v>
      </c>
      <c r="I6" s="100">
        <f t="shared" si="1"/>
        <v>13982.58</v>
      </c>
      <c r="J6" s="99"/>
    </row>
    <row r="7" customHeight="1" spans="1:10">
      <c r="A7" s="97" t="s">
        <v>297</v>
      </c>
      <c r="B7" s="42" t="str">
        <f>IFERROR(_xlfn.XLOOKUP('6月份计划'!A7,[5]UNEA!$B:$B,[5]UNEA!$B:$B),IFERROR(_xlfn.XLOOKUP('6月份计划'!A7,[5]MRHK!$B:$B,[5]MRHK!$B:$B),IFERROR(_xlfn.XLOOKUP('6月份计划'!A7,[5]MRHB!$B:$B,[5]MRHB!$B:$B),IFERROR(_xlfn.XLOOKUP('6月份计划'!A7,[5]HA6H!$B:$B,[5]HA6H!$B:$B),IFERROR(_xlfn.XLOOKUP('6月份计划'!A7,[5]HA6H!$B:$B,[5]HA6H!$B:$B)," ")))))</f>
        <v> </v>
      </c>
      <c r="C7" s="98">
        <f>SUMIFS('6月份科目余额表'!O:O,'6月份科目余额表'!D:D,A7)</f>
        <v>25334.21</v>
      </c>
      <c r="E7" s="98">
        <f t="shared" si="0"/>
        <v>25334.21</v>
      </c>
      <c r="F7" s="99">
        <v>17283.35</v>
      </c>
      <c r="G7" s="99">
        <f>SUMIFS('5月份挂账'!Q:Q,'5月份挂账'!S:S,A7)-SUMIFS('5月份挂账'!P:P,'5月份挂账'!S:S,A7)</f>
        <v>0</v>
      </c>
      <c r="H7" s="99">
        <f>SUMIFS('6月份挂账'!$Q:$Q,'6月份挂账'!$S:$S,$A7)-SUMIFS('6月份挂账'!$P:$P,'6月份挂账'!$S:$S,$A7)</f>
        <v>11718.84</v>
      </c>
      <c r="I7" s="100">
        <f t="shared" si="1"/>
        <v>8050.86</v>
      </c>
      <c r="J7" s="99"/>
    </row>
    <row r="8" customHeight="1" spans="1:10">
      <c r="A8" s="97" t="s">
        <v>244</v>
      </c>
      <c r="B8" s="42" t="str">
        <f>IFERROR(_xlfn.XLOOKUP('6月份计划'!A8,[5]UNEA!$B:$B,[5]UNEA!$B:$B),IFERROR(_xlfn.XLOOKUP('6月份计划'!A8,[5]MRHK!$B:$B,[5]MRHK!$B:$B),IFERROR(_xlfn.XLOOKUP('6月份计划'!A8,[5]MRHB!$B:$B,[5]MRHB!$B:$B),IFERROR(_xlfn.XLOOKUP('6月份计划'!A8,[5]HA6H!$B:$B,[5]HA6H!$B:$B),IFERROR(_xlfn.XLOOKUP('6月份计划'!A8,[5]HA6H!$B:$B,[5]HA6H!$B:$B)," ")))))</f>
        <v> </v>
      </c>
      <c r="C8" s="98">
        <f>SUMIFS('6月份科目余额表'!O:O,'6月份科目余额表'!D:D,A8)</f>
        <v>81909.53</v>
      </c>
      <c r="E8" s="98">
        <f t="shared" si="0"/>
        <v>81909.53</v>
      </c>
      <c r="F8" s="99">
        <v>31410.61</v>
      </c>
      <c r="G8" s="99">
        <f>SUMIFS('5月份挂账'!Q:Q,'5月份挂账'!S:S,A8)-SUMIFS('5月份挂账'!P:P,'5月份挂账'!S:S,A8)</f>
        <v>16832.48</v>
      </c>
      <c r="H8" s="99">
        <f>SUMIFS('6月份挂账'!$Q:$Q,'6月份挂账'!$S:$S,$A8)-SUMIFS('6月份挂账'!$P:$P,'6月份挂账'!$S:$S,$A8)</f>
        <v>18425.55</v>
      </c>
      <c r="I8" s="100">
        <f t="shared" si="1"/>
        <v>33666.44</v>
      </c>
      <c r="J8" s="99"/>
    </row>
    <row r="9" customHeight="1" spans="1:10">
      <c r="A9" s="97" t="s">
        <v>245</v>
      </c>
      <c r="B9" s="42" t="str">
        <f>IFERROR(_xlfn.XLOOKUP('6月份计划'!A9,[5]UNEA!$B:$B,[5]UNEA!$B:$B),IFERROR(_xlfn.XLOOKUP('6月份计划'!A9,[5]MRHK!$B:$B,[5]MRHK!$B:$B),IFERROR(_xlfn.XLOOKUP('6月份计划'!A9,[5]MRHB!$B:$B,[5]MRHB!$B:$B),IFERROR(_xlfn.XLOOKUP('6月份计划'!A9,[5]HA6H!$B:$B,[5]HA6H!$B:$B),IFERROR(_xlfn.XLOOKUP('6月份计划'!A9,[5]HA6H!$B:$B,[5]HA6H!$B:$B)," ")))))</f>
        <v> </v>
      </c>
      <c r="C9" s="98">
        <f>SUMIFS('6月份科目余额表'!O:O,'6月份科目余额表'!D:D,A9)</f>
        <v>111235.81</v>
      </c>
      <c r="E9" s="98">
        <f t="shared" si="0"/>
        <v>111235.81</v>
      </c>
      <c r="F9" s="99">
        <v>38599.72</v>
      </c>
      <c r="G9" s="99">
        <f>SUMIFS('5月份挂账'!Q:Q,'5月份挂账'!S:S,A9)-SUMIFS('5月份挂账'!P:P,'5月份挂账'!S:S,A9)</f>
        <v>24374.76</v>
      </c>
      <c r="H9" s="99">
        <f>SUMIFS('6月份挂账'!$Q:$Q,'6月份挂账'!$S:$S,$A9)-SUMIFS('6月份挂账'!$P:$P,'6月份挂账'!$S:$S,$A9)</f>
        <v>32444.38</v>
      </c>
      <c r="I9" s="100">
        <f t="shared" si="1"/>
        <v>48261.33</v>
      </c>
      <c r="J9" s="99"/>
    </row>
    <row r="10" customHeight="1" spans="1:10">
      <c r="A10" s="97" t="s">
        <v>246</v>
      </c>
      <c r="B10" s="42" t="str">
        <f>IFERROR(_xlfn.XLOOKUP('6月份计划'!A10,[5]UNEA!$B:$B,[5]UNEA!$B:$B),IFERROR(_xlfn.XLOOKUP('6月份计划'!A10,[5]MRHK!$B:$B,[5]MRHK!$B:$B),IFERROR(_xlfn.XLOOKUP('6月份计划'!A10,[5]MRHB!$B:$B,[5]MRHB!$B:$B),IFERROR(_xlfn.XLOOKUP('6月份计划'!A10,[5]HA6H!$B:$B,[5]HA6H!$B:$B),IFERROR(_xlfn.XLOOKUP('6月份计划'!A10,[5]HA6H!$B:$B,[5]HA6H!$B:$B)," ")))))</f>
        <v> </v>
      </c>
      <c r="C10" s="98">
        <f>SUMIFS('6月份科目余额表'!O:O,'6月份科目余额表'!D:D,A10)</f>
        <v>77459.91</v>
      </c>
      <c r="E10" s="98">
        <f t="shared" si="0"/>
        <v>77459.91</v>
      </c>
      <c r="F10" s="99">
        <v>36215.25</v>
      </c>
      <c r="G10" s="99">
        <f>SUMIFS('5月份挂账'!Q:Q,'5月份挂账'!S:S,A10)-SUMIFS('5月份挂账'!P:P,'5月份挂账'!S:S,A10)</f>
        <v>27409.21</v>
      </c>
      <c r="H10" s="99">
        <f>SUMIFS('6月份挂账'!$Q:$Q,'6月份挂账'!$S:$S,$A10)-SUMIFS('6月份挂账'!$P:$P,'6月份挂账'!$S:$S,$A10)</f>
        <v>11158.92</v>
      </c>
      <c r="I10" s="100">
        <f t="shared" si="1"/>
        <v>13835.45</v>
      </c>
      <c r="J10" s="99"/>
    </row>
    <row r="11" customHeight="1" spans="1:10">
      <c r="A11" s="97" t="s">
        <v>247</v>
      </c>
      <c r="B11" s="42" t="str">
        <f>IFERROR(_xlfn.XLOOKUP('6月份计划'!A11,[5]UNEA!$B:$B,[5]UNEA!$B:$B),IFERROR(_xlfn.XLOOKUP('6月份计划'!A11,[5]MRHK!$B:$B,[5]MRHK!$B:$B),IFERROR(_xlfn.XLOOKUP('6月份计划'!A11,[5]MRHB!$B:$B,[5]MRHB!$B:$B),IFERROR(_xlfn.XLOOKUP('6月份计划'!A11,[5]HA6H!$B:$B,[5]HA6H!$B:$B),IFERROR(_xlfn.XLOOKUP('6月份计划'!A11,[5]HA6H!$B:$B,[5]HA6H!$B:$B)," ")))))</f>
        <v>黄骅市汇铭汽车部件有限公司</v>
      </c>
      <c r="C11" s="98">
        <f>SUMIFS('6月份科目余额表'!O:O,'6月份科目余额表'!D:D,A11)</f>
        <v>50058.75</v>
      </c>
      <c r="E11" s="98">
        <f t="shared" si="0"/>
        <v>50058.75</v>
      </c>
      <c r="F11" s="99">
        <v>0</v>
      </c>
      <c r="G11" s="99">
        <f>SUMIFS('5月份挂账'!Q:Q,'5月份挂账'!S:S,A11)-SUMIFS('5月份挂账'!P:P,'5月份挂账'!S:S,A11)</f>
        <v>10959.52</v>
      </c>
      <c r="H11" s="99">
        <f>SUMIFS('6月份挂账'!$Q:$Q,'6月份挂账'!$S:$S,$A11)-SUMIFS('6月份挂账'!$P:$P,'6月份挂账'!$S:$S,$A11)</f>
        <v>49663.64</v>
      </c>
      <c r="I11" s="100">
        <f t="shared" si="1"/>
        <v>39099.23</v>
      </c>
      <c r="J11" s="99"/>
    </row>
    <row r="12" customHeight="1" spans="1:10">
      <c r="A12" s="97" t="s">
        <v>248</v>
      </c>
      <c r="B12" s="42" t="str">
        <f>IFERROR(_xlfn.XLOOKUP('6月份计划'!A12,[5]UNEA!$B:$B,[5]UNEA!$B:$B),IFERROR(_xlfn.XLOOKUP('6月份计划'!A12,[5]MRHK!$B:$B,[5]MRHK!$B:$B),IFERROR(_xlfn.XLOOKUP('6月份计划'!A12,[5]MRHB!$B:$B,[5]MRHB!$B:$B),IFERROR(_xlfn.XLOOKUP('6月份计划'!A12,[5]HA6H!$B:$B,[5]HA6H!$B:$B),IFERROR(_xlfn.XLOOKUP('6月份计划'!A12,[5]HA6H!$B:$B,[5]HA6H!$B:$B)," ")))))</f>
        <v> </v>
      </c>
      <c r="C12" s="98">
        <f>SUMIFS('6月份科目余额表'!O:O,'6月份科目余额表'!D:D,A12)</f>
        <v>312080.68</v>
      </c>
      <c r="D12" s="98">
        <v>312080.68</v>
      </c>
      <c r="E12" s="98">
        <f t="shared" si="0"/>
        <v>0</v>
      </c>
      <c r="F12" s="99">
        <v>156040.34</v>
      </c>
      <c r="G12" s="99">
        <f>SUMIFS('5月份挂账'!Q:Q,'5月份挂账'!S:S,A12)-SUMIFS('5月份挂账'!P:P,'5月份挂账'!S:S,A12)</f>
        <v>0</v>
      </c>
      <c r="H12" s="99">
        <f>SUMIFS('6月份挂账'!$Q:$Q,'6月份挂账'!$S:$S,$A12)-SUMIFS('6月份挂账'!$P:$P,'6月份挂账'!$S:$S,$A12)</f>
        <v>0</v>
      </c>
      <c r="I12" s="100">
        <f t="shared" si="1"/>
        <v>0</v>
      </c>
      <c r="J12" s="99"/>
    </row>
    <row r="13" customHeight="1" spans="1:10">
      <c r="A13" s="97" t="s">
        <v>249</v>
      </c>
      <c r="B13" s="42" t="str">
        <f>IFERROR(_xlfn.XLOOKUP('6月份计划'!A13,[5]UNEA!$B:$B,[5]UNEA!$B:$B),IFERROR(_xlfn.XLOOKUP('6月份计划'!A13,[5]MRHK!$B:$B,[5]MRHK!$B:$B),IFERROR(_xlfn.XLOOKUP('6月份计划'!A13,[5]MRHB!$B:$B,[5]MRHB!$B:$B),IFERROR(_xlfn.XLOOKUP('6月份计划'!A13,[5]HA6H!$B:$B,[5]HA6H!$B:$B),IFERROR(_xlfn.XLOOKUP('6月份计划'!A13,[5]HA6H!$B:$B,[5]HA6H!$B:$B)," ")))))</f>
        <v> </v>
      </c>
      <c r="C13" s="98">
        <f>SUMIFS('6月份科目余额表'!O:O,'6月份科目余额表'!D:D,A13)</f>
        <v>202755.37</v>
      </c>
      <c r="E13" s="98">
        <f t="shared" si="0"/>
        <v>202755.37</v>
      </c>
      <c r="F13" s="99">
        <v>0</v>
      </c>
      <c r="G13" s="99">
        <f>SUMIFS('5月份挂账'!Q:Q,'5月份挂账'!S:S,A13)-SUMIFS('5月份挂账'!P:P,'5月份挂账'!S:S,A13)</f>
        <v>111297.09</v>
      </c>
      <c r="H13" s="99">
        <f>SUMIFS('6月份挂账'!$Q:$Q,'6月份挂账'!$S:$S,$A13)-SUMIFS('6月份挂账'!$P:$P,'6月份挂账'!$S:$S,$A13)</f>
        <v>47679.21</v>
      </c>
      <c r="I13" s="100">
        <f t="shared" si="1"/>
        <v>91458.28</v>
      </c>
      <c r="J13" s="99"/>
    </row>
    <row r="14" customHeight="1" spans="1:10">
      <c r="A14" s="97" t="s">
        <v>250</v>
      </c>
      <c r="B14" s="42" t="str">
        <f>IFERROR(_xlfn.XLOOKUP('6月份计划'!A14,[5]UNEA!$B:$B,[5]UNEA!$B:$B),IFERROR(_xlfn.XLOOKUP('6月份计划'!A14,[5]MRHK!$B:$B,[5]MRHK!$B:$B),IFERROR(_xlfn.XLOOKUP('6月份计划'!A14,[5]MRHB!$B:$B,[5]MRHB!$B:$B),IFERROR(_xlfn.XLOOKUP('6月份计划'!A14,[5]HA6H!$B:$B,[5]HA6H!$B:$B),IFERROR(_xlfn.XLOOKUP('6月份计划'!A14,[5]HA6H!$B:$B,[5]HA6H!$B:$B)," ")))))</f>
        <v> </v>
      </c>
      <c r="C14" s="98">
        <f>SUMIFS('6月份科目余额表'!O:O,'6月份科目余额表'!D:D,A14)</f>
        <v>358160</v>
      </c>
      <c r="E14" s="98">
        <f t="shared" si="0"/>
        <v>358160</v>
      </c>
      <c r="F14" s="99">
        <v>153087.15</v>
      </c>
      <c r="G14" s="99">
        <f>SUMIFS('5月份挂账'!Q:Q,'5月份挂账'!S:S,A14)-SUMIFS('5月份挂账'!P:P,'5月份挂账'!S:S,A14)</f>
        <v>51692.11</v>
      </c>
      <c r="H14" s="99">
        <f>SUMIFS('6月份挂账'!$Q:$Q,'6月份挂账'!$S:$S,$A14)-SUMIFS('6月份挂账'!$P:$P,'6月份挂账'!$S:$S,$A14)</f>
        <v>103860.05</v>
      </c>
      <c r="I14" s="100">
        <f t="shared" si="1"/>
        <v>153380.74</v>
      </c>
      <c r="J14" s="99"/>
    </row>
    <row r="15" customHeight="1" spans="1:10">
      <c r="A15" s="97" t="s">
        <v>298</v>
      </c>
      <c r="B15" s="42" t="str">
        <f>IFERROR(_xlfn.XLOOKUP('6月份计划'!A15,[5]UNEA!$B:$B,[5]UNEA!$B:$B),IFERROR(_xlfn.XLOOKUP('6月份计划'!A15,[5]MRHK!$B:$B,[5]MRHK!$B:$B),IFERROR(_xlfn.XLOOKUP('6月份计划'!A15,[5]MRHB!$B:$B,[5]MRHB!$B:$B),IFERROR(_xlfn.XLOOKUP('6月份计划'!A15,[5]HA6H!$B:$B,[5]HA6H!$B:$B),IFERROR(_xlfn.XLOOKUP('6月份计划'!A15,[5]HA6H!$B:$B,[5]HA6H!$B:$B)," ")))))</f>
        <v> </v>
      </c>
      <c r="C15" s="98">
        <f>SUMIFS('6月份科目余额表'!O:O,'6月份科目余额表'!D:D,A15)</f>
        <v>43392</v>
      </c>
      <c r="E15" s="98">
        <f t="shared" si="0"/>
        <v>43392</v>
      </c>
      <c r="F15" s="99">
        <v>43392</v>
      </c>
      <c r="G15" s="99">
        <f>SUMIFS('5月份挂账'!Q:Q,'5月份挂账'!S:S,A15)-SUMIFS('5月份挂账'!P:P,'5月份挂账'!S:S,A15)</f>
        <v>0</v>
      </c>
      <c r="H15" s="99">
        <f>SUMIFS('6月份挂账'!$Q:$Q,'6月份挂账'!$S:$S,$A15)-SUMIFS('6月份挂账'!$P:$P,'6月份挂账'!$S:$S,$A15)</f>
        <v>0</v>
      </c>
      <c r="I15" s="100">
        <f t="shared" si="1"/>
        <v>0</v>
      </c>
      <c r="J15" s="99"/>
    </row>
    <row r="16" customHeight="1" spans="1:10">
      <c r="A16" s="97" t="s">
        <v>251</v>
      </c>
      <c r="B16" s="42" t="str">
        <f>IFERROR(_xlfn.XLOOKUP('6月份计划'!A16,[5]UNEA!$B:$B,[5]UNEA!$B:$B),IFERROR(_xlfn.XLOOKUP('6月份计划'!A16,[5]MRHK!$B:$B,[5]MRHK!$B:$B),IFERROR(_xlfn.XLOOKUP('6月份计划'!A16,[5]MRHB!$B:$B,[5]MRHB!$B:$B),IFERROR(_xlfn.XLOOKUP('6月份计划'!A16,[5]HA6H!$B:$B,[5]HA6H!$B:$B),IFERROR(_xlfn.XLOOKUP('6月份计划'!A16,[5]HA6H!$B:$B,[5]HA6H!$B:$B)," ")))))</f>
        <v> </v>
      </c>
      <c r="C16" s="98">
        <f>SUMIFS('6月份科目余额表'!O:O,'6月份科目余额表'!D:D,A16)</f>
        <v>710732.29</v>
      </c>
      <c r="D16" s="98">
        <v>535188</v>
      </c>
      <c r="E16" s="98">
        <f t="shared" si="0"/>
        <v>175544.29</v>
      </c>
      <c r="F16" s="99">
        <v>858814</v>
      </c>
      <c r="G16" s="99">
        <f>SUMIFS('5月份挂账'!Q:Q,'5月份挂账'!S:S,A16)-SUMIFS('5月份挂账'!P:P,'5月份挂账'!S:S,A16)</f>
        <v>535188</v>
      </c>
      <c r="H16" s="99">
        <f>SUMIFS('6月份挂账'!$Q:$Q,'6月份挂账'!$S:$S,$A16)-SUMIFS('6月份挂账'!$P:$P,'6月份挂账'!$S:$S,$A16)</f>
        <v>105955.16</v>
      </c>
      <c r="I16" s="100">
        <f t="shared" si="1"/>
        <v>0</v>
      </c>
      <c r="J16" s="99"/>
    </row>
    <row r="17" customHeight="1" spans="1:10">
      <c r="A17" s="97" t="s">
        <v>252</v>
      </c>
      <c r="B17" s="42" t="str">
        <f>IFERROR(_xlfn.XLOOKUP('6月份计划'!A17,[5]UNEA!$B:$B,[5]UNEA!$B:$B),IFERROR(_xlfn.XLOOKUP('6月份计划'!A17,[5]MRHK!$B:$B,[5]MRHK!$B:$B),IFERROR(_xlfn.XLOOKUP('6月份计划'!A17,[5]MRHB!$B:$B,[5]MRHB!$B:$B),IFERROR(_xlfn.XLOOKUP('6月份计划'!A17,[5]HA6H!$B:$B,[5]HA6H!$B:$B),IFERROR(_xlfn.XLOOKUP('6月份计划'!A17,[5]HA6H!$B:$B,[5]HA6H!$B:$B)," ")))))</f>
        <v> </v>
      </c>
      <c r="C17" s="98">
        <f>SUMIFS('6月份科目余额表'!O:O,'6月份科目余额表'!D:D,A17)</f>
        <v>206828.21</v>
      </c>
      <c r="E17" s="98">
        <f t="shared" si="0"/>
        <v>206828.21</v>
      </c>
      <c r="F17" s="99">
        <v>43896.33</v>
      </c>
      <c r="G17" s="99">
        <f>SUMIFS('5月份挂账'!Q:Q,'5月份挂账'!S:S,A17)-SUMIFS('5月份挂账'!P:P,'5月份挂账'!S:S,A17)</f>
        <v>66799.53</v>
      </c>
      <c r="H17" s="99">
        <f>SUMIFS('6月份挂账'!$Q:$Q,'6月份挂账'!$S:$S,$A17)-SUMIFS('6月份挂账'!$P:$P,'6月份挂账'!$S:$S,$A17)</f>
        <v>72307.87</v>
      </c>
      <c r="I17" s="100">
        <f t="shared" si="1"/>
        <v>96132.35</v>
      </c>
      <c r="J17" s="99"/>
    </row>
    <row r="18" ht="20" customHeight="1" spans="1:10">
      <c r="A18" s="97" t="s">
        <v>253</v>
      </c>
      <c r="B18" s="42" t="str">
        <f>IFERROR(_xlfn.XLOOKUP('6月份计划'!A18,[5]UNEA!$B:$B,[5]UNEA!$B:$B),IFERROR(_xlfn.XLOOKUP('6月份计划'!A18,[5]MRHK!$B:$B,[5]MRHK!$B:$B),IFERROR(_xlfn.XLOOKUP('6月份计划'!A18,[5]MRHB!$B:$B,[5]MRHB!$B:$B),IFERROR(_xlfn.XLOOKUP('6月份计划'!A18,[5]HA6H!$B:$B,[5]HA6H!$B:$B),IFERROR(_xlfn.XLOOKUP('6月份计划'!A18,[5]HA6H!$B:$B,[5]HA6H!$B:$B)," ")))))</f>
        <v> </v>
      </c>
      <c r="C18" s="98">
        <f>SUMIFS('6月份科目余额表'!O:O,'6月份科目余额表'!D:D,A18)</f>
        <v>464945.18</v>
      </c>
      <c r="E18" s="98">
        <f t="shared" si="0"/>
        <v>464945.18</v>
      </c>
      <c r="F18" s="99">
        <v>78372.55</v>
      </c>
      <c r="G18" s="99">
        <f>SUMIFS('5月份挂账'!Q:Q,'5月份挂账'!S:S,A18)-SUMIFS('5月份挂账'!P:P,'5月份挂账'!S:S,A18)</f>
        <v>0</v>
      </c>
      <c r="H18" s="99">
        <f>SUMIFS('6月份挂账'!$Q:$Q,'6月份挂账'!$S:$S,$A18)-SUMIFS('6月份挂账'!$P:$P,'6月份挂账'!$S:$S,$A18)</f>
        <v>276975.65</v>
      </c>
      <c r="I18" s="100">
        <f t="shared" si="1"/>
        <v>386572.63</v>
      </c>
      <c r="J18" s="99"/>
    </row>
    <row r="19" customHeight="1" spans="1:10">
      <c r="A19" s="97" t="s">
        <v>254</v>
      </c>
      <c r="B19" s="42" t="str">
        <f>IFERROR(_xlfn.XLOOKUP('6月份计划'!A19,[5]UNEA!$B:$B,[5]UNEA!$B:$B),IFERROR(_xlfn.XLOOKUP('6月份计划'!A19,[5]MRHK!$B:$B,[5]MRHK!$B:$B),IFERROR(_xlfn.XLOOKUP('6月份计划'!A19,[5]MRHB!$B:$B,[5]MRHB!$B:$B),IFERROR(_xlfn.XLOOKUP('6月份计划'!A19,[5]HA6H!$B:$B,[5]HA6H!$B:$B),IFERROR(_xlfn.XLOOKUP('6月份计划'!A19,[5]HA6H!$B:$B,[5]HA6H!$B:$B)," ")))))</f>
        <v> </v>
      </c>
      <c r="C19" s="98">
        <f>SUMIFS('6月份科目余额表'!O:O,'6月份科目余额表'!D:D,A19)</f>
        <v>889206.37</v>
      </c>
      <c r="E19" s="98">
        <f t="shared" si="0"/>
        <v>889206.37</v>
      </c>
      <c r="F19" s="99">
        <v>359871.3</v>
      </c>
      <c r="G19" s="99">
        <v>360342.68</v>
      </c>
      <c r="H19" s="99">
        <f>SUMIFS('6月份挂账'!$Q:$Q,'6月份挂账'!$S:$S,$A19)-SUMIFS('6月份挂账'!$P:$P,'6月份挂账'!$S:$S,$A19)</f>
        <v>450609.52</v>
      </c>
      <c r="I19" s="100">
        <f t="shared" ref="I19:I78" si="2">IF(E19-G19-H19&gt;0,E19-G19-H19,0)</f>
        <v>78254.1699999999</v>
      </c>
      <c r="J19" s="99"/>
    </row>
    <row r="20" customHeight="1" spans="1:10">
      <c r="A20" s="97" t="s">
        <v>255</v>
      </c>
      <c r="B20" s="42" t="str">
        <f>IFERROR(_xlfn.XLOOKUP('6月份计划'!A20,[5]UNEA!$B:$B,[5]UNEA!$B:$B),IFERROR(_xlfn.XLOOKUP('6月份计划'!A20,[5]MRHK!$B:$B,[5]MRHK!$B:$B),IFERROR(_xlfn.XLOOKUP('6月份计划'!A20,[5]MRHB!$B:$B,[5]MRHB!$B:$B),IFERROR(_xlfn.XLOOKUP('6月份计划'!A20,[5]HA6H!$B:$B,[5]HA6H!$B:$B),IFERROR(_xlfn.XLOOKUP('6月份计划'!A20,[5]HA6H!$B:$B,[5]HA6H!$B:$B)," ")))))</f>
        <v> </v>
      </c>
      <c r="C20" s="98">
        <f>SUMIFS('6月份科目余额表'!O:O,'6月份科目余额表'!D:D,A20)</f>
        <v>76429.75</v>
      </c>
      <c r="E20" s="98">
        <f t="shared" si="0"/>
        <v>76429.75</v>
      </c>
      <c r="F20" s="99">
        <v>26370.67</v>
      </c>
      <c r="G20" s="99">
        <f>SUMIFS('5月份挂账'!Q:Q,'5月份挂账'!S:S,A20)-SUMIFS('5月份挂账'!P:P,'5月份挂账'!S:S,A20)</f>
        <v>109.75</v>
      </c>
      <c r="H20" s="99">
        <f>SUMIFS('6月份挂账'!$Q:$Q,'6月份挂账'!$S:$S,$A20)-SUMIFS('6月份挂账'!$P:$P,'6月份挂账'!$S:$S,$A20)</f>
        <v>49949.33</v>
      </c>
      <c r="I20" s="100">
        <f t="shared" si="2"/>
        <v>26370.67</v>
      </c>
      <c r="J20" s="99"/>
    </row>
    <row r="21" customHeight="1" spans="1:10">
      <c r="A21" s="97" t="s">
        <v>256</v>
      </c>
      <c r="B21" s="42" t="str">
        <f>IFERROR(_xlfn.XLOOKUP('6月份计划'!A21,[5]UNEA!$B:$B,[5]UNEA!$B:$B),IFERROR(_xlfn.XLOOKUP('6月份计划'!A21,[5]MRHK!$B:$B,[5]MRHK!$B:$B),IFERROR(_xlfn.XLOOKUP('6月份计划'!A21,[5]MRHB!$B:$B,[5]MRHB!$B:$B),IFERROR(_xlfn.XLOOKUP('6月份计划'!A21,[5]HA6H!$B:$B,[5]HA6H!$B:$B),IFERROR(_xlfn.XLOOKUP('6月份计划'!A21,[5]HA6H!$B:$B,[5]HA6H!$B:$B)," ")))))</f>
        <v>湘乡简美工贸有限公司</v>
      </c>
      <c r="C21" s="98">
        <f>SUMIFS('6月份科目余额表'!O:O,'6月份科目余额表'!D:D,A21)</f>
        <v>3007431.14</v>
      </c>
      <c r="D21" s="98">
        <v>898380.94</v>
      </c>
      <c r="E21" s="98">
        <f t="shared" si="0"/>
        <v>2109050.2</v>
      </c>
      <c r="F21" s="99">
        <v>2397570.52</v>
      </c>
      <c r="G21" s="99">
        <f>SUMIFS('5月份挂账'!Q:Q,'5月份挂账'!S:S,A21)-SUMIFS('5月份挂账'!P:P,'5月份挂账'!S:S,A21)</f>
        <v>1290523.89</v>
      </c>
      <c r="H21" s="99">
        <f>SUMIFS('6月份挂账'!$Q:$Q,'6月份挂账'!$S:$S,$A21)-SUMIFS('6月份挂账'!$P:$P,'6月份挂账'!$S:$S,$A21)</f>
        <v>814718.94</v>
      </c>
      <c r="I21" s="100">
        <f t="shared" si="2"/>
        <v>3807.37000000034</v>
      </c>
      <c r="J21" s="99"/>
    </row>
    <row r="22" customHeight="1" spans="1:10">
      <c r="A22" s="97" t="s">
        <v>257</v>
      </c>
      <c r="B22" s="42" t="str">
        <f>IFERROR(_xlfn.XLOOKUP('6月份计划'!A22,[5]UNEA!$B:$B,[5]UNEA!$B:$B),IFERROR(_xlfn.XLOOKUP('6月份计划'!A22,[5]MRHK!$B:$B,[5]MRHK!$B:$B),IFERROR(_xlfn.XLOOKUP('6月份计划'!A22,[5]MRHB!$B:$B,[5]MRHB!$B:$B),IFERROR(_xlfn.XLOOKUP('6月份计划'!A22,[5]HA6H!$B:$B,[5]HA6H!$B:$B),IFERROR(_xlfn.XLOOKUP('6月份计划'!A22,[5]HA6H!$B:$B,[5]HA6H!$B:$B)," ")))))</f>
        <v> </v>
      </c>
      <c r="C22" s="98">
        <f>SUMIFS('6月份科目余额表'!O:O,'6月份科目余额表'!D:D,A22)</f>
        <v>-39.99</v>
      </c>
      <c r="E22" s="98">
        <f t="shared" si="0"/>
        <v>-39.99</v>
      </c>
      <c r="F22" s="99">
        <v>0</v>
      </c>
      <c r="G22" s="99">
        <f>SUMIFS('5月份挂账'!Q:Q,'5月份挂账'!S:S,A22)-SUMIFS('5月份挂账'!P:P,'5月份挂账'!S:S,A22)</f>
        <v>288131.92</v>
      </c>
      <c r="H22" s="99">
        <f>SUMIFS('6月份挂账'!$Q:$Q,'6月份挂账'!$S:$S,$A22)-SUMIFS('6月份挂账'!$P:$P,'6月份挂账'!$S:$S,$A22)</f>
        <v>0</v>
      </c>
      <c r="I22" s="100">
        <f t="shared" si="2"/>
        <v>0</v>
      </c>
      <c r="J22" s="99"/>
    </row>
    <row r="23" customHeight="1" spans="1:10">
      <c r="A23" s="97" t="s">
        <v>258</v>
      </c>
      <c r="B23" s="42" t="str">
        <f>IFERROR(_xlfn.XLOOKUP('6月份计划'!A23,[5]UNEA!$B:$B,[5]UNEA!$B:$B),IFERROR(_xlfn.XLOOKUP('6月份计划'!A23,[5]MRHK!$B:$B,[5]MRHK!$B:$B),IFERROR(_xlfn.XLOOKUP('6月份计划'!A23,[5]MRHB!$B:$B,[5]MRHB!$B:$B),IFERROR(_xlfn.XLOOKUP('6月份计划'!A23,[5]HA6H!$B:$B,[5]HA6H!$B:$B),IFERROR(_xlfn.XLOOKUP('6月份计划'!A23,[5]HA6H!$B:$B,[5]HA6H!$B:$B)," ")))))</f>
        <v> </v>
      </c>
      <c r="C23" s="98">
        <f>SUMIFS('6月份科目余额表'!O:O,'6月份科目余额表'!D:D,A23)</f>
        <v>747759.53</v>
      </c>
      <c r="D23" s="98">
        <v>350596.84</v>
      </c>
      <c r="E23" s="98">
        <f t="shared" si="0"/>
        <v>397162.69</v>
      </c>
      <c r="F23" s="99">
        <v>151737.12</v>
      </c>
      <c r="G23" s="99">
        <f>SUMIFS('5月份挂账'!Q:Q,'5月份挂账'!S:S,A23)-SUMIFS('5月份挂账'!P:P,'5月份挂账'!S:S,A23)</f>
        <v>397162.69</v>
      </c>
      <c r="H23" s="99">
        <f>SUMIFS('6月份挂账'!$Q:$Q,'6月份挂账'!$S:$S,$A23)-SUMIFS('6月份挂账'!$P:$P,'6月份挂账'!$S:$S,$A23)</f>
        <v>0</v>
      </c>
      <c r="I23" s="100">
        <f t="shared" si="2"/>
        <v>0</v>
      </c>
      <c r="J23" s="99"/>
    </row>
    <row r="24" customHeight="1" spans="1:10">
      <c r="A24" s="97" t="s">
        <v>259</v>
      </c>
      <c r="B24" s="42" t="str">
        <f>IFERROR(_xlfn.XLOOKUP('6月份计划'!A24,[5]UNEA!$B:$B,[5]UNEA!$B:$B),IFERROR(_xlfn.XLOOKUP('6月份计划'!A24,[5]MRHK!$B:$B,[5]MRHK!$B:$B),IFERROR(_xlfn.XLOOKUP('6月份计划'!A24,[5]MRHB!$B:$B,[5]MRHB!$B:$B),IFERROR(_xlfn.XLOOKUP('6月份计划'!A24,[5]HA6H!$B:$B,[5]HA6H!$B:$B),IFERROR(_xlfn.XLOOKUP('6月份计划'!A24,[5]HA6H!$B:$B,[5]HA6H!$B:$B)," ")))))</f>
        <v> </v>
      </c>
      <c r="C24" s="98">
        <f>SUMIFS('6月份科目余额表'!O:O,'6月份科目余额表'!D:D,A24)</f>
        <v>957800.62</v>
      </c>
      <c r="D24" s="98">
        <v>150000</v>
      </c>
      <c r="E24" s="98">
        <f t="shared" si="0"/>
        <v>807800.62</v>
      </c>
      <c r="F24" s="99">
        <v>602040.01</v>
      </c>
      <c r="G24" s="99">
        <f>SUMIFS('5月份挂账'!Q:Q,'5月份挂账'!S:S,A24)-SUMIFS('5月份挂账'!P:P,'5月份挂账'!S:S,A24)</f>
        <v>27553.92</v>
      </c>
      <c r="H24" s="99">
        <f>SUMIFS('6月份挂账'!$Q:$Q,'6月份挂账'!$S:$S,$A24)-SUMIFS('6月份挂账'!$P:$P,'6月份挂账'!$S:$S,$A24)</f>
        <v>50996.9</v>
      </c>
      <c r="I24" s="100">
        <f t="shared" si="2"/>
        <v>729249.8</v>
      </c>
      <c r="J24" s="99"/>
    </row>
    <row r="25" customHeight="1" spans="1:10">
      <c r="A25" s="97" t="s">
        <v>299</v>
      </c>
      <c r="B25" s="42" t="str">
        <f>IFERROR(_xlfn.XLOOKUP('6月份计划'!A25,[5]UNEA!$B:$B,[5]UNEA!$B:$B),IFERROR(_xlfn.XLOOKUP('6月份计划'!A25,[5]MRHK!$B:$B,[5]MRHK!$B:$B),IFERROR(_xlfn.XLOOKUP('6月份计划'!A25,[5]MRHB!$B:$B,[5]MRHB!$B:$B),IFERROR(_xlfn.XLOOKUP('6月份计划'!A25,[5]HA6H!$B:$B,[5]HA6H!$B:$B),IFERROR(_xlfn.XLOOKUP('6月份计划'!A25,[5]HA6H!$B:$B,[5]HA6H!$B:$B)," ")))))</f>
        <v> </v>
      </c>
      <c r="C25" s="98">
        <f>SUMIFS('6月份科目余额表'!O:O,'6月份科目余额表'!D:D,A25)</f>
        <v>735340.16</v>
      </c>
      <c r="D25" s="98">
        <v>505612</v>
      </c>
      <c r="E25" s="98">
        <f t="shared" si="0"/>
        <v>229728.16</v>
      </c>
      <c r="F25" s="99">
        <v>297960.15</v>
      </c>
      <c r="G25" s="99">
        <f>SUMIFS('5月份挂账'!Q:Q,'5月份挂账'!S:S,A25)-SUMIFS('5月份挂账'!P:P,'5月份挂账'!S:S,A25)</f>
        <v>229728.16</v>
      </c>
      <c r="H25" s="99">
        <f>SUMIFS('6月份挂账'!$Q:$Q,'6月份挂账'!$S:$S,$A25)-SUMIFS('6月份挂账'!$P:$P,'6月份挂账'!$S:$S,$A25)</f>
        <v>0</v>
      </c>
      <c r="I25" s="100">
        <f t="shared" si="2"/>
        <v>0</v>
      </c>
      <c r="J25" s="99"/>
    </row>
    <row r="26" customHeight="1" spans="1:10">
      <c r="A26" s="97" t="s">
        <v>260</v>
      </c>
      <c r="B26" s="42" t="str">
        <f>IFERROR(_xlfn.XLOOKUP('6月份计划'!A26,[5]UNEA!$B:$B,[5]UNEA!$B:$B),IFERROR(_xlfn.XLOOKUP('6月份计划'!A26,[5]MRHK!$B:$B,[5]MRHK!$B:$B),IFERROR(_xlfn.XLOOKUP('6月份计划'!A26,[5]MRHB!$B:$B,[5]MRHB!$B:$B),IFERROR(_xlfn.XLOOKUP('6月份计划'!A26,[5]HA6H!$B:$B,[5]HA6H!$B:$B),IFERROR(_xlfn.XLOOKUP('6月份计划'!A26,[5]HA6H!$B:$B,[5]HA6H!$B:$B)," ")))))</f>
        <v> </v>
      </c>
      <c r="C26" s="98">
        <f>SUMIFS('6月份科目余额表'!O:O,'6月份科目余额表'!D:D,A26)</f>
        <v>279407.59</v>
      </c>
      <c r="E26" s="98">
        <f t="shared" si="0"/>
        <v>279407.59</v>
      </c>
      <c r="F26" s="99">
        <v>0</v>
      </c>
      <c r="G26" s="99">
        <f>SUMIFS('5月份挂账'!Q:Q,'5月份挂账'!S:S,A26)-SUMIFS('5月份挂账'!P:P,'5月份挂账'!S:S,A26)</f>
        <v>109250.54</v>
      </c>
      <c r="H26" s="99">
        <f>SUMIFS('6月份挂账'!$Q:$Q,'6月份挂账'!$S:$S,$A26)-SUMIFS('6月份挂账'!$P:$P,'6月份挂账'!$S:$S,$A26)</f>
        <v>35218.55</v>
      </c>
      <c r="I26" s="100">
        <f t="shared" si="2"/>
        <v>134938.5</v>
      </c>
      <c r="J26" s="99"/>
    </row>
    <row r="27" customHeight="1" spans="1:10">
      <c r="A27" s="97" t="s">
        <v>261</v>
      </c>
      <c r="B27" s="42" t="str">
        <f>IFERROR(_xlfn.XLOOKUP('6月份计划'!A27,[5]UNEA!$B:$B,[5]UNEA!$B:$B),IFERROR(_xlfn.XLOOKUP('6月份计划'!A27,[5]MRHK!$B:$B,[5]MRHK!$B:$B),IFERROR(_xlfn.XLOOKUP('6月份计划'!A27,[5]MRHB!$B:$B,[5]MRHB!$B:$B),IFERROR(_xlfn.XLOOKUP('6月份计划'!A27,[5]HA6H!$B:$B,[5]HA6H!$B:$B),IFERROR(_xlfn.XLOOKUP('6月份计划'!A27,[5]HA6H!$B:$B,[5]HA6H!$B:$B)," ")))))</f>
        <v> </v>
      </c>
      <c r="C27" s="98">
        <f>SUMIFS('6月份科目余额表'!O:O,'6月份科目余额表'!D:D,A27)</f>
        <v>414985.11</v>
      </c>
      <c r="E27" s="98">
        <f t="shared" si="0"/>
        <v>414985.11</v>
      </c>
      <c r="F27" s="99">
        <v>373979</v>
      </c>
      <c r="G27" s="99">
        <f>SUMIFS('5月份挂账'!Q:Q,'5月份挂账'!S:S,A27)-SUMIFS('5月份挂账'!P:P,'5月份挂账'!S:S,A27)</f>
        <v>337409.5</v>
      </c>
      <c r="H27" s="99">
        <f>SUMIFS('6月份挂账'!$Q:$Q,'6月份挂账'!$S:$S,$A27)-SUMIFS('6月份挂账'!$P:$P,'6月份挂账'!$S:$S,$A27)</f>
        <v>0</v>
      </c>
      <c r="I27" s="100">
        <f t="shared" si="2"/>
        <v>77575.61</v>
      </c>
      <c r="J27" s="99"/>
    </row>
    <row r="28" customHeight="1" spans="1:10">
      <c r="A28" s="97" t="s">
        <v>262</v>
      </c>
      <c r="B28" s="42" t="str">
        <f>IFERROR(_xlfn.XLOOKUP('6月份计划'!A28,[5]UNEA!$B:$B,[5]UNEA!$B:$B),IFERROR(_xlfn.XLOOKUP('6月份计划'!A28,[5]MRHK!$B:$B,[5]MRHK!$B:$B),IFERROR(_xlfn.XLOOKUP('6月份计划'!A28,[5]MRHB!$B:$B,[5]MRHB!$B:$B),IFERROR(_xlfn.XLOOKUP('6月份计划'!A28,[5]HA6H!$B:$B,[5]HA6H!$B:$B),IFERROR(_xlfn.XLOOKUP('6月份计划'!A28,[5]HA6H!$B:$B,[5]HA6H!$B:$B)," ")))))</f>
        <v> </v>
      </c>
      <c r="C28" s="98">
        <f>SUMIFS('6月份科目余额表'!O:O,'6月份科目余额表'!D:D,A28)</f>
        <v>879103.74</v>
      </c>
      <c r="E28" s="98">
        <f t="shared" si="0"/>
        <v>879103.74</v>
      </c>
      <c r="F28" s="99">
        <v>0</v>
      </c>
      <c r="G28" s="99">
        <f>SUMIFS('5月份挂账'!Q:Q,'5月份挂账'!S:S,A28)-SUMIFS('5月份挂账'!P:P,'5月份挂账'!S:S,A28)</f>
        <v>0</v>
      </c>
      <c r="H28" s="99">
        <f>SUMIFS('6月份挂账'!$Q:$Q,'6月份挂账'!$S:$S,$A28)-SUMIFS('6月份挂账'!$P:$P,'6月份挂账'!$S:$S,$A28)</f>
        <v>606664.74</v>
      </c>
      <c r="I28" s="100">
        <f t="shared" si="2"/>
        <v>272439</v>
      </c>
      <c r="J28" s="99"/>
    </row>
    <row r="29" customHeight="1" spans="1:10">
      <c r="A29" s="97" t="s">
        <v>263</v>
      </c>
      <c r="B29" s="42" t="str">
        <f>IFERROR(_xlfn.XLOOKUP('6月份计划'!A29,[5]UNEA!$B:$B,[5]UNEA!$B:$B),IFERROR(_xlfn.XLOOKUP('6月份计划'!A29,[5]MRHK!$B:$B,[5]MRHK!$B:$B),IFERROR(_xlfn.XLOOKUP('6月份计划'!A29,[5]MRHB!$B:$B,[5]MRHB!$B:$B),IFERROR(_xlfn.XLOOKUP('6月份计划'!A29,[5]HA6H!$B:$B,[5]HA6H!$B:$B),IFERROR(_xlfn.XLOOKUP('6月份计划'!A29,[5]HA6H!$B:$B,[5]HA6H!$B:$B)," ")))))</f>
        <v>武汉德锐隆科技有限公司</v>
      </c>
      <c r="C29" s="98">
        <f>SUMIFS('6月份科目余额表'!O:O,'6月份科目余额表'!D:D,A29)</f>
        <v>394126.29</v>
      </c>
      <c r="D29" s="98">
        <v>150000</v>
      </c>
      <c r="E29" s="98">
        <f t="shared" si="0"/>
        <v>244126.29</v>
      </c>
      <c r="F29" s="99">
        <v>108743.09</v>
      </c>
      <c r="G29" s="99">
        <v>132805.98</v>
      </c>
      <c r="H29" s="99">
        <f>SUMIFS('6月份挂账'!$Q:$Q,'6月份挂账'!$S:$S,$A29)-SUMIFS('6月份挂账'!$P:$P,'6月份挂账'!$S:$S,$A29)</f>
        <v>149909.42</v>
      </c>
      <c r="I29" s="100">
        <f t="shared" si="2"/>
        <v>0</v>
      </c>
      <c r="J29" s="99"/>
    </row>
    <row r="30" customHeight="1" spans="1:10">
      <c r="A30" s="97" t="s">
        <v>264</v>
      </c>
      <c r="B30" s="42" t="str">
        <f>IFERROR(_xlfn.XLOOKUP('6月份计划'!A30,[5]UNEA!$B:$B,[5]UNEA!$B:$B),IFERROR(_xlfn.XLOOKUP('6月份计划'!A30,[5]MRHK!$B:$B,[5]MRHK!$B:$B),IFERROR(_xlfn.XLOOKUP('6月份计划'!A30,[5]MRHB!$B:$B,[5]MRHB!$B:$B),IFERROR(_xlfn.XLOOKUP('6月份计划'!A30,[5]HA6H!$B:$B,[5]HA6H!$B:$B),IFERROR(_xlfn.XLOOKUP('6月份计划'!A30,[5]HA6H!$B:$B,[5]HA6H!$B:$B)," ")))))</f>
        <v> </v>
      </c>
      <c r="C30" s="98">
        <f>SUMIFS('6月份科目余额表'!O:O,'6月份科目余额表'!D:D,A30)</f>
        <v>2589780.58</v>
      </c>
      <c r="D30" s="98">
        <v>390000</v>
      </c>
      <c r="E30" s="98">
        <f t="shared" si="0"/>
        <v>2199780.58</v>
      </c>
      <c r="F30" s="99">
        <v>473708.12</v>
      </c>
      <c r="G30" s="99">
        <f>SUMIFS('5月份挂账'!Q:Q,'5月份挂账'!S:S,A30)-SUMIFS('5月份挂账'!P:P,'5月份挂账'!S:S,A30)</f>
        <v>661592.91</v>
      </c>
      <c r="H30" s="99">
        <f>SUMIFS('6月份挂账'!$Q:$Q,'6月份挂账'!$S:$S,$A30)-SUMIFS('6月份挂账'!$P:$P,'6月份挂账'!$S:$S,$A30)</f>
        <v>393473.55</v>
      </c>
      <c r="I30" s="100">
        <f t="shared" si="2"/>
        <v>1144714.12</v>
      </c>
      <c r="J30" s="99"/>
    </row>
    <row r="31" customHeight="1" spans="1:10">
      <c r="A31" s="97" t="s">
        <v>265</v>
      </c>
      <c r="B31" s="42" t="str">
        <f>IFERROR(_xlfn.XLOOKUP('6月份计划'!A31,[5]UNEA!$B:$B,[5]UNEA!$B:$B),IFERROR(_xlfn.XLOOKUP('6月份计划'!A31,[5]MRHK!$B:$B,[5]MRHK!$B:$B),IFERROR(_xlfn.XLOOKUP('6月份计划'!A31,[5]MRHB!$B:$B,[5]MRHB!$B:$B),IFERROR(_xlfn.XLOOKUP('6月份计划'!A31,[5]HA6H!$B:$B,[5]HA6H!$B:$B),IFERROR(_xlfn.XLOOKUP('6月份计划'!A31,[5]HA6H!$B:$B,[5]HA6H!$B:$B)," ")))))</f>
        <v> </v>
      </c>
      <c r="C31" s="98">
        <f>SUMIFS('6月份科目余额表'!O:O,'6月份科目余额表'!D:D,A31)</f>
        <v>3840730.44</v>
      </c>
      <c r="D31" s="98">
        <v>1000000</v>
      </c>
      <c r="E31" s="98">
        <f t="shared" si="0"/>
        <v>2840730.44</v>
      </c>
      <c r="F31" s="99">
        <v>1104886.22</v>
      </c>
      <c r="G31" s="99">
        <f>SUMIFS('5月份挂账'!Q:Q,'5月份挂账'!S:S,A31)-SUMIFS('5月份挂账'!P:P,'5月份挂账'!S:S,A31)</f>
        <v>687393.4</v>
      </c>
      <c r="H31" s="99">
        <f>SUMIFS('6月份挂账'!$Q:$Q,'6月份挂账'!$S:$S,$A31)-SUMIFS('6月份挂账'!$P:$P,'6月份挂账'!$S:$S,$A31)</f>
        <v>704372.64</v>
      </c>
      <c r="I31" s="100">
        <f t="shared" si="2"/>
        <v>1448964.4</v>
      </c>
      <c r="J31" s="99"/>
    </row>
    <row r="32" customHeight="1" spans="1:10">
      <c r="A32" s="97" t="s">
        <v>267</v>
      </c>
      <c r="B32" s="42" t="str">
        <f>IFERROR(_xlfn.XLOOKUP('6月份计划'!A32,[5]UNEA!$B:$B,[5]UNEA!$B:$B),IFERROR(_xlfn.XLOOKUP('6月份计划'!A32,[5]MRHK!$B:$B,[5]MRHK!$B:$B),IFERROR(_xlfn.XLOOKUP('6月份计划'!A32,[5]MRHB!$B:$B,[5]MRHB!$B:$B),IFERROR(_xlfn.XLOOKUP('6月份计划'!A32,[5]HA6H!$B:$B,[5]HA6H!$B:$B),IFERROR(_xlfn.XLOOKUP('6月份计划'!A32,[5]HA6H!$B:$B,[5]HA6H!$B:$B)," ")))))</f>
        <v> </v>
      </c>
      <c r="C32" s="98">
        <f>SUMIFS('6月份科目余额表'!O:O,'6月份科目余额表'!D:D,A32)</f>
        <v>29851.5</v>
      </c>
      <c r="D32" s="98">
        <v>5000</v>
      </c>
      <c r="E32" s="98">
        <f t="shared" si="0"/>
        <v>24851.5</v>
      </c>
      <c r="F32" s="99">
        <v>6960.35</v>
      </c>
      <c r="G32" s="99">
        <f>SUMIFS('5月份挂账'!Q:Q,'5月份挂账'!S:S,A32)-SUMIFS('5月份挂账'!P:P,'5月份挂账'!S:S,A32)</f>
        <v>5640.28</v>
      </c>
      <c r="H32" s="99">
        <f>SUMIFS('6月份挂账'!$Q:$Q,'6月份挂账'!$S:$S,$A32)-SUMIFS('6月份挂账'!$P:$P,'6月份挂账'!$S:$S,$A32)</f>
        <v>4350.22</v>
      </c>
      <c r="I32" s="100">
        <f t="shared" si="2"/>
        <v>14861</v>
      </c>
      <c r="J32" s="99"/>
    </row>
    <row r="33" customHeight="1" spans="1:10">
      <c r="A33" s="97" t="s">
        <v>268</v>
      </c>
      <c r="B33" s="42" t="str">
        <f>IFERROR(_xlfn.XLOOKUP('6月份计划'!A33,[5]UNEA!$B:$B,[5]UNEA!$B:$B),IFERROR(_xlfn.XLOOKUP('6月份计划'!A33,[5]MRHK!$B:$B,[5]MRHK!$B:$B),IFERROR(_xlfn.XLOOKUP('6月份计划'!A33,[5]MRHB!$B:$B,[5]MRHB!$B:$B),IFERROR(_xlfn.XLOOKUP('6月份计划'!A33,[5]HA6H!$B:$B,[5]HA6H!$B:$B),IFERROR(_xlfn.XLOOKUP('6月份计划'!A33,[5]HA6H!$B:$B,[5]HA6H!$B:$B)," ")))))</f>
        <v> </v>
      </c>
      <c r="C33" s="98">
        <f>SUMIFS('6月份科目余额表'!O:O,'6月份科目余额表'!D:D,A33)</f>
        <v>37593.75</v>
      </c>
      <c r="D33" s="98">
        <v>25060.5</v>
      </c>
      <c r="E33" s="98">
        <f t="shared" si="0"/>
        <v>12533.25</v>
      </c>
      <c r="F33" s="99">
        <v>0</v>
      </c>
      <c r="G33" s="99">
        <f>SUMIFS('5月份挂账'!Q:Q,'5月份挂账'!S:S,A33)-SUMIFS('5月份挂账'!P:P,'5月份挂账'!S:S,A33)</f>
        <v>0</v>
      </c>
      <c r="H33" s="99">
        <f>SUMIFS('6月份挂账'!$Q:$Q,'6月份挂账'!$S:$S,$A33)-SUMIFS('6月份挂账'!$P:$P,'6月份挂账'!$S:$S,$A33)</f>
        <v>12531.25</v>
      </c>
      <c r="I33" s="100">
        <f t="shared" si="2"/>
        <v>2</v>
      </c>
      <c r="J33" s="99"/>
    </row>
    <row r="34" customHeight="1" spans="1:10">
      <c r="A34" s="97" t="s">
        <v>300</v>
      </c>
      <c r="B34" s="42" t="str">
        <f>IFERROR(_xlfn.XLOOKUP('6月份计划'!A34,[5]UNEA!$B:$B,[5]UNEA!$B:$B),IFERROR(_xlfn.XLOOKUP('6月份计划'!A34,[5]MRHK!$B:$B,[5]MRHK!$B:$B),IFERROR(_xlfn.XLOOKUP('6月份计划'!A34,[5]MRHB!$B:$B,[5]MRHB!$B:$B),IFERROR(_xlfn.XLOOKUP('6月份计划'!A34,[5]HA6H!$B:$B,[5]HA6H!$B:$B),IFERROR(_xlfn.XLOOKUP('6月份计划'!A34,[5]HA6H!$B:$B,[5]HA6H!$B:$B)," ")))))</f>
        <v> </v>
      </c>
      <c r="C34" s="98">
        <f>SUMIFS('6月份科目余额表'!O:O,'6月份科目余额表'!D:D,A34)</f>
        <v>153442.7</v>
      </c>
      <c r="E34" s="98">
        <f t="shared" si="0"/>
        <v>153442.7</v>
      </c>
      <c r="F34" s="99">
        <v>94614.9</v>
      </c>
      <c r="G34" s="99">
        <f>SUMIFS('5月份挂账'!Q:Q,'5月份挂账'!S:S,A34)-SUMIFS('5月份挂账'!P:P,'5月份挂账'!S:S,A34)</f>
        <v>45708.5</v>
      </c>
      <c r="H34" s="99">
        <f>SUMIFS('6月份挂账'!$Q:$Q,'6月份挂账'!$S:$S,$A34)-SUMIFS('6月份挂账'!$P:$P,'6月份挂账'!$S:$S,$A34)</f>
        <v>13119.3</v>
      </c>
      <c r="I34" s="100">
        <f t="shared" si="2"/>
        <v>94614.9</v>
      </c>
      <c r="J34" s="99"/>
    </row>
    <row r="35" customHeight="1" spans="1:10">
      <c r="A35" s="97" t="s">
        <v>301</v>
      </c>
      <c r="B35" s="42" t="str">
        <f>IFERROR(_xlfn.XLOOKUP('6月份计划'!A35,[5]UNEA!$B:$B,[5]UNEA!$B:$B),IFERROR(_xlfn.XLOOKUP('6月份计划'!A35,[5]MRHK!$B:$B,[5]MRHK!$B:$B),IFERROR(_xlfn.XLOOKUP('6月份计划'!A35,[5]MRHB!$B:$B,[5]MRHB!$B:$B),IFERROR(_xlfn.XLOOKUP('6月份计划'!A35,[5]HA6H!$B:$B,[5]HA6H!$B:$B),IFERROR(_xlfn.XLOOKUP('6月份计划'!A35,[5]HA6H!$B:$B,[5]HA6H!$B:$B)," ")))))</f>
        <v> </v>
      </c>
      <c r="C35" s="98">
        <f>SUMIFS('6月份科目余额表'!O:O,'6月份科目余额表'!D:D,A35)</f>
        <v>3368.22</v>
      </c>
      <c r="D35" s="98">
        <v>3368.22</v>
      </c>
      <c r="E35" s="98">
        <f t="shared" si="0"/>
        <v>0</v>
      </c>
      <c r="F35" s="99">
        <v>0</v>
      </c>
      <c r="G35" s="99">
        <f>SUMIFS('5月份挂账'!Q:Q,'5月份挂账'!S:S,A35)-SUMIFS('5月份挂账'!P:P,'5月份挂账'!S:S,A35)</f>
        <v>0</v>
      </c>
      <c r="H35" s="99">
        <f>SUMIFS('6月份挂账'!$Q:$Q,'6月份挂账'!$S:$S,$A35)-SUMIFS('6月份挂账'!$P:$P,'6月份挂账'!$S:$S,$A35)</f>
        <v>0</v>
      </c>
      <c r="I35" s="100">
        <f t="shared" si="2"/>
        <v>0</v>
      </c>
      <c r="J35" s="99"/>
    </row>
    <row r="36" customHeight="1" spans="1:10">
      <c r="A36" s="97" t="s">
        <v>269</v>
      </c>
      <c r="B36" s="42" t="str">
        <f>IFERROR(_xlfn.XLOOKUP('6月份计划'!A36,[5]UNEA!$B:$B,[5]UNEA!$B:$B),IFERROR(_xlfn.XLOOKUP('6月份计划'!A36,[5]MRHK!$B:$B,[5]MRHK!$B:$B),IFERROR(_xlfn.XLOOKUP('6月份计划'!A36,[5]MRHB!$B:$B,[5]MRHB!$B:$B),IFERROR(_xlfn.XLOOKUP('6月份计划'!A36,[5]HA6H!$B:$B,[5]HA6H!$B:$B),IFERROR(_xlfn.XLOOKUP('6月份计划'!A36,[5]HA6H!$B:$B,[5]HA6H!$B:$B)," ")))))</f>
        <v> </v>
      </c>
      <c r="C36" s="98">
        <f>SUMIFS('6月份科目余额表'!O:O,'6月份科目余额表'!D:D,A36)</f>
        <v>-11152.91</v>
      </c>
      <c r="E36" s="98">
        <f t="shared" si="0"/>
        <v>-11152.91</v>
      </c>
      <c r="F36" s="99">
        <v>0</v>
      </c>
      <c r="G36" s="99">
        <f>SUMIFS('5月份挂账'!Q:Q,'5月份挂账'!S:S,A36)-SUMIFS('5月份挂账'!P:P,'5月份挂账'!S:S,A36)</f>
        <v>0</v>
      </c>
      <c r="H36" s="99">
        <f>SUMIFS('6月份挂账'!$Q:$Q,'6月份挂账'!$S:$S,$A36)-SUMIFS('6月份挂账'!$P:$P,'6月份挂账'!$S:$S,$A36)</f>
        <v>46621</v>
      </c>
      <c r="I36" s="100">
        <f t="shared" si="2"/>
        <v>0</v>
      </c>
      <c r="J36" s="99"/>
    </row>
    <row r="37" customHeight="1" spans="1:10">
      <c r="A37" s="97" t="s">
        <v>270</v>
      </c>
      <c r="B37" s="42" t="str">
        <f>IFERROR(_xlfn.XLOOKUP('6月份计划'!A37,[5]UNEA!$B:$B,[5]UNEA!$B:$B),IFERROR(_xlfn.XLOOKUP('6月份计划'!A37,[5]MRHK!$B:$B,[5]MRHK!$B:$B),IFERROR(_xlfn.XLOOKUP('6月份计划'!A37,[5]MRHB!$B:$B,[5]MRHB!$B:$B),IFERROR(_xlfn.XLOOKUP('6月份计划'!A37,[5]HA6H!$B:$B,[5]HA6H!$B:$B),IFERROR(_xlfn.XLOOKUP('6月份计划'!A37,[5]HA6H!$B:$B,[5]HA6H!$B:$B)," ")))))</f>
        <v> </v>
      </c>
      <c r="C37" s="98">
        <f>SUMIFS('6月份科目余额表'!O:O,'6月份科目余额表'!D:D,A37)</f>
        <v>18514.78</v>
      </c>
      <c r="E37" s="98">
        <f t="shared" si="0"/>
        <v>18514.78</v>
      </c>
      <c r="F37" s="99">
        <v>6790.3</v>
      </c>
      <c r="G37" s="99">
        <f>SUMIFS('5月份挂账'!Q:Q,'5月份挂账'!S:S,A37)-SUMIFS('5月份挂账'!P:P,'5月份挂账'!S:S,A37)</f>
        <v>8239.78</v>
      </c>
      <c r="H37" s="99">
        <f>SUMIFS('6月份挂账'!$Q:$Q,'6月份挂账'!$S:$S,$A37)-SUMIFS('6月份挂账'!$P:$P,'6月份挂账'!$S:$S,$A37)</f>
        <v>3484.7</v>
      </c>
      <c r="I37" s="100">
        <f t="shared" si="2"/>
        <v>6790.3</v>
      </c>
      <c r="J37" s="99"/>
    </row>
    <row r="38" customHeight="1" spans="1:10">
      <c r="A38" s="97" t="s">
        <v>271</v>
      </c>
      <c r="B38" s="42" t="str">
        <f>IFERROR(_xlfn.XLOOKUP('6月份计划'!A38,[5]UNEA!$B:$B,[5]UNEA!$B:$B),IFERROR(_xlfn.XLOOKUP('6月份计划'!A38,[5]MRHK!$B:$B,[5]MRHK!$B:$B),IFERROR(_xlfn.XLOOKUP('6月份计划'!A38,[5]MRHB!$B:$B,[5]MRHB!$B:$B),IFERROR(_xlfn.XLOOKUP('6月份计划'!A38,[5]HA6H!$B:$B,[5]HA6H!$B:$B),IFERROR(_xlfn.XLOOKUP('6月份计划'!A38,[5]HA6H!$B:$B,[5]HA6H!$B:$B)," ")))))</f>
        <v> </v>
      </c>
      <c r="C38" s="98">
        <f>SUMIFS('6月份科目余额表'!O:O,'6月份科目余额表'!D:D,A38)</f>
        <v>22774.59</v>
      </c>
      <c r="E38" s="98">
        <f t="shared" si="0"/>
        <v>22774.59</v>
      </c>
      <c r="F38" s="99">
        <v>0</v>
      </c>
      <c r="G38" s="99">
        <f>SUMIFS('5月份挂账'!Q:Q,'5月份挂账'!S:S,A38)-SUMIFS('5月份挂账'!P:P,'5月份挂账'!S:S,A38)</f>
        <v>0</v>
      </c>
      <c r="H38" s="99">
        <f>SUMIFS('6月份挂账'!$Q:$Q,'6月份挂账'!$S:$S,$A38)-SUMIFS('6月份挂账'!$P:$P,'6月份挂账'!$S:$S,$A38)</f>
        <v>0</v>
      </c>
      <c r="I38" s="100">
        <f t="shared" si="2"/>
        <v>22774.59</v>
      </c>
      <c r="J38" s="99"/>
    </row>
    <row r="39" customHeight="1" spans="1:10">
      <c r="A39" s="97" t="s">
        <v>272</v>
      </c>
      <c r="B39" s="42" t="str">
        <f>IFERROR(_xlfn.XLOOKUP('6月份计划'!A39,[5]UNEA!$B:$B,[5]UNEA!$B:$B),IFERROR(_xlfn.XLOOKUP('6月份计划'!A39,[5]MRHK!$B:$B,[5]MRHK!$B:$B),IFERROR(_xlfn.XLOOKUP('6月份计划'!A39,[5]MRHB!$B:$B,[5]MRHB!$B:$B),IFERROR(_xlfn.XLOOKUP('6月份计划'!A39,[5]HA6H!$B:$B,[5]HA6H!$B:$B),IFERROR(_xlfn.XLOOKUP('6月份计划'!A39,[5]HA6H!$B:$B,[5]HA6H!$B:$B)," ")))))</f>
        <v> </v>
      </c>
      <c r="C39" s="98">
        <f>SUMIFS('6月份科目余额表'!O:O,'6月份科目余额表'!D:D,A39)</f>
        <v>360169.61</v>
      </c>
      <c r="D39" s="98">
        <v>150000</v>
      </c>
      <c r="E39" s="98">
        <f t="shared" si="0"/>
        <v>210169.61</v>
      </c>
      <c r="F39" s="99">
        <v>0</v>
      </c>
      <c r="G39" s="99">
        <f>SUMIFS('5月份挂账'!Q:Q,'5月份挂账'!S:S,A39)-SUMIFS('5月份挂账'!P:P,'5月份挂账'!S:S,A39)</f>
        <v>191551.1</v>
      </c>
      <c r="H39" s="99">
        <f>SUMIFS('6月份挂账'!$Q:$Q,'6月份挂账'!$S:$S,$A39)-SUMIFS('6月份挂账'!$P:$P,'6月份挂账'!$S:$S,$A39)</f>
        <v>29367.34</v>
      </c>
      <c r="I39" s="100">
        <f t="shared" si="2"/>
        <v>0</v>
      </c>
      <c r="J39" s="99"/>
    </row>
    <row r="40" customHeight="1" spans="1:10">
      <c r="A40" s="97" t="s">
        <v>273</v>
      </c>
      <c r="B40" s="42" t="str">
        <f>IFERROR(_xlfn.XLOOKUP('6月份计划'!A40,[5]UNEA!$B:$B,[5]UNEA!$B:$B),IFERROR(_xlfn.XLOOKUP('6月份计划'!A40,[5]MRHK!$B:$B,[5]MRHK!$B:$B),IFERROR(_xlfn.XLOOKUP('6月份计划'!A40,[5]MRHB!$B:$B,[5]MRHB!$B:$B),IFERROR(_xlfn.XLOOKUP('6月份计划'!A40,[5]HA6H!$B:$B,[5]HA6H!$B:$B),IFERROR(_xlfn.XLOOKUP('6月份计划'!A40,[5]HA6H!$B:$B,[5]HA6H!$B:$B)," ")))))</f>
        <v>长春超力内饰件有限公司</v>
      </c>
      <c r="C40" s="98">
        <f>SUMIFS('6月份科目余额表'!O:O,'6月份科目余额表'!D:D,A40)</f>
        <v>183755.27</v>
      </c>
      <c r="E40" s="98">
        <f t="shared" si="0"/>
        <v>183755.27</v>
      </c>
      <c r="F40" s="99">
        <v>0</v>
      </c>
      <c r="G40" s="99">
        <f>SUMIFS('5月份挂账'!Q:Q,'5月份挂账'!S:S,A40)-SUMIFS('5月份挂账'!P:P,'5月份挂账'!S:S,A40)</f>
        <v>182102.66</v>
      </c>
      <c r="H40" s="99">
        <f>SUMIFS('6月份挂账'!$Q:$Q,'6月份挂账'!$S:$S,$A40)-SUMIFS('6月份挂账'!$P:$P,'6月份挂账'!$S:$S,$A40)</f>
        <v>0</v>
      </c>
      <c r="I40" s="100">
        <f t="shared" si="2"/>
        <v>1652.60999999999</v>
      </c>
      <c r="J40" s="99"/>
    </row>
    <row r="41" customHeight="1" spans="1:10">
      <c r="A41" s="97" t="s">
        <v>302</v>
      </c>
      <c r="B41" s="42" t="str">
        <f>IFERROR(_xlfn.XLOOKUP('6月份计划'!A41,[5]UNEA!$B:$B,[5]UNEA!$B:$B),IFERROR(_xlfn.XLOOKUP('6月份计划'!A41,[5]MRHK!$B:$B,[5]MRHK!$B:$B),IFERROR(_xlfn.XLOOKUP('6月份计划'!A41,[5]MRHB!$B:$B,[5]MRHB!$B:$B),IFERROR(_xlfn.XLOOKUP('6月份计划'!A41,[5]HA6H!$B:$B,[5]HA6H!$B:$B),IFERROR(_xlfn.XLOOKUP('6月份计划'!A41,[5]HA6H!$B:$B,[5]HA6H!$B:$B)," ")))))</f>
        <v> </v>
      </c>
      <c r="C41" s="98">
        <f>SUMIFS('6月份科目余额表'!O:O,'6月份科目余额表'!D:D,A41)</f>
        <v>72571.67</v>
      </c>
      <c r="E41" s="98">
        <f t="shared" si="0"/>
        <v>72571.67</v>
      </c>
      <c r="F41" s="99">
        <v>0</v>
      </c>
      <c r="G41" s="99">
        <f>SUMIFS('5月份挂账'!Q:Q,'5月份挂账'!S:S,A41)-SUMIFS('5月份挂账'!P:P,'5月份挂账'!S:S,A41)</f>
        <v>0</v>
      </c>
      <c r="H41" s="99">
        <f>SUMIFS('6月份挂账'!$Q:$Q,'6月份挂账'!$S:$S,$A41)-SUMIFS('6月份挂账'!$P:$P,'6月份挂账'!$S:$S,$A41)</f>
        <v>0</v>
      </c>
      <c r="I41" s="100">
        <f t="shared" si="2"/>
        <v>72571.67</v>
      </c>
      <c r="J41" s="99"/>
    </row>
    <row r="42" customHeight="1" spans="1:10">
      <c r="A42" s="121" t="s">
        <v>274</v>
      </c>
      <c r="B42" s="42" t="str">
        <f>IFERROR(_xlfn.XLOOKUP('6月份计划'!A42,[5]UNEA!$B:$B,[5]UNEA!$B:$B),IFERROR(_xlfn.XLOOKUP('6月份计划'!A42,[5]MRHK!$B:$B,[5]MRHK!$B:$B),IFERROR(_xlfn.XLOOKUP('6月份计划'!A42,[5]MRHB!$B:$B,[5]MRHB!$B:$B),IFERROR(_xlfn.XLOOKUP('6月份计划'!A42,[5]HA6H!$B:$B,[5]HA6H!$B:$B),IFERROR(_xlfn.XLOOKUP('6月份计划'!A42,[5]HA6H!$B:$B,[5]HA6H!$B:$B)," ")))))</f>
        <v> </v>
      </c>
      <c r="C42" s="122">
        <f>SUMIFS('6月份科目余额表'!O:O,'6月份科目余额表'!D:D,A42)</f>
        <v>280465.08</v>
      </c>
      <c r="E42" s="98">
        <f t="shared" si="0"/>
        <v>280465.08</v>
      </c>
      <c r="F42" s="99">
        <v>0</v>
      </c>
      <c r="G42" s="99">
        <f>SUMIFS('5月份挂账'!Q:Q,'5月份挂账'!S:S,A42)-SUMIFS('5月份挂账'!P:P,'5月份挂账'!S:S,A42)</f>
        <v>0</v>
      </c>
      <c r="H42" s="99">
        <f>SUMIFS('6月份挂账'!$Q:$Q,'6月份挂账'!$S:$S,$A42)-SUMIFS('6月份挂账'!$P:$P,'6月份挂账'!$S:$S,$A42)</f>
        <v>0</v>
      </c>
      <c r="I42" s="100">
        <f t="shared" si="2"/>
        <v>280465.08</v>
      </c>
      <c r="J42" s="99"/>
    </row>
    <row r="43" customHeight="1" spans="1:10">
      <c r="A43" s="97" t="s">
        <v>275</v>
      </c>
      <c r="B43" s="42" t="str">
        <f>IFERROR(_xlfn.XLOOKUP('6月份计划'!A43,[5]UNEA!$B:$B,[5]UNEA!$B:$B),IFERROR(_xlfn.XLOOKUP('6月份计划'!A43,[5]MRHK!$B:$B,[5]MRHK!$B:$B),IFERROR(_xlfn.XLOOKUP('6月份计划'!A43,[5]MRHB!$B:$B,[5]MRHB!$B:$B),IFERROR(_xlfn.XLOOKUP('6月份计划'!A43,[5]HA6H!$B:$B,[5]HA6H!$B:$B),IFERROR(_xlfn.XLOOKUP('6月份计划'!A43,[5]HA6H!$B:$B,[5]HA6H!$B:$B)," ")))))</f>
        <v> </v>
      </c>
      <c r="C43" s="98">
        <f>SUMIFS('6月份科目余额表'!O:O,'6月份科目余额表'!D:D,A43)</f>
        <v>26646.6</v>
      </c>
      <c r="E43" s="98">
        <f t="shared" si="0"/>
        <v>26646.6</v>
      </c>
      <c r="F43" s="99">
        <v>0</v>
      </c>
      <c r="G43" s="99">
        <f>SUMIFS('5月份挂账'!Q:Q,'5月份挂账'!S:S,A43)-SUMIFS('5月份挂账'!P:P,'5月份挂账'!S:S,A43)</f>
        <v>0</v>
      </c>
      <c r="H43" s="99">
        <f>SUMIFS('6月份挂账'!$Q:$Q,'6月份挂账'!$S:$S,$A43)-SUMIFS('6月份挂账'!$P:$P,'6月份挂账'!$S:$S,$A43)</f>
        <v>21320.32</v>
      </c>
      <c r="I43" s="100">
        <f t="shared" si="2"/>
        <v>5326.28</v>
      </c>
      <c r="J43" s="99"/>
    </row>
    <row r="44" customHeight="1" spans="1:10">
      <c r="A44" s="97" t="s">
        <v>276</v>
      </c>
      <c r="B44" s="42" t="str">
        <f>IFERROR(_xlfn.XLOOKUP('6月份计划'!A44,[5]UNEA!$B:$B,[5]UNEA!$B:$B),IFERROR(_xlfn.XLOOKUP('6月份计划'!A44,[5]MRHK!$B:$B,[5]MRHK!$B:$B),IFERROR(_xlfn.XLOOKUP('6月份计划'!A44,[5]MRHB!$B:$B,[5]MRHB!$B:$B),IFERROR(_xlfn.XLOOKUP('6月份计划'!A44,[5]HA6H!$B:$B,[5]HA6H!$B:$B),IFERROR(_xlfn.XLOOKUP('6月份计划'!A44,[5]HA6H!$B:$B,[5]HA6H!$B:$B)," ")))))</f>
        <v> </v>
      </c>
      <c r="C44" s="98">
        <f>SUMIFS('6月份科目余额表'!O:O,'6月份科目余额表'!D:D,A44)</f>
        <v>38188.24</v>
      </c>
      <c r="E44" s="98">
        <f t="shared" si="0"/>
        <v>38188.24</v>
      </c>
      <c r="F44" s="99">
        <v>0</v>
      </c>
      <c r="G44" s="99">
        <f>SUMIFS('5月份挂账'!Q:Q,'5月份挂账'!S:S,A44)-SUMIFS('5月份挂账'!P:P,'5月份挂账'!S:S,A44)</f>
        <v>0</v>
      </c>
      <c r="H44" s="99">
        <f>SUMIFS('6月份挂账'!$Q:$Q,'6月份挂账'!$S:$S,$A44)-SUMIFS('6月份挂账'!$P:$P,'6月份挂账'!$S:$S,$A44)</f>
        <v>0</v>
      </c>
      <c r="I44" s="100">
        <f t="shared" si="2"/>
        <v>38188.24</v>
      </c>
      <c r="J44" s="99"/>
    </row>
    <row r="45" customHeight="1" spans="1:10">
      <c r="A45" s="97" t="s">
        <v>303</v>
      </c>
      <c r="B45" s="42" t="str">
        <f>IFERROR(_xlfn.XLOOKUP('6月份计划'!A45,[5]UNEA!$B:$B,[5]UNEA!$B:$B),IFERROR(_xlfn.XLOOKUP('6月份计划'!A45,[5]MRHK!$B:$B,[5]MRHK!$B:$B),IFERROR(_xlfn.XLOOKUP('6月份计划'!A45,[5]MRHB!$B:$B,[5]MRHB!$B:$B),IFERROR(_xlfn.XLOOKUP('6月份计划'!A45,[5]HA6H!$B:$B,[5]HA6H!$B:$B),IFERROR(_xlfn.XLOOKUP('6月份计划'!A45,[5]HA6H!$B:$B,[5]HA6H!$B:$B)," ")))))</f>
        <v> </v>
      </c>
      <c r="C45" s="98">
        <f>SUMIFS('6月份科目余额表'!O:O,'6月份科目余额表'!D:D,A45)</f>
        <v>299478</v>
      </c>
      <c r="D45" s="98">
        <v>299478</v>
      </c>
      <c r="E45" s="98">
        <f t="shared" si="0"/>
        <v>0</v>
      </c>
      <c r="F45" s="99">
        <v>391552</v>
      </c>
      <c r="G45" s="99">
        <f>SUMIFS('5月份挂账'!Q:Q,'5月份挂账'!S:S,A45)-SUMIFS('5月份挂账'!P:P,'5月份挂账'!S:S,A45)</f>
        <v>588522</v>
      </c>
      <c r="H45" s="99">
        <f>SUMIFS('6月份挂账'!$Q:$Q,'6月份挂账'!$S:$S,$A45)-SUMIFS('6月份挂账'!$P:$P,'6月份挂账'!$S:$S,$A45)</f>
        <v>0</v>
      </c>
      <c r="I45" s="100">
        <f t="shared" si="2"/>
        <v>0</v>
      </c>
      <c r="J45" s="99"/>
    </row>
    <row r="46" customHeight="1" spans="1:10">
      <c r="A46" s="97" t="s">
        <v>277</v>
      </c>
      <c r="B46" s="42" t="str">
        <f>IFERROR(_xlfn.XLOOKUP('6月份计划'!A46,[5]UNEA!$B:$B,[5]UNEA!$B:$B),IFERROR(_xlfn.XLOOKUP('6月份计划'!A46,[5]MRHK!$B:$B,[5]MRHK!$B:$B),IFERROR(_xlfn.XLOOKUP('6月份计划'!A46,[5]MRHB!$B:$B,[5]MRHB!$B:$B),IFERROR(_xlfn.XLOOKUP('6月份计划'!A46,[5]HA6H!$B:$B,[5]HA6H!$B:$B),IFERROR(_xlfn.XLOOKUP('6月份计划'!A46,[5]HA6H!$B:$B,[5]HA6H!$B:$B)," ")))))</f>
        <v> </v>
      </c>
      <c r="C46" s="98">
        <f>SUMIFS('6月份科目余额表'!O:O,'6月份科目余额表'!D:D,A46)</f>
        <v>2067145.25</v>
      </c>
      <c r="E46" s="98">
        <f t="shared" si="0"/>
        <v>2067145.25</v>
      </c>
      <c r="F46" s="99">
        <v>912912</v>
      </c>
      <c r="G46" s="99">
        <f>SUMIFS('5月份挂账'!Q:Q,'5月份挂账'!S:S,A46)-SUMIFS('5月份挂账'!P:P,'5月份挂账'!S:S,A46)</f>
        <v>1203444.93</v>
      </c>
      <c r="H46" s="99">
        <f>SUMIFS('6月份挂账'!$Q:$Q,'6月份挂账'!$S:$S,$A46)-SUMIFS('6月份挂账'!$P:$P,'6月份挂账'!$S:$S,$A46)</f>
        <v>1776612.32</v>
      </c>
      <c r="I46" s="100">
        <f t="shared" si="2"/>
        <v>0</v>
      </c>
      <c r="J46" s="99"/>
    </row>
    <row r="47" customHeight="1" spans="1:10">
      <c r="A47" s="97" t="s">
        <v>304</v>
      </c>
      <c r="B47" s="42" t="str">
        <f>IFERROR(_xlfn.XLOOKUP('6月份计划'!A47,[5]UNEA!$B:$B,[5]UNEA!$B:$B),IFERROR(_xlfn.XLOOKUP('6月份计划'!A47,[5]MRHK!$B:$B,[5]MRHK!$B:$B),IFERROR(_xlfn.XLOOKUP('6月份计划'!A47,[5]MRHB!$B:$B,[5]MRHB!$B:$B),IFERROR(_xlfn.XLOOKUP('6月份计划'!A47,[5]HA6H!$B:$B,[5]HA6H!$B:$B),IFERROR(_xlfn.XLOOKUP('6月份计划'!A47,[5]HA6H!$B:$B,[5]HA6H!$B:$B)," ")))))</f>
        <v> </v>
      </c>
      <c r="C47" s="98">
        <f>SUMIFS('6月份科目余额表'!O:O,'6月份科目余额表'!D:D,A47)</f>
        <v>22724.3</v>
      </c>
      <c r="E47" s="98">
        <f t="shared" si="0"/>
        <v>22724.3</v>
      </c>
      <c r="F47" s="99">
        <v>0</v>
      </c>
      <c r="G47" s="99">
        <f>SUMIFS('5月份挂账'!Q:Q,'5月份挂账'!S:S,A47)-SUMIFS('5月份挂账'!P:P,'5月份挂账'!S:S,A47)</f>
        <v>22724.3</v>
      </c>
      <c r="H47" s="99">
        <f>SUMIFS('6月份挂账'!$Q:$Q,'6月份挂账'!$S:$S,$A47)-SUMIFS('6月份挂账'!$P:$P,'6月份挂账'!$S:$S,$A47)</f>
        <v>0</v>
      </c>
      <c r="I47" s="100">
        <f t="shared" si="2"/>
        <v>0</v>
      </c>
      <c r="J47" s="99"/>
    </row>
    <row r="48" customHeight="1" spans="1:10">
      <c r="A48" s="97" t="s">
        <v>305</v>
      </c>
      <c r="B48" s="42" t="str">
        <f>IFERROR(_xlfn.XLOOKUP('6月份计划'!A48,[5]UNEA!$B:$B,[5]UNEA!$B:$B),IFERROR(_xlfn.XLOOKUP('6月份计划'!A48,[5]MRHK!$B:$B,[5]MRHK!$B:$B),IFERROR(_xlfn.XLOOKUP('6月份计划'!A48,[5]MRHB!$B:$B,[5]MRHB!$B:$B),IFERROR(_xlfn.XLOOKUP('6月份计划'!A48,[5]HA6H!$B:$B,[5]HA6H!$B:$B),IFERROR(_xlfn.XLOOKUP('6月份计划'!A48,[5]HA6H!$B:$B,[5]HA6H!$B:$B)," ")))))</f>
        <v> </v>
      </c>
      <c r="C48" s="98">
        <f>SUMIFS('6月份科目余额表'!O:O,'6月份科目余额表'!D:D,A48)</f>
        <v>24899.55</v>
      </c>
      <c r="D48" s="98">
        <v>3847.62</v>
      </c>
      <c r="E48" s="98">
        <f t="shared" si="0"/>
        <v>21051.93</v>
      </c>
      <c r="F48" s="99">
        <v>0</v>
      </c>
      <c r="G48" s="99">
        <f>SUMIFS('5月份挂账'!Q:Q,'5月份挂账'!S:S,A48)-SUMIFS('5月份挂账'!P:P,'5月份挂账'!S:S,A48)</f>
        <v>16916.1</v>
      </c>
      <c r="H48" s="99">
        <f>SUMIFS('6月份挂账'!$Q:$Q,'6月份挂账'!$S:$S,$A48)-SUMIFS('6月份挂账'!$P:$P,'6月份挂账'!$S:$S,$A48)</f>
        <v>4135.8</v>
      </c>
      <c r="I48" s="100">
        <f t="shared" si="2"/>
        <v>0.0300000000015643</v>
      </c>
      <c r="J48" s="99"/>
    </row>
    <row r="49" customHeight="1" spans="1:10">
      <c r="A49" s="97" t="s">
        <v>278</v>
      </c>
      <c r="B49" s="42" t="str">
        <f>IFERROR(_xlfn.XLOOKUP('6月份计划'!A49,[5]UNEA!$B:$B,[5]UNEA!$B:$B),IFERROR(_xlfn.XLOOKUP('6月份计划'!A49,[5]MRHK!$B:$B,[5]MRHK!$B:$B),IFERROR(_xlfn.XLOOKUP('6月份计划'!A49,[5]MRHB!$B:$B,[5]MRHB!$B:$B),IFERROR(_xlfn.XLOOKUP('6月份计划'!A49,[5]HA6H!$B:$B,[5]HA6H!$B:$B),IFERROR(_xlfn.XLOOKUP('6月份计划'!A49,[5]HA6H!$B:$B,[5]HA6H!$B:$B)," ")))))</f>
        <v> </v>
      </c>
      <c r="C49" s="98">
        <f>SUMIFS('6月份科目余额表'!O:O,'6月份科目余额表'!D:D,A49)</f>
        <v>10558.72</v>
      </c>
      <c r="D49" s="98">
        <v>5279.36</v>
      </c>
      <c r="E49" s="98">
        <f t="shared" si="0"/>
        <v>5279.36</v>
      </c>
      <c r="F49" s="99">
        <v>5279.36</v>
      </c>
      <c r="G49" s="99">
        <f>SUMIFS('5月份挂账'!Q:Q,'5月份挂账'!S:S,A49)-SUMIFS('5月份挂账'!P:P,'5月份挂账'!S:S,A49)</f>
        <v>0</v>
      </c>
      <c r="H49" s="99">
        <f>SUMIFS('6月份挂账'!$Q:$Q,'6月份挂账'!$S:$S,$A49)-SUMIFS('6月份挂账'!$P:$P,'6月份挂账'!$S:$S,$A49)</f>
        <v>5279.36</v>
      </c>
      <c r="I49" s="100">
        <f t="shared" si="2"/>
        <v>0</v>
      </c>
      <c r="J49" s="99"/>
    </row>
    <row r="50" customHeight="1" spans="1:10">
      <c r="A50" s="97" t="s">
        <v>306</v>
      </c>
      <c r="B50" s="42" t="str">
        <f>IFERROR(_xlfn.XLOOKUP('6月份计划'!A50,[5]UNEA!$B:$B,[5]UNEA!$B:$B),IFERROR(_xlfn.XLOOKUP('6月份计划'!A50,[5]MRHK!$B:$B,[5]MRHK!$B:$B),IFERROR(_xlfn.XLOOKUP('6月份计划'!A50,[5]MRHB!$B:$B,[5]MRHB!$B:$B),IFERROR(_xlfn.XLOOKUP('6月份计划'!A50,[5]HA6H!$B:$B,[5]HA6H!$B:$B),IFERROR(_xlfn.XLOOKUP('6月份计划'!A50,[5]HA6H!$B:$B,[5]HA6H!$B:$B)," ")))))</f>
        <v> </v>
      </c>
      <c r="C50" s="98">
        <f>SUMIFS('6月份科目余额表'!O:O,'6月份科目余额表'!D:D,A50)</f>
        <v>19789.69</v>
      </c>
      <c r="E50" s="98">
        <f t="shared" si="0"/>
        <v>19789.69</v>
      </c>
      <c r="F50" s="99">
        <v>19210</v>
      </c>
      <c r="G50" s="99">
        <f>SUMIFS('5月份挂账'!Q:Q,'5月份挂账'!S:S,A50)-SUMIFS('5月份挂账'!P:P,'5月份挂账'!S:S,A50)</f>
        <v>579.69</v>
      </c>
      <c r="H50" s="99">
        <f>SUMIFS('6月份挂账'!$Q:$Q,'6月份挂账'!$S:$S,$A50)-SUMIFS('6月份挂账'!$P:$P,'6月份挂账'!$S:$S,$A50)</f>
        <v>0</v>
      </c>
      <c r="I50" s="100">
        <f t="shared" si="2"/>
        <v>19210</v>
      </c>
      <c r="J50" s="99"/>
    </row>
    <row r="51" customHeight="1" spans="1:10">
      <c r="A51" s="97" t="s">
        <v>279</v>
      </c>
      <c r="B51" s="42" t="str">
        <f>IFERROR(_xlfn.XLOOKUP('6月份计划'!A51,[5]UNEA!$B:$B,[5]UNEA!$B:$B),IFERROR(_xlfn.XLOOKUP('6月份计划'!A51,[5]MRHK!$B:$B,[5]MRHK!$B:$B),IFERROR(_xlfn.XLOOKUP('6月份计划'!A51,[5]MRHB!$B:$B,[5]MRHB!$B:$B),IFERROR(_xlfn.XLOOKUP('6月份计划'!A51,[5]HA6H!$B:$B,[5]HA6H!$B:$B),IFERROR(_xlfn.XLOOKUP('6月份计划'!A51,[5]HA6H!$B:$B,[5]HA6H!$B:$B)," ")))))</f>
        <v> </v>
      </c>
      <c r="C51" s="98">
        <f>SUMIFS('6月份科目余额表'!O:O,'6月份科目余额表'!D:D,A51)</f>
        <v>13932.9</v>
      </c>
      <c r="E51" s="98">
        <f t="shared" si="0"/>
        <v>13932.9</v>
      </c>
      <c r="F51" s="99">
        <v>0</v>
      </c>
      <c r="G51" s="99">
        <f>SUMIFS('5月份挂账'!Q:Q,'5月份挂账'!S:S,A51)-SUMIFS('5月份挂账'!P:P,'5月份挂账'!S:S,A51)</f>
        <v>0</v>
      </c>
      <c r="H51" s="99">
        <f>SUMIFS('6月份挂账'!$Q:$Q,'6月份挂账'!$S:$S,$A51)-SUMIFS('6月份挂账'!$P:$P,'6月份挂账'!$S:$S,$A51)</f>
        <v>0</v>
      </c>
      <c r="I51" s="100">
        <f t="shared" si="2"/>
        <v>13932.9</v>
      </c>
      <c r="J51" s="99"/>
    </row>
    <row r="52" customHeight="1" spans="1:10">
      <c r="A52" s="97" t="s">
        <v>280</v>
      </c>
      <c r="B52" s="42" t="str">
        <f>IFERROR(_xlfn.XLOOKUP('6月份计划'!A52,[5]UNEA!$B:$B,[5]UNEA!$B:$B),IFERROR(_xlfn.XLOOKUP('6月份计划'!A52,[5]MRHK!$B:$B,[5]MRHK!$B:$B),IFERROR(_xlfn.XLOOKUP('6月份计划'!A52,[5]MRHB!$B:$B,[5]MRHB!$B:$B),IFERROR(_xlfn.XLOOKUP('6月份计划'!A52,[5]HA6H!$B:$B,[5]HA6H!$B:$B),IFERROR(_xlfn.XLOOKUP('6月份计划'!A52,[5]HA6H!$B:$B,[5]HA6H!$B:$B)," ")))))</f>
        <v> </v>
      </c>
      <c r="C52" s="98">
        <f>SUMIFS('6月份科目余额表'!O:O,'6月份科目余额表'!D:D,A52)</f>
        <v>104741.97</v>
      </c>
      <c r="E52" s="98">
        <f t="shared" si="0"/>
        <v>104741.97</v>
      </c>
      <c r="F52" s="99">
        <v>18204.87</v>
      </c>
      <c r="G52" s="99">
        <f>SUMIFS('5月份挂账'!Q:Q,'5月份挂账'!S:S,A52)-SUMIFS('5月份挂账'!P:P,'5月份挂账'!S:S,A52)</f>
        <v>31242.81</v>
      </c>
      <c r="H52" s="99">
        <f>SUMIFS('6月份挂账'!$Q:$Q,'6月份挂账'!$S:$S,$A52)-SUMIFS('6月份挂账'!$P:$P,'6月份挂账'!$S:$S,$A52)</f>
        <v>55294.29</v>
      </c>
      <c r="I52" s="100">
        <f t="shared" si="2"/>
        <v>18204.87</v>
      </c>
      <c r="J52" s="99"/>
    </row>
    <row r="53" customHeight="1" spans="1:10">
      <c r="A53" s="97" t="s">
        <v>307</v>
      </c>
      <c r="B53" s="42" t="str">
        <f>IFERROR(_xlfn.XLOOKUP('6月份计划'!A53,[5]UNEA!$B:$B,[5]UNEA!$B:$B),IFERROR(_xlfn.XLOOKUP('6月份计划'!A53,[5]MRHK!$B:$B,[5]MRHK!$B:$B),IFERROR(_xlfn.XLOOKUP('6月份计划'!A53,[5]MRHB!$B:$B,[5]MRHB!$B:$B),IFERROR(_xlfn.XLOOKUP('6月份计划'!A53,[5]HA6H!$B:$B,[5]HA6H!$B:$B),IFERROR(_xlfn.XLOOKUP('6月份计划'!A53,[5]HA6H!$B:$B,[5]HA6H!$B:$B)," ")))))</f>
        <v> </v>
      </c>
      <c r="C53" s="98">
        <f>SUMIFS('6月份科目余额表'!O:O,'6月份科目余额表'!D:D,A53)</f>
        <v>17866.2</v>
      </c>
      <c r="E53" s="98">
        <f t="shared" si="0"/>
        <v>17866.2</v>
      </c>
      <c r="F53" s="99">
        <v>7275.67</v>
      </c>
      <c r="G53" s="99">
        <f>SUMIFS('5月份挂账'!Q:Q,'5月份挂账'!S:S,A53)-SUMIFS('5月份挂账'!P:P,'5月份挂账'!S:S,A53)</f>
        <v>3842</v>
      </c>
      <c r="H53" s="99">
        <f>SUMIFS('6月份挂账'!$Q:$Q,'6月份挂账'!$S:$S,$A53)-SUMIFS('6月份挂账'!$P:$P,'6月份挂账'!$S:$S,$A53)</f>
        <v>6748.53</v>
      </c>
      <c r="I53" s="100">
        <f t="shared" si="2"/>
        <v>7275.67</v>
      </c>
      <c r="J53" s="99"/>
    </row>
    <row r="54" customHeight="1" spans="1:10">
      <c r="A54" s="97" t="s">
        <v>308</v>
      </c>
      <c r="B54" s="42" t="str">
        <f>IFERROR(_xlfn.XLOOKUP('6月份计划'!A54,[5]UNEA!$B:$B,[5]UNEA!$B:$B),IFERROR(_xlfn.XLOOKUP('6月份计划'!A54,[5]MRHK!$B:$B,[5]MRHK!$B:$B),IFERROR(_xlfn.XLOOKUP('6月份计划'!A54,[5]MRHB!$B:$B,[5]MRHB!$B:$B),IFERROR(_xlfn.XLOOKUP('6月份计划'!A54,[5]HA6H!$B:$B,[5]HA6H!$B:$B),IFERROR(_xlfn.XLOOKUP('6月份计划'!A54,[5]HA6H!$B:$B,[5]HA6H!$B:$B)," ")))))</f>
        <v> </v>
      </c>
      <c r="C54" s="98">
        <f>SUMIFS('6月份科目余额表'!O:O,'6月份科目余额表'!D:D,A54)</f>
        <v>32220.82</v>
      </c>
      <c r="E54" s="98">
        <f t="shared" si="0"/>
        <v>32220.82</v>
      </c>
      <c r="F54" s="99">
        <v>21944.6</v>
      </c>
      <c r="G54" s="99">
        <f>SUMIFS('5月份挂账'!Q:Q,'5月份挂账'!S:S,A54)-SUMIFS('5月份挂账'!P:P,'5月份挂账'!S:S,A54)</f>
        <v>0</v>
      </c>
      <c r="H54" s="99">
        <f>SUMIFS('6月份挂账'!$Q:$Q,'6月份挂账'!$S:$S,$A54)-SUMIFS('6月份挂账'!$P:$P,'6月份挂账'!$S:$S,$A54)</f>
        <v>10276.22</v>
      </c>
      <c r="I54" s="100">
        <f t="shared" si="2"/>
        <v>21944.6</v>
      </c>
      <c r="J54" s="99"/>
    </row>
    <row r="55" customHeight="1" spans="1:10">
      <c r="A55" s="97" t="s">
        <v>309</v>
      </c>
      <c r="B55" s="42" t="str">
        <f>IFERROR(_xlfn.XLOOKUP('6月份计划'!A55,[5]UNEA!$B:$B,[5]UNEA!$B:$B),IFERROR(_xlfn.XLOOKUP('6月份计划'!A55,[5]MRHK!$B:$B,[5]MRHK!$B:$B),IFERROR(_xlfn.XLOOKUP('6月份计划'!A55,[5]MRHB!$B:$B,[5]MRHB!$B:$B),IFERROR(_xlfn.XLOOKUP('6月份计划'!A55,[5]HA6H!$B:$B,[5]HA6H!$B:$B),IFERROR(_xlfn.XLOOKUP('6月份计划'!A55,[5]HA6H!$B:$B,[5]HA6H!$B:$B)," ")))))</f>
        <v> </v>
      </c>
      <c r="C55" s="98">
        <f>SUMIFS('6月份科目余额表'!O:O,'6月份科目余额表'!D:D,A55)</f>
        <v>1622.68</v>
      </c>
      <c r="E55" s="98">
        <f t="shared" si="0"/>
        <v>1622.68</v>
      </c>
      <c r="F55" s="99">
        <v>1622.68</v>
      </c>
      <c r="G55" s="99">
        <f>SUMIFS('5月份挂账'!Q:Q,'5月份挂账'!S:S,A55)-SUMIFS('5月份挂账'!P:P,'5月份挂账'!S:S,A55)</f>
        <v>0</v>
      </c>
      <c r="H55" s="99">
        <f>SUMIFS('6月份挂账'!$Q:$Q,'6月份挂账'!$S:$S,$A55)-SUMIFS('6月份挂账'!$P:$P,'6月份挂账'!$S:$S,$A55)</f>
        <v>0</v>
      </c>
      <c r="I55" s="100">
        <f t="shared" si="2"/>
        <v>1622.68</v>
      </c>
      <c r="J55" s="99"/>
    </row>
    <row r="56" customHeight="1" spans="1:10">
      <c r="A56" s="97" t="s">
        <v>281</v>
      </c>
      <c r="B56" s="42" t="str">
        <f>IFERROR(_xlfn.XLOOKUP('6月份计划'!A56,[5]UNEA!$B:$B,[5]UNEA!$B:$B),IFERROR(_xlfn.XLOOKUP('6月份计划'!A56,[5]MRHK!$B:$B,[5]MRHK!$B:$B),IFERROR(_xlfn.XLOOKUP('6月份计划'!A56,[5]MRHB!$B:$B,[5]MRHB!$B:$B),IFERROR(_xlfn.XLOOKUP('6月份计划'!A56,[5]HA6H!$B:$B,[5]HA6H!$B:$B),IFERROR(_xlfn.XLOOKUP('6月份计划'!A56,[5]HA6H!$B:$B,[5]HA6H!$B:$B)," ")))))</f>
        <v> </v>
      </c>
      <c r="C56" s="98">
        <f>SUMIFS('6月份科目余额表'!O:O,'6月份科目余额表'!D:D,A56)</f>
        <v>19152</v>
      </c>
      <c r="D56" s="98">
        <v>9576</v>
      </c>
      <c r="E56" s="98">
        <f t="shared" si="0"/>
        <v>9576</v>
      </c>
      <c r="F56" s="99">
        <v>9576</v>
      </c>
      <c r="G56" s="99">
        <f>SUMIFS('5月份挂账'!Q:Q,'5月份挂账'!S:S,A56)-SUMIFS('5月份挂账'!P:P,'5月份挂账'!S:S,A56)</f>
        <v>0</v>
      </c>
      <c r="H56" s="99">
        <f>SUMIFS('6月份挂账'!$Q:$Q,'6月份挂账'!$S:$S,$A56)-SUMIFS('6月份挂账'!$P:$P,'6月份挂账'!$S:$S,$A56)</f>
        <v>0</v>
      </c>
      <c r="I56" s="100">
        <f t="shared" si="2"/>
        <v>9576</v>
      </c>
      <c r="J56" s="99"/>
    </row>
    <row r="57" customHeight="1" spans="1:10">
      <c r="A57" s="97" t="s">
        <v>282</v>
      </c>
      <c r="B57" s="42" t="str">
        <f>IFERROR(_xlfn.XLOOKUP('6月份计划'!A57,[5]UNEA!$B:$B,[5]UNEA!$B:$B),IFERROR(_xlfn.XLOOKUP('6月份计划'!A57,[5]MRHK!$B:$B,[5]MRHK!$B:$B),IFERROR(_xlfn.XLOOKUP('6月份计划'!A57,[5]MRHB!$B:$B,[5]MRHB!$B:$B),IFERROR(_xlfn.XLOOKUP('6月份计划'!A57,[5]HA6H!$B:$B,[5]HA6H!$B:$B),IFERROR(_xlfn.XLOOKUP('6月份计划'!A57,[5]HA6H!$B:$B,[5]HA6H!$B:$B)," ")))))</f>
        <v> </v>
      </c>
      <c r="C57" s="98">
        <f>SUMIFS('6月份科目余额表'!O:O,'6月份科目余额表'!D:D,A57)</f>
        <v>138312</v>
      </c>
      <c r="E57" s="98">
        <f t="shared" si="0"/>
        <v>138312</v>
      </c>
      <c r="F57" s="99">
        <v>69156</v>
      </c>
      <c r="G57" s="99">
        <f>SUMIFS('5月份挂账'!Q:Q,'5月份挂账'!S:S,A57)-SUMIFS('5月份挂账'!P:P,'5月份挂账'!S:S,A57)</f>
        <v>34578</v>
      </c>
      <c r="H57" s="99">
        <f>SUMIFS('6月份挂账'!$Q:$Q,'6月份挂账'!$S:$S,$A57)-SUMIFS('6月份挂账'!$P:$P,'6月份挂账'!$S:$S,$A57)</f>
        <v>34578</v>
      </c>
      <c r="I57" s="100">
        <f t="shared" si="2"/>
        <v>69156</v>
      </c>
      <c r="J57" s="99"/>
    </row>
    <row r="58" customHeight="1" spans="1:10">
      <c r="A58" s="97" t="s">
        <v>310</v>
      </c>
      <c r="B58" s="42" t="str">
        <f>IFERROR(_xlfn.XLOOKUP('6月份计划'!A58,[5]UNEA!$B:$B,[5]UNEA!$B:$B),IFERROR(_xlfn.XLOOKUP('6月份计划'!A58,[5]MRHK!$B:$B,[5]MRHK!$B:$B),IFERROR(_xlfn.XLOOKUP('6月份计划'!A58,[5]MRHB!$B:$B,[5]MRHB!$B:$B),IFERROR(_xlfn.XLOOKUP('6月份计划'!A58,[5]HA6H!$B:$B,[5]HA6H!$B:$B),IFERROR(_xlfn.XLOOKUP('6月份计划'!A58,[5]HA6H!$B:$B,[5]HA6H!$B:$B)," ")))))</f>
        <v> </v>
      </c>
      <c r="C58" s="98">
        <f>SUMIFS('6月份科目余额表'!O:O,'6月份科目余额表'!D:D,A58)</f>
        <v>0</v>
      </c>
      <c r="E58" s="98">
        <f t="shared" si="0"/>
        <v>0</v>
      </c>
      <c r="F58" s="99">
        <v>0</v>
      </c>
      <c r="G58" s="99">
        <f>SUMIFS('5月份挂账'!Q:Q,'5月份挂账'!S:S,A58)-SUMIFS('5月份挂账'!P:P,'5月份挂账'!S:S,A58)</f>
        <v>0</v>
      </c>
      <c r="H58" s="99">
        <f>SUMIFS('6月份挂账'!$Q:$Q,'6月份挂账'!$S:$S,$A58)-SUMIFS('6月份挂账'!$P:$P,'6月份挂账'!$S:$S,$A58)</f>
        <v>0</v>
      </c>
      <c r="I58" s="100">
        <f t="shared" si="2"/>
        <v>0</v>
      </c>
      <c r="J58" s="99"/>
    </row>
    <row r="59" customHeight="1" spans="1:10">
      <c r="A59" s="97" t="s">
        <v>311</v>
      </c>
      <c r="B59" s="42" t="str">
        <f>IFERROR(_xlfn.XLOOKUP('6月份计划'!A59,[5]UNEA!$B:$B,[5]UNEA!$B:$B),IFERROR(_xlfn.XLOOKUP('6月份计划'!A59,[5]MRHK!$B:$B,[5]MRHK!$B:$B),IFERROR(_xlfn.XLOOKUP('6月份计划'!A59,[5]MRHB!$B:$B,[5]MRHB!$B:$B),IFERROR(_xlfn.XLOOKUP('6月份计划'!A59,[5]HA6H!$B:$B,[5]HA6H!$B:$B),IFERROR(_xlfn.XLOOKUP('6月份计划'!A59,[5]HA6H!$B:$B,[5]HA6H!$B:$B)," ")))))</f>
        <v> </v>
      </c>
      <c r="C59" s="98">
        <f>SUMIFS('6月份科目余额表'!O:O,'6月份科目余额表'!D:D,A59)</f>
        <v>235401.6</v>
      </c>
      <c r="D59" s="98">
        <v>146583.6</v>
      </c>
      <c r="E59" s="98">
        <f t="shared" si="0"/>
        <v>88818</v>
      </c>
      <c r="F59" s="99">
        <v>146583.6</v>
      </c>
      <c r="G59" s="99">
        <f>SUMIFS('5月份挂账'!Q:Q,'5月份挂账'!S:S,A59)-SUMIFS('5月份挂账'!P:P,'5月份挂账'!S:S,A59)</f>
        <v>88818</v>
      </c>
      <c r="H59" s="99">
        <f>SUMIFS('6月份挂账'!$Q:$Q,'6月份挂账'!$S:$S,$A59)-SUMIFS('6月份挂账'!$P:$P,'6月份挂账'!$S:$S,$A59)</f>
        <v>0</v>
      </c>
      <c r="I59" s="100">
        <f t="shared" si="2"/>
        <v>0</v>
      </c>
      <c r="J59" s="99"/>
    </row>
    <row r="60" customHeight="1" spans="1:10">
      <c r="A60" s="97" t="s">
        <v>283</v>
      </c>
      <c r="B60" s="42" t="str">
        <f>IFERROR(_xlfn.XLOOKUP('6月份计划'!A60,[5]UNEA!$B:$B,[5]UNEA!$B:$B),IFERROR(_xlfn.XLOOKUP('6月份计划'!A60,[5]MRHK!$B:$B,[5]MRHK!$B:$B),IFERROR(_xlfn.XLOOKUP('6月份计划'!A60,[5]MRHB!$B:$B,[5]MRHB!$B:$B),IFERROR(_xlfn.XLOOKUP('6月份计划'!A60,[5]HA6H!$B:$B,[5]HA6H!$B:$B),IFERROR(_xlfn.XLOOKUP('6月份计划'!A60,[5]HA6H!$B:$B,[5]HA6H!$B:$B)," ")))))</f>
        <v> </v>
      </c>
      <c r="C60" s="98">
        <f>SUMIFS('6月份科目余额表'!O:O,'6月份科目余额表'!D:D,A60)</f>
        <v>30195.92</v>
      </c>
      <c r="E60" s="98">
        <f t="shared" si="0"/>
        <v>30195.92</v>
      </c>
      <c r="F60" s="99">
        <v>0</v>
      </c>
      <c r="G60" s="99">
        <f>SUMIFS('5月份挂账'!Q:Q,'5月份挂账'!S:S,A60)-SUMIFS('5月份挂账'!P:P,'5月份挂账'!S:S,A60)</f>
        <v>21663.12</v>
      </c>
      <c r="H60" s="99">
        <f>SUMIFS('6月份挂账'!$Q:$Q,'6月份挂账'!$S:$S,$A60)-SUMIFS('6月份挂账'!$P:$P,'6月份挂账'!$S:$S,$A60)</f>
        <v>8532.8</v>
      </c>
      <c r="I60" s="100">
        <f t="shared" si="2"/>
        <v>0</v>
      </c>
      <c r="J60" s="99"/>
    </row>
    <row r="61" customHeight="1" spans="1:10">
      <c r="A61" s="97" t="s">
        <v>312</v>
      </c>
      <c r="B61" s="42" t="str">
        <f>IFERROR(_xlfn.XLOOKUP('6月份计划'!A61,[5]UNEA!$B:$B,[5]UNEA!$B:$B),IFERROR(_xlfn.XLOOKUP('6月份计划'!A61,[5]MRHK!$B:$B,[5]MRHK!$B:$B),IFERROR(_xlfn.XLOOKUP('6月份计划'!A61,[5]MRHB!$B:$B,[5]MRHB!$B:$B),IFERROR(_xlfn.XLOOKUP('6月份计划'!A61,[5]HA6H!$B:$B,[5]HA6H!$B:$B),IFERROR(_xlfn.XLOOKUP('6月份计划'!A61,[5]HA6H!$B:$B,[5]HA6H!$B:$B)," ")))))</f>
        <v> </v>
      </c>
      <c r="C61" s="98">
        <f>SUMIFS('6月份科目余额表'!O:O,'6月份科目余额表'!D:D,A61)</f>
        <v>0</v>
      </c>
      <c r="E61" s="98">
        <f t="shared" si="0"/>
        <v>0</v>
      </c>
      <c r="F61" s="99">
        <v>0</v>
      </c>
      <c r="G61" s="99">
        <f>SUMIFS('5月份挂账'!Q:Q,'5月份挂账'!S:S,A61)-SUMIFS('5月份挂账'!P:P,'5月份挂账'!S:S,A61)</f>
        <v>5705.37</v>
      </c>
      <c r="H61" s="99">
        <f>SUMIFS('6月份挂账'!$Q:$Q,'6月份挂账'!$S:$S,$A61)-SUMIFS('6月份挂账'!$P:$P,'6月份挂账'!$S:$S,$A61)</f>
        <v>0</v>
      </c>
      <c r="I61" s="100">
        <f t="shared" si="2"/>
        <v>0</v>
      </c>
      <c r="J61" s="99"/>
    </row>
    <row r="62" customHeight="1" spans="1:10">
      <c r="A62" s="97" t="s">
        <v>313</v>
      </c>
      <c r="B62" s="42" t="str">
        <f>IFERROR(_xlfn.XLOOKUP('6月份计划'!A62,[5]UNEA!$B:$B,[5]UNEA!$B:$B),IFERROR(_xlfn.XLOOKUP('6月份计划'!A62,[5]MRHK!$B:$B,[5]MRHK!$B:$B),IFERROR(_xlfn.XLOOKUP('6月份计划'!A62,[5]MRHB!$B:$B,[5]MRHB!$B:$B),IFERROR(_xlfn.XLOOKUP('6月份计划'!A62,[5]HA6H!$B:$B,[5]HA6H!$B:$B),IFERROR(_xlfn.XLOOKUP('6月份计划'!A62,[5]HA6H!$B:$B,[5]HA6H!$B:$B)," ")))))</f>
        <v> </v>
      </c>
      <c r="C62" s="98">
        <f>SUMIFS('6月份科目余额表'!O:O,'6月份科目余额表'!D:D,A62)</f>
        <v>4430</v>
      </c>
      <c r="E62" s="98">
        <f t="shared" si="0"/>
        <v>4430</v>
      </c>
      <c r="F62" s="99">
        <v>0</v>
      </c>
      <c r="G62" s="99">
        <f>SUMIFS('5月份挂账'!Q:Q,'5月份挂账'!S:S,A62)-SUMIFS('5月份挂账'!P:P,'5月份挂账'!S:S,A62)</f>
        <v>0</v>
      </c>
      <c r="H62" s="99">
        <f>SUMIFS('6月份挂账'!$Q:$Q,'6月份挂账'!$S:$S,$A62)-SUMIFS('6月份挂账'!$P:$P,'6月份挂账'!$S:$S,$A62)</f>
        <v>4429.6</v>
      </c>
      <c r="I62" s="100">
        <f t="shared" si="2"/>
        <v>0.399999999999636</v>
      </c>
      <c r="J62" s="99"/>
    </row>
    <row r="63" customHeight="1" spans="1:10">
      <c r="A63" s="97" t="s">
        <v>284</v>
      </c>
      <c r="B63" s="42" t="str">
        <f>IFERROR(_xlfn.XLOOKUP('6月份计划'!A63,[5]UNEA!$B:$B,[5]UNEA!$B:$B),IFERROR(_xlfn.XLOOKUP('6月份计划'!A63,[5]MRHK!$B:$B,[5]MRHK!$B:$B),IFERROR(_xlfn.XLOOKUP('6月份计划'!A63,[5]MRHB!$B:$B,[5]MRHB!$B:$B),IFERROR(_xlfn.XLOOKUP('6月份计划'!A63,[5]HA6H!$B:$B,[5]HA6H!$B:$B),IFERROR(_xlfn.XLOOKUP('6月份计划'!A63,[5]HA6H!$B:$B,[5]HA6H!$B:$B)," ")))))</f>
        <v> </v>
      </c>
      <c r="C63" s="98">
        <f>SUMIFS('6月份科目余额表'!O:O,'6月份科目余额表'!D:D,A63)</f>
        <v>184617.87</v>
      </c>
      <c r="D63" s="98">
        <v>100000</v>
      </c>
      <c r="E63" s="98">
        <f t="shared" si="0"/>
        <v>84617.87</v>
      </c>
      <c r="F63" s="99">
        <v>37957.29</v>
      </c>
      <c r="G63" s="99">
        <f>SUMIFS('5月份挂账'!Q:Q,'5月份挂账'!S:S,A63)-SUMIFS('5月份挂账'!P:P,'5月份挂账'!S:S,A63)</f>
        <v>22399.84</v>
      </c>
      <c r="H63" s="99">
        <f>SUMIFS('6月份挂账'!$Q:$Q,'6月份挂账'!$S:$S,$A63)-SUMIFS('6月份挂账'!$P:$P,'6月份挂账'!$S:$S,$A63)</f>
        <v>8600.87</v>
      </c>
      <c r="I63" s="100">
        <f t="shared" si="2"/>
        <v>53617.16</v>
      </c>
      <c r="J63" s="99"/>
    </row>
    <row r="64" customHeight="1" spans="1:10">
      <c r="A64" s="97" t="s">
        <v>285</v>
      </c>
      <c r="B64" s="42" t="str">
        <f>IFERROR(_xlfn.XLOOKUP('6月份计划'!A64,[5]UNEA!$B:$B,[5]UNEA!$B:$B),IFERROR(_xlfn.XLOOKUP('6月份计划'!A64,[5]MRHK!$B:$B,[5]MRHK!$B:$B),IFERROR(_xlfn.XLOOKUP('6月份计划'!A64,[5]MRHB!$B:$B,[5]MRHB!$B:$B),IFERROR(_xlfn.XLOOKUP('6月份计划'!A64,[5]HA6H!$B:$B,[5]HA6H!$B:$B),IFERROR(_xlfn.XLOOKUP('6月份计划'!A64,[5]HA6H!$B:$B,[5]HA6H!$B:$B)," ")))))</f>
        <v> </v>
      </c>
      <c r="C64" s="98">
        <f>SUMIFS('6月份科目余额表'!O:O,'6月份科目余额表'!D:D,A64)</f>
        <v>192420.92</v>
      </c>
      <c r="D64" s="98">
        <v>68950</v>
      </c>
      <c r="E64" s="98">
        <f t="shared" si="0"/>
        <v>123470.92</v>
      </c>
      <c r="F64" s="99">
        <v>70601.27</v>
      </c>
      <c r="G64" s="99">
        <f>SUMIFS('5月份挂账'!Q:Q,'5月份挂账'!S:S,A64)-SUMIFS('5月份挂账'!P:P,'5月份挂账'!S:S,A64)</f>
        <v>0</v>
      </c>
      <c r="H64" s="99">
        <f>SUMIFS('6月份挂账'!$Q:$Q,'6月份挂账'!$S:$S,$A64)-SUMIFS('6月份挂账'!$P:$P,'6月份挂账'!$S:$S,$A64)</f>
        <v>45852.01</v>
      </c>
      <c r="I64" s="100">
        <f t="shared" si="2"/>
        <v>77618.91</v>
      </c>
      <c r="J64" s="99"/>
    </row>
    <row r="65" customHeight="1" spans="1:10">
      <c r="A65" s="97" t="s">
        <v>314</v>
      </c>
      <c r="B65" s="42" t="str">
        <f>IFERROR(_xlfn.XLOOKUP('6月份计划'!A65,[5]UNEA!$B:$B,[5]UNEA!$B:$B),IFERROR(_xlfn.XLOOKUP('6月份计划'!A65,[5]MRHK!$B:$B,[5]MRHK!$B:$B),IFERROR(_xlfn.XLOOKUP('6月份计划'!A65,[5]MRHB!$B:$B,[5]MRHB!$B:$B),IFERROR(_xlfn.XLOOKUP('6月份计划'!A65,[5]HA6H!$B:$B,[5]HA6H!$B:$B),IFERROR(_xlfn.XLOOKUP('6月份计划'!A65,[5]HA6H!$B:$B,[5]HA6H!$B:$B)," ")))))</f>
        <v> </v>
      </c>
      <c r="C65" s="98">
        <f>SUMIFS('6月份科目余额表'!O:O,'6月份科目余额表'!D:D,A65)</f>
        <v>127947.24</v>
      </c>
      <c r="E65" s="98">
        <f t="shared" si="0"/>
        <v>127947.24</v>
      </c>
      <c r="F65" s="99">
        <v>38159.7</v>
      </c>
      <c r="G65" s="99">
        <f>SUMIFS('5月份挂账'!Q:Q,'5月份挂账'!S:S,A65)-SUMIFS('5月份挂账'!P:P,'5月份挂账'!S:S,A65)</f>
        <v>60606.59</v>
      </c>
      <c r="H65" s="99">
        <f>SUMIFS('6月份挂账'!$Q:$Q,'6月份挂账'!$S:$S,$A65)-SUMIFS('6月份挂账'!$P:$P,'6月份挂账'!$S:$S,$A65)</f>
        <v>29180.95</v>
      </c>
      <c r="I65" s="100">
        <f t="shared" si="2"/>
        <v>38159.7</v>
      </c>
      <c r="J65" s="99"/>
    </row>
    <row r="66" customHeight="1" spans="1:10">
      <c r="A66" s="97" t="s">
        <v>315</v>
      </c>
      <c r="B66" s="42" t="str">
        <f>IFERROR(_xlfn.XLOOKUP('6月份计划'!A66,[5]UNEA!$B:$B,[5]UNEA!$B:$B),IFERROR(_xlfn.XLOOKUP('6月份计划'!A66,[5]MRHK!$B:$B,[5]MRHK!$B:$B),IFERROR(_xlfn.XLOOKUP('6月份计划'!A66,[5]MRHB!$B:$B,[5]MRHB!$B:$B),IFERROR(_xlfn.XLOOKUP('6月份计划'!A66,[5]HA6H!$B:$B,[5]HA6H!$B:$B),IFERROR(_xlfn.XLOOKUP('6月份计划'!A66,[5]HA6H!$B:$B,[5]HA6H!$B:$B)," ")))))</f>
        <v> </v>
      </c>
      <c r="C66" s="98">
        <f>SUMIFS('6月份科目余额表'!O:O,'6月份科目余额表'!D:D,A66)</f>
        <v>14543.1</v>
      </c>
      <c r="E66" s="98">
        <f t="shared" si="0"/>
        <v>14543.1</v>
      </c>
      <c r="F66" s="99">
        <v>14543.1</v>
      </c>
      <c r="G66" s="99">
        <f>SUMIFS('5月份挂账'!Q:Q,'5月份挂账'!S:S,A66)-SUMIFS('5月份挂账'!P:P,'5月份挂账'!S:S,A66)</f>
        <v>0</v>
      </c>
      <c r="H66" s="99">
        <f>SUMIFS('6月份挂账'!$Q:$Q,'6月份挂账'!$S:$S,$A66)-SUMIFS('6月份挂账'!$P:$P,'6月份挂账'!$S:$S,$A66)</f>
        <v>0</v>
      </c>
      <c r="I66" s="100">
        <f t="shared" si="2"/>
        <v>14543.1</v>
      </c>
      <c r="J66" s="99"/>
    </row>
    <row r="67" customHeight="1" spans="1:10">
      <c r="A67" s="97" t="s">
        <v>316</v>
      </c>
      <c r="B67" s="42" t="str">
        <f>IFERROR(_xlfn.XLOOKUP('6月份计划'!A67,[5]UNEA!$B:$B,[5]UNEA!$B:$B),IFERROR(_xlfn.XLOOKUP('6月份计划'!A67,[5]MRHK!$B:$B,[5]MRHK!$B:$B),IFERROR(_xlfn.XLOOKUP('6月份计划'!A67,[5]MRHB!$B:$B,[5]MRHB!$B:$B),IFERROR(_xlfn.XLOOKUP('6月份计划'!A67,[5]HA6H!$B:$B,[5]HA6H!$B:$B),IFERROR(_xlfn.XLOOKUP('6月份计划'!A67,[5]HA6H!$B:$B,[5]HA6H!$B:$B)," ")))))</f>
        <v>无锡中天汽车部件有限公司</v>
      </c>
      <c r="C67" s="98">
        <f>SUMIFS('6月份科目余额表'!O:O,'6月份科目余额表'!D:D,A67)</f>
        <v>0</v>
      </c>
      <c r="E67" s="98">
        <f t="shared" ref="E67:E78" si="3">C67-D67</f>
        <v>0</v>
      </c>
      <c r="F67" s="99">
        <v>0</v>
      </c>
      <c r="G67" s="99">
        <f>SUMIFS('5月份挂账'!Q:Q,'5月份挂账'!S:S,A67)-SUMIFS('5月份挂账'!P:P,'5月份挂账'!S:S,A67)</f>
        <v>0</v>
      </c>
      <c r="H67" s="99">
        <f>SUMIFS('6月份挂账'!$Q:$Q,'6月份挂账'!$S:$S,$A67)-SUMIFS('6月份挂账'!$P:$P,'6月份挂账'!$S:$S,$A67)</f>
        <v>0</v>
      </c>
      <c r="I67" s="100">
        <f t="shared" si="2"/>
        <v>0</v>
      </c>
      <c r="J67" s="99"/>
    </row>
    <row r="68" customHeight="1" spans="1:10">
      <c r="A68" s="97" t="s">
        <v>317</v>
      </c>
      <c r="B68" s="42" t="str">
        <f>IFERROR(_xlfn.XLOOKUP('6月份计划'!A68,[5]UNEA!$B:$B,[5]UNEA!$B:$B),IFERROR(_xlfn.XLOOKUP('6月份计划'!A68,[5]MRHK!$B:$B,[5]MRHK!$B:$B),IFERROR(_xlfn.XLOOKUP('6月份计划'!A68,[5]MRHB!$B:$B,[5]MRHB!$B:$B),IFERROR(_xlfn.XLOOKUP('6月份计划'!A68,[5]HA6H!$B:$B,[5]HA6H!$B:$B),IFERROR(_xlfn.XLOOKUP('6月份计划'!A68,[5]HA6H!$B:$B,[5]HA6H!$B:$B)," ")))))</f>
        <v>天津力登维汽车部件有限公司</v>
      </c>
      <c r="C68" s="98">
        <f>SUMIFS('6月份科目余额表'!O:O,'6月份科目余额表'!D:D,A68)</f>
        <v>56873.98</v>
      </c>
      <c r="E68" s="98">
        <f t="shared" si="3"/>
        <v>56873.98</v>
      </c>
      <c r="F68" s="99">
        <v>21198.8</v>
      </c>
      <c r="G68" s="99">
        <f>SUMIFS('5月份挂账'!Q:Q,'5月份挂账'!S:S,A68)-SUMIFS('5月份挂账'!P:P,'5月份挂账'!S:S,A68)</f>
        <v>19855.18</v>
      </c>
      <c r="H68" s="99">
        <f>SUMIFS('6月份挂账'!$Q:$Q,'6月份挂账'!$S:$S,$A68)-SUMIFS('6月份挂账'!$P:$P,'6月份挂账'!$S:$S,$A68)</f>
        <v>15820</v>
      </c>
      <c r="I68" s="100">
        <f t="shared" si="2"/>
        <v>21198.8</v>
      </c>
      <c r="J68" s="99"/>
    </row>
    <row r="69" s="42" customFormat="1" customHeight="1" spans="1:10">
      <c r="A69" s="97" t="s">
        <v>318</v>
      </c>
      <c r="B69" s="42" t="str">
        <f>IFERROR(_xlfn.XLOOKUP('6月份计划'!A69,[5]UNEA!$B:$B,[5]UNEA!$B:$B),IFERROR(_xlfn.XLOOKUP('6月份计划'!A69,[5]MRHK!$B:$B,[5]MRHK!$B:$B),IFERROR(_xlfn.XLOOKUP('6月份计划'!A69,[5]MRHB!$B:$B,[5]MRHB!$B:$B),IFERROR(_xlfn.XLOOKUP('6月份计划'!A69,[5]HA6H!$B:$B,[5]HA6H!$B:$B),IFERROR(_xlfn.XLOOKUP('6月份计划'!A69,[5]HA6H!$B:$B,[5]HA6H!$B:$B)," ")))))</f>
        <v> </v>
      </c>
      <c r="C69" s="98">
        <f>SUMIFS('6月份科目余额表'!O:O,'6月份科目余额表'!D:D,A69)</f>
        <v>360087.69</v>
      </c>
      <c r="D69" s="98"/>
      <c r="E69" s="98">
        <f t="shared" si="3"/>
        <v>360087.69</v>
      </c>
      <c r="F69" s="99">
        <v>237747.11</v>
      </c>
      <c r="G69" s="99">
        <f>SUMIFS('5月份挂账'!Q:Q,'5月份挂账'!S:S,A69)-SUMIFS('5月份挂账'!P:P,'5月份挂账'!S:S,A69)</f>
        <v>145401.62</v>
      </c>
      <c r="H69" s="99">
        <f>SUMIFS('6月份挂账'!$Q:$Q,'6月份挂账'!$S:$S,$A69)-SUMIFS('6月份挂账'!$P:$P,'6月份挂账'!$S:$S,$A69)</f>
        <v>0</v>
      </c>
      <c r="I69" s="100">
        <f t="shared" si="2"/>
        <v>214686.07</v>
      </c>
      <c r="J69" s="99"/>
    </row>
    <row r="70" customHeight="1" spans="1:10">
      <c r="A70" s="97" t="s">
        <v>319</v>
      </c>
      <c r="B70" s="42" t="str">
        <f>IFERROR(_xlfn.XLOOKUP('6月份计划'!A70,[5]UNEA!$B:$B,[5]UNEA!$B:$B),IFERROR(_xlfn.XLOOKUP('6月份计划'!A70,[5]MRHK!$B:$B,[5]MRHK!$B:$B),IFERROR(_xlfn.XLOOKUP('6月份计划'!A70,[5]MRHB!$B:$B,[5]MRHB!$B:$B),IFERROR(_xlfn.XLOOKUP('6月份计划'!A70,[5]HA6H!$B:$B,[5]HA6H!$B:$B),IFERROR(_xlfn.XLOOKUP('6月份计划'!A70,[5]HA6H!$B:$B,[5]HA6H!$B:$B)," ")))))</f>
        <v> </v>
      </c>
      <c r="C70" s="98">
        <f>SUMIFS('6月份科目余额表'!O:O,'6月份科目余额表'!D:D,A70)</f>
        <v>5720.63</v>
      </c>
      <c r="E70" s="98">
        <f t="shared" si="3"/>
        <v>5720.63</v>
      </c>
      <c r="F70" s="99">
        <v>0</v>
      </c>
      <c r="G70" s="99">
        <f>SUMIFS('5月份挂账'!Q:Q,'5月份挂账'!S:S,A70)-SUMIFS('5月份挂账'!P:P,'5月份挂账'!S:S,A70)</f>
        <v>0</v>
      </c>
      <c r="H70" s="99">
        <f>SUMIFS('6月份挂账'!$Q:$Q,'6月份挂账'!$S:$S,$A70)-SUMIFS('6月份挂账'!$P:$P,'6月份挂账'!$S:$S,$A70)</f>
        <v>0</v>
      </c>
      <c r="I70" s="100">
        <f t="shared" si="2"/>
        <v>5720.63</v>
      </c>
      <c r="J70" s="99"/>
    </row>
    <row r="71" customHeight="1" spans="1:10">
      <c r="A71" s="97" t="s">
        <v>286</v>
      </c>
      <c r="B71" s="42" t="str">
        <f>IFERROR(_xlfn.XLOOKUP('6月份计划'!A71,[5]UNEA!$B:$B,[5]UNEA!$B:$B),IFERROR(_xlfn.XLOOKUP('6月份计划'!A71,[5]MRHK!$B:$B,[5]MRHK!$B:$B),IFERROR(_xlfn.XLOOKUP('6月份计划'!A71,[5]MRHB!$B:$B,[5]MRHB!$B:$B),IFERROR(_xlfn.XLOOKUP('6月份计划'!A71,[5]HA6H!$B:$B,[5]HA6H!$B:$B),IFERROR(_xlfn.XLOOKUP('6月份计划'!A71,[5]HA6H!$B:$B,[5]HA6H!$B:$B)," ")))))</f>
        <v> </v>
      </c>
      <c r="C71" s="98">
        <f>SUMIFS('6月份科目余额表'!O:O,'6月份科目余额表'!D:D,A71)</f>
        <v>0</v>
      </c>
      <c r="E71" s="98">
        <f t="shared" si="3"/>
        <v>0</v>
      </c>
      <c r="F71" s="99">
        <v>0</v>
      </c>
      <c r="G71" s="99">
        <f>SUMIFS('5月份挂账'!Q:Q,'5月份挂账'!S:S,A71)-SUMIFS('5月份挂账'!P:P,'5月份挂账'!S:S,A71)</f>
        <v>0</v>
      </c>
      <c r="H71" s="99">
        <f>SUMIFS('6月份挂账'!$Q:$Q,'6月份挂账'!$S:$S,$A71)-SUMIFS('6月份挂账'!$P:$P,'6月份挂账'!$S:$S,$A71)</f>
        <v>0</v>
      </c>
      <c r="I71" s="100">
        <f t="shared" si="2"/>
        <v>0</v>
      </c>
      <c r="J71" s="99"/>
    </row>
    <row r="72" customHeight="1" spans="1:10">
      <c r="A72" s="97" t="s">
        <v>287</v>
      </c>
      <c r="B72" s="42" t="str">
        <f>IFERROR(_xlfn.XLOOKUP('6月份计划'!A72,[5]UNEA!$B:$B,[5]UNEA!$B:$B),IFERROR(_xlfn.XLOOKUP('6月份计划'!A72,[5]MRHK!$B:$B,[5]MRHK!$B:$B),IFERROR(_xlfn.XLOOKUP('6月份计划'!A72,[5]MRHB!$B:$B,[5]MRHB!$B:$B),IFERROR(_xlfn.XLOOKUP('6月份计划'!A72,[5]HA6H!$B:$B,[5]HA6H!$B:$B),IFERROR(_xlfn.XLOOKUP('6月份计划'!A72,[5]HA6H!$B:$B,[5]HA6H!$B:$B)," ")))))</f>
        <v>广州自强汽车零部件有限公司</v>
      </c>
      <c r="C72" s="98">
        <f>SUMIFS('6月份科目余额表'!O:O,'6月份科目余额表'!D:D,A72)</f>
        <v>0</v>
      </c>
      <c r="E72" s="98">
        <f t="shared" si="3"/>
        <v>0</v>
      </c>
      <c r="F72" s="99">
        <v>0</v>
      </c>
      <c r="G72" s="99">
        <f>SUMIFS('5月份挂账'!Q:Q,'5月份挂账'!S:S,A72)-SUMIFS('5月份挂账'!P:P,'5月份挂账'!S:S,A72)</f>
        <v>0</v>
      </c>
      <c r="H72" s="99">
        <f>SUMIFS('6月份挂账'!$Q:$Q,'6月份挂账'!$S:$S,$A72)-SUMIFS('6月份挂账'!$P:$P,'6月份挂账'!$S:$S,$A72)</f>
        <v>0</v>
      </c>
      <c r="I72" s="100">
        <f t="shared" si="2"/>
        <v>0</v>
      </c>
      <c r="J72" s="99"/>
    </row>
    <row r="73" customHeight="1" spans="1:10">
      <c r="A73" s="97" t="s">
        <v>288</v>
      </c>
      <c r="B73" s="42" t="str">
        <f>IFERROR(_xlfn.XLOOKUP('6月份计划'!A73,[5]UNEA!$B:$B,[5]UNEA!$B:$B),IFERROR(_xlfn.XLOOKUP('6月份计划'!A73,[5]MRHK!$B:$B,[5]MRHK!$B:$B),IFERROR(_xlfn.XLOOKUP('6月份计划'!A73,[5]MRHB!$B:$B,[5]MRHB!$B:$B),IFERROR(_xlfn.XLOOKUP('6月份计划'!A73,[5]HA6H!$B:$B,[5]HA6H!$B:$B),IFERROR(_xlfn.XLOOKUP('6月份计划'!A73,[5]HA6H!$B:$B,[5]HA6H!$B:$B)," ")))))</f>
        <v> </v>
      </c>
      <c r="C73" s="98">
        <f>SUMIFS('6月份科目余额表'!O:O,'6月份科目余额表'!D:D,A73)</f>
        <v>18086.68</v>
      </c>
      <c r="E73" s="98">
        <f t="shared" si="3"/>
        <v>18086.68</v>
      </c>
      <c r="F73" s="99">
        <v>0</v>
      </c>
      <c r="G73" s="99">
        <f>SUMIFS('5月份挂账'!Q:Q,'5月份挂账'!S:S,A73)-SUMIFS('5月份挂账'!P:P,'5月份挂账'!S:S,A73)</f>
        <v>30494.08</v>
      </c>
      <c r="H73" s="99">
        <f>SUMIFS('6月份挂账'!$Q:$Q,'6月份挂账'!$S:$S,$A73)-SUMIFS('6月份挂账'!$P:$P,'6月份挂账'!$S:$S,$A73)</f>
        <v>15763.5</v>
      </c>
      <c r="I73" s="100">
        <f t="shared" si="2"/>
        <v>0</v>
      </c>
      <c r="J73" s="99"/>
    </row>
    <row r="74" customHeight="1" spans="1:10">
      <c r="A74" s="97" t="s">
        <v>289</v>
      </c>
      <c r="B74" s="42" t="str">
        <f>IFERROR(_xlfn.XLOOKUP('6月份计划'!A74,[5]UNEA!$B:$B,[5]UNEA!$B:$B),IFERROR(_xlfn.XLOOKUP('6月份计划'!A74,[5]MRHK!$B:$B,[5]MRHK!$B:$B),IFERROR(_xlfn.XLOOKUP('6月份计划'!A74,[5]MRHB!$B:$B,[5]MRHB!$B:$B),IFERROR(_xlfn.XLOOKUP('6月份计划'!A74,[5]HA6H!$B:$B,[5]HA6H!$B:$B),IFERROR(_xlfn.XLOOKUP('6月份计划'!A74,[5]HA6H!$B:$B,[5]HA6H!$B:$B)," ")))))</f>
        <v> </v>
      </c>
      <c r="C74" s="98">
        <f>SUMIFS('6月份科目余额表'!O:O,'6月份科目余额表'!D:D,A74)</f>
        <v>7739.9</v>
      </c>
      <c r="E74" s="98">
        <f t="shared" si="3"/>
        <v>7739.9</v>
      </c>
      <c r="F74" s="99">
        <v>0</v>
      </c>
      <c r="G74" s="99">
        <f>SUMIFS('5月份挂账'!Q:Q,'5月份挂账'!S:S,A74)-SUMIFS('5月份挂账'!P:P,'5月份挂账'!S:S,A74)</f>
        <v>0</v>
      </c>
      <c r="H74" s="99">
        <f>SUMIFS('6月份挂账'!$Q:$Q,'6月份挂账'!$S:$S,$A74)-SUMIFS('6月份挂账'!$P:$P,'6月份挂账'!$S:$S,$A74)</f>
        <v>0</v>
      </c>
      <c r="I74" s="100">
        <f t="shared" si="2"/>
        <v>7739.9</v>
      </c>
      <c r="J74" s="99"/>
    </row>
    <row r="75" customHeight="1" spans="1:10">
      <c r="A75" s="97" t="s">
        <v>320</v>
      </c>
      <c r="B75" s="42" t="str">
        <f>IFERROR(_xlfn.XLOOKUP('6月份计划'!A75,[5]UNEA!$B:$B,[5]UNEA!$B:$B),IFERROR(_xlfn.XLOOKUP('6月份计划'!A75,[5]MRHK!$B:$B,[5]MRHK!$B:$B),IFERROR(_xlfn.XLOOKUP('6月份计划'!A75,[5]MRHB!$B:$B,[5]MRHB!$B:$B),IFERROR(_xlfn.XLOOKUP('6月份计划'!A75,[5]HA6H!$B:$B,[5]HA6H!$B:$B),IFERROR(_xlfn.XLOOKUP('6月份计划'!A75,[5]HA6H!$B:$B,[5]HA6H!$B:$B)," ")))))</f>
        <v>武汉凯密科汽车零部件有限公司</v>
      </c>
      <c r="C75" s="98">
        <f>SUMIFS('6月份科目余额表'!O:O,'6月份科目余额表'!D:D,A75)</f>
        <v>4018.39</v>
      </c>
      <c r="E75" s="98">
        <f t="shared" si="3"/>
        <v>4018.39</v>
      </c>
      <c r="F75" s="99">
        <v>0</v>
      </c>
      <c r="G75" s="99">
        <f>SUMIFS('5月份挂账'!Q:Q,'5月份挂账'!S:S,A75)-SUMIFS('5月份挂账'!P:P,'5月份挂账'!S:S,A75)</f>
        <v>4018.39</v>
      </c>
      <c r="H75" s="99">
        <f>SUMIFS('6月份挂账'!$Q:$Q,'6月份挂账'!$S:$S,$A75)-SUMIFS('6月份挂账'!$P:$P,'6月份挂账'!$S:$S,$A75)</f>
        <v>0</v>
      </c>
      <c r="I75" s="100">
        <f t="shared" si="2"/>
        <v>0</v>
      </c>
      <c r="J75" s="99"/>
    </row>
    <row r="76" customHeight="1" spans="1:10">
      <c r="A76" s="97" t="s">
        <v>321</v>
      </c>
      <c r="B76" s="42" t="str">
        <f>IFERROR(_xlfn.XLOOKUP('6月份计划'!A76,[5]UNEA!$B:$B,[5]UNEA!$B:$B),IFERROR(_xlfn.XLOOKUP('6月份计划'!A76,[5]MRHK!$B:$B,[5]MRHK!$B:$B),IFERROR(_xlfn.XLOOKUP('6月份计划'!A76,[5]MRHB!$B:$B,[5]MRHB!$B:$B),IFERROR(_xlfn.XLOOKUP('6月份计划'!A76,[5]HA6H!$B:$B,[5]HA6H!$B:$B),IFERROR(_xlfn.XLOOKUP('6月份计划'!A76,[5]HA6H!$B:$B,[5]HA6H!$B:$B)," ")))))</f>
        <v> </v>
      </c>
      <c r="C76" s="98">
        <f>SUMIFS('6月份科目余额表'!O:O,'6月份科目余额表'!D:D,A76)</f>
        <v>3497.49</v>
      </c>
      <c r="D76" s="98">
        <v>2623.12</v>
      </c>
      <c r="E76" s="98">
        <f t="shared" si="3"/>
        <v>874.37</v>
      </c>
      <c r="F76" s="99">
        <v>874.37</v>
      </c>
      <c r="G76" s="99">
        <f>SUMIFS('5月份挂账'!Q:Q,'5月份挂账'!S:S,A76)-SUMIFS('5月份挂账'!P:P,'5月份挂账'!S:S,A76)</f>
        <v>0</v>
      </c>
      <c r="H76" s="99">
        <f>SUMIFS('6月份挂账'!$Q:$Q,'6月份挂账'!$S:$S,$A76)-SUMIFS('6月份挂账'!$P:$P,'6月份挂账'!$S:$S,$A76)</f>
        <v>0</v>
      </c>
      <c r="I76" s="100">
        <f t="shared" si="2"/>
        <v>874.37</v>
      </c>
      <c r="J76" s="99"/>
    </row>
    <row r="77" customHeight="1" spans="1:10">
      <c r="A77" s="97" t="s">
        <v>290</v>
      </c>
      <c r="B77" s="42" t="str">
        <f>IFERROR(_xlfn.XLOOKUP('6月份计划'!A77,[5]UNEA!$B:$B,[5]UNEA!$B:$B),IFERROR(_xlfn.XLOOKUP('6月份计划'!A77,[5]MRHK!$B:$B,[5]MRHK!$B:$B),IFERROR(_xlfn.XLOOKUP('6月份计划'!A77,[5]MRHB!$B:$B,[5]MRHB!$B:$B),IFERROR(_xlfn.XLOOKUP('6月份计划'!A77,[5]HA6H!$B:$B,[5]HA6H!$B:$B),IFERROR(_xlfn.XLOOKUP('6月份计划'!A77,[5]HA6H!$B:$B,[5]HA6H!$B:$B)," ")))))</f>
        <v>江阴同威科技有限公司</v>
      </c>
      <c r="C77" s="98">
        <f>SUMIFS('6月份科目余额表'!O:O,'6月份科目余额表'!D:D,A77)</f>
        <v>86509.41</v>
      </c>
      <c r="D77" s="98">
        <v>26506.41</v>
      </c>
      <c r="E77" s="98">
        <f t="shared" si="3"/>
        <v>60003</v>
      </c>
      <c r="F77" s="99">
        <v>26506.41</v>
      </c>
      <c r="G77" s="99">
        <f>SUMIFS('5月份挂账'!Q:Q,'5月份挂账'!S:S,A77)-SUMIFS('5月份挂账'!P:P,'5月份挂账'!S:S,A77)</f>
        <v>45602.28</v>
      </c>
      <c r="H77" s="99">
        <f>SUMIFS('6月份挂账'!$Q:$Q,'6月份挂账'!$S:$S,$A77)-SUMIFS('6月份挂账'!$P:$P,'6月份挂账'!$S:$S,$A77)</f>
        <v>14400.72</v>
      </c>
      <c r="I77" s="100">
        <f t="shared" si="2"/>
        <v>0</v>
      </c>
      <c r="J77" s="99"/>
    </row>
    <row r="78" customHeight="1" spans="1:10">
      <c r="A78" s="97" t="s">
        <v>291</v>
      </c>
      <c r="B78" s="42" t="str">
        <f>IFERROR(_xlfn.XLOOKUP('6月份计划'!A78,[5]UNEA!$B:$B,[5]UNEA!$B:$B),IFERROR(_xlfn.XLOOKUP('6月份计划'!A78,[5]MRHK!$B:$B,[5]MRHK!$B:$B),IFERROR(_xlfn.XLOOKUP('6月份计划'!A78,[5]MRHB!$B:$B,[5]MRHB!$B:$B),IFERROR(_xlfn.XLOOKUP('6月份计划'!A78,[5]HA6H!$B:$B,[5]HA6H!$B:$B),IFERROR(_xlfn.XLOOKUP('6月份计划'!A78,[5]HA6H!$B:$B,[5]HA6H!$B:$B)," ")))))</f>
        <v>深圳市新和荣无纺布有限公司</v>
      </c>
      <c r="C78" s="98">
        <f>SUMIFS('6月份科目余额表'!O:O,'6月份科目余额表'!D:D,A78)</f>
        <v>89795.18</v>
      </c>
      <c r="E78" s="98">
        <f t="shared" si="3"/>
        <v>89795.18</v>
      </c>
      <c r="F78" s="99">
        <v>72279.84</v>
      </c>
      <c r="G78" s="99">
        <f>SUMIFS('5月份挂账'!Q:Q,'5月份挂账'!S:S,A78)-SUMIFS('5月份挂账'!P:P,'5月份挂账'!S:S,A78)</f>
        <v>2034</v>
      </c>
      <c r="H78" s="99">
        <f>SUMIFS('6月份挂账'!$Q:$Q,'6月份挂账'!$S:$S,$A78)-SUMIFS('6月份挂账'!$P:$P,'6月份挂账'!$S:$S,$A78)</f>
        <v>15481.34</v>
      </c>
      <c r="I78" s="100">
        <f t="shared" si="2"/>
        <v>72279.84</v>
      </c>
      <c r="J78" s="99"/>
    </row>
    <row r="79" customHeight="1" spans="1:8">
      <c r="A79" s="97" t="s">
        <v>332</v>
      </c>
      <c r="H79" s="99">
        <f>SUMIFS('6月份挂账'!$Q:$Q,'6月份挂账'!$S:$S,$A79)-SUMIFS('6月份挂账'!$P:$P,'6月份挂账'!$S:$S,$A79)</f>
        <v>0</v>
      </c>
    </row>
    <row r="80" customHeight="1" spans="1:10">
      <c r="A80" s="97" t="s">
        <v>29</v>
      </c>
      <c r="C80" s="87">
        <f t="shared" ref="C80:J80" si="4">SUM(C3:C79)</f>
        <v>23498623.36</v>
      </c>
      <c r="D80" s="87">
        <f t="shared" si="4"/>
        <v>5138131.29</v>
      </c>
      <c r="E80" s="87">
        <f t="shared" si="4"/>
        <v>18360492.07</v>
      </c>
      <c r="F80" s="87">
        <f t="shared" si="4"/>
        <v>9725463.93999999</v>
      </c>
      <c r="G80" s="87">
        <f t="shared" si="4"/>
        <v>8405118.22</v>
      </c>
      <c r="H80" s="87">
        <f t="shared" si="4"/>
        <v>6362740</v>
      </c>
      <c r="I80" s="87">
        <f t="shared" si="4"/>
        <v>6164473.86</v>
      </c>
      <c r="J80" s="87">
        <f t="shared" si="4"/>
        <v>0</v>
      </c>
    </row>
    <row r="81" customHeight="1" spans="1:10">
      <c r="A81" s="97" t="s">
        <v>293</v>
      </c>
      <c r="C81" s="87"/>
      <c r="D81" s="87"/>
      <c r="E81" s="87"/>
      <c r="F81" s="89"/>
      <c r="G81" s="89"/>
      <c r="I81" s="88"/>
      <c r="J81" s="120"/>
    </row>
  </sheetData>
  <autoFilter xmlns:etc="http://www.wps.cn/officeDocument/2017/etCustomData" ref="A2:J82" etc:filterBottomFollowUsedRange="0">
    <extLst/>
  </autoFilter>
  <mergeCells count="1">
    <mergeCell ref="A1:J1"/>
  </mergeCells>
  <conditionalFormatting sqref="A$1:A$1048576">
    <cfRule type="duplicateValues" dxfId="0" priority="1"/>
  </conditionalFormatting>
  <pageMargins left="0.75" right="0.75" top="1" bottom="1" header="0.5" footer="0.5"/>
  <pageSetup paperSize="9" orientation="portrait"/>
  <headerFooter/>
  <ignoredErrors>
    <ignoredError sqref="H80" formula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6"/>
  <dimension ref="A1:Z82"/>
  <sheetViews>
    <sheetView workbookViewId="0">
      <pane xSplit="1" ySplit="2" topLeftCell="B71" activePane="bottomRight" state="frozen"/>
      <selection/>
      <selection pane="topRight"/>
      <selection pane="bottomLeft"/>
      <selection pane="bottomRight" activeCell="C81" sqref="C81"/>
    </sheetView>
  </sheetViews>
  <sheetFormatPr defaultColWidth="9" defaultRowHeight="19" customHeight="1"/>
  <cols>
    <col min="1" max="1" width="26.25" style="97" customWidth="1"/>
    <col min="2" max="2" width="21.375" style="42" hidden="1" customWidth="1"/>
    <col min="3" max="5" width="12.625" style="98" customWidth="1"/>
    <col min="6" max="8" width="11.75" style="99" customWidth="1"/>
    <col min="9" max="9" width="17.25" style="100" customWidth="1"/>
    <col min="10" max="11" width="11.75" style="101" customWidth="1"/>
    <col min="12" max="12" width="11.75" style="42" customWidth="1"/>
    <col min="13" max="13" width="13.5" style="42" customWidth="1"/>
    <col min="14" max="14" width="15.5" style="42" customWidth="1"/>
    <col min="15" max="15" width="16" style="42" customWidth="1"/>
    <col min="16" max="17" width="13.5" style="42" customWidth="1"/>
    <col min="18" max="18" width="23.625" style="42" customWidth="1"/>
    <col min="19" max="19" width="10.125" style="102"/>
    <col min="20" max="20" width="14.375" style="42" customWidth="1"/>
    <col min="21" max="21" width="18" style="42" customWidth="1"/>
    <col min="22" max="22" width="11.5" style="42" customWidth="1"/>
    <col min="23" max="23" width="9.25" style="42"/>
    <col min="24" max="24" width="16.125" style="42" customWidth="1"/>
    <col min="25" max="25" width="12.375" style="102" customWidth="1"/>
    <col min="26" max="26" width="13.625" style="42" customWidth="1"/>
    <col min="27" max="16384" width="9" style="42"/>
  </cols>
  <sheetData>
    <row r="1" ht="29" customHeight="1" spans="1:13">
      <c r="A1" s="103" t="s">
        <v>333</v>
      </c>
      <c r="B1" s="103"/>
      <c r="C1" s="104"/>
      <c r="D1" s="104"/>
      <c r="E1" s="104"/>
      <c r="F1" s="105"/>
      <c r="G1" s="105"/>
      <c r="H1" s="105"/>
      <c r="I1" s="106"/>
      <c r="J1" s="113"/>
      <c r="K1" s="113"/>
      <c r="L1" s="103"/>
      <c r="M1" s="42" t="s">
        <v>7</v>
      </c>
    </row>
    <row r="2" ht="36" customHeight="1" spans="1:16">
      <c r="A2" s="107" t="s">
        <v>231</v>
      </c>
      <c r="B2" s="107" t="s">
        <v>232</v>
      </c>
      <c r="C2" s="108" t="s">
        <v>334</v>
      </c>
      <c r="D2" s="108" t="s">
        <v>335</v>
      </c>
      <c r="E2" s="108" t="s">
        <v>336</v>
      </c>
      <c r="F2" s="109" t="s">
        <v>337</v>
      </c>
      <c r="G2" s="109" t="s">
        <v>330</v>
      </c>
      <c r="H2" s="109" t="s">
        <v>331</v>
      </c>
      <c r="I2" s="108" t="s">
        <v>236</v>
      </c>
      <c r="J2" s="107" t="s">
        <v>237</v>
      </c>
      <c r="K2" s="107"/>
      <c r="L2" s="107"/>
      <c r="M2" s="42" t="s">
        <v>338</v>
      </c>
      <c r="N2" s="42" t="s">
        <v>339</v>
      </c>
      <c r="O2" s="42" t="s">
        <v>340</v>
      </c>
      <c r="P2" s="42" t="s">
        <v>52</v>
      </c>
    </row>
    <row r="3" customHeight="1" spans="1:25">
      <c r="A3" s="97" t="s">
        <v>240</v>
      </c>
      <c r="B3" s="42" t="str">
        <f>IFERROR(_xlfn.XLOOKUP('5月份计划'!A3,[5]UNEA!$B:$B,[5]UNEA!$B:$B),IFERROR(_xlfn.XLOOKUP('5月份计划'!A3,[5]MRHK!$B:$B,[5]MRHK!$B:$B),IFERROR(_xlfn.XLOOKUP('5月份计划'!A3,[5]MRHB!$B:$B,[5]MRHB!$B:$B),IFERROR(_xlfn.XLOOKUP('5月份计划'!A3,[5]HA6H!$B:$B,[5]HA6H!$B:$B),IFERROR(_xlfn.XLOOKUP('5月份计划'!A3,[5]HA6H!$B:$B,[5]HA6H!$B:$B)," ")))))</f>
        <v>重庆厚元汽车配件有限公司</v>
      </c>
      <c r="C3" s="98">
        <f>SUMIFS('5月份科目余额表'!O:O,'5月份科目余额表'!D:D,A3)</f>
        <v>424709.81</v>
      </c>
      <c r="D3" s="98">
        <v>100000</v>
      </c>
      <c r="E3" s="98">
        <f t="shared" ref="E3:E66" si="0">C3-D3</f>
        <v>324709.81</v>
      </c>
      <c r="F3" s="99">
        <v>0</v>
      </c>
      <c r="G3" s="99">
        <v>87944.28</v>
      </c>
      <c r="H3" s="99">
        <f>SUMIFS('5月份挂账'!Q:Q,'5月份挂账'!S:S,A3)-SUMIFS('5月份挂账'!P:P,'5月份挂账'!S:S,A3)</f>
        <v>188791.59</v>
      </c>
      <c r="I3" s="100">
        <f t="shared" ref="I3:I66" si="1">IF(E3-H3-G3&gt;0,E3-H3-G3,0)</f>
        <v>47973.94</v>
      </c>
      <c r="J3" s="99">
        <v>47973.94</v>
      </c>
      <c r="K3" s="99">
        <f t="shared" ref="K3:K66" si="2">C3-D3-J3</f>
        <v>276735.87</v>
      </c>
      <c r="R3" s="42" t="s">
        <v>341</v>
      </c>
      <c r="U3" s="42" t="s">
        <v>342</v>
      </c>
      <c r="Y3" s="102" t="s">
        <v>343</v>
      </c>
    </row>
    <row r="4" customHeight="1" spans="1:25">
      <c r="A4" s="97" t="s">
        <v>241</v>
      </c>
      <c r="B4" s="42" t="str">
        <f>IFERROR(_xlfn.XLOOKUP('5月份计划'!A4,[5]UNEA!$B:$B,[5]UNEA!$B:$B),IFERROR(_xlfn.XLOOKUP('5月份计划'!A4,[5]MRHK!$B:$B,[5]MRHK!$B:$B),IFERROR(_xlfn.XLOOKUP('5月份计划'!A4,[5]MRHB!$B:$B,[5]MRHB!$B:$B),IFERROR(_xlfn.XLOOKUP('5月份计划'!A4,[5]HA6H!$B:$B,[5]HA6H!$B:$B),IFERROR(_xlfn.XLOOKUP('5月份计划'!A4,[5]HA6H!$B:$B,[5]HA6H!$B:$B)," ")))))</f>
        <v> </v>
      </c>
      <c r="C4" s="98">
        <f>SUMIFS('5月份科目余额表'!O:O,'5月份科目余额表'!D:D,A4)</f>
        <v>60978.3</v>
      </c>
      <c r="E4" s="98">
        <f t="shared" si="0"/>
        <v>60978.3</v>
      </c>
      <c r="F4" s="99">
        <v>12458.85</v>
      </c>
      <c r="G4" s="99">
        <v>0</v>
      </c>
      <c r="H4" s="99">
        <f>SUMIFS('5月份挂账'!Q:Q,'5月份挂账'!S:S,A4)-SUMIFS('5月份挂账'!P:P,'5月份挂账'!S:S,A4)</f>
        <v>17002.08</v>
      </c>
      <c r="I4" s="100">
        <f t="shared" si="1"/>
        <v>43976.22</v>
      </c>
      <c r="J4" s="99">
        <v>40000</v>
      </c>
      <c r="K4" s="99">
        <f t="shared" si="2"/>
        <v>20978.3</v>
      </c>
      <c r="M4" s="42">
        <f>J4</f>
        <v>40000</v>
      </c>
      <c r="R4" s="42" t="s">
        <v>239</v>
      </c>
      <c r="S4" s="102">
        <v>88</v>
      </c>
      <c r="T4" s="42" t="s">
        <v>344</v>
      </c>
      <c r="X4" s="42" t="s">
        <v>239</v>
      </c>
      <c r="Y4" s="102">
        <v>58</v>
      </c>
    </row>
    <row r="5" customHeight="1" spans="1:25">
      <c r="A5" s="97" t="s">
        <v>242</v>
      </c>
      <c r="B5" s="42" t="str">
        <f>IFERROR(_xlfn.XLOOKUP('5月份计划'!A5,[5]UNEA!$B:$B,[5]UNEA!$B:$B),IFERROR(_xlfn.XLOOKUP('5月份计划'!A5,[5]MRHK!$B:$B,[5]MRHK!$B:$B),IFERROR(_xlfn.XLOOKUP('5月份计划'!A5,[5]MRHB!$B:$B,[5]MRHB!$B:$B),IFERROR(_xlfn.XLOOKUP('5月份计划'!A5,[5]HA6H!$B:$B,[5]HA6H!$B:$B),IFERROR(_xlfn.XLOOKUP('5月份计划'!A5,[5]HA6H!$B:$B,[5]HA6H!$B:$B)," ")))))</f>
        <v> </v>
      </c>
      <c r="C5" s="98">
        <f>SUMIFS('5月份科目余额表'!O:O,'5月份科目余额表'!D:D,A5)</f>
        <v>96001.91</v>
      </c>
      <c r="E5" s="98">
        <f t="shared" si="0"/>
        <v>96001.91</v>
      </c>
      <c r="F5" s="99">
        <v>19709.37</v>
      </c>
      <c r="G5" s="99">
        <v>24472.28</v>
      </c>
      <c r="H5" s="99">
        <f>SUMIFS('5月份挂账'!Q:Q,'5月份挂账'!S:S,A5)-SUMIFS('5月份挂账'!P:P,'5月份挂账'!S:S,A5)</f>
        <v>0</v>
      </c>
      <c r="I5" s="100">
        <f t="shared" si="1"/>
        <v>71529.63</v>
      </c>
      <c r="J5" s="99">
        <v>50000</v>
      </c>
      <c r="K5" s="99">
        <f t="shared" si="2"/>
        <v>46001.91</v>
      </c>
      <c r="R5" s="42" t="s">
        <v>345</v>
      </c>
      <c r="S5" s="102">
        <v>64</v>
      </c>
      <c r="X5" s="42" t="s">
        <v>345</v>
      </c>
      <c r="Y5" s="102">
        <v>48</v>
      </c>
    </row>
    <row r="6" customHeight="1" spans="1:25">
      <c r="A6" s="97" t="s">
        <v>243</v>
      </c>
      <c r="B6" s="42" t="str">
        <f>IFERROR(_xlfn.XLOOKUP('5月份计划'!A6,[5]UNEA!$B:$B,[5]UNEA!$B:$B),IFERROR(_xlfn.XLOOKUP('5月份计划'!A6,[5]MRHK!$B:$B,[5]MRHK!$B:$B),IFERROR(_xlfn.XLOOKUP('5月份计划'!A6,[5]MRHB!$B:$B,[5]MRHB!$B:$B),IFERROR(_xlfn.XLOOKUP('5月份计划'!A6,[5]HA6H!$B:$B,[5]HA6H!$B:$B),IFERROR(_xlfn.XLOOKUP('5月份计划'!A6,[5]HA6H!$B:$B,[5]HA6H!$B:$B)," ")))))</f>
        <v> </v>
      </c>
      <c r="C6" s="98">
        <f>SUMIFS('5月份科目余额表'!O:O,'5月份科目余额表'!D:D,A6)</f>
        <v>112578.13</v>
      </c>
      <c r="E6" s="98">
        <f t="shared" si="0"/>
        <v>112578.13</v>
      </c>
      <c r="F6" s="99">
        <v>22332.39</v>
      </c>
      <c r="G6" s="99">
        <v>27519.66</v>
      </c>
      <c r="H6" s="99">
        <f>SUMIFS('5月份挂账'!Q:Q,'5月份挂账'!S:S,A6)-SUMIFS('5月份挂账'!P:P,'5月份挂账'!S:S,A6)</f>
        <v>51075.89</v>
      </c>
      <c r="I6" s="100">
        <f t="shared" si="1"/>
        <v>33982.58</v>
      </c>
      <c r="J6" s="99">
        <v>20000</v>
      </c>
      <c r="K6" s="99">
        <f t="shared" si="2"/>
        <v>92578.13</v>
      </c>
      <c r="R6" s="42" t="s">
        <v>346</v>
      </c>
      <c r="S6" s="102">
        <v>610</v>
      </c>
      <c r="X6" s="42" t="s">
        <v>346</v>
      </c>
      <c r="Y6" s="102">
        <v>20</v>
      </c>
    </row>
    <row r="7" customHeight="1" spans="1:24">
      <c r="A7" s="97" t="s">
        <v>297</v>
      </c>
      <c r="B7" s="42" t="str">
        <f>IFERROR(_xlfn.XLOOKUP('5月份计划'!A7,[5]UNEA!$B:$B,[5]UNEA!$B:$B),IFERROR(_xlfn.XLOOKUP('5月份计划'!A7,[5]MRHK!$B:$B,[5]MRHK!$B:$B),IFERROR(_xlfn.XLOOKUP('5月份计划'!A7,[5]MRHB!$B:$B,[5]MRHB!$B:$B),IFERROR(_xlfn.XLOOKUP('5月份计划'!A7,[5]HA6H!$B:$B,[5]HA6H!$B:$B),IFERROR(_xlfn.XLOOKUP('5月份计划'!A7,[5]HA6H!$B:$B,[5]HA6H!$B:$B)," ")))))</f>
        <v> </v>
      </c>
      <c r="C7" s="98">
        <f>SUMIFS('5月份科目余额表'!O:O,'5月份科目余额表'!D:D,A7)</f>
        <v>13615.37</v>
      </c>
      <c r="E7" s="98">
        <f t="shared" si="0"/>
        <v>13615.37</v>
      </c>
      <c r="F7" s="99">
        <v>0</v>
      </c>
      <c r="G7" s="99">
        <v>17283.35</v>
      </c>
      <c r="H7" s="99">
        <f>SUMIFS('5月份挂账'!Q:Q,'5月份挂账'!S:S,A7)-SUMIFS('5月份挂账'!P:P,'5月份挂账'!S:S,A7)</f>
        <v>0</v>
      </c>
      <c r="I7" s="100">
        <f t="shared" si="1"/>
        <v>0</v>
      </c>
      <c r="J7" s="99"/>
      <c r="K7" s="99">
        <f t="shared" si="2"/>
        <v>13615.37</v>
      </c>
      <c r="R7" s="42" t="s">
        <v>347</v>
      </c>
      <c r="X7" s="42" t="s">
        <v>347</v>
      </c>
    </row>
    <row r="8" customHeight="1" spans="1:25">
      <c r="A8" s="97" t="s">
        <v>244</v>
      </c>
      <c r="B8" s="42" t="str">
        <f>IFERROR(_xlfn.XLOOKUP('5月份计划'!A8,[5]UNEA!$B:$B,[5]UNEA!$B:$B),IFERROR(_xlfn.XLOOKUP('5月份计划'!A8,[5]MRHK!$B:$B,[5]MRHK!$B:$B),IFERROR(_xlfn.XLOOKUP('5月份计划'!A8,[5]MRHB!$B:$B,[5]MRHB!$B:$B),IFERROR(_xlfn.XLOOKUP('5月份计划'!A8,[5]HA6H!$B:$B,[5]HA6H!$B:$B),IFERROR(_xlfn.XLOOKUP('5月份计划'!A8,[5]HA6H!$B:$B,[5]HA6H!$B:$B)," ")))))</f>
        <v> </v>
      </c>
      <c r="C8" s="98">
        <f>SUMIFS('5月份科目余额表'!O:O,'5月份科目余额表'!D:D,A8)</f>
        <v>113483.98</v>
      </c>
      <c r="E8" s="98">
        <f t="shared" si="0"/>
        <v>113483.98</v>
      </c>
      <c r="F8" s="99">
        <v>19537.7</v>
      </c>
      <c r="G8" s="99">
        <v>31410.61</v>
      </c>
      <c r="H8" s="99">
        <f>SUMIFS('5月份挂账'!Q:Q,'5月份挂账'!S:S,A8)-SUMIFS('5月份挂账'!P:P,'5月份挂账'!S:S,A8)</f>
        <v>16832.48</v>
      </c>
      <c r="I8" s="100">
        <f t="shared" si="1"/>
        <v>65240.89</v>
      </c>
      <c r="J8" s="99">
        <v>50000</v>
      </c>
      <c r="K8" s="99">
        <f t="shared" si="2"/>
        <v>63483.98</v>
      </c>
      <c r="R8" s="42" t="s">
        <v>348</v>
      </c>
      <c r="S8" s="102">
        <v>170</v>
      </c>
      <c r="X8" s="42" t="s">
        <v>348</v>
      </c>
      <c r="Y8" s="102">
        <v>170</v>
      </c>
    </row>
    <row r="9" customHeight="1" spans="1:24">
      <c r="A9" s="97" t="s">
        <v>245</v>
      </c>
      <c r="B9" s="42" t="str">
        <f>IFERROR(_xlfn.XLOOKUP('5月份计划'!A9,[5]UNEA!$B:$B,[5]UNEA!$B:$B),IFERROR(_xlfn.XLOOKUP('5月份计划'!A9,[5]MRHK!$B:$B,[5]MRHK!$B:$B),IFERROR(_xlfn.XLOOKUP('5月份计划'!A9,[5]MRHB!$B:$B,[5]MRHB!$B:$B),IFERROR(_xlfn.XLOOKUP('5月份计划'!A9,[5]HA6H!$B:$B,[5]HA6H!$B:$B),IFERROR(_xlfn.XLOOKUP('5月份计划'!A9,[5]HA6H!$B:$B,[5]HA6H!$B:$B)," ")))))</f>
        <v> </v>
      </c>
      <c r="C9" s="98">
        <f>SUMIFS('5月份科目余额表'!O:O,'5月份科目余额表'!D:D,A9)</f>
        <v>128791.43</v>
      </c>
      <c r="E9" s="98">
        <f t="shared" si="0"/>
        <v>128791.43</v>
      </c>
      <c r="F9" s="99">
        <v>28650.14</v>
      </c>
      <c r="G9" s="99">
        <v>38599.72</v>
      </c>
      <c r="H9" s="99">
        <f>SUMIFS('5月份挂账'!Q:Q,'5月份挂账'!S:S,A9)-SUMIFS('5月份挂账'!P:P,'5月份挂账'!S:S,A9)</f>
        <v>24374.76</v>
      </c>
      <c r="I9" s="100">
        <f t="shared" si="1"/>
        <v>65816.95</v>
      </c>
      <c r="J9" s="99">
        <v>50000</v>
      </c>
      <c r="K9" s="99">
        <f t="shared" si="2"/>
        <v>78791.43</v>
      </c>
      <c r="R9" s="42" t="s">
        <v>349</v>
      </c>
      <c r="T9" s="42" t="s">
        <v>350</v>
      </c>
      <c r="X9" s="42" t="s">
        <v>349</v>
      </c>
    </row>
    <row r="10" customHeight="1" spans="1:24">
      <c r="A10" s="97" t="s">
        <v>246</v>
      </c>
      <c r="B10" s="42" t="str">
        <f>IFERROR(_xlfn.XLOOKUP('5月份计划'!A10,[5]UNEA!$B:$B,[5]UNEA!$B:$B),IFERROR(_xlfn.XLOOKUP('5月份计划'!A10,[5]MRHK!$B:$B,[5]MRHK!$B:$B),IFERROR(_xlfn.XLOOKUP('5月份计划'!A10,[5]MRHB!$B:$B,[5]MRHB!$B:$B),IFERROR(_xlfn.XLOOKUP('5月份计划'!A10,[5]HA6H!$B:$B,[5]HA6H!$B:$B),IFERROR(_xlfn.XLOOKUP('5月份计划'!A10,[5]HA6H!$B:$B,[5]HA6H!$B:$B)," ")))))</f>
        <v> </v>
      </c>
      <c r="C10" s="98">
        <f>SUMIFS('5月份科目余额表'!O:O,'5月份科目余额表'!D:D,A10)</f>
        <v>116300.99</v>
      </c>
      <c r="E10" s="98">
        <f t="shared" si="0"/>
        <v>116300.99</v>
      </c>
      <c r="F10" s="99">
        <v>26006.5</v>
      </c>
      <c r="G10" s="99">
        <v>36215.25</v>
      </c>
      <c r="H10" s="99">
        <f>SUMIFS('5月份挂账'!Q:Q,'5月份挂账'!S:S,A10)-SUMIFS('5月份挂账'!P:P,'5月份挂账'!S:S,A10)</f>
        <v>27409.21</v>
      </c>
      <c r="I10" s="100">
        <f t="shared" si="1"/>
        <v>52676.53</v>
      </c>
      <c r="J10" s="99">
        <v>50000</v>
      </c>
      <c r="K10" s="99">
        <f t="shared" si="2"/>
        <v>66300.99</v>
      </c>
      <c r="R10" s="42" t="s">
        <v>351</v>
      </c>
      <c r="X10" s="42" t="s">
        <v>351</v>
      </c>
    </row>
    <row r="11" customHeight="1" spans="1:24">
      <c r="A11" s="97" t="s">
        <v>247</v>
      </c>
      <c r="B11" s="42" t="str">
        <f>IFERROR(_xlfn.XLOOKUP('5月份计划'!A11,[5]UNEA!$B:$B,[5]UNEA!$B:$B),IFERROR(_xlfn.XLOOKUP('5月份计划'!A11,[5]MRHK!$B:$B,[5]MRHK!$B:$B),IFERROR(_xlfn.XLOOKUP('5月份计划'!A11,[5]MRHB!$B:$B,[5]MRHB!$B:$B),IFERROR(_xlfn.XLOOKUP('5月份计划'!A11,[5]HA6H!$B:$B,[5]HA6H!$B:$B),IFERROR(_xlfn.XLOOKUP('5月份计划'!A11,[5]HA6H!$B:$B,[5]HA6H!$B:$B)," ")))))</f>
        <v>黄骅市汇铭汽车部件有限公司</v>
      </c>
      <c r="C11" s="98">
        <f>SUMIFS('5月份科目余额表'!O:O,'5月份科目余额表'!D:D,A11)</f>
        <v>40395.11</v>
      </c>
      <c r="E11" s="98">
        <f t="shared" si="0"/>
        <v>40395.11</v>
      </c>
      <c r="F11" s="99">
        <v>29435.59</v>
      </c>
      <c r="G11" s="99">
        <v>0</v>
      </c>
      <c r="H11" s="99">
        <f>SUMIFS('5月份挂账'!Q:Q,'5月份挂账'!S:S,A11)-SUMIFS('5月份挂账'!P:P,'5月份挂账'!S:S,A11)</f>
        <v>10959.52</v>
      </c>
      <c r="I11" s="100">
        <f t="shared" si="1"/>
        <v>29435.59</v>
      </c>
      <c r="J11" s="99">
        <v>40000</v>
      </c>
      <c r="K11" s="99">
        <f t="shared" si="2"/>
        <v>395.110000000001</v>
      </c>
      <c r="R11" s="42" t="s">
        <v>352</v>
      </c>
      <c r="X11" s="42" t="s">
        <v>352</v>
      </c>
    </row>
    <row r="12" customHeight="1" spans="1:24">
      <c r="A12" s="97" t="s">
        <v>248</v>
      </c>
      <c r="B12" s="42" t="str">
        <f>IFERROR(_xlfn.XLOOKUP('5月份计划'!A12,[5]UNEA!$B:$B,[5]UNEA!$B:$B),IFERROR(_xlfn.XLOOKUP('5月份计划'!A12,[5]MRHK!$B:$B,[5]MRHK!$B:$B),IFERROR(_xlfn.XLOOKUP('5月份计划'!A12,[5]MRHB!$B:$B,[5]MRHB!$B:$B),IFERROR(_xlfn.XLOOKUP('5月份计划'!A12,[5]HA6H!$B:$B,[5]HA6H!$B:$B),IFERROR(_xlfn.XLOOKUP('5月份计划'!A12,[5]HA6H!$B:$B,[5]HA6H!$B:$B)," ")))))</f>
        <v> </v>
      </c>
      <c r="C12" s="98">
        <f>SUMIFS('5月份科目余额表'!O:O,'5月份科目余额表'!D:D,A12)</f>
        <v>312080.68</v>
      </c>
      <c r="E12" s="98">
        <f t="shared" si="0"/>
        <v>312080.68</v>
      </c>
      <c r="F12" s="99">
        <v>156040.34</v>
      </c>
      <c r="G12" s="99">
        <v>156040.34</v>
      </c>
      <c r="H12" s="99">
        <f>SUMIFS('5月份挂账'!Q:Q,'5月份挂账'!S:S,A12)-SUMIFS('5月份挂账'!P:P,'5月份挂账'!S:S,A12)</f>
        <v>0</v>
      </c>
      <c r="I12" s="100">
        <f t="shared" si="1"/>
        <v>156040.34</v>
      </c>
      <c r="J12" s="99">
        <v>156040.34</v>
      </c>
      <c r="K12" s="99">
        <f t="shared" si="2"/>
        <v>156040.34</v>
      </c>
      <c r="R12" s="42" t="s">
        <v>353</v>
      </c>
      <c r="T12" s="42" t="s">
        <v>350</v>
      </c>
      <c r="X12" s="42" t="s">
        <v>353</v>
      </c>
    </row>
    <row r="13" customHeight="1" spans="1:24">
      <c r="A13" s="97" t="s">
        <v>249</v>
      </c>
      <c r="B13" s="42" t="str">
        <f>IFERROR(_xlfn.XLOOKUP('5月份计划'!A13,[5]UNEA!$B:$B,[5]UNEA!$B:$B),IFERROR(_xlfn.XLOOKUP('5月份计划'!A13,[5]MRHK!$B:$B,[5]MRHK!$B:$B),IFERROR(_xlfn.XLOOKUP('5月份计划'!A13,[5]MRHB!$B:$B,[5]MRHB!$B:$B),IFERROR(_xlfn.XLOOKUP('5月份计划'!A13,[5]HA6H!$B:$B,[5]HA6H!$B:$B),IFERROR(_xlfn.XLOOKUP('5月份计划'!A13,[5]HA6H!$B:$B,[5]HA6H!$B:$B)," ")))))</f>
        <v> </v>
      </c>
      <c r="C13" s="98">
        <f>SUMIFS('5月份科目余额表'!O:O,'5月份科目余额表'!D:D,A13)</f>
        <v>235076.16</v>
      </c>
      <c r="E13" s="98">
        <f t="shared" si="0"/>
        <v>235076.16</v>
      </c>
      <c r="F13" s="99">
        <v>123779.07</v>
      </c>
      <c r="G13" s="99">
        <v>0</v>
      </c>
      <c r="H13" s="99">
        <f>SUMIFS('5月份挂账'!Q:Q,'5月份挂账'!S:S,A13)-SUMIFS('5月份挂账'!P:P,'5月份挂账'!S:S,A13)</f>
        <v>111297.09</v>
      </c>
      <c r="I13" s="100">
        <f t="shared" si="1"/>
        <v>123779.07</v>
      </c>
      <c r="J13" s="99">
        <v>80000</v>
      </c>
      <c r="K13" s="99">
        <f t="shared" si="2"/>
        <v>155076.16</v>
      </c>
      <c r="R13" s="42" t="s">
        <v>354</v>
      </c>
      <c r="S13" s="102">
        <v>262</v>
      </c>
      <c r="X13" s="42" t="s">
        <v>354</v>
      </c>
    </row>
    <row r="14" customHeight="1" spans="1:24">
      <c r="A14" s="97" t="s">
        <v>250</v>
      </c>
      <c r="B14" s="42" t="str">
        <f>IFERROR(_xlfn.XLOOKUP('5月份计划'!A14,[5]UNEA!$B:$B,[5]UNEA!$B:$B),IFERROR(_xlfn.XLOOKUP('5月份计划'!A14,[5]MRHK!$B:$B,[5]MRHK!$B:$B),IFERROR(_xlfn.XLOOKUP('5月份计划'!A14,[5]MRHB!$B:$B,[5]MRHB!$B:$B),IFERROR(_xlfn.XLOOKUP('5月份计划'!A14,[5]HA6H!$B:$B,[5]HA6H!$B:$B),IFERROR(_xlfn.XLOOKUP('5月份计划'!A14,[5]HA6H!$B:$B,[5]HA6H!$B:$B)," ")))))</f>
        <v> </v>
      </c>
      <c r="C14" s="98">
        <f>SUMIFS('5月份科目余额表'!O:O,'5月份科目余额表'!D:D,A14)</f>
        <v>334299.95</v>
      </c>
      <c r="E14" s="98">
        <f t="shared" si="0"/>
        <v>334299.95</v>
      </c>
      <c r="F14" s="99">
        <v>129520.69</v>
      </c>
      <c r="G14" s="99">
        <v>153087.15</v>
      </c>
      <c r="H14" s="99">
        <f>SUMIFS('5月份挂账'!Q:Q,'5月份挂账'!S:S,A14)-SUMIFS('5月份挂账'!P:P,'5月份挂账'!S:S,A14)</f>
        <v>51692.11</v>
      </c>
      <c r="I14" s="100">
        <f t="shared" si="1"/>
        <v>129520.69</v>
      </c>
      <c r="J14" s="99">
        <v>80000</v>
      </c>
      <c r="K14" s="99">
        <f t="shared" si="2"/>
        <v>254299.95</v>
      </c>
      <c r="R14" s="42" t="s">
        <v>355</v>
      </c>
      <c r="S14" s="102">
        <v>375</v>
      </c>
      <c r="T14" s="42" t="s">
        <v>356</v>
      </c>
      <c r="X14" s="42" t="s">
        <v>355</v>
      </c>
    </row>
    <row r="15" customHeight="1" spans="1:25">
      <c r="A15" s="97" t="s">
        <v>298</v>
      </c>
      <c r="B15" s="42" t="str">
        <f>IFERROR(_xlfn.XLOOKUP('5月份计划'!A15,[5]UNEA!$B:$B,[5]UNEA!$B:$B),IFERROR(_xlfn.XLOOKUP('5月份计划'!A15,[5]MRHK!$B:$B,[5]MRHK!$B:$B),IFERROR(_xlfn.XLOOKUP('5月份计划'!A15,[5]MRHB!$B:$B,[5]MRHB!$B:$B),IFERROR(_xlfn.XLOOKUP('5月份计划'!A15,[5]HA6H!$B:$B,[5]HA6H!$B:$B),IFERROR(_xlfn.XLOOKUP('5月份计划'!A15,[5]HA6H!$B:$B,[5]HA6H!$B:$B)," ")))))</f>
        <v> </v>
      </c>
      <c r="C15" s="98">
        <f>SUMIFS('5月份科目余额表'!O:O,'5月份科目余额表'!D:D,A15)</f>
        <v>43392</v>
      </c>
      <c r="E15" s="98">
        <f t="shared" si="0"/>
        <v>43392</v>
      </c>
      <c r="F15" s="99">
        <v>0</v>
      </c>
      <c r="G15" s="99">
        <v>43392</v>
      </c>
      <c r="H15" s="99">
        <f>SUMIFS('5月份挂账'!Q:Q,'5月份挂账'!S:S,A15)-SUMIFS('5月份挂账'!P:P,'5月份挂账'!S:S,A15)</f>
        <v>0</v>
      </c>
      <c r="I15" s="100">
        <f t="shared" si="1"/>
        <v>0</v>
      </c>
      <c r="J15" s="99"/>
      <c r="K15" s="99">
        <f t="shared" si="2"/>
        <v>43392</v>
      </c>
      <c r="X15" s="42" t="s">
        <v>356</v>
      </c>
      <c r="Y15" s="102">
        <v>375</v>
      </c>
    </row>
    <row r="16" customHeight="1" spans="1:25">
      <c r="A16" s="97" t="s">
        <v>251</v>
      </c>
      <c r="B16" s="42" t="str">
        <f>IFERROR(_xlfn.XLOOKUP('5月份计划'!A16,[5]UNEA!$B:$B,[5]UNEA!$B:$B),IFERROR(_xlfn.XLOOKUP('5月份计划'!A16,[5]MRHK!$B:$B,[5]MRHK!$B:$B),IFERROR(_xlfn.XLOOKUP('5月份计划'!A16,[5]MRHB!$B:$B,[5]MRHB!$B:$B),IFERROR(_xlfn.XLOOKUP('5月份计划'!A16,[5]HA6H!$B:$B,[5]HA6H!$B:$B),IFERROR(_xlfn.XLOOKUP('5月份计划'!A16,[5]HA6H!$B:$B,[5]HA6H!$B:$B)," ")))))</f>
        <v> </v>
      </c>
      <c r="C16" s="98">
        <f>SUMIFS('5月份科目余额表'!O:O,'5月份科目余额表'!D:D,A16)</f>
        <v>1463591.13</v>
      </c>
      <c r="E16" s="98">
        <f t="shared" si="0"/>
        <v>1463591.13</v>
      </c>
      <c r="F16" s="99">
        <v>303438</v>
      </c>
      <c r="G16" s="99">
        <v>858814</v>
      </c>
      <c r="H16" s="99">
        <f>SUMIFS('5月份挂账'!Q:Q,'5月份挂账'!S:S,A16)-SUMIFS('5月份挂账'!P:P,'5月份挂账'!S:S,A16)</f>
        <v>535188</v>
      </c>
      <c r="I16" s="100">
        <f t="shared" si="1"/>
        <v>69589.1299999999</v>
      </c>
      <c r="J16" s="99">
        <v>858814</v>
      </c>
      <c r="K16" s="99">
        <f t="shared" si="2"/>
        <v>604777.13</v>
      </c>
      <c r="M16" s="42">
        <f>J16</f>
        <v>858814</v>
      </c>
      <c r="R16" s="42" t="s">
        <v>29</v>
      </c>
      <c r="X16" s="42" t="s">
        <v>357</v>
      </c>
      <c r="Y16" s="102">
        <v>300</v>
      </c>
    </row>
    <row r="17" customHeight="1" spans="1:25">
      <c r="A17" s="97" t="s">
        <v>252</v>
      </c>
      <c r="B17" s="42" t="str">
        <f>IFERROR(_xlfn.XLOOKUP('5月份计划'!A17,[5]UNEA!$B:$B,[5]UNEA!$B:$B),IFERROR(_xlfn.XLOOKUP('5月份计划'!A17,[5]MRHK!$B:$B,[5]MRHK!$B:$B),IFERROR(_xlfn.XLOOKUP('5月份计划'!A17,[5]MRHB!$B:$B,[5]MRHB!$B:$B),IFERROR(_xlfn.XLOOKUP('5月份计划'!A17,[5]HA6H!$B:$B,[5]HA6H!$B:$B),IFERROR(_xlfn.XLOOKUP('5月份计划'!A17,[5]HA6H!$B:$B,[5]HA6H!$B:$B)," ")))))</f>
        <v> </v>
      </c>
      <c r="C17" s="98">
        <f>SUMIFS('5月份科目余额表'!O:O,'5月份科目余额表'!D:D,A17)</f>
        <v>164520.34</v>
      </c>
      <c r="E17" s="98">
        <f t="shared" si="0"/>
        <v>164520.34</v>
      </c>
      <c r="F17" s="99">
        <v>4169.7</v>
      </c>
      <c r="G17" s="99">
        <v>43896.33</v>
      </c>
      <c r="H17" s="99">
        <f>SUMIFS('5月份挂账'!Q:Q,'5月份挂账'!S:S,A17)-SUMIFS('5月份挂账'!P:P,'5月份挂账'!S:S,A17)</f>
        <v>66799.53</v>
      </c>
      <c r="I17" s="100">
        <f t="shared" si="1"/>
        <v>53824.48</v>
      </c>
      <c r="J17" s="99">
        <v>30000</v>
      </c>
      <c r="K17" s="99">
        <f t="shared" si="2"/>
        <v>134520.34</v>
      </c>
      <c r="R17" s="42" t="s">
        <v>358</v>
      </c>
      <c r="X17" s="42" t="s">
        <v>359</v>
      </c>
      <c r="Y17" s="102">
        <v>600</v>
      </c>
    </row>
    <row r="18" ht="20" customHeight="1" spans="1:19">
      <c r="A18" s="97" t="s">
        <v>253</v>
      </c>
      <c r="B18" s="42" t="str">
        <f>IFERROR(_xlfn.XLOOKUP('5月份计划'!A18,[5]UNEA!$B:$B,[5]UNEA!$B:$B),IFERROR(_xlfn.XLOOKUP('5月份计划'!A18,[5]MRHK!$B:$B,[5]MRHK!$B:$B),IFERROR(_xlfn.XLOOKUP('5月份计划'!A18,[5]MRHB!$B:$B,[5]MRHB!$B:$B),IFERROR(_xlfn.XLOOKUP('5月份计划'!A18,[5]HA6H!$B:$B,[5]HA6H!$B:$B),IFERROR(_xlfn.XLOOKUP('5月份计划'!A18,[5]HA6H!$B:$B,[5]HA6H!$B:$B)," ")))))</f>
        <v> </v>
      </c>
      <c r="C18" s="98">
        <f>SUMIFS('5月份科目余额表'!O:O,'5月份科目余额表'!D:D,A18)</f>
        <v>267969.53</v>
      </c>
      <c r="E18" s="98">
        <f t="shared" si="0"/>
        <v>267969.53</v>
      </c>
      <c r="F18" s="99">
        <v>79718</v>
      </c>
      <c r="G18" s="99">
        <v>78372.55</v>
      </c>
      <c r="H18" s="99">
        <f>SUMIFS('5月份挂账'!Q:Q,'5月份挂账'!S:S,A18)-SUMIFS('5月份挂账'!P:P,'5月份挂账'!S:S,A18)</f>
        <v>0</v>
      </c>
      <c r="I18" s="100">
        <f t="shared" si="1"/>
        <v>189596.98</v>
      </c>
      <c r="J18" s="99">
        <v>80000</v>
      </c>
      <c r="K18" s="99">
        <f t="shared" si="2"/>
        <v>187969.53</v>
      </c>
      <c r="R18" s="42" t="s">
        <v>360</v>
      </c>
      <c r="S18" s="102">
        <v>-300</v>
      </c>
    </row>
    <row r="19" customHeight="1" spans="1:25">
      <c r="A19" s="97" t="s">
        <v>254</v>
      </c>
      <c r="B19" s="42" t="str">
        <f>IFERROR(_xlfn.XLOOKUP('5月份计划'!A19,[5]UNEA!$B:$B,[5]UNEA!$B:$B),IFERROR(_xlfn.XLOOKUP('5月份计划'!A19,[5]MRHK!$B:$B,[5]MRHK!$B:$B),IFERROR(_xlfn.XLOOKUP('5月份计划'!A19,[5]MRHB!$B:$B,[5]MRHB!$B:$B),IFERROR(_xlfn.XLOOKUP('5月份计划'!A19,[5]HA6H!$B:$B,[5]HA6H!$B:$B),IFERROR(_xlfn.XLOOKUP('5月份计划'!A19,[5]HA6H!$B:$B,[5]HA6H!$B:$B)," ")))))</f>
        <v> </v>
      </c>
      <c r="C19" s="98">
        <v>1012906.85</v>
      </c>
      <c r="E19" s="98">
        <f t="shared" si="0"/>
        <v>1012906.85</v>
      </c>
      <c r="F19" s="99">
        <v>295077.67</v>
      </c>
      <c r="G19" s="99">
        <v>359871.3</v>
      </c>
      <c r="H19" s="99">
        <v>360342.68</v>
      </c>
      <c r="I19" s="100">
        <f t="shared" si="1"/>
        <v>292692.87</v>
      </c>
      <c r="J19" s="99">
        <v>300000</v>
      </c>
      <c r="K19" s="99">
        <f t="shared" si="2"/>
        <v>712906.85</v>
      </c>
      <c r="R19" s="42" t="s">
        <v>361</v>
      </c>
      <c r="S19" s="102">
        <v>-60</v>
      </c>
      <c r="X19" s="42" t="s">
        <v>362</v>
      </c>
      <c r="Y19" s="102">
        <v>-200</v>
      </c>
    </row>
    <row r="20" customHeight="1" spans="1:21">
      <c r="A20" s="97" t="s">
        <v>255</v>
      </c>
      <c r="B20" s="42" t="str">
        <f>IFERROR(_xlfn.XLOOKUP('5月份计划'!A20,[5]UNEA!$B:$B,[5]UNEA!$B:$B),IFERROR(_xlfn.XLOOKUP('5月份计划'!A20,[5]MRHK!$B:$B,[5]MRHK!$B:$B),IFERROR(_xlfn.XLOOKUP('5月份计划'!A20,[5]MRHB!$B:$B,[5]MRHB!$B:$B),IFERROR(_xlfn.XLOOKUP('5月份计划'!A20,[5]HA6H!$B:$B,[5]HA6H!$B:$B),IFERROR(_xlfn.XLOOKUP('5月份计划'!A20,[5]HA6H!$B:$B,[5]HA6H!$B:$B)," ")))))</f>
        <v> </v>
      </c>
      <c r="C20" s="98">
        <f>SUMIFS('5月份科目余额表'!O:O,'5月份科目余额表'!D:D,A20)</f>
        <v>94329.37</v>
      </c>
      <c r="E20" s="98">
        <f t="shared" si="0"/>
        <v>94329.37</v>
      </c>
      <c r="F20" s="99">
        <v>32432.94</v>
      </c>
      <c r="G20" s="99">
        <v>26370.67</v>
      </c>
      <c r="H20" s="99">
        <f>SUMIFS('5月份挂账'!Q:Q,'5月份挂账'!S:S,A20)-SUMIFS('5月份挂账'!P:P,'5月份挂账'!S:S,A20)</f>
        <v>109.75</v>
      </c>
      <c r="I20" s="100">
        <f t="shared" si="1"/>
        <v>67848.95</v>
      </c>
      <c r="J20" s="99">
        <v>67848.95</v>
      </c>
      <c r="K20" s="99">
        <f t="shared" si="2"/>
        <v>26480.42</v>
      </c>
      <c r="R20" s="42" t="s">
        <v>363</v>
      </c>
      <c r="S20" s="102">
        <v>-207</v>
      </c>
      <c r="U20" s="42" t="s">
        <v>364</v>
      </c>
    </row>
    <row r="21" customHeight="1" spans="1:24">
      <c r="A21" s="97" t="s">
        <v>256</v>
      </c>
      <c r="B21" s="42" t="str">
        <f>IFERROR(_xlfn.XLOOKUP('5月份计划'!A21,[5]UNEA!$B:$B,[5]UNEA!$B:$B),IFERROR(_xlfn.XLOOKUP('5月份计划'!A21,[5]MRHK!$B:$B,[5]MRHK!$B:$B),IFERROR(_xlfn.XLOOKUP('5月份计划'!A21,[5]MRHB!$B:$B,[5]MRHB!$B:$B),IFERROR(_xlfn.XLOOKUP('5月份计划'!A21,[5]HA6H!$B:$B,[5]HA6H!$B:$B),IFERROR(_xlfn.XLOOKUP('5月份计划'!A21,[5]HA6H!$B:$B,[5]HA6H!$B:$B)," ")))))</f>
        <v>湘乡简美工贸有限公司</v>
      </c>
      <c r="C21" s="98">
        <f>SUMIFS('5月份科目余额表'!O:O,'5月份科目余额表'!D:D,A21)</f>
        <v>3192712.2</v>
      </c>
      <c r="E21" s="98">
        <f t="shared" si="0"/>
        <v>3192712.2</v>
      </c>
      <c r="F21" s="99">
        <v>2016447.95</v>
      </c>
      <c r="G21" s="99">
        <v>2397570.52</v>
      </c>
      <c r="H21" s="99">
        <f>SUMIFS('5月份挂账'!Q:Q,'5月份挂账'!S:S,A21)-SUMIFS('5月份挂账'!P:P,'5月份挂账'!S:S,A21)</f>
        <v>1290523.89</v>
      </c>
      <c r="I21" s="100">
        <f t="shared" si="1"/>
        <v>0</v>
      </c>
      <c r="J21" s="99">
        <v>1000000</v>
      </c>
      <c r="K21" s="99">
        <f t="shared" si="2"/>
        <v>2192712.2</v>
      </c>
      <c r="M21" s="42">
        <v>1000000</v>
      </c>
      <c r="R21" s="42" t="s">
        <v>365</v>
      </c>
      <c r="S21" s="102">
        <f>-(J16+J45+J46)/10000</f>
        <v>-336.5234</v>
      </c>
      <c r="U21" s="42" t="s">
        <v>366</v>
      </c>
      <c r="V21" s="98"/>
      <c r="W21" s="98"/>
      <c r="X21" s="98"/>
    </row>
    <row r="22" customHeight="1" spans="1:25">
      <c r="A22" s="97" t="s">
        <v>257</v>
      </c>
      <c r="B22" s="42" t="str">
        <f>IFERROR(_xlfn.XLOOKUP('5月份计划'!A22,[5]UNEA!$B:$B,[5]UNEA!$B:$B),IFERROR(_xlfn.XLOOKUP('5月份计划'!A22,[5]MRHK!$B:$B,[5]MRHK!$B:$B),IFERROR(_xlfn.XLOOKUP('5月份计划'!A22,[5]MRHB!$B:$B,[5]MRHB!$B:$B),IFERROR(_xlfn.XLOOKUP('5月份计划'!A22,[5]HA6H!$B:$B,[5]HA6H!$B:$B),IFERROR(_xlfn.XLOOKUP('5月份计划'!A22,[5]HA6H!$B:$B,[5]HA6H!$B:$B)," ")))))</f>
        <v> </v>
      </c>
      <c r="C22" s="98">
        <f>SUMIFS('5月份科目余额表'!O:O,'5月份科目余额表'!D:D,A22)</f>
        <v>-39.99</v>
      </c>
      <c r="E22" s="98">
        <f t="shared" si="0"/>
        <v>-39.99</v>
      </c>
      <c r="F22" s="99">
        <v>0</v>
      </c>
      <c r="G22" s="99">
        <v>0</v>
      </c>
      <c r="H22" s="99">
        <f>SUMIFS('5月份挂账'!Q:Q,'5月份挂账'!S:S,A22)-SUMIFS('5月份挂账'!P:P,'5月份挂账'!S:S,A22)</f>
        <v>288131.92</v>
      </c>
      <c r="I22" s="100">
        <f t="shared" si="1"/>
        <v>0</v>
      </c>
      <c r="J22" s="99"/>
      <c r="K22" s="99">
        <f t="shared" si="2"/>
        <v>-39.99</v>
      </c>
      <c r="R22" s="42" t="s">
        <v>367</v>
      </c>
      <c r="S22" s="102">
        <v>-70</v>
      </c>
      <c r="U22" s="42" t="s">
        <v>368</v>
      </c>
      <c r="V22" s="98"/>
      <c r="W22" s="98"/>
      <c r="X22" s="98" t="s">
        <v>369</v>
      </c>
      <c r="Y22" s="102">
        <v>-100</v>
      </c>
    </row>
    <row r="23" customHeight="1" spans="1:25">
      <c r="A23" s="97" t="s">
        <v>258</v>
      </c>
      <c r="B23" s="42" t="str">
        <f>IFERROR(_xlfn.XLOOKUP('5月份计划'!A23,[5]UNEA!$B:$B,[5]UNEA!$B:$B),IFERROR(_xlfn.XLOOKUP('5月份计划'!A23,[5]MRHK!$B:$B,[5]MRHK!$B:$B),IFERROR(_xlfn.XLOOKUP('5月份计划'!A23,[5]MRHB!$B:$B,[5]MRHB!$B:$B),IFERROR(_xlfn.XLOOKUP('5月份计划'!A23,[5]HA6H!$B:$B,[5]HA6H!$B:$B),IFERROR(_xlfn.XLOOKUP('5月份计划'!A23,[5]HA6H!$B:$B,[5]HA6H!$B:$B)," ")))))</f>
        <v> </v>
      </c>
      <c r="C23" s="98">
        <f>SUMIFS('5月份科目余额表'!O:O,'5月份科目余额表'!D:D,A23)</f>
        <v>747759.53</v>
      </c>
      <c r="E23" s="98">
        <f t="shared" si="0"/>
        <v>747759.53</v>
      </c>
      <c r="F23" s="99">
        <v>142974.79</v>
      </c>
      <c r="G23" s="99">
        <v>151737.12</v>
      </c>
      <c r="H23" s="99">
        <f>SUMIFS('5月份挂账'!Q:Q,'5月份挂账'!S:S,A23)-SUMIFS('5月份挂账'!P:P,'5月份挂账'!S:S,A23)</f>
        <v>397162.69</v>
      </c>
      <c r="I23" s="100">
        <f t="shared" si="1"/>
        <v>198859.72</v>
      </c>
      <c r="J23" s="99">
        <v>198859.72</v>
      </c>
      <c r="K23" s="99">
        <f t="shared" si="2"/>
        <v>548899.81</v>
      </c>
      <c r="R23" s="42" t="s">
        <v>370</v>
      </c>
      <c r="S23" s="102">
        <v>-600</v>
      </c>
      <c r="X23" s="42" t="s">
        <v>371</v>
      </c>
      <c r="Y23" s="102">
        <v>-50</v>
      </c>
    </row>
    <row r="24" customHeight="1" spans="1:25">
      <c r="A24" s="97" t="s">
        <v>259</v>
      </c>
      <c r="B24" s="42" t="str">
        <f>IFERROR(_xlfn.XLOOKUP('5月份计划'!A24,[5]UNEA!$B:$B,[5]UNEA!$B:$B),IFERROR(_xlfn.XLOOKUP('5月份计划'!A24,[5]MRHK!$B:$B,[5]MRHK!$B:$B),IFERROR(_xlfn.XLOOKUP('5月份计划'!A24,[5]MRHB!$B:$B,[5]MRHB!$B:$B),IFERROR(_xlfn.XLOOKUP('5月份计划'!A24,[5]HA6H!$B:$B,[5]HA6H!$B:$B),IFERROR(_xlfn.XLOOKUP('5月份计划'!A24,[5]HA6H!$B:$B,[5]HA6H!$B:$B)," ")))))</f>
        <v> </v>
      </c>
      <c r="C24" s="98">
        <f>SUMIFS('5月份科目余额表'!O:O,'5月份科目余额表'!D:D,A24)</f>
        <v>906803.72</v>
      </c>
      <c r="E24" s="98">
        <f t="shared" si="0"/>
        <v>906803.72</v>
      </c>
      <c r="F24" s="99">
        <v>31448.35</v>
      </c>
      <c r="G24" s="99">
        <v>602040.01</v>
      </c>
      <c r="H24" s="99">
        <f>SUMIFS('5月份挂账'!Q:Q,'5月份挂账'!S:S,A24)-SUMIFS('5月份挂账'!P:P,'5月份挂账'!S:S,A24)</f>
        <v>27553.92</v>
      </c>
      <c r="I24" s="100">
        <f t="shared" si="1"/>
        <v>277209.79</v>
      </c>
      <c r="J24" s="99">
        <v>150000</v>
      </c>
      <c r="K24" s="99">
        <f t="shared" si="2"/>
        <v>756803.72</v>
      </c>
      <c r="R24" s="42" t="s">
        <v>372</v>
      </c>
      <c r="S24" s="102">
        <f>SUM(S4:S23)</f>
        <v>-4.52340000000004</v>
      </c>
      <c r="X24" s="42" t="s">
        <v>373</v>
      </c>
      <c r="Y24" s="102">
        <v>-30</v>
      </c>
    </row>
    <row r="25" customHeight="1" spans="1:24">
      <c r="A25" s="97" t="s">
        <v>299</v>
      </c>
      <c r="B25" s="42" t="str">
        <f>IFERROR(_xlfn.XLOOKUP('5月份计划'!A25,[5]UNEA!$B:$B,[5]UNEA!$B:$B),IFERROR(_xlfn.XLOOKUP('5月份计划'!A25,[5]MRHK!$B:$B,[5]MRHK!$B:$B),IFERROR(_xlfn.XLOOKUP('5月份计划'!A25,[5]MRHB!$B:$B,[5]MRHB!$B:$B),IFERROR(_xlfn.XLOOKUP('5月份计划'!A25,[5]HA6H!$B:$B,[5]HA6H!$B:$B),IFERROR(_xlfn.XLOOKUP('5月份计划'!A25,[5]HA6H!$B:$B,[5]HA6H!$B:$B)," ")))))</f>
        <v> </v>
      </c>
      <c r="C25" s="98">
        <f>SUMIFS('5月份科目余额表'!O:O,'5月份科目余额表'!D:D,A25)</f>
        <v>735340.16</v>
      </c>
      <c r="E25" s="98">
        <f t="shared" si="0"/>
        <v>735340.16</v>
      </c>
      <c r="F25" s="99">
        <v>207651.85</v>
      </c>
      <c r="G25" s="99">
        <v>297960.15</v>
      </c>
      <c r="H25" s="99">
        <f>SUMIFS('5月份挂账'!Q:Q,'5月份挂账'!S:S,A25)-SUMIFS('5月份挂账'!P:P,'5月份挂账'!S:S,A25)</f>
        <v>229728.16</v>
      </c>
      <c r="I25" s="100">
        <f t="shared" si="1"/>
        <v>207651.85</v>
      </c>
      <c r="J25" s="99">
        <v>207651.85</v>
      </c>
      <c r="K25" s="99">
        <f t="shared" si="2"/>
        <v>527688.31</v>
      </c>
      <c r="X25" s="42" t="s">
        <v>374</v>
      </c>
    </row>
    <row r="26" customHeight="1" spans="1:25">
      <c r="A26" s="97" t="s">
        <v>260</v>
      </c>
      <c r="B26" s="42" t="str">
        <f>IFERROR(_xlfn.XLOOKUP('5月份计划'!A26,[5]UNEA!$B:$B,[5]UNEA!$B:$B),IFERROR(_xlfn.XLOOKUP('5月份计划'!A26,[5]MRHK!$B:$B,[5]MRHK!$B:$B),IFERROR(_xlfn.XLOOKUP('5月份计划'!A26,[5]MRHB!$B:$B,[5]MRHB!$B:$B),IFERROR(_xlfn.XLOOKUP('5月份计划'!A26,[5]HA6H!$B:$B,[5]HA6H!$B:$B),IFERROR(_xlfn.XLOOKUP('5月份计划'!A26,[5]HA6H!$B:$B,[5]HA6H!$B:$B)," ")))))</f>
        <v> </v>
      </c>
      <c r="C26" s="98">
        <f>SUMIFS('5月份科目余额表'!O:O,'5月份科目余额表'!D:D,A26)</f>
        <v>244189.04</v>
      </c>
      <c r="E26" s="98">
        <f t="shared" si="0"/>
        <v>244189.04</v>
      </c>
      <c r="F26" s="99">
        <v>55632.58</v>
      </c>
      <c r="G26" s="99">
        <v>0</v>
      </c>
      <c r="H26" s="99">
        <f>SUMIFS('5月份挂账'!Q:Q,'5月份挂账'!S:S,A26)-SUMIFS('5月份挂账'!P:P,'5月份挂账'!S:S,A26)</f>
        <v>109250.54</v>
      </c>
      <c r="I26" s="100">
        <f t="shared" si="1"/>
        <v>134938.5</v>
      </c>
      <c r="J26" s="99">
        <v>50000</v>
      </c>
      <c r="K26" s="99">
        <f t="shared" si="2"/>
        <v>194189.04</v>
      </c>
      <c r="X26" s="42" t="s">
        <v>375</v>
      </c>
      <c r="Y26" s="102">
        <f>-D81/10000</f>
        <v>-10</v>
      </c>
    </row>
    <row r="27" customHeight="1" spans="1:26">
      <c r="A27" s="97" t="s">
        <v>261</v>
      </c>
      <c r="B27" s="42" t="str">
        <f>IFERROR(_xlfn.XLOOKUP('5月份计划'!A27,[5]UNEA!$B:$B,[5]UNEA!$B:$B),IFERROR(_xlfn.XLOOKUP('5月份计划'!A27,[5]MRHK!$B:$B,[5]MRHK!$B:$B),IFERROR(_xlfn.XLOOKUP('5月份计划'!A27,[5]MRHB!$B:$B,[5]MRHB!$B:$B),IFERROR(_xlfn.XLOOKUP('5月份计划'!A27,[5]HA6H!$B:$B,[5]HA6H!$B:$B),IFERROR(_xlfn.XLOOKUP('5月份计划'!A27,[5]HA6H!$B:$B,[5]HA6H!$B:$B)," ")))))</f>
        <v> </v>
      </c>
      <c r="C27" s="98">
        <f>SUMIFS('5月份科目余额表'!O:O,'5月份科目余额表'!D:D,A27)</f>
        <v>614985.11</v>
      </c>
      <c r="E27" s="98">
        <f t="shared" si="0"/>
        <v>614985.11</v>
      </c>
      <c r="F27" s="99">
        <v>373979</v>
      </c>
      <c r="G27" s="99">
        <v>373979</v>
      </c>
      <c r="H27" s="99">
        <f>SUMIFS('5月份挂账'!Q:Q,'5月份挂账'!S:S,A27)-SUMIFS('5月份挂账'!P:P,'5月份挂账'!S:S,A27)</f>
        <v>337409.5</v>
      </c>
      <c r="I27" s="100">
        <f t="shared" si="1"/>
        <v>0</v>
      </c>
      <c r="J27" s="99">
        <v>200000</v>
      </c>
      <c r="K27" s="99">
        <f t="shared" si="2"/>
        <v>414985.11</v>
      </c>
      <c r="M27" s="42">
        <f>J27</f>
        <v>200000</v>
      </c>
      <c r="X27" s="42" t="s">
        <v>376</v>
      </c>
      <c r="Y27" s="102">
        <f>-J81/10000</f>
        <v>-972.945453</v>
      </c>
      <c r="Z27" s="42" t="s">
        <v>377</v>
      </c>
    </row>
    <row r="28" customHeight="1" spans="1:13">
      <c r="A28" s="97" t="s">
        <v>262</v>
      </c>
      <c r="B28" s="42" t="str">
        <f>IFERROR(_xlfn.XLOOKUP('5月份计划'!A28,[5]UNEA!$B:$B,[5]UNEA!$B:$B),IFERROR(_xlfn.XLOOKUP('5月份计划'!A28,[5]MRHK!$B:$B,[5]MRHK!$B:$B),IFERROR(_xlfn.XLOOKUP('5月份计划'!A28,[5]MRHB!$B:$B,[5]MRHB!$B:$B),IFERROR(_xlfn.XLOOKUP('5月份计划'!A28,[5]HA6H!$B:$B,[5]HA6H!$B:$B),IFERROR(_xlfn.XLOOKUP('5月份计划'!A28,[5]HA6H!$B:$B,[5]HA6H!$B:$B)," ")))))</f>
        <v> </v>
      </c>
      <c r="C28" s="98">
        <f>SUMIFS('5月份科目余额表'!O:O,'5月份科目余额表'!D:D,A28)</f>
        <v>472439</v>
      </c>
      <c r="E28" s="98">
        <f t="shared" si="0"/>
        <v>472439</v>
      </c>
      <c r="F28" s="99">
        <v>0</v>
      </c>
      <c r="G28" s="99">
        <v>0</v>
      </c>
      <c r="H28" s="99">
        <f>SUMIFS('5月份挂账'!Q:Q,'5月份挂账'!S:S,A28)-SUMIFS('5月份挂账'!P:P,'5月份挂账'!S:S,A28)</f>
        <v>0</v>
      </c>
      <c r="I28" s="100">
        <f t="shared" si="1"/>
        <v>472439</v>
      </c>
      <c r="J28" s="99">
        <v>200000</v>
      </c>
      <c r="K28" s="99">
        <f t="shared" si="2"/>
        <v>272439</v>
      </c>
      <c r="M28" s="42">
        <v>200000</v>
      </c>
    </row>
    <row r="29" customHeight="1" spans="1:25">
      <c r="A29" s="97" t="s">
        <v>263</v>
      </c>
      <c r="B29" s="42" t="str">
        <f>IFERROR(_xlfn.XLOOKUP('5月份计划'!A29,[5]UNEA!$B:$B,[5]UNEA!$B:$B),IFERROR(_xlfn.XLOOKUP('5月份计划'!A29,[5]MRHK!$B:$B,[5]MRHK!$B:$B),IFERROR(_xlfn.XLOOKUP('5月份计划'!A29,[5]MRHB!$B:$B,[5]MRHB!$B:$B),IFERROR(_xlfn.XLOOKUP('5月份计划'!A29,[5]HA6H!$B:$B,[5]HA6H!$B:$B),IFERROR(_xlfn.XLOOKUP('5月份计划'!A29,[5]HA6H!$B:$B,[5]HA6H!$B:$B)," ")))))</f>
        <v>武汉德锐隆科技有限公司</v>
      </c>
      <c r="C29" s="98">
        <f>SUMIFS('5月份科目余额表'!O:O,'5月份科目余额表'!D:D,A29)</f>
        <v>444216.87</v>
      </c>
      <c r="E29" s="98">
        <f t="shared" si="0"/>
        <v>444216.87</v>
      </c>
      <c r="F29" s="99">
        <v>101200.14</v>
      </c>
      <c r="G29" s="99">
        <v>108743.09</v>
      </c>
      <c r="H29" s="99">
        <v>132805.98</v>
      </c>
      <c r="I29" s="100">
        <f t="shared" si="1"/>
        <v>202667.8</v>
      </c>
      <c r="J29" s="99">
        <v>200000</v>
      </c>
      <c r="K29" s="99">
        <f t="shared" si="2"/>
        <v>244216.87</v>
      </c>
      <c r="M29" s="42">
        <f>J29</f>
        <v>200000</v>
      </c>
      <c r="X29" s="42" t="s">
        <v>378</v>
      </c>
      <c r="Y29" s="102">
        <v>-70</v>
      </c>
    </row>
    <row r="30" customHeight="1" spans="1:14">
      <c r="A30" s="97" t="s">
        <v>264</v>
      </c>
      <c r="B30" s="42" t="str">
        <f>IFERROR(_xlfn.XLOOKUP('5月份计划'!A30,[5]UNEA!$B:$B,[5]UNEA!$B:$B),IFERROR(_xlfn.XLOOKUP('5月份计划'!A30,[5]MRHK!$B:$B,[5]MRHK!$B:$B),IFERROR(_xlfn.XLOOKUP('5月份计划'!A30,[5]MRHB!$B:$B,[5]MRHB!$B:$B),IFERROR(_xlfn.XLOOKUP('5月份计划'!A30,[5]HA6H!$B:$B,[5]HA6H!$B:$B),IFERROR(_xlfn.XLOOKUP('5月份计划'!A30,[5]HA6H!$B:$B,[5]HA6H!$B:$B)," ")))))</f>
        <v> </v>
      </c>
      <c r="C30" s="98">
        <f>SUMIFS('5月份科目余额表'!O:O,'5月份科目余额表'!D:D,A30)</f>
        <v>2203642.99</v>
      </c>
      <c r="E30" s="98">
        <f t="shared" si="0"/>
        <v>2203642.99</v>
      </c>
      <c r="F30" s="99">
        <v>373082.59</v>
      </c>
      <c r="G30" s="99">
        <v>473708.12</v>
      </c>
      <c r="H30" s="99">
        <f>SUMIFS('5月份挂账'!Q:Q,'5月份挂账'!S:S,A30)-SUMIFS('5月份挂账'!P:P,'5月份挂账'!S:S,A30)</f>
        <v>661592.91</v>
      </c>
      <c r="I30" s="100">
        <f t="shared" si="1"/>
        <v>1068341.96</v>
      </c>
      <c r="J30" s="99">
        <v>800000</v>
      </c>
      <c r="K30" s="99">
        <f t="shared" si="2"/>
        <v>1403642.99</v>
      </c>
      <c r="N30" s="42">
        <v>800000</v>
      </c>
    </row>
    <row r="31" customHeight="1" spans="1:14">
      <c r="A31" s="97" t="s">
        <v>265</v>
      </c>
      <c r="B31" s="42" t="str">
        <f>IFERROR(_xlfn.XLOOKUP('5月份计划'!A31,[5]UNEA!$B:$B,[5]UNEA!$B:$B),IFERROR(_xlfn.XLOOKUP('5月份计划'!A31,[5]MRHK!$B:$B,[5]MRHK!$B:$B),IFERROR(_xlfn.XLOOKUP('5月份计划'!A31,[5]MRHB!$B:$B,[5]MRHB!$B:$B),IFERROR(_xlfn.XLOOKUP('5月份计划'!A31,[5]HA6H!$B:$B,[5]HA6H!$B:$B),IFERROR(_xlfn.XLOOKUP('5月份计划'!A31,[5]HA6H!$B:$B,[5]HA6H!$B:$B)," ")))))</f>
        <v> </v>
      </c>
      <c r="C31" s="98">
        <f>SUMIFS('5月份科目余额表'!O:O,'5月份科目余额表'!D:D,A31)</f>
        <v>3152981.66</v>
      </c>
      <c r="E31" s="98">
        <f t="shared" si="0"/>
        <v>3152981.66</v>
      </c>
      <c r="F31" s="99">
        <v>775251.12</v>
      </c>
      <c r="G31" s="99">
        <v>1104886.22</v>
      </c>
      <c r="H31" s="99">
        <f>SUMIFS('5月份挂账'!Q:Q,'5月份挂账'!S:S,A31)-SUMIFS('5月份挂账'!P:P,'5月份挂账'!S:S,A31)</f>
        <v>687393.4</v>
      </c>
      <c r="I31" s="100">
        <f t="shared" si="1"/>
        <v>1360702.04</v>
      </c>
      <c r="J31" s="99">
        <v>1000000</v>
      </c>
      <c r="K31" s="99">
        <f t="shared" si="2"/>
        <v>2152981.66</v>
      </c>
      <c r="N31" s="42">
        <v>1000000</v>
      </c>
    </row>
    <row r="32" customHeight="1" spans="1:25">
      <c r="A32" s="97" t="s">
        <v>267</v>
      </c>
      <c r="B32" s="42" t="str">
        <f>IFERROR(_xlfn.XLOOKUP('5月份计划'!A32,[5]UNEA!$B:$B,[5]UNEA!$B:$B),IFERROR(_xlfn.XLOOKUP('5月份计划'!A32,[5]MRHK!$B:$B,[5]MRHK!$B:$B),IFERROR(_xlfn.XLOOKUP('5月份计划'!A32,[5]MRHB!$B:$B,[5]MRHB!$B:$B),IFERROR(_xlfn.XLOOKUP('5月份计划'!A32,[5]HA6H!$B:$B,[5]HA6H!$B:$B),IFERROR(_xlfn.XLOOKUP('5月份计划'!A32,[5]HA6H!$B:$B,[5]HA6H!$B:$B)," ")))))</f>
        <v> </v>
      </c>
      <c r="C32" s="98">
        <f>SUMIFS('5月份科目余额表'!O:O,'5月份科目余额表'!D:D,A32)</f>
        <v>25501.28</v>
      </c>
      <c r="E32" s="98">
        <f t="shared" si="0"/>
        <v>25501.28</v>
      </c>
      <c r="F32" s="99">
        <v>6000.3</v>
      </c>
      <c r="G32" s="99">
        <v>6960.35</v>
      </c>
      <c r="H32" s="99">
        <f>SUMIFS('5月份挂账'!Q:Q,'5月份挂账'!S:S,A32)-SUMIFS('5月份挂账'!P:P,'5月份挂账'!S:S,A32)</f>
        <v>5640.28</v>
      </c>
      <c r="I32" s="100">
        <f t="shared" si="1"/>
        <v>12900.65</v>
      </c>
      <c r="J32" s="99">
        <v>5000</v>
      </c>
      <c r="K32" s="99">
        <f t="shared" si="2"/>
        <v>20501.28</v>
      </c>
      <c r="X32" s="42" t="s">
        <v>29</v>
      </c>
      <c r="Y32" s="102">
        <f>SUM(Y4:Y31)</f>
        <v>138.054547</v>
      </c>
    </row>
    <row r="33" customHeight="1" spans="1:11">
      <c r="A33" s="97" t="s">
        <v>268</v>
      </c>
      <c r="B33" s="42" t="str">
        <f>IFERROR(_xlfn.XLOOKUP('5月份计划'!A33,[5]UNEA!$B:$B,[5]UNEA!$B:$B),IFERROR(_xlfn.XLOOKUP('5月份计划'!A33,[5]MRHK!$B:$B,[5]MRHK!$B:$B),IFERROR(_xlfn.XLOOKUP('5月份计划'!A33,[5]MRHB!$B:$B,[5]MRHB!$B:$B),IFERROR(_xlfn.XLOOKUP('5月份计划'!A33,[5]HA6H!$B:$B,[5]HA6H!$B:$B),IFERROR(_xlfn.XLOOKUP('5月份计划'!A33,[5]HA6H!$B:$B,[5]HA6H!$B:$B)," ")))))</f>
        <v> </v>
      </c>
      <c r="C33" s="98">
        <f>SUMIFS('5月份科目余额表'!O:O,'5月份科目余额表'!D:D,A33)</f>
        <v>25062.5</v>
      </c>
      <c r="E33" s="98">
        <f t="shared" si="0"/>
        <v>25062.5</v>
      </c>
      <c r="F33" s="99">
        <v>0</v>
      </c>
      <c r="G33" s="99">
        <v>0</v>
      </c>
      <c r="H33" s="99">
        <f>SUMIFS('5月份挂账'!Q:Q,'5月份挂账'!S:S,A33)-SUMIFS('5月份挂账'!P:P,'5月份挂账'!S:S,A33)</f>
        <v>0</v>
      </c>
      <c r="I33" s="100">
        <f t="shared" si="1"/>
        <v>25062.5</v>
      </c>
      <c r="J33" s="99">
        <v>25060.5</v>
      </c>
      <c r="K33" s="99">
        <f t="shared" si="2"/>
        <v>2</v>
      </c>
    </row>
    <row r="34" customHeight="1" spans="1:11">
      <c r="A34" s="97" t="s">
        <v>300</v>
      </c>
      <c r="B34" s="42" t="str">
        <f>IFERROR(_xlfn.XLOOKUP('5月份计划'!A34,[5]UNEA!$B:$B,[5]UNEA!$B:$B),IFERROR(_xlfn.XLOOKUP('5月份计划'!A34,[5]MRHK!$B:$B,[5]MRHK!$B:$B),IFERROR(_xlfn.XLOOKUP('5月份计划'!A34,[5]MRHB!$B:$B,[5]MRHB!$B:$B),IFERROR(_xlfn.XLOOKUP('5月份计划'!A34,[5]HA6H!$B:$B,[5]HA6H!$B:$B),IFERROR(_xlfn.XLOOKUP('5月份计划'!A34,[5]HA6H!$B:$B,[5]HA6H!$B:$B)," ")))))</f>
        <v> </v>
      </c>
      <c r="C34" s="98">
        <f>SUMIFS('5月份科目余额表'!O:O,'5月份科目余额表'!D:D,A34)</f>
        <v>159176.32</v>
      </c>
      <c r="E34" s="98">
        <f t="shared" si="0"/>
        <v>159176.32</v>
      </c>
      <c r="F34" s="99">
        <v>18852.92</v>
      </c>
      <c r="G34" s="99">
        <v>94614.9</v>
      </c>
      <c r="H34" s="99">
        <f>SUMIFS('5月份挂账'!Q:Q,'5月份挂账'!S:S,A34)-SUMIFS('5月份挂账'!P:P,'5月份挂账'!S:S,A34)</f>
        <v>45708.5</v>
      </c>
      <c r="I34" s="100">
        <f t="shared" si="1"/>
        <v>18852.92</v>
      </c>
      <c r="J34" s="99">
        <v>18852.92</v>
      </c>
      <c r="K34" s="99">
        <f t="shared" si="2"/>
        <v>140323.4</v>
      </c>
    </row>
    <row r="35" customHeight="1" spans="1:11">
      <c r="A35" s="97" t="s">
        <v>301</v>
      </c>
      <c r="B35" s="42" t="str">
        <f>IFERROR(_xlfn.XLOOKUP('5月份计划'!A35,[5]UNEA!$B:$B,[5]UNEA!$B:$B),IFERROR(_xlfn.XLOOKUP('5月份计划'!A35,[5]MRHK!$B:$B,[5]MRHK!$B:$B),IFERROR(_xlfn.XLOOKUP('5月份计划'!A35,[5]MRHB!$B:$B,[5]MRHB!$B:$B),IFERROR(_xlfn.XLOOKUP('5月份计划'!A35,[5]HA6H!$B:$B,[5]HA6H!$B:$B),IFERROR(_xlfn.XLOOKUP('5月份计划'!A35,[5]HA6H!$B:$B,[5]HA6H!$B:$B)," ")))))</f>
        <v> </v>
      </c>
      <c r="C35" s="98">
        <f>SUMIFS('5月份科目余额表'!O:O,'5月份科目余额表'!D:D,A35)</f>
        <v>3368.22</v>
      </c>
      <c r="E35" s="98">
        <f t="shared" si="0"/>
        <v>3368.22</v>
      </c>
      <c r="F35" s="99">
        <v>3368.22</v>
      </c>
      <c r="G35" s="99">
        <v>0</v>
      </c>
      <c r="H35" s="99">
        <f>SUMIFS('5月份挂账'!Q:Q,'5月份挂账'!S:S,A35)-SUMIFS('5月份挂账'!P:P,'5月份挂账'!S:S,A35)</f>
        <v>0</v>
      </c>
      <c r="I35" s="100">
        <f t="shared" si="1"/>
        <v>3368.22</v>
      </c>
      <c r="J35" s="99">
        <v>3368.22</v>
      </c>
      <c r="K35" s="99">
        <f t="shared" si="2"/>
        <v>0</v>
      </c>
    </row>
    <row r="36" customHeight="1" spans="1:11">
      <c r="A36" s="97" t="s">
        <v>269</v>
      </c>
      <c r="B36" s="42" t="str">
        <f>IFERROR(_xlfn.XLOOKUP('5月份计划'!A36,[5]UNEA!$B:$B,[5]UNEA!$B:$B),IFERROR(_xlfn.XLOOKUP('5月份计划'!A36,[5]MRHK!$B:$B,[5]MRHK!$B:$B),IFERROR(_xlfn.XLOOKUP('5月份计划'!A36,[5]MRHB!$B:$B,[5]MRHB!$B:$B),IFERROR(_xlfn.XLOOKUP('5月份计划'!A36,[5]HA6H!$B:$B,[5]HA6H!$B:$B),IFERROR(_xlfn.XLOOKUP('5月份计划'!A36,[5]HA6H!$B:$B,[5]HA6H!$B:$B)," ")))))</f>
        <v> </v>
      </c>
      <c r="C36" s="98">
        <f>SUMIFS('5月份科目余额表'!O:O,'5月份科目余额表'!D:D,A36)</f>
        <v>-57773.91</v>
      </c>
      <c r="E36" s="98">
        <f t="shared" si="0"/>
        <v>-57773.91</v>
      </c>
      <c r="F36" s="99">
        <v>45616.8</v>
      </c>
      <c r="G36" s="99">
        <v>0</v>
      </c>
      <c r="H36" s="99">
        <f>SUMIFS('5月份挂账'!Q:Q,'5月份挂账'!S:S,A36)-SUMIFS('5月份挂账'!P:P,'5月份挂账'!S:S,A36)</f>
        <v>0</v>
      </c>
      <c r="I36" s="100">
        <f t="shared" si="1"/>
        <v>0</v>
      </c>
      <c r="J36" s="99"/>
      <c r="K36" s="99">
        <f t="shared" si="2"/>
        <v>-57773.91</v>
      </c>
    </row>
    <row r="37" customHeight="1" spans="1:11">
      <c r="A37" s="97" t="s">
        <v>270</v>
      </c>
      <c r="B37" s="42" t="str">
        <f>IFERROR(_xlfn.XLOOKUP('5月份计划'!A37,[5]UNEA!$B:$B,[5]UNEA!$B:$B),IFERROR(_xlfn.XLOOKUP('5月份计划'!A37,[5]MRHK!$B:$B,[5]MRHK!$B:$B),IFERROR(_xlfn.XLOOKUP('5月份计划'!A37,[5]MRHB!$B:$B,[5]MRHB!$B:$B),IFERROR(_xlfn.XLOOKUP('5月份计划'!A37,[5]HA6H!$B:$B,[5]HA6H!$B:$B),IFERROR(_xlfn.XLOOKUP('5月份计划'!A37,[5]HA6H!$B:$B,[5]HA6H!$B:$B)," ")))))</f>
        <v> </v>
      </c>
      <c r="C37" s="98">
        <f>SUMIFS('5月份科目余额表'!O:O,'5月份科目余额表'!D:D,A37)</f>
        <v>32366.76</v>
      </c>
      <c r="E37" s="98">
        <f t="shared" si="0"/>
        <v>32366.76</v>
      </c>
      <c r="F37" s="99">
        <v>4024.8</v>
      </c>
      <c r="G37" s="99">
        <v>6790.3</v>
      </c>
      <c r="H37" s="99">
        <f>SUMIFS('5月份挂账'!Q:Q,'5月份挂账'!S:S,A37)-SUMIFS('5月份挂账'!P:P,'5月份挂账'!S:S,A37)</f>
        <v>8239.78</v>
      </c>
      <c r="I37" s="100">
        <f t="shared" si="1"/>
        <v>17336.68</v>
      </c>
      <c r="J37" s="99">
        <v>17336.68</v>
      </c>
      <c r="K37" s="99">
        <f t="shared" si="2"/>
        <v>15030.08</v>
      </c>
    </row>
    <row r="38" customHeight="1" spans="1:11">
      <c r="A38" s="97" t="s">
        <v>271</v>
      </c>
      <c r="B38" s="42" t="str">
        <f>IFERROR(_xlfn.XLOOKUP('5月份计划'!A38,[5]UNEA!$B:$B,[5]UNEA!$B:$B),IFERROR(_xlfn.XLOOKUP('5月份计划'!A38,[5]MRHK!$B:$B,[5]MRHK!$B:$B),IFERROR(_xlfn.XLOOKUP('5月份计划'!A38,[5]MRHB!$B:$B,[5]MRHB!$B:$B),IFERROR(_xlfn.XLOOKUP('5月份计划'!A38,[5]HA6H!$B:$B,[5]HA6H!$B:$B),IFERROR(_xlfn.XLOOKUP('5月份计划'!A38,[5]HA6H!$B:$B,[5]HA6H!$B:$B)," ")))))</f>
        <v> </v>
      </c>
      <c r="C38" s="98">
        <f>SUMIFS('5月份科目余额表'!O:O,'5月份科目余额表'!D:D,A38)</f>
        <v>22774.59</v>
      </c>
      <c r="E38" s="98">
        <f t="shared" si="0"/>
        <v>22774.59</v>
      </c>
      <c r="F38" s="99">
        <v>0</v>
      </c>
      <c r="G38" s="99">
        <v>0</v>
      </c>
      <c r="H38" s="99">
        <f>SUMIFS('5月份挂账'!Q:Q,'5月份挂账'!S:S,A38)-SUMIFS('5月份挂账'!P:P,'5月份挂账'!S:S,A38)</f>
        <v>0</v>
      </c>
      <c r="I38" s="100">
        <f t="shared" si="1"/>
        <v>22774.59</v>
      </c>
      <c r="J38" s="99"/>
      <c r="K38" s="99">
        <f t="shared" si="2"/>
        <v>22774.59</v>
      </c>
    </row>
    <row r="39" customHeight="1" spans="1:11">
      <c r="A39" s="97" t="s">
        <v>272</v>
      </c>
      <c r="B39" s="42" t="str">
        <f>IFERROR(_xlfn.XLOOKUP('5月份计划'!A39,[5]UNEA!$B:$B,[5]UNEA!$B:$B),IFERROR(_xlfn.XLOOKUP('5月份计划'!A39,[5]MRHK!$B:$B,[5]MRHK!$B:$B),IFERROR(_xlfn.XLOOKUP('5月份计划'!A39,[5]MRHB!$B:$B,[5]MRHB!$B:$B),IFERROR(_xlfn.XLOOKUP('5月份计划'!A39,[5]HA6H!$B:$B,[5]HA6H!$B:$B),IFERROR(_xlfn.XLOOKUP('5月份计划'!A39,[5]HA6H!$B:$B,[5]HA6H!$B:$B)," ")))))</f>
        <v> </v>
      </c>
      <c r="C39" s="98">
        <f>SUMIFS('5月份科目余额表'!O:O,'5月份科目余额表'!D:D,A39)</f>
        <v>330802.27</v>
      </c>
      <c r="E39" s="98">
        <f t="shared" si="0"/>
        <v>330802.27</v>
      </c>
      <c r="F39" s="99">
        <v>59100.25</v>
      </c>
      <c r="G39" s="99">
        <v>0</v>
      </c>
      <c r="H39" s="99">
        <f>SUMIFS('5月份挂账'!Q:Q,'5月份挂账'!S:S,A39)-SUMIFS('5月份挂账'!P:P,'5月份挂账'!S:S,A39)</f>
        <v>191551.1</v>
      </c>
      <c r="I39" s="100">
        <f t="shared" si="1"/>
        <v>139251.17</v>
      </c>
      <c r="J39" s="99">
        <v>100000</v>
      </c>
      <c r="K39" s="99">
        <f t="shared" si="2"/>
        <v>230802.27</v>
      </c>
    </row>
    <row r="40" customHeight="1" spans="1:11">
      <c r="A40" s="97" t="s">
        <v>273</v>
      </c>
      <c r="B40" s="42" t="str">
        <f>IFERROR(_xlfn.XLOOKUP('5月份计划'!A40,[5]UNEA!$B:$B,[5]UNEA!$B:$B),IFERROR(_xlfn.XLOOKUP('5月份计划'!A40,[5]MRHK!$B:$B,[5]MRHK!$B:$B),IFERROR(_xlfn.XLOOKUP('5月份计划'!A40,[5]MRHB!$B:$B,[5]MRHB!$B:$B),IFERROR(_xlfn.XLOOKUP('5月份计划'!A40,[5]HA6H!$B:$B,[5]HA6H!$B:$B),IFERROR(_xlfn.XLOOKUP('5月份计划'!A40,[5]HA6H!$B:$B,[5]HA6H!$B:$B)," ")))))</f>
        <v>长春超力内饰件有限公司</v>
      </c>
      <c r="C40" s="98">
        <f>SUMIFS('5月份科目余额表'!O:O,'5月份科目余额表'!D:D,A40)</f>
        <v>203755.27</v>
      </c>
      <c r="E40" s="98">
        <f t="shared" si="0"/>
        <v>203755.27</v>
      </c>
      <c r="F40" s="99">
        <v>21652.61</v>
      </c>
      <c r="G40" s="99">
        <v>0</v>
      </c>
      <c r="H40" s="99">
        <f>SUMIFS('5月份挂账'!Q:Q,'5月份挂账'!S:S,A40)-SUMIFS('5月份挂账'!P:P,'5月份挂账'!S:S,A40)</f>
        <v>182102.66</v>
      </c>
      <c r="I40" s="100">
        <f t="shared" si="1"/>
        <v>21652.61</v>
      </c>
      <c r="J40" s="99">
        <v>20000</v>
      </c>
      <c r="K40" s="99">
        <f t="shared" si="2"/>
        <v>183755.27</v>
      </c>
    </row>
    <row r="41" customHeight="1" spans="1:11">
      <c r="A41" s="97" t="s">
        <v>302</v>
      </c>
      <c r="B41" s="42" t="str">
        <f>IFERROR(_xlfn.XLOOKUP('5月份计划'!A41,[5]UNEA!$B:$B,[5]UNEA!$B:$B),IFERROR(_xlfn.XLOOKUP('5月份计划'!A41,[5]MRHK!$B:$B,[5]MRHK!$B:$B),IFERROR(_xlfn.XLOOKUP('5月份计划'!A41,[5]MRHB!$B:$B,[5]MRHB!$B:$B),IFERROR(_xlfn.XLOOKUP('5月份计划'!A41,[5]HA6H!$B:$B,[5]HA6H!$B:$B),IFERROR(_xlfn.XLOOKUP('5月份计划'!A41,[5]HA6H!$B:$B,[5]HA6H!$B:$B)," ")))))</f>
        <v> </v>
      </c>
      <c r="C41" s="98">
        <f>SUMIFS('5月份科目余额表'!O:O,'5月份科目余额表'!D:D,A41)</f>
        <v>122571.67</v>
      </c>
      <c r="E41" s="98">
        <f t="shared" si="0"/>
        <v>122571.67</v>
      </c>
      <c r="F41" s="99">
        <v>678</v>
      </c>
      <c r="G41" s="99">
        <v>0</v>
      </c>
      <c r="H41" s="99">
        <f>SUMIFS('5月份挂账'!Q:Q,'5月份挂账'!S:S,A41)-SUMIFS('5月份挂账'!P:P,'5月份挂账'!S:S,A41)</f>
        <v>0</v>
      </c>
      <c r="I41" s="100">
        <f t="shared" si="1"/>
        <v>122571.67</v>
      </c>
      <c r="J41" s="99">
        <v>50000</v>
      </c>
      <c r="K41" s="99">
        <f t="shared" si="2"/>
        <v>72571.67</v>
      </c>
    </row>
    <row r="42" customHeight="1" spans="1:11">
      <c r="A42" s="97" t="s">
        <v>274</v>
      </c>
      <c r="B42" s="42" t="str">
        <f>IFERROR(_xlfn.XLOOKUP('5月份计划'!A42,[5]UNEA!$B:$B,[5]UNEA!$B:$B),IFERROR(_xlfn.XLOOKUP('5月份计划'!A42,[5]MRHK!$B:$B,[5]MRHK!$B:$B),IFERROR(_xlfn.XLOOKUP('5月份计划'!A42,[5]MRHB!$B:$B,[5]MRHB!$B:$B),IFERROR(_xlfn.XLOOKUP('5月份计划'!A42,[5]HA6H!$B:$B,[5]HA6H!$B:$B),IFERROR(_xlfn.XLOOKUP('5月份计划'!A42,[5]HA6H!$B:$B,[5]HA6H!$B:$B)," ")))))</f>
        <v> </v>
      </c>
      <c r="C42" s="98">
        <f>SUMIFS('5月份科目余额表'!O:O,'5月份科目余额表'!D:D,A42)</f>
        <v>280465.08</v>
      </c>
      <c r="E42" s="98">
        <f t="shared" si="0"/>
        <v>280465.08</v>
      </c>
      <c r="F42" s="99">
        <v>48300.51</v>
      </c>
      <c r="G42" s="99">
        <v>0</v>
      </c>
      <c r="H42" s="99">
        <f>SUMIFS('5月份挂账'!Q:Q,'5月份挂账'!S:S,A42)-SUMIFS('5月份挂账'!P:P,'5月份挂账'!S:S,A42)</f>
        <v>0</v>
      </c>
      <c r="I42" s="100">
        <f t="shared" si="1"/>
        <v>280465.08</v>
      </c>
      <c r="J42" s="99"/>
      <c r="K42" s="99">
        <f t="shared" si="2"/>
        <v>280465.08</v>
      </c>
    </row>
    <row r="43" customHeight="1" spans="1:11">
      <c r="A43" s="97" t="s">
        <v>275</v>
      </c>
      <c r="B43" s="42" t="str">
        <f>IFERROR(_xlfn.XLOOKUP('5月份计划'!A43,[5]UNEA!$B:$B,[5]UNEA!$B:$B),IFERROR(_xlfn.XLOOKUP('5月份计划'!A43,[5]MRHK!$B:$B,[5]MRHK!$B:$B),IFERROR(_xlfn.XLOOKUP('5月份计划'!A43,[5]MRHB!$B:$B,[5]MRHB!$B:$B),IFERROR(_xlfn.XLOOKUP('5月份计划'!A43,[5]HA6H!$B:$B,[5]HA6H!$B:$B),IFERROR(_xlfn.XLOOKUP('5月份计划'!A43,[5]HA6H!$B:$B,[5]HA6H!$B:$B)," ")))))</f>
        <v> </v>
      </c>
      <c r="C43" s="98">
        <f>SUMIFS('5月份科目余额表'!O:O,'5月份科目余额表'!D:D,A43)</f>
        <v>5326.28</v>
      </c>
      <c r="E43" s="98">
        <f t="shared" si="0"/>
        <v>5326.28</v>
      </c>
      <c r="F43" s="99">
        <v>0</v>
      </c>
      <c r="G43" s="99">
        <v>0</v>
      </c>
      <c r="H43" s="99">
        <f>SUMIFS('5月份挂账'!Q:Q,'5月份挂账'!S:S,A43)-SUMIFS('5月份挂账'!P:P,'5月份挂账'!S:S,A43)</f>
        <v>0</v>
      </c>
      <c r="I43" s="100">
        <f t="shared" si="1"/>
        <v>5326.28</v>
      </c>
      <c r="J43" s="99"/>
      <c r="K43" s="99">
        <f t="shared" si="2"/>
        <v>5326.28</v>
      </c>
    </row>
    <row r="44" customHeight="1" spans="1:11">
      <c r="A44" s="97" t="s">
        <v>276</v>
      </c>
      <c r="B44" s="42" t="str">
        <f>IFERROR(_xlfn.XLOOKUP('5月份计划'!A44,[5]UNEA!$B:$B,[5]UNEA!$B:$B),IFERROR(_xlfn.XLOOKUP('5月份计划'!A44,[5]MRHK!$B:$B,[5]MRHK!$B:$B),IFERROR(_xlfn.XLOOKUP('5月份计划'!A44,[5]MRHB!$B:$B,[5]MRHB!$B:$B),IFERROR(_xlfn.XLOOKUP('5月份计划'!A44,[5]HA6H!$B:$B,[5]HA6H!$B:$B),IFERROR(_xlfn.XLOOKUP('5月份计划'!A44,[5]HA6H!$B:$B,[5]HA6H!$B:$B)," ")))))</f>
        <v> </v>
      </c>
      <c r="C44" s="98">
        <f>SUMIFS('5月份科目余额表'!O:O,'5月份科目余额表'!D:D,A44)</f>
        <v>38188.24</v>
      </c>
      <c r="E44" s="98">
        <f t="shared" si="0"/>
        <v>38188.24</v>
      </c>
      <c r="F44" s="99">
        <v>0</v>
      </c>
      <c r="G44" s="99">
        <v>0</v>
      </c>
      <c r="H44" s="99">
        <f>SUMIFS('5月份挂账'!Q:Q,'5月份挂账'!S:S,A44)-SUMIFS('5月份挂账'!P:P,'5月份挂账'!S:S,A44)</f>
        <v>0</v>
      </c>
      <c r="I44" s="100">
        <f t="shared" si="1"/>
        <v>38188.24</v>
      </c>
      <c r="J44" s="99"/>
      <c r="K44" s="99">
        <f t="shared" si="2"/>
        <v>38188.24</v>
      </c>
    </row>
    <row r="45" customHeight="1" spans="1:13">
      <c r="A45" s="97" t="s">
        <v>303</v>
      </c>
      <c r="B45" s="42" t="str">
        <f>IFERROR(_xlfn.XLOOKUP('5月份计划'!A45,[5]UNEA!$B:$B,[5]UNEA!$B:$B),IFERROR(_xlfn.XLOOKUP('5月份计划'!A45,[5]MRHK!$B:$B,[5]MRHK!$B:$B),IFERROR(_xlfn.XLOOKUP('5月份计划'!A45,[5]MRHB!$B:$B,[5]MRHB!$B:$B),IFERROR(_xlfn.XLOOKUP('5月份计划'!A45,[5]HA6H!$B:$B,[5]HA6H!$B:$B),IFERROR(_xlfn.XLOOKUP('5月份计划'!A45,[5]HA6H!$B:$B,[5]HA6H!$B:$B)," ")))))</f>
        <v> </v>
      </c>
      <c r="C45" s="98">
        <f>SUMIFS('5月份科目余额表'!O:O,'5月份科目余额表'!D:D,A45)</f>
        <v>980074</v>
      </c>
      <c r="E45" s="98">
        <f t="shared" si="0"/>
        <v>980074</v>
      </c>
      <c r="F45" s="99">
        <v>0</v>
      </c>
      <c r="G45" s="99">
        <v>391552</v>
      </c>
      <c r="H45" s="99">
        <f>SUMIFS('5月份挂账'!Q:Q,'5月份挂账'!S:S,A45)-SUMIFS('5月份挂账'!P:P,'5月份挂账'!S:S,A45)</f>
        <v>588522</v>
      </c>
      <c r="I45" s="100">
        <f t="shared" si="1"/>
        <v>0</v>
      </c>
      <c r="J45" s="99">
        <v>680596</v>
      </c>
      <c r="K45" s="99">
        <f t="shared" si="2"/>
        <v>299478</v>
      </c>
      <c r="M45" s="42">
        <f>J45</f>
        <v>680596</v>
      </c>
    </row>
    <row r="46" customHeight="1" spans="1:13">
      <c r="A46" s="97" t="s">
        <v>277</v>
      </c>
      <c r="B46" s="42" t="str">
        <f>IFERROR(_xlfn.XLOOKUP('5月份计划'!A46,[5]UNEA!$B:$B,[5]UNEA!$B:$B),IFERROR(_xlfn.XLOOKUP('5月份计划'!A46,[5]MRHK!$B:$B,[5]MRHK!$B:$B),IFERROR(_xlfn.XLOOKUP('5月份计划'!A46,[5]MRHB!$B:$B,[5]MRHB!$B:$B),IFERROR(_xlfn.XLOOKUP('5月份计划'!A46,[5]HA6H!$B:$B,[5]HA6H!$B:$B),IFERROR(_xlfn.XLOOKUP('5月份计划'!A46,[5]HA6H!$B:$B,[5]HA6H!$B:$B)," ")))))</f>
        <v> </v>
      </c>
      <c r="C46" s="98">
        <f>SUMIFS('5月份科目余额表'!O:O,'5月份科目余额表'!D:D,A46)</f>
        <v>2116356.93</v>
      </c>
      <c r="E46" s="98">
        <f t="shared" si="0"/>
        <v>2116356.93</v>
      </c>
      <c r="F46" s="99">
        <v>0</v>
      </c>
      <c r="G46" s="99">
        <v>912912</v>
      </c>
      <c r="H46" s="99">
        <f>SUMIFS('5月份挂账'!Q:Q,'5月份挂账'!S:S,A46)-SUMIFS('5月份挂账'!P:P,'5月份挂账'!S:S,A46)</f>
        <v>1203444.93</v>
      </c>
      <c r="I46" s="100">
        <f t="shared" si="1"/>
        <v>0</v>
      </c>
      <c r="J46" s="99">
        <v>1825824</v>
      </c>
      <c r="K46" s="99">
        <f t="shared" si="2"/>
        <v>290532.93</v>
      </c>
      <c r="M46" s="42">
        <f>J46</f>
        <v>1825824</v>
      </c>
    </row>
    <row r="47" customHeight="1" spans="1:11">
      <c r="A47" s="97" t="s">
        <v>304</v>
      </c>
      <c r="B47" s="42" t="str">
        <f>IFERROR(_xlfn.XLOOKUP('5月份计划'!A47,[5]UNEA!$B:$B,[5]UNEA!$B:$B),IFERROR(_xlfn.XLOOKUP('5月份计划'!A47,[5]MRHK!$B:$B,[5]MRHK!$B:$B),IFERROR(_xlfn.XLOOKUP('5月份计划'!A47,[5]MRHB!$B:$B,[5]MRHB!$B:$B),IFERROR(_xlfn.XLOOKUP('5月份计划'!A47,[5]HA6H!$B:$B,[5]HA6H!$B:$B),IFERROR(_xlfn.XLOOKUP('5月份计划'!A47,[5]HA6H!$B:$B,[5]HA6H!$B:$B)," ")))))</f>
        <v> </v>
      </c>
      <c r="C47" s="98">
        <f>SUMIFS('5月份科目余额表'!O:O,'5月份科目余额表'!D:D,A47)</f>
        <v>22724.3</v>
      </c>
      <c r="E47" s="98">
        <f t="shared" si="0"/>
        <v>22724.3</v>
      </c>
      <c r="F47" s="99">
        <v>0</v>
      </c>
      <c r="G47" s="99">
        <v>0</v>
      </c>
      <c r="H47" s="99">
        <f>SUMIFS('5月份挂账'!Q:Q,'5月份挂账'!S:S,A47)-SUMIFS('5月份挂账'!P:P,'5月份挂账'!S:S,A47)</f>
        <v>22724.3</v>
      </c>
      <c r="I47" s="100">
        <f t="shared" si="1"/>
        <v>0</v>
      </c>
      <c r="J47" s="99"/>
      <c r="K47" s="99">
        <f t="shared" si="2"/>
        <v>22724.3</v>
      </c>
    </row>
    <row r="48" customHeight="1" spans="1:11">
      <c r="A48" s="97" t="s">
        <v>305</v>
      </c>
      <c r="B48" s="42" t="str">
        <f>IFERROR(_xlfn.XLOOKUP('5月份计划'!A48,[5]UNEA!$B:$B,[5]UNEA!$B:$B),IFERROR(_xlfn.XLOOKUP('5月份计划'!A48,[5]MRHK!$B:$B,[5]MRHK!$B:$B),IFERROR(_xlfn.XLOOKUP('5月份计划'!A48,[5]MRHB!$B:$B,[5]MRHB!$B:$B),IFERROR(_xlfn.XLOOKUP('5月份计划'!A48,[5]HA6H!$B:$B,[5]HA6H!$B:$B),IFERROR(_xlfn.XLOOKUP('5月份计划'!A48,[5]HA6H!$B:$B,[5]HA6H!$B:$B)," ")))))</f>
        <v> </v>
      </c>
      <c r="C48" s="98">
        <f>SUMIFS('5月份科目余额表'!O:O,'5月份科目余额表'!D:D,A48)</f>
        <v>20763.75</v>
      </c>
      <c r="E48" s="98">
        <f t="shared" si="0"/>
        <v>20763.75</v>
      </c>
      <c r="F48" s="99">
        <v>3847.65</v>
      </c>
      <c r="G48" s="99">
        <v>0</v>
      </c>
      <c r="H48" s="99">
        <f>SUMIFS('5月份挂账'!Q:Q,'5月份挂账'!S:S,A48)-SUMIFS('5月份挂账'!P:P,'5月份挂账'!S:S,A48)</f>
        <v>16916.1</v>
      </c>
      <c r="I48" s="100">
        <f t="shared" si="1"/>
        <v>3847.65</v>
      </c>
      <c r="J48" s="99">
        <v>3847.62</v>
      </c>
      <c r="K48" s="99">
        <f t="shared" si="2"/>
        <v>16916.13</v>
      </c>
    </row>
    <row r="49" customHeight="1" spans="1:11">
      <c r="A49" s="97" t="s">
        <v>278</v>
      </c>
      <c r="B49" s="42" t="str">
        <f>IFERROR(_xlfn.XLOOKUP('5月份计划'!A49,[5]UNEA!$B:$B,[5]UNEA!$B:$B),IFERROR(_xlfn.XLOOKUP('5月份计划'!A49,[5]MRHK!$B:$B,[5]MRHK!$B:$B),IFERROR(_xlfn.XLOOKUP('5月份计划'!A49,[5]MRHB!$B:$B,[5]MRHB!$B:$B),IFERROR(_xlfn.XLOOKUP('5月份计划'!A49,[5]HA6H!$B:$B,[5]HA6H!$B:$B),IFERROR(_xlfn.XLOOKUP('5月份计划'!A49,[5]HA6H!$B:$B,[5]HA6H!$B:$B)," ")))))</f>
        <v> </v>
      </c>
      <c r="C49" s="98">
        <f>SUMIFS('5月份科目余额表'!O:O,'5月份科目余额表'!D:D,A49)</f>
        <v>5279.36</v>
      </c>
      <c r="E49" s="98">
        <f t="shared" si="0"/>
        <v>5279.36</v>
      </c>
      <c r="F49" s="99">
        <v>0</v>
      </c>
      <c r="G49" s="99">
        <v>5279.36</v>
      </c>
      <c r="H49" s="99">
        <f>SUMIFS('5月份挂账'!Q:Q,'5月份挂账'!S:S,A49)-SUMIFS('5月份挂账'!P:P,'5月份挂账'!S:S,A49)</f>
        <v>0</v>
      </c>
      <c r="I49" s="100">
        <f t="shared" si="1"/>
        <v>0</v>
      </c>
      <c r="J49" s="99">
        <v>5279.36</v>
      </c>
      <c r="K49" s="99">
        <f t="shared" si="2"/>
        <v>0</v>
      </c>
    </row>
    <row r="50" customHeight="1" spans="1:12">
      <c r="A50" s="97" t="s">
        <v>306</v>
      </c>
      <c r="B50" s="42" t="str">
        <f>IFERROR(_xlfn.XLOOKUP('5月份计划'!A50,[5]UNEA!$B:$B,[5]UNEA!$B:$B),IFERROR(_xlfn.XLOOKUP('5月份计划'!A50,[5]MRHK!$B:$B,[5]MRHK!$B:$B),IFERROR(_xlfn.XLOOKUP('5月份计划'!A50,[5]MRHB!$B:$B,[5]MRHB!$B:$B),IFERROR(_xlfn.XLOOKUP('5月份计划'!A50,[5]HA6H!$B:$B,[5]HA6H!$B:$B),IFERROR(_xlfn.XLOOKUP('5月份计划'!A50,[5]HA6H!$B:$B,[5]HA6H!$B:$B)," ")))))</f>
        <v> </v>
      </c>
      <c r="C50" s="98">
        <f>SUMIFS('5月份科目余额表'!O:O,'5月份科目余额表'!D:D,A50)</f>
        <v>42284.6</v>
      </c>
      <c r="E50" s="98">
        <f t="shared" si="0"/>
        <v>42284.6</v>
      </c>
      <c r="F50" s="99">
        <v>0</v>
      </c>
      <c r="G50" s="99">
        <v>19210</v>
      </c>
      <c r="H50" s="99">
        <f>SUMIFS('5月份挂账'!Q:Q,'5月份挂账'!S:S,A50)-SUMIFS('5月份挂账'!P:P,'5月份挂账'!S:S,A50)</f>
        <v>579.69</v>
      </c>
      <c r="I50" s="100">
        <f t="shared" si="1"/>
        <v>22494.91</v>
      </c>
      <c r="J50" s="99">
        <v>22494.91</v>
      </c>
      <c r="K50" s="99">
        <f t="shared" si="2"/>
        <v>19789.69</v>
      </c>
      <c r="L50" s="42" t="s">
        <v>379</v>
      </c>
    </row>
    <row r="51" customHeight="1" spans="1:11">
      <c r="A51" s="97" t="s">
        <v>279</v>
      </c>
      <c r="B51" s="42" t="str">
        <f>IFERROR(_xlfn.XLOOKUP('5月份计划'!A51,[5]UNEA!$B:$B,[5]UNEA!$B:$B),IFERROR(_xlfn.XLOOKUP('5月份计划'!A51,[5]MRHK!$B:$B,[5]MRHK!$B:$B),IFERROR(_xlfn.XLOOKUP('5月份计划'!A51,[5]MRHB!$B:$B,[5]MRHB!$B:$B),IFERROR(_xlfn.XLOOKUP('5月份计划'!A51,[5]HA6H!$B:$B,[5]HA6H!$B:$B),IFERROR(_xlfn.XLOOKUP('5月份计划'!A51,[5]HA6H!$B:$B,[5]HA6H!$B:$B)," ")))))</f>
        <v> </v>
      </c>
      <c r="C51" s="98">
        <f>SUMIFS('5月份科目余额表'!O:O,'5月份科目余额表'!D:D,A51)</f>
        <v>13932.9</v>
      </c>
      <c r="E51" s="98">
        <f t="shared" si="0"/>
        <v>13932.9</v>
      </c>
      <c r="F51" s="99">
        <v>0</v>
      </c>
      <c r="G51" s="99">
        <v>0</v>
      </c>
      <c r="H51" s="99">
        <f>SUMIFS('5月份挂账'!Q:Q,'5月份挂账'!S:S,A51)-SUMIFS('5月份挂账'!P:P,'5月份挂账'!S:S,A51)</f>
        <v>0</v>
      </c>
      <c r="I51" s="100">
        <f t="shared" si="1"/>
        <v>13932.9</v>
      </c>
      <c r="J51" s="99"/>
      <c r="K51" s="99">
        <f t="shared" si="2"/>
        <v>13932.9</v>
      </c>
    </row>
    <row r="52" customHeight="1" spans="1:11">
      <c r="A52" s="97" t="s">
        <v>280</v>
      </c>
      <c r="B52" s="42" t="str">
        <f>IFERROR(_xlfn.XLOOKUP('5月份计划'!A52,[5]UNEA!$B:$B,[5]UNEA!$B:$B),IFERROR(_xlfn.XLOOKUP('5月份计划'!A52,[5]MRHK!$B:$B,[5]MRHK!$B:$B),IFERROR(_xlfn.XLOOKUP('5月份计划'!A52,[5]MRHB!$B:$B,[5]MRHB!$B:$B),IFERROR(_xlfn.XLOOKUP('5月份计划'!A52,[5]HA6H!$B:$B,[5]HA6H!$B:$B),IFERROR(_xlfn.XLOOKUP('5月份计划'!A52,[5]HA6H!$B:$B,[5]HA6H!$B:$B)," ")))))</f>
        <v> </v>
      </c>
      <c r="C52" s="98">
        <f>SUMIFS('5月份科目余额表'!O:O,'5月份科目余额表'!D:D,A52)</f>
        <v>69612.98</v>
      </c>
      <c r="E52" s="98">
        <f t="shared" si="0"/>
        <v>69612.98</v>
      </c>
      <c r="F52" s="99">
        <v>0</v>
      </c>
      <c r="G52" s="99">
        <v>18204.87</v>
      </c>
      <c r="H52" s="99">
        <f>SUMIFS('5月份挂账'!Q:Q,'5月份挂账'!S:S,A52)-SUMIFS('5月份挂账'!P:P,'5月份挂账'!S:S,A52)</f>
        <v>31242.81</v>
      </c>
      <c r="I52" s="100">
        <f t="shared" si="1"/>
        <v>20165.3</v>
      </c>
      <c r="J52" s="99">
        <v>20165.3</v>
      </c>
      <c r="K52" s="99">
        <f t="shared" si="2"/>
        <v>49447.68</v>
      </c>
    </row>
    <row r="53" customHeight="1" spans="1:11">
      <c r="A53" s="97" t="s">
        <v>307</v>
      </c>
      <c r="B53" s="42" t="str">
        <f>IFERROR(_xlfn.XLOOKUP('5月份计划'!A53,[5]UNEA!$B:$B,[5]UNEA!$B:$B),IFERROR(_xlfn.XLOOKUP('5月份计划'!A53,[5]MRHK!$B:$B,[5]MRHK!$B:$B),IFERROR(_xlfn.XLOOKUP('5月份计划'!A53,[5]MRHB!$B:$B,[5]MRHB!$B:$B),IFERROR(_xlfn.XLOOKUP('5月份计划'!A53,[5]HA6H!$B:$B,[5]HA6H!$B:$B),IFERROR(_xlfn.XLOOKUP('5月份计划'!A53,[5]HA6H!$B:$B,[5]HA6H!$B:$B)," ")))))</f>
        <v> </v>
      </c>
      <c r="C53" s="98">
        <f>SUMIFS('5月份科目余额表'!O:O,'5月份科目余额表'!D:D,A53)</f>
        <v>11117.67</v>
      </c>
      <c r="E53" s="98">
        <f t="shared" si="0"/>
        <v>11117.67</v>
      </c>
      <c r="F53" s="99">
        <v>0</v>
      </c>
      <c r="G53" s="99">
        <v>7275.67</v>
      </c>
      <c r="H53" s="99">
        <f>SUMIFS('5月份挂账'!Q:Q,'5月份挂账'!S:S,A53)-SUMIFS('5月份挂账'!P:P,'5月份挂账'!S:S,A53)</f>
        <v>3842</v>
      </c>
      <c r="I53" s="100">
        <f t="shared" si="1"/>
        <v>0</v>
      </c>
      <c r="J53" s="99"/>
      <c r="K53" s="99">
        <f t="shared" si="2"/>
        <v>11117.67</v>
      </c>
    </row>
    <row r="54" customHeight="1" spans="1:11">
      <c r="A54" s="97" t="s">
        <v>308</v>
      </c>
      <c r="B54" s="42" t="str">
        <f>IFERROR(_xlfn.XLOOKUP('5月份计划'!A54,[5]UNEA!$B:$B,[5]UNEA!$B:$B),IFERROR(_xlfn.XLOOKUP('5月份计划'!A54,[5]MRHK!$B:$B,[5]MRHK!$B:$B),IFERROR(_xlfn.XLOOKUP('5月份计划'!A54,[5]MRHB!$B:$B,[5]MRHB!$B:$B),IFERROR(_xlfn.XLOOKUP('5月份计划'!A54,[5]HA6H!$B:$B,[5]HA6H!$B:$B),IFERROR(_xlfn.XLOOKUP('5月份计划'!A54,[5]HA6H!$B:$B,[5]HA6H!$B:$B)," ")))))</f>
        <v> </v>
      </c>
      <c r="C54" s="98">
        <f>SUMIFS('5月份科目余额表'!O:O,'5月份科目余额表'!D:D,A54)</f>
        <v>32067.14</v>
      </c>
      <c r="E54" s="98">
        <f t="shared" si="0"/>
        <v>32067.14</v>
      </c>
      <c r="F54" s="99">
        <v>3478.14</v>
      </c>
      <c r="G54" s="99">
        <v>21944.6</v>
      </c>
      <c r="H54" s="99">
        <f>SUMIFS('5月份挂账'!Q:Q,'5月份挂账'!S:S,A54)-SUMIFS('5月份挂账'!P:P,'5月份挂账'!S:S,A54)</f>
        <v>0</v>
      </c>
      <c r="I54" s="100">
        <f t="shared" si="1"/>
        <v>10122.54</v>
      </c>
      <c r="J54" s="99">
        <v>10122.54</v>
      </c>
      <c r="K54" s="99">
        <f t="shared" si="2"/>
        <v>21944.6</v>
      </c>
    </row>
    <row r="55" customHeight="1" spans="1:11">
      <c r="A55" s="97" t="s">
        <v>309</v>
      </c>
      <c r="B55" s="42" t="str">
        <f>IFERROR(_xlfn.XLOOKUP('5月份计划'!A55,[5]UNEA!$B:$B,[5]UNEA!$B:$B),IFERROR(_xlfn.XLOOKUP('5月份计划'!A55,[5]MRHK!$B:$B,[5]MRHK!$B:$B),IFERROR(_xlfn.XLOOKUP('5月份计划'!A55,[5]MRHB!$B:$B,[5]MRHB!$B:$B),IFERROR(_xlfn.XLOOKUP('5月份计划'!A55,[5]HA6H!$B:$B,[5]HA6H!$B:$B),IFERROR(_xlfn.XLOOKUP('5月份计划'!A55,[5]HA6H!$B:$B,[5]HA6H!$B:$B)," ")))))</f>
        <v> </v>
      </c>
      <c r="C55" s="98">
        <f>SUMIFS('5月份科目余额表'!O:O,'5月份科目余额表'!D:D,A55)</f>
        <v>1622.68</v>
      </c>
      <c r="E55" s="98">
        <f t="shared" si="0"/>
        <v>1622.68</v>
      </c>
      <c r="F55" s="99">
        <v>0</v>
      </c>
      <c r="G55" s="99">
        <v>1622.68</v>
      </c>
      <c r="H55" s="99">
        <f>SUMIFS('5月份挂账'!Q:Q,'5月份挂账'!S:S,A55)-SUMIFS('5月份挂账'!P:P,'5月份挂账'!S:S,A55)</f>
        <v>0</v>
      </c>
      <c r="I55" s="100">
        <f t="shared" si="1"/>
        <v>0</v>
      </c>
      <c r="J55" s="99"/>
      <c r="K55" s="99">
        <f t="shared" si="2"/>
        <v>1622.68</v>
      </c>
    </row>
    <row r="56" customHeight="1" spans="1:11">
      <c r="A56" s="97" t="s">
        <v>281</v>
      </c>
      <c r="B56" s="42" t="str">
        <f>IFERROR(_xlfn.XLOOKUP('5月份计划'!A56,[5]UNEA!$B:$B,[5]UNEA!$B:$B),IFERROR(_xlfn.XLOOKUP('5月份计划'!A56,[5]MRHK!$B:$B,[5]MRHK!$B:$B),IFERROR(_xlfn.XLOOKUP('5月份计划'!A56,[5]MRHB!$B:$B,[5]MRHB!$B:$B),IFERROR(_xlfn.XLOOKUP('5月份计划'!A56,[5]HA6H!$B:$B,[5]HA6H!$B:$B),IFERROR(_xlfn.XLOOKUP('5月份计划'!A56,[5]HA6H!$B:$B,[5]HA6H!$B:$B)," ")))))</f>
        <v> </v>
      </c>
      <c r="C56" s="98">
        <f>SUMIFS('5月份科目余额表'!O:O,'5月份科目余额表'!D:D,A56)</f>
        <v>19152</v>
      </c>
      <c r="E56" s="98">
        <f t="shared" si="0"/>
        <v>19152</v>
      </c>
      <c r="F56" s="99">
        <v>9576</v>
      </c>
      <c r="G56" s="99">
        <v>9576</v>
      </c>
      <c r="H56" s="99">
        <f>SUMIFS('5月份挂账'!Q:Q,'5月份挂账'!S:S,A56)-SUMIFS('5月份挂账'!P:P,'5月份挂账'!S:S,A56)</f>
        <v>0</v>
      </c>
      <c r="I56" s="100">
        <f t="shared" si="1"/>
        <v>9576</v>
      </c>
      <c r="J56" s="99">
        <v>9576</v>
      </c>
      <c r="K56" s="99">
        <f t="shared" si="2"/>
        <v>9576</v>
      </c>
    </row>
    <row r="57" customHeight="1" spans="1:11">
      <c r="A57" s="97" t="s">
        <v>282</v>
      </c>
      <c r="B57" s="42" t="str">
        <f>IFERROR(_xlfn.XLOOKUP('5月份计划'!A57,[5]UNEA!$B:$B,[5]UNEA!$B:$B),IFERROR(_xlfn.XLOOKUP('5月份计划'!A57,[5]MRHK!$B:$B,[5]MRHK!$B:$B),IFERROR(_xlfn.XLOOKUP('5月份计划'!A57,[5]MRHB!$B:$B,[5]MRHB!$B:$B),IFERROR(_xlfn.XLOOKUP('5月份计划'!A57,[5]HA6H!$B:$B,[5]HA6H!$B:$B),IFERROR(_xlfn.XLOOKUP('5月份计划'!A57,[5]HA6H!$B:$B,[5]HA6H!$B:$B)," ")))))</f>
        <v> </v>
      </c>
      <c r="C57" s="98">
        <f>SUMIFS('5月份科目余额表'!O:O,'5月份科目余额表'!D:D,A57)</f>
        <v>193230</v>
      </c>
      <c r="E57" s="98">
        <f t="shared" si="0"/>
        <v>193230</v>
      </c>
      <c r="F57" s="99">
        <v>34578</v>
      </c>
      <c r="G57" s="99">
        <v>69156</v>
      </c>
      <c r="H57" s="99">
        <f>SUMIFS('5月份挂账'!Q:Q,'5月份挂账'!S:S,A57)-SUMIFS('5月份挂账'!P:P,'5月份挂账'!S:S,A57)</f>
        <v>34578</v>
      </c>
      <c r="I57" s="100">
        <f t="shared" si="1"/>
        <v>89496</v>
      </c>
      <c r="J57" s="99">
        <v>89496</v>
      </c>
      <c r="K57" s="99">
        <f t="shared" si="2"/>
        <v>103734</v>
      </c>
    </row>
    <row r="58" customHeight="1" spans="1:11">
      <c r="A58" s="97" t="s">
        <v>310</v>
      </c>
      <c r="B58" s="42" t="str">
        <f>IFERROR(_xlfn.XLOOKUP('5月份计划'!A58,[5]UNEA!$B:$B,[5]UNEA!$B:$B),IFERROR(_xlfn.XLOOKUP('5月份计划'!A58,[5]MRHK!$B:$B,[5]MRHK!$B:$B),IFERROR(_xlfn.XLOOKUP('5月份计划'!A58,[5]MRHB!$B:$B,[5]MRHB!$B:$B),IFERROR(_xlfn.XLOOKUP('5月份计划'!A58,[5]HA6H!$B:$B,[5]HA6H!$B:$B),IFERROR(_xlfn.XLOOKUP('5月份计划'!A58,[5]HA6H!$B:$B,[5]HA6H!$B:$B)," ")))))</f>
        <v> </v>
      </c>
      <c r="C58" s="98">
        <f>SUMIFS('5月份科目余额表'!O:O,'5月份科目余额表'!D:D,A58)</f>
        <v>44034.75</v>
      </c>
      <c r="E58" s="98">
        <f t="shared" si="0"/>
        <v>44034.75</v>
      </c>
      <c r="F58" s="99">
        <v>44034.75</v>
      </c>
      <c r="G58" s="99">
        <v>0</v>
      </c>
      <c r="H58" s="99">
        <f>SUMIFS('5月份挂账'!Q:Q,'5月份挂账'!S:S,A58)-SUMIFS('5月份挂账'!P:P,'5月份挂账'!S:S,A58)</f>
        <v>0</v>
      </c>
      <c r="I58" s="100">
        <f t="shared" si="1"/>
        <v>44034.75</v>
      </c>
      <c r="J58" s="99">
        <v>44034.75</v>
      </c>
      <c r="K58" s="99">
        <f t="shared" si="2"/>
        <v>0</v>
      </c>
    </row>
    <row r="59" customHeight="1" spans="1:11">
      <c r="A59" s="97" t="s">
        <v>311</v>
      </c>
      <c r="B59" s="42" t="str">
        <f>IFERROR(_xlfn.XLOOKUP('5月份计划'!A59,[5]UNEA!$B:$B,[5]UNEA!$B:$B),IFERROR(_xlfn.XLOOKUP('5月份计划'!A59,[5]MRHK!$B:$B,[5]MRHK!$B:$B),IFERROR(_xlfn.XLOOKUP('5月份计划'!A59,[5]MRHB!$B:$B,[5]MRHB!$B:$B),IFERROR(_xlfn.XLOOKUP('5月份计划'!A59,[5]HA6H!$B:$B,[5]HA6H!$B:$B),IFERROR(_xlfn.XLOOKUP('5月份计划'!A59,[5]HA6H!$B:$B,[5]HA6H!$B:$B)," ")))))</f>
        <v> </v>
      </c>
      <c r="C59" s="98">
        <f>SUMIFS('5月份科目余额表'!O:O,'5月份科目余额表'!D:D,A59)</f>
        <v>235401.6</v>
      </c>
      <c r="E59" s="98">
        <f t="shared" si="0"/>
        <v>235401.6</v>
      </c>
      <c r="F59" s="99">
        <v>0</v>
      </c>
      <c r="G59" s="99">
        <v>146583.6</v>
      </c>
      <c r="H59" s="99">
        <f>SUMIFS('5月份挂账'!Q:Q,'5月份挂账'!S:S,A59)-SUMIFS('5月份挂账'!P:P,'5月份挂账'!S:S,A59)</f>
        <v>88818</v>
      </c>
      <c r="I59" s="100">
        <f t="shared" si="1"/>
        <v>0</v>
      </c>
      <c r="J59" s="99"/>
      <c r="K59" s="99">
        <f t="shared" si="2"/>
        <v>235401.6</v>
      </c>
    </row>
    <row r="60" customHeight="1" spans="1:11">
      <c r="A60" s="97" t="s">
        <v>283</v>
      </c>
      <c r="B60" s="42" t="str">
        <f>IFERROR(_xlfn.XLOOKUP('5月份计划'!A60,[5]UNEA!$B:$B,[5]UNEA!$B:$B),IFERROR(_xlfn.XLOOKUP('5月份计划'!A60,[5]MRHK!$B:$B,[5]MRHK!$B:$B),IFERROR(_xlfn.XLOOKUP('5月份计划'!A60,[5]MRHB!$B:$B,[5]MRHB!$B:$B),IFERROR(_xlfn.XLOOKUP('5月份计划'!A60,[5]HA6H!$B:$B,[5]HA6H!$B:$B),IFERROR(_xlfn.XLOOKUP('5月份计划'!A60,[5]HA6H!$B:$B,[5]HA6H!$B:$B)," ")))))</f>
        <v> </v>
      </c>
      <c r="C60" s="98">
        <f>SUMIFS('5月份科目余额表'!O:O,'5月份科目余额表'!D:D,A60)</f>
        <v>33189.12</v>
      </c>
      <c r="E60" s="98">
        <f t="shared" si="0"/>
        <v>33189.12</v>
      </c>
      <c r="F60" s="99">
        <v>5763</v>
      </c>
      <c r="G60" s="99">
        <v>0</v>
      </c>
      <c r="H60" s="99">
        <f>SUMIFS('5月份挂账'!Q:Q,'5月份挂账'!S:S,A60)-SUMIFS('5月份挂账'!P:P,'5月份挂账'!S:S,A60)</f>
        <v>21663.12</v>
      </c>
      <c r="I60" s="100">
        <f t="shared" si="1"/>
        <v>11526</v>
      </c>
      <c r="J60" s="99">
        <v>11526</v>
      </c>
      <c r="K60" s="99">
        <f t="shared" si="2"/>
        <v>21663.12</v>
      </c>
    </row>
    <row r="61" customHeight="1" spans="1:11">
      <c r="A61" s="97" t="s">
        <v>312</v>
      </c>
      <c r="B61" s="42" t="str">
        <f>IFERROR(_xlfn.XLOOKUP('5月份计划'!A61,[5]UNEA!$B:$B,[5]UNEA!$B:$B),IFERROR(_xlfn.XLOOKUP('5月份计划'!A61,[5]MRHK!$B:$B,[5]MRHK!$B:$B),IFERROR(_xlfn.XLOOKUP('5月份计划'!A61,[5]MRHB!$B:$B,[5]MRHB!$B:$B),IFERROR(_xlfn.XLOOKUP('5月份计划'!A61,[5]HA6H!$B:$B,[5]HA6H!$B:$B),IFERROR(_xlfn.XLOOKUP('5月份计划'!A61,[5]HA6H!$B:$B,[5]HA6H!$B:$B)," ")))))</f>
        <v> </v>
      </c>
      <c r="C61" s="98">
        <f>SUMIFS('5月份科目余额表'!O:O,'5月份科目余额表'!D:D,A61)</f>
        <v>0</v>
      </c>
      <c r="E61" s="98">
        <f t="shared" si="0"/>
        <v>0</v>
      </c>
      <c r="F61" s="99">
        <v>0</v>
      </c>
      <c r="G61" s="99">
        <v>0</v>
      </c>
      <c r="H61" s="99">
        <f>SUMIFS('5月份挂账'!Q:Q,'5月份挂账'!S:S,A61)-SUMIFS('5月份挂账'!P:P,'5月份挂账'!S:S,A61)</f>
        <v>5705.37</v>
      </c>
      <c r="I61" s="100">
        <f t="shared" si="1"/>
        <v>0</v>
      </c>
      <c r="J61" s="99"/>
      <c r="K61" s="99">
        <f t="shared" si="2"/>
        <v>0</v>
      </c>
    </row>
    <row r="62" customHeight="1" spans="1:11">
      <c r="A62" s="97" t="s">
        <v>313</v>
      </c>
      <c r="B62" s="42" t="str">
        <f>IFERROR(_xlfn.XLOOKUP('5月份计划'!A62,[5]UNEA!$B:$B,[5]UNEA!$B:$B),IFERROR(_xlfn.XLOOKUP('5月份计划'!A62,[5]MRHK!$B:$B,[5]MRHK!$B:$B),IFERROR(_xlfn.XLOOKUP('5月份计划'!A62,[5]MRHB!$B:$B,[5]MRHB!$B:$B),IFERROR(_xlfn.XLOOKUP('5月份计划'!A62,[5]HA6H!$B:$B,[5]HA6H!$B:$B),IFERROR(_xlfn.XLOOKUP('5月份计划'!A62,[5]HA6H!$B:$B,[5]HA6H!$B:$B)," ")))))</f>
        <v> </v>
      </c>
      <c r="C62" s="98">
        <f>SUMIFS('5月份科目余额表'!O:O,'5月份科目余额表'!D:D,A62)</f>
        <v>6644.4</v>
      </c>
      <c r="E62" s="98">
        <f t="shared" si="0"/>
        <v>6644.4</v>
      </c>
      <c r="F62" s="99">
        <v>0</v>
      </c>
      <c r="G62" s="99">
        <v>0</v>
      </c>
      <c r="H62" s="99">
        <f>SUMIFS('5月份挂账'!Q:Q,'5月份挂账'!S:S,A62)-SUMIFS('5月份挂账'!P:P,'5月份挂账'!S:S,A62)</f>
        <v>0</v>
      </c>
      <c r="I62" s="100">
        <f t="shared" si="1"/>
        <v>6644.4</v>
      </c>
      <c r="J62" s="99">
        <v>6644</v>
      </c>
      <c r="K62" s="99">
        <f t="shared" si="2"/>
        <v>0.399999999999636</v>
      </c>
    </row>
    <row r="63" customHeight="1" spans="1:11">
      <c r="A63" s="97" t="s">
        <v>284</v>
      </c>
      <c r="B63" s="42" t="str">
        <f>IFERROR(_xlfn.XLOOKUP('5月份计划'!A63,[5]UNEA!$B:$B,[5]UNEA!$B:$B),IFERROR(_xlfn.XLOOKUP('5月份计划'!A63,[5]MRHK!$B:$B,[5]MRHK!$B:$B),IFERROR(_xlfn.XLOOKUP('5月份计划'!A63,[5]MRHB!$B:$B,[5]MRHB!$B:$B),IFERROR(_xlfn.XLOOKUP('5月份计划'!A63,[5]HA6H!$B:$B,[5]HA6H!$B:$B),IFERROR(_xlfn.XLOOKUP('5月份计划'!A63,[5]HA6H!$B:$B,[5]HA6H!$B:$B)," ")))))</f>
        <v> </v>
      </c>
      <c r="C63" s="98">
        <f>SUMIFS('5月份科目余额表'!O:O,'5月份科目余额表'!D:D,A63)</f>
        <v>176017</v>
      </c>
      <c r="E63" s="98">
        <f t="shared" si="0"/>
        <v>176017</v>
      </c>
      <c r="F63" s="99">
        <v>27403.71</v>
      </c>
      <c r="G63" s="99">
        <v>37957.29</v>
      </c>
      <c r="H63" s="99">
        <f>SUMIFS('5月份挂账'!Q:Q,'5月份挂账'!S:S,A63)-SUMIFS('5月份挂账'!P:P,'5月份挂账'!S:S,A63)</f>
        <v>22399.84</v>
      </c>
      <c r="I63" s="100">
        <f t="shared" si="1"/>
        <v>115659.87</v>
      </c>
      <c r="J63" s="99">
        <v>100000</v>
      </c>
      <c r="K63" s="99">
        <f t="shared" si="2"/>
        <v>76017</v>
      </c>
    </row>
    <row r="64" customHeight="1" spans="1:11">
      <c r="A64" s="97" t="s">
        <v>285</v>
      </c>
      <c r="B64" s="42" t="str">
        <f>IFERROR(_xlfn.XLOOKUP('5月份计划'!A64,[5]UNEA!$B:$B,[5]UNEA!$B:$B),IFERROR(_xlfn.XLOOKUP('5月份计划'!A64,[5]MRHK!$B:$B,[5]MRHK!$B:$B),IFERROR(_xlfn.XLOOKUP('5月份计划'!A64,[5]MRHB!$B:$B,[5]MRHB!$B:$B),IFERROR(_xlfn.XLOOKUP('5月份计划'!A64,[5]HA6H!$B:$B,[5]HA6H!$B:$B),IFERROR(_xlfn.XLOOKUP('5月份计划'!A64,[5]HA6H!$B:$B,[5]HA6H!$B:$B)," ")))))</f>
        <v> </v>
      </c>
      <c r="C64" s="98">
        <f>SUMIFS('5月份科目余额表'!O:O,'5月份科目余额表'!D:D,A64)</f>
        <v>146568.91</v>
      </c>
      <c r="E64" s="98">
        <f t="shared" si="0"/>
        <v>146568.91</v>
      </c>
      <c r="F64" s="99">
        <v>7503.2</v>
      </c>
      <c r="G64" s="99">
        <v>70601.27</v>
      </c>
      <c r="H64" s="99">
        <f>SUMIFS('5月份挂账'!Q:Q,'5月份挂账'!S:S,A64)-SUMIFS('5月份挂账'!P:P,'5月份挂账'!S:S,A64)</f>
        <v>0</v>
      </c>
      <c r="I64" s="100">
        <f t="shared" si="1"/>
        <v>75967.64</v>
      </c>
      <c r="J64" s="99">
        <v>70000</v>
      </c>
      <c r="K64" s="99">
        <f t="shared" si="2"/>
        <v>76568.91</v>
      </c>
    </row>
    <row r="65" customHeight="1" spans="1:11">
      <c r="A65" s="97" t="s">
        <v>314</v>
      </c>
      <c r="B65" s="42" t="str">
        <f>IFERROR(_xlfn.XLOOKUP('5月份计划'!A65,[5]UNEA!$B:$B,[5]UNEA!$B:$B),IFERROR(_xlfn.XLOOKUP('5月份计划'!A65,[5]MRHK!$B:$B,[5]MRHK!$B:$B),IFERROR(_xlfn.XLOOKUP('5月份计划'!A65,[5]MRHB!$B:$B,[5]MRHB!$B:$B),IFERROR(_xlfn.XLOOKUP('5月份计划'!A65,[5]HA6H!$B:$B,[5]HA6H!$B:$B),IFERROR(_xlfn.XLOOKUP('5月份计划'!A65,[5]HA6H!$B:$B,[5]HA6H!$B:$B)," ")))))</f>
        <v> </v>
      </c>
      <c r="C65" s="98">
        <f>SUMIFS('5月份科目余额表'!O:O,'5月份科目余额表'!D:D,A65)</f>
        <v>121213.18</v>
      </c>
      <c r="E65" s="98">
        <f t="shared" si="0"/>
        <v>121213.18</v>
      </c>
      <c r="F65" s="99">
        <v>0</v>
      </c>
      <c r="G65" s="99">
        <v>38159.7</v>
      </c>
      <c r="H65" s="99">
        <f>SUMIFS('5月份挂账'!Q:Q,'5月份挂账'!S:S,A65)-SUMIFS('5月份挂账'!P:P,'5月份挂账'!S:S,A65)</f>
        <v>60606.59</v>
      </c>
      <c r="I65" s="100">
        <f t="shared" si="1"/>
        <v>22446.89</v>
      </c>
      <c r="J65" s="99">
        <v>22446.89</v>
      </c>
      <c r="K65" s="99">
        <f t="shared" si="2"/>
        <v>98766.29</v>
      </c>
    </row>
    <row r="66" customHeight="1" spans="1:11">
      <c r="A66" s="97" t="s">
        <v>380</v>
      </c>
      <c r="B66" s="42" t="str">
        <f>IFERROR(_xlfn.XLOOKUP('5月份计划'!A66,[5]UNEA!$B:$B,[5]UNEA!$B:$B),IFERROR(_xlfn.XLOOKUP('5月份计划'!A66,[5]MRHK!$B:$B,[5]MRHK!$B:$B),IFERROR(_xlfn.XLOOKUP('5月份计划'!A66,[5]MRHB!$B:$B,[5]MRHB!$B:$B),IFERROR(_xlfn.XLOOKUP('5月份计划'!A66,[5]HA6H!$B:$B,[5]HA6H!$B:$B),IFERROR(_xlfn.XLOOKUP('5月份计划'!A66,[5]HA6H!$B:$B,[5]HA6H!$B:$B)," ")))))</f>
        <v> </v>
      </c>
      <c r="C66" s="98">
        <f>SUMIFS('5月份科目余额表'!O:O,'5月份科目余额表'!D:D,A66)</f>
        <v>0</v>
      </c>
      <c r="E66" s="98">
        <f t="shared" si="0"/>
        <v>0</v>
      </c>
      <c r="F66" s="99">
        <v>0</v>
      </c>
      <c r="G66" s="99">
        <v>0</v>
      </c>
      <c r="H66" s="99">
        <f>SUMIFS('5月份挂账'!Q:Q,'5月份挂账'!S:S,A66)-SUMIFS('5月份挂账'!P:P,'5月份挂账'!S:S,A66)</f>
        <v>0</v>
      </c>
      <c r="I66" s="100">
        <f t="shared" si="1"/>
        <v>0</v>
      </c>
      <c r="J66" s="99"/>
      <c r="K66" s="99">
        <f t="shared" si="2"/>
        <v>0</v>
      </c>
    </row>
    <row r="67" customHeight="1" spans="1:11">
      <c r="A67" s="97" t="s">
        <v>315</v>
      </c>
      <c r="B67" s="42" t="str">
        <f>IFERROR(_xlfn.XLOOKUP('5月份计划'!A67,[5]UNEA!$B:$B,[5]UNEA!$B:$B),IFERROR(_xlfn.XLOOKUP('5月份计划'!A67,[5]MRHK!$B:$B,[5]MRHK!$B:$B),IFERROR(_xlfn.XLOOKUP('5月份计划'!A67,[5]MRHB!$B:$B,[5]MRHB!$B:$B),IFERROR(_xlfn.XLOOKUP('5月份计划'!A67,[5]HA6H!$B:$B,[5]HA6H!$B:$B),IFERROR(_xlfn.XLOOKUP('5月份计划'!A67,[5]HA6H!$B:$B,[5]HA6H!$B:$B)," ")))))</f>
        <v> </v>
      </c>
      <c r="C67" s="98">
        <f>SUMIFS('5月份科目余额表'!O:O,'5月份科目余额表'!D:D,A67)</f>
        <v>14543.1</v>
      </c>
      <c r="E67" s="98">
        <f t="shared" ref="E67:E79" si="3">C67-D67</f>
        <v>14543.1</v>
      </c>
      <c r="F67" s="99">
        <v>0</v>
      </c>
      <c r="G67" s="99">
        <v>14543.1</v>
      </c>
      <c r="H67" s="99">
        <f>SUMIFS('5月份挂账'!Q:Q,'5月份挂账'!S:S,A67)-SUMIFS('5月份挂账'!P:P,'5月份挂账'!S:S,A67)</f>
        <v>0</v>
      </c>
      <c r="I67" s="100">
        <f t="shared" ref="I67:I79" si="4">IF(E67-H67-G67&gt;0,E67-H67-G67,0)</f>
        <v>0</v>
      </c>
      <c r="J67" s="99"/>
      <c r="K67" s="99">
        <f t="shared" ref="K67:K79" si="5">C67-D67-J67</f>
        <v>14543.1</v>
      </c>
    </row>
    <row r="68" customHeight="1" spans="1:11">
      <c r="A68" s="97" t="s">
        <v>316</v>
      </c>
      <c r="B68" s="42" t="str">
        <f>IFERROR(_xlfn.XLOOKUP('5月份计划'!A68,[5]UNEA!$B:$B,[5]UNEA!$B:$B),IFERROR(_xlfn.XLOOKUP('5月份计划'!A68,[5]MRHK!$B:$B,[5]MRHK!$B:$B),IFERROR(_xlfn.XLOOKUP('5月份计划'!A68,[5]MRHB!$B:$B,[5]MRHB!$B:$B),IFERROR(_xlfn.XLOOKUP('5月份计划'!A68,[5]HA6H!$B:$B,[5]HA6H!$B:$B),IFERROR(_xlfn.XLOOKUP('5月份计划'!A68,[5]HA6H!$B:$B,[5]HA6H!$B:$B)," ")))))</f>
        <v>无锡中天汽车部件有限公司</v>
      </c>
      <c r="C68" s="98">
        <f>SUMIFS('5月份科目余额表'!O:O,'5月份科目余额表'!D:D,A68)</f>
        <v>21022.78</v>
      </c>
      <c r="E68" s="98">
        <f t="shared" si="3"/>
        <v>21022.78</v>
      </c>
      <c r="F68" s="99">
        <v>13262.36</v>
      </c>
      <c r="G68" s="99">
        <v>0</v>
      </c>
      <c r="H68" s="99">
        <f>SUMIFS('5月份挂账'!Q:Q,'5月份挂账'!S:S,A68)-SUMIFS('5月份挂账'!P:P,'5月份挂账'!S:S,A68)</f>
        <v>0</v>
      </c>
      <c r="I68" s="100">
        <f t="shared" si="4"/>
        <v>21022.78</v>
      </c>
      <c r="J68" s="99">
        <v>21022.78</v>
      </c>
      <c r="K68" s="99">
        <f t="shared" si="5"/>
        <v>0</v>
      </c>
    </row>
    <row r="69" customHeight="1" spans="1:11">
      <c r="A69" s="97" t="s">
        <v>317</v>
      </c>
      <c r="B69" s="42" t="str">
        <f>IFERROR(_xlfn.XLOOKUP('5月份计划'!A69,[5]UNEA!$B:$B,[5]UNEA!$B:$B),IFERROR(_xlfn.XLOOKUP('5月份计划'!A69,[5]MRHK!$B:$B,[5]MRHK!$B:$B),IFERROR(_xlfn.XLOOKUP('5月份计划'!A69,[5]MRHB!$B:$B,[5]MRHB!$B:$B),IFERROR(_xlfn.XLOOKUP('5月份计划'!A69,[5]HA6H!$B:$B,[5]HA6H!$B:$B),IFERROR(_xlfn.XLOOKUP('5月份计划'!A69,[5]HA6H!$B:$B,[5]HA6H!$B:$B)," ")))))</f>
        <v>天津力登维汽车部件有限公司</v>
      </c>
      <c r="C69" s="98">
        <f>SUMIFS('5月份科目余额表'!O:O,'5月份科目余额表'!D:D,A69)</f>
        <v>260839.9</v>
      </c>
      <c r="E69" s="98">
        <f t="shared" si="3"/>
        <v>260839.9</v>
      </c>
      <c r="F69" s="99">
        <v>106878.23</v>
      </c>
      <c r="G69" s="99">
        <v>21198.8</v>
      </c>
      <c r="H69" s="99">
        <f>SUMIFS('5月份挂账'!Q:Q,'5月份挂账'!S:S,A69)-SUMIFS('5月份挂账'!P:P,'5月份挂账'!S:S,A69)</f>
        <v>19855.18</v>
      </c>
      <c r="I69" s="100">
        <f t="shared" si="4"/>
        <v>219785.92</v>
      </c>
      <c r="J69" s="99">
        <v>219785.92</v>
      </c>
      <c r="K69" s="99">
        <f t="shared" si="5"/>
        <v>41053.98</v>
      </c>
    </row>
    <row r="70" s="42" customFormat="1" customHeight="1" spans="1:25">
      <c r="A70" s="97" t="s">
        <v>318</v>
      </c>
      <c r="B70" s="42" t="str">
        <f>IFERROR(_xlfn.XLOOKUP('5月份计划'!A70,[5]UNEA!$B:$B,[5]UNEA!$B:$B),IFERROR(_xlfn.XLOOKUP('5月份计划'!A70,[5]MRHK!$B:$B,[5]MRHK!$B:$B),IFERROR(_xlfn.XLOOKUP('5月份计划'!A70,[5]MRHB!$B:$B,[5]MRHB!$B:$B),IFERROR(_xlfn.XLOOKUP('5月份计划'!A70,[5]HA6H!$B:$B,[5]HA6H!$B:$B),IFERROR(_xlfn.XLOOKUP('5月份计划'!A70,[5]HA6H!$B:$B,[5]HA6H!$B:$B)," ")))))</f>
        <v> </v>
      </c>
      <c r="C70" s="98">
        <f>SUMIFS('5月份科目余额表'!O:O,'5月份科目余额表'!D:D,A70)</f>
        <v>383148.73</v>
      </c>
      <c r="D70" s="98"/>
      <c r="E70" s="98">
        <f t="shared" si="3"/>
        <v>383148.73</v>
      </c>
      <c r="F70" s="99">
        <v>23061.04</v>
      </c>
      <c r="G70" s="99">
        <v>237747.11</v>
      </c>
      <c r="H70" s="99">
        <f>SUMIFS('5月份挂账'!Q:Q,'5月份挂账'!S:S,A70)-SUMIFS('5月份挂账'!P:P,'5月份挂账'!S:S,A70)</f>
        <v>145401.62</v>
      </c>
      <c r="I70" s="100">
        <f t="shared" si="4"/>
        <v>0</v>
      </c>
      <c r="J70" s="99">
        <v>23061.04</v>
      </c>
      <c r="K70" s="99">
        <f t="shared" si="5"/>
        <v>360087.69</v>
      </c>
      <c r="L70" s="42" t="s">
        <v>379</v>
      </c>
      <c r="S70" s="102"/>
      <c r="Y70" s="102"/>
    </row>
    <row r="71" customHeight="1" spans="1:11">
      <c r="A71" s="97" t="s">
        <v>319</v>
      </c>
      <c r="B71" s="42" t="str">
        <f>IFERROR(_xlfn.XLOOKUP('5月份计划'!A71,[5]UNEA!$B:$B,[5]UNEA!$B:$B),IFERROR(_xlfn.XLOOKUP('5月份计划'!A71,[5]MRHK!$B:$B,[5]MRHK!$B:$B),IFERROR(_xlfn.XLOOKUP('5月份计划'!A71,[5]MRHB!$B:$B,[5]MRHB!$B:$B),IFERROR(_xlfn.XLOOKUP('5月份计划'!A71,[5]HA6H!$B:$B,[5]HA6H!$B:$B),IFERROR(_xlfn.XLOOKUP('5月份计划'!A71,[5]HA6H!$B:$B,[5]HA6H!$B:$B)," ")))))</f>
        <v> </v>
      </c>
      <c r="C71" s="98">
        <f>SUMIFS('5月份科目余额表'!O:O,'5月份科目余额表'!D:D,A71)</f>
        <v>5720.63</v>
      </c>
      <c r="E71" s="98">
        <f t="shared" si="3"/>
        <v>5720.63</v>
      </c>
      <c r="F71" s="99">
        <v>0</v>
      </c>
      <c r="G71" s="99">
        <v>0</v>
      </c>
      <c r="H71" s="99">
        <f>SUMIFS('5月份挂账'!Q:Q,'5月份挂账'!S:S,A71)-SUMIFS('5月份挂账'!P:P,'5月份挂账'!S:S,A71)</f>
        <v>0</v>
      </c>
      <c r="I71" s="100">
        <f t="shared" si="4"/>
        <v>5720.63</v>
      </c>
      <c r="J71" s="99">
        <v>5720.63</v>
      </c>
      <c r="K71" s="99">
        <f t="shared" si="5"/>
        <v>0</v>
      </c>
    </row>
    <row r="72" customHeight="1" spans="1:11">
      <c r="A72" s="97" t="s">
        <v>286</v>
      </c>
      <c r="B72" s="42" t="str">
        <f>IFERROR(_xlfn.XLOOKUP('5月份计划'!A72,[5]UNEA!$B:$B,[5]UNEA!$B:$B),IFERROR(_xlfn.XLOOKUP('5月份计划'!A72,[5]MRHK!$B:$B,[5]MRHK!$B:$B),IFERROR(_xlfn.XLOOKUP('5月份计划'!A72,[5]MRHB!$B:$B,[5]MRHB!$B:$B),IFERROR(_xlfn.XLOOKUP('5月份计划'!A72,[5]HA6H!$B:$B,[5]HA6H!$B:$B),IFERROR(_xlfn.XLOOKUP('5月份计划'!A72,[5]HA6H!$B:$B,[5]HA6H!$B:$B)," ")))))</f>
        <v> </v>
      </c>
      <c r="C72" s="98">
        <f>SUMIFS('5月份科目余额表'!O:O,'5月份科目余额表'!D:D,A72)</f>
        <v>105580.99</v>
      </c>
      <c r="E72" s="98">
        <f t="shared" si="3"/>
        <v>105580.99</v>
      </c>
      <c r="F72" s="99">
        <v>65445.65</v>
      </c>
      <c r="G72" s="99">
        <v>0</v>
      </c>
      <c r="H72" s="99">
        <f>SUMIFS('5月份挂账'!Q:Q,'5月份挂账'!S:S,A72)-SUMIFS('5月份挂账'!P:P,'5月份挂账'!S:S,A72)</f>
        <v>0</v>
      </c>
      <c r="I72" s="100">
        <f t="shared" si="4"/>
        <v>105580.99</v>
      </c>
      <c r="J72" s="99">
        <v>105580.99</v>
      </c>
      <c r="K72" s="99">
        <f t="shared" si="5"/>
        <v>0</v>
      </c>
    </row>
    <row r="73" customHeight="1" spans="1:11">
      <c r="A73" s="97" t="s">
        <v>287</v>
      </c>
      <c r="B73" s="42" t="str">
        <f>IFERROR(_xlfn.XLOOKUP('5月份计划'!A73,[5]UNEA!$B:$B,[5]UNEA!$B:$B),IFERROR(_xlfn.XLOOKUP('5月份计划'!A73,[5]MRHK!$B:$B,[5]MRHK!$B:$B),IFERROR(_xlfn.XLOOKUP('5月份计划'!A73,[5]MRHB!$B:$B,[5]MRHB!$B:$B),IFERROR(_xlfn.XLOOKUP('5月份计划'!A73,[5]HA6H!$B:$B,[5]HA6H!$B:$B),IFERROR(_xlfn.XLOOKUP('5月份计划'!A73,[5]HA6H!$B:$B,[5]HA6H!$B:$B)," ")))))</f>
        <v>广州自强汽车零部件有限公司</v>
      </c>
      <c r="C73" s="98">
        <f>SUMIFS('5月份科目余额表'!O:O,'5月份科目余额表'!D:D,A73)</f>
        <v>55019.85</v>
      </c>
      <c r="E73" s="98">
        <f t="shared" si="3"/>
        <v>55019.85</v>
      </c>
      <c r="F73" s="99">
        <v>0</v>
      </c>
      <c r="G73" s="99">
        <v>0</v>
      </c>
      <c r="H73" s="99">
        <f>SUMIFS('5月份挂账'!Q:Q,'5月份挂账'!S:S,A73)-SUMIFS('5月份挂账'!P:P,'5月份挂账'!S:S,A73)</f>
        <v>0</v>
      </c>
      <c r="I73" s="100">
        <f t="shared" si="4"/>
        <v>55019.85</v>
      </c>
      <c r="J73" s="99">
        <v>55019.85</v>
      </c>
      <c r="K73" s="99">
        <f t="shared" si="5"/>
        <v>0</v>
      </c>
    </row>
    <row r="74" customHeight="1" spans="1:11">
      <c r="A74" s="97" t="s">
        <v>288</v>
      </c>
      <c r="B74" s="42" t="str">
        <f>IFERROR(_xlfn.XLOOKUP('5月份计划'!A74,[5]UNEA!$B:$B,[5]UNEA!$B:$B),IFERROR(_xlfn.XLOOKUP('5月份计划'!A74,[5]MRHK!$B:$B,[5]MRHK!$B:$B),IFERROR(_xlfn.XLOOKUP('5月份计划'!A74,[5]MRHB!$B:$B,[5]MRHB!$B:$B),IFERROR(_xlfn.XLOOKUP('5月份计划'!A74,[5]HA6H!$B:$B,[5]HA6H!$B:$B),IFERROR(_xlfn.XLOOKUP('5月份计划'!A74,[5]HA6H!$B:$B,[5]HA6H!$B:$B)," ")))))</f>
        <v> </v>
      </c>
      <c r="C74" s="98">
        <f>SUMIFS('5月份科目余额表'!O:O,'5月份科目余额表'!D:D,A74)</f>
        <v>70125.44</v>
      </c>
      <c r="E74" s="98">
        <f t="shared" si="3"/>
        <v>70125.44</v>
      </c>
      <c r="F74" s="99">
        <v>11460.46</v>
      </c>
      <c r="G74" s="99">
        <v>0</v>
      </c>
      <c r="H74" s="99">
        <f>SUMIFS('5月份挂账'!Q:Q,'5月份挂账'!S:S,A74)-SUMIFS('5月份挂账'!P:P,'5月份挂账'!S:S,A74)</f>
        <v>30494.08</v>
      </c>
      <c r="I74" s="100">
        <f t="shared" si="4"/>
        <v>39631.36</v>
      </c>
      <c r="J74" s="99">
        <v>39631.36</v>
      </c>
      <c r="K74" s="99">
        <f t="shared" si="5"/>
        <v>30494.08</v>
      </c>
    </row>
    <row r="75" customHeight="1" spans="1:11">
      <c r="A75" s="97" t="s">
        <v>289</v>
      </c>
      <c r="B75" s="42" t="str">
        <f>IFERROR(_xlfn.XLOOKUP('5月份计划'!A75,[5]UNEA!$B:$B,[5]UNEA!$B:$B),IFERROR(_xlfn.XLOOKUP('5月份计划'!A75,[5]MRHK!$B:$B,[5]MRHK!$B:$B),IFERROR(_xlfn.XLOOKUP('5月份计划'!A75,[5]MRHB!$B:$B,[5]MRHB!$B:$B),IFERROR(_xlfn.XLOOKUP('5月份计划'!A75,[5]HA6H!$B:$B,[5]HA6H!$B:$B),IFERROR(_xlfn.XLOOKUP('5月份计划'!A75,[5]HA6H!$B:$B,[5]HA6H!$B:$B)," ")))))</f>
        <v> </v>
      </c>
      <c r="C75" s="98">
        <f>SUMIFS('5月份科目余额表'!O:O,'5月份科目余额表'!D:D,A75)</f>
        <v>7739.9</v>
      </c>
      <c r="E75" s="98">
        <f t="shared" si="3"/>
        <v>7739.9</v>
      </c>
      <c r="F75" s="99">
        <v>3670.46</v>
      </c>
      <c r="G75" s="99">
        <v>0</v>
      </c>
      <c r="H75" s="99">
        <f>SUMIFS('5月份挂账'!Q:Q,'5月份挂账'!S:S,A75)-SUMIFS('5月份挂账'!P:P,'5月份挂账'!S:S,A75)</f>
        <v>0</v>
      </c>
      <c r="I75" s="100">
        <f t="shared" si="4"/>
        <v>7739.9</v>
      </c>
      <c r="J75" s="99"/>
      <c r="K75" s="99">
        <f t="shared" si="5"/>
        <v>7739.9</v>
      </c>
    </row>
    <row r="76" customHeight="1" spans="1:11">
      <c r="A76" s="97" t="s">
        <v>320</v>
      </c>
      <c r="B76" s="42" t="str">
        <f>IFERROR(_xlfn.XLOOKUP('5月份计划'!A76,[5]UNEA!$B:$B,[5]UNEA!$B:$B),IFERROR(_xlfn.XLOOKUP('5月份计划'!A76,[5]MRHK!$B:$B,[5]MRHK!$B:$B),IFERROR(_xlfn.XLOOKUP('5月份计划'!A76,[5]MRHB!$B:$B,[5]MRHB!$B:$B),IFERROR(_xlfn.XLOOKUP('5月份计划'!A76,[5]HA6H!$B:$B,[5]HA6H!$B:$B),IFERROR(_xlfn.XLOOKUP('5月份计划'!A76,[5]HA6H!$B:$B,[5]HA6H!$B:$B)," ")))))</f>
        <v>武汉凯密科汽车零部件有限公司</v>
      </c>
      <c r="C76" s="98">
        <f>SUMIFS('5月份科目余额表'!O:O,'5月份科目余额表'!D:D,A76)</f>
        <v>80896.14</v>
      </c>
      <c r="E76" s="98">
        <f t="shared" si="3"/>
        <v>80896.14</v>
      </c>
      <c r="F76" s="99">
        <v>76877.75</v>
      </c>
      <c r="G76" s="99">
        <v>0</v>
      </c>
      <c r="H76" s="99">
        <f>SUMIFS('5月份挂账'!Q:Q,'5月份挂账'!S:S,A76)-SUMIFS('5月份挂账'!P:P,'5月份挂账'!S:S,A76)</f>
        <v>4018.39</v>
      </c>
      <c r="I76" s="100">
        <f t="shared" si="4"/>
        <v>76877.75</v>
      </c>
      <c r="J76" s="99">
        <v>76877.75</v>
      </c>
      <c r="K76" s="99">
        <f t="shared" si="5"/>
        <v>4018.39</v>
      </c>
    </row>
    <row r="77" customHeight="1" spans="1:11">
      <c r="A77" s="97" t="s">
        <v>321</v>
      </c>
      <c r="B77" s="42" t="str">
        <f>IFERROR(_xlfn.XLOOKUP('5月份计划'!A77,[5]UNEA!$B:$B,[5]UNEA!$B:$B),IFERROR(_xlfn.XLOOKUP('5月份计划'!A77,[5]MRHK!$B:$B,[5]MRHK!$B:$B),IFERROR(_xlfn.XLOOKUP('5月份计划'!A77,[5]MRHB!$B:$B,[5]MRHB!$B:$B),IFERROR(_xlfn.XLOOKUP('5月份计划'!A77,[5]HA6H!$B:$B,[5]HA6H!$B:$B),IFERROR(_xlfn.XLOOKUP('5月份计划'!A77,[5]HA6H!$B:$B,[5]HA6H!$B:$B)," ")))))</f>
        <v> </v>
      </c>
      <c r="C77" s="98">
        <f>SUMIFS('5月份科目余额表'!O:O,'5月份科目余额表'!D:D,A77)</f>
        <v>3497.49</v>
      </c>
      <c r="E77" s="98">
        <f t="shared" si="3"/>
        <v>3497.49</v>
      </c>
      <c r="F77" s="99">
        <v>2623.12</v>
      </c>
      <c r="G77" s="99">
        <v>874.37</v>
      </c>
      <c r="H77" s="99">
        <f>SUMIFS('5月份挂账'!Q:Q,'5月份挂账'!S:S,A77)-SUMIFS('5月份挂账'!P:P,'5月份挂账'!S:S,A77)</f>
        <v>0</v>
      </c>
      <c r="I77" s="100">
        <f t="shared" si="4"/>
        <v>2623.12</v>
      </c>
      <c r="J77" s="99">
        <v>2623.12</v>
      </c>
      <c r="K77" s="99">
        <f t="shared" si="5"/>
        <v>874.37</v>
      </c>
    </row>
    <row r="78" customHeight="1" spans="1:11">
      <c r="A78" s="97" t="s">
        <v>290</v>
      </c>
      <c r="B78" s="42" t="str">
        <f>IFERROR(_xlfn.XLOOKUP('5月份计划'!A78,[5]UNEA!$B:$B,[5]UNEA!$B:$B),IFERROR(_xlfn.XLOOKUP('5月份计划'!A78,[5]MRHK!$B:$B,[5]MRHK!$B:$B),IFERROR(_xlfn.XLOOKUP('5月份计划'!A78,[5]MRHB!$B:$B,[5]MRHB!$B:$B),IFERROR(_xlfn.XLOOKUP('5月份计划'!A78,[5]HA6H!$B:$B,[5]HA6H!$B:$B),IFERROR(_xlfn.XLOOKUP('5月份计划'!A78,[5]HA6H!$B:$B,[5]HA6H!$B:$B)," ")))))</f>
        <v>江阴同威科技有限公司</v>
      </c>
      <c r="C78" s="98">
        <f>SUMIFS('5月份科目余额表'!O:O,'5月份科目余额表'!D:D,A78)</f>
        <v>83379.29</v>
      </c>
      <c r="E78" s="98">
        <f t="shared" si="3"/>
        <v>83379.29</v>
      </c>
      <c r="F78" s="99">
        <v>11270.6</v>
      </c>
      <c r="G78" s="99">
        <v>26506.41</v>
      </c>
      <c r="H78" s="99">
        <f>SUMIFS('5月份挂账'!Q:Q,'5月份挂账'!S:S,A78)-SUMIFS('5月份挂账'!P:P,'5月份挂账'!S:S,A78)</f>
        <v>45602.28</v>
      </c>
      <c r="I78" s="100">
        <f t="shared" si="4"/>
        <v>11270.6</v>
      </c>
      <c r="J78" s="99">
        <v>11270.6</v>
      </c>
      <c r="K78" s="99">
        <f t="shared" si="5"/>
        <v>72108.69</v>
      </c>
    </row>
    <row r="79" customHeight="1" spans="1:11">
      <c r="A79" s="97" t="s">
        <v>291</v>
      </c>
      <c r="B79" s="42" t="str">
        <f>IFERROR(_xlfn.XLOOKUP('5月份计划'!A79,[5]UNEA!$B:$B,[5]UNEA!$B:$B),IFERROR(_xlfn.XLOOKUP('5月份计划'!A79,[5]MRHK!$B:$B,[5]MRHK!$B:$B),IFERROR(_xlfn.XLOOKUP('5月份计划'!A79,[5]MRHB!$B:$B,[5]MRHB!$B:$B),IFERROR(_xlfn.XLOOKUP('5月份计划'!A79,[5]HA6H!$B:$B,[5]HA6H!$B:$B),IFERROR(_xlfn.XLOOKUP('5月份计划'!A79,[5]HA6H!$B:$B,[5]HA6H!$B:$B)," ")))))</f>
        <v>深圳市新和荣无纺布有限公司</v>
      </c>
      <c r="C79" s="98">
        <f>SUMIFS('5月份科目余额表'!O:O,'5月份科目余额表'!D:D,A79)</f>
        <v>74313.84</v>
      </c>
      <c r="E79" s="98">
        <f t="shared" si="3"/>
        <v>74313.84</v>
      </c>
      <c r="G79" s="99">
        <v>72279.84</v>
      </c>
      <c r="H79" s="99">
        <f>SUMIFS('5月份挂账'!Q:Q,'5月份挂账'!S:S,A79)-SUMIFS('5月份挂账'!P:P,'5月份挂账'!S:S,A79)</f>
        <v>2034</v>
      </c>
      <c r="I79" s="100">
        <f t="shared" si="4"/>
        <v>0</v>
      </c>
      <c r="J79" s="99"/>
      <c r="K79" s="99">
        <f t="shared" si="5"/>
        <v>74313.84</v>
      </c>
    </row>
    <row r="80" customHeight="1" spans="1:15">
      <c r="A80" s="97" t="s">
        <v>332</v>
      </c>
      <c r="O80" s="119">
        <v>700000</v>
      </c>
    </row>
    <row r="81" customHeight="1" spans="1:17">
      <c r="A81" s="97" t="s">
        <v>29</v>
      </c>
      <c r="C81" s="87">
        <f t="shared" ref="C81:J81" si="6">SUM(C3:C80)</f>
        <v>24398751.25</v>
      </c>
      <c r="D81" s="87">
        <f t="shared" si="6"/>
        <v>100000</v>
      </c>
      <c r="E81" s="87">
        <f t="shared" si="6"/>
        <v>24298751.25</v>
      </c>
      <c r="F81" s="87">
        <f t="shared" si="6"/>
        <v>6018303.85</v>
      </c>
      <c r="G81" s="87">
        <f t="shared" si="6"/>
        <v>9725463.93999999</v>
      </c>
      <c r="H81" s="87">
        <f t="shared" si="6"/>
        <v>8405118.22</v>
      </c>
      <c r="I81" s="87">
        <f t="shared" si="6"/>
        <v>7115273.86</v>
      </c>
      <c r="J81" s="87">
        <f t="shared" si="6"/>
        <v>9729454.53</v>
      </c>
      <c r="K81" s="87"/>
      <c r="L81" s="87"/>
      <c r="M81" s="87">
        <f>SUM(M3:M80)</f>
        <v>5005234</v>
      </c>
      <c r="N81" s="87">
        <f>SUM(N3:N80)</f>
        <v>1800000</v>
      </c>
      <c r="O81" s="87">
        <f>SUM(O3:O80)</f>
        <v>700000</v>
      </c>
      <c r="P81" s="87">
        <f>SUM(P3:P80)</f>
        <v>0</v>
      </c>
      <c r="Q81" s="87"/>
    </row>
    <row r="82" customHeight="1" spans="1:11">
      <c r="A82" s="97" t="s">
        <v>293</v>
      </c>
      <c r="C82" s="87"/>
      <c r="D82" s="87"/>
      <c r="E82" s="87"/>
      <c r="F82" s="89"/>
      <c r="G82" s="89">
        <f>G81-G16-G21-G45-G46</f>
        <v>5164615.41999999</v>
      </c>
      <c r="H82" s="89">
        <f>H81-H16-H21-H45-H46</f>
        <v>4787439.4</v>
      </c>
      <c r="I82" s="88"/>
      <c r="J82" s="120">
        <f>J81-SUM(M81:P81)</f>
        <v>2224220.53</v>
      </c>
      <c r="K82" s="120"/>
    </row>
  </sheetData>
  <autoFilter xmlns:etc="http://www.wps.cn/officeDocument/2017/etCustomData" ref="A2:X82" etc:filterBottomFollowUsedRange="0">
    <extLst/>
  </autoFilter>
  <mergeCells count="2">
    <mergeCell ref="A1:J1"/>
    <mergeCell ref="M1:P1"/>
  </mergeCells>
  <conditionalFormatting sqref="A$1:A$1048576">
    <cfRule type="duplicateValues" dxfId="0" priority="2"/>
  </conditionalFormatting>
  <pageMargins left="0.75" right="0.75" top="1" bottom="1" header="0.5" footer="0.5"/>
  <pageSetup paperSize="9" orientation="portrait"/>
  <headerFooter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7"/>
  <dimension ref="A1:S82"/>
  <sheetViews>
    <sheetView workbookViewId="0">
      <pane xSplit="1" ySplit="2" topLeftCell="D45" activePane="bottomRight" state="frozen"/>
      <selection/>
      <selection pane="topRight"/>
      <selection pane="bottomLeft"/>
      <selection pane="bottomRight" activeCell="O57" sqref="O57"/>
    </sheetView>
  </sheetViews>
  <sheetFormatPr defaultColWidth="9" defaultRowHeight="19" customHeight="1"/>
  <cols>
    <col min="1" max="1" width="26.25" style="97" customWidth="1"/>
    <col min="2" max="2" width="21.375" style="42" customWidth="1"/>
    <col min="3" max="3" width="12.625" style="98" customWidth="1"/>
    <col min="4" max="6" width="11.75" style="99" customWidth="1"/>
    <col min="7" max="7" width="17.25" style="100" customWidth="1"/>
    <col min="8" max="8" width="13.5" style="100" customWidth="1"/>
    <col min="9" max="9" width="11.75" style="101" customWidth="1"/>
    <col min="10" max="10" width="13.5" style="42" customWidth="1"/>
    <col min="11" max="11" width="11.625" style="42" customWidth="1"/>
    <col min="12" max="12" width="22.5" style="42" customWidth="1"/>
    <col min="13" max="13" width="10.125" style="102"/>
    <col min="14" max="14" width="9" style="42"/>
    <col min="15" max="15" width="18" style="42" customWidth="1"/>
    <col min="16" max="16" width="11.5" style="42" customWidth="1"/>
    <col min="17" max="16384" width="9" style="42"/>
  </cols>
  <sheetData>
    <row r="1" ht="29" customHeight="1" spans="1:19">
      <c r="A1" s="103" t="s">
        <v>381</v>
      </c>
      <c r="B1" s="103"/>
      <c r="C1" s="104"/>
      <c r="D1" s="105"/>
      <c r="E1" s="105"/>
      <c r="F1" s="105"/>
      <c r="G1" s="106"/>
      <c r="H1" s="106"/>
      <c r="I1" s="113"/>
      <c r="N1" s="42" t="s">
        <v>382</v>
      </c>
      <c r="O1" s="42" t="s">
        <v>383</v>
      </c>
      <c r="P1" s="42">
        <v>1580000</v>
      </c>
      <c r="R1" s="42">
        <v>-500000</v>
      </c>
      <c r="S1" s="42">
        <v>-500000</v>
      </c>
    </row>
    <row r="2" ht="36" customHeight="1" spans="1:18">
      <c r="A2" s="107" t="s">
        <v>231</v>
      </c>
      <c r="B2" s="107" t="s">
        <v>232</v>
      </c>
      <c r="C2" s="108" t="s">
        <v>384</v>
      </c>
      <c r="D2" s="109" t="s">
        <v>385</v>
      </c>
      <c r="E2" s="109" t="s">
        <v>337</v>
      </c>
      <c r="F2" s="109" t="s">
        <v>330</v>
      </c>
      <c r="G2" s="108" t="s">
        <v>236</v>
      </c>
      <c r="H2" s="108" t="s">
        <v>386</v>
      </c>
      <c r="I2" s="107" t="s">
        <v>237</v>
      </c>
      <c r="J2" s="42" t="s">
        <v>387</v>
      </c>
      <c r="N2" s="42" t="s">
        <v>382</v>
      </c>
      <c r="O2" s="42" t="s">
        <v>388</v>
      </c>
      <c r="P2" s="42">
        <v>2000000</v>
      </c>
      <c r="Q2" s="42">
        <v>-400000</v>
      </c>
      <c r="R2" s="42">
        <v>-500000</v>
      </c>
    </row>
    <row r="3" customHeight="1" spans="1:12">
      <c r="A3" s="97" t="s">
        <v>240</v>
      </c>
      <c r="B3" s="42" t="str">
        <f>IFERROR(_xlfn.XLOOKUP('4月份计划'!A3,[5]UNEA!$B:$B,[5]UNEA!$B:$B),IFERROR(_xlfn.XLOOKUP('4月份计划'!A3,[5]MRHK!$B:$B,[5]MRHK!$B:$B),IFERROR(_xlfn.XLOOKUP('4月份计划'!A3,[5]MRHB!$B:$B,[5]MRHB!$B:$B),IFERROR(_xlfn.XLOOKUP('4月份计划'!A3,[5]HA6H!$B:$B,[5]HA6H!$B:$B),IFERROR(_xlfn.XLOOKUP('4月份计划'!A3,[5]HA6H!$B:$B,[5]HA6H!$B:$B)," ")))))</f>
        <v>重庆厚元汽车配件有限公司</v>
      </c>
      <c r="C3" s="98">
        <f>SUMIFS('4月份科目余额表'!O:O,'4月份科目余额表'!D:D,A3)</f>
        <v>235918.22</v>
      </c>
      <c r="D3" s="99">
        <v>147973.94</v>
      </c>
      <c r="E3" s="99">
        <v>0</v>
      </c>
      <c r="F3" s="99">
        <f>SUMIFS('4月份挂账'!Q:Q,'4月份挂账'!S:S,A3)-SUMIFS('4月份挂账'!P:P,'4月份挂账'!S:S,A3)</f>
        <v>87944.28</v>
      </c>
      <c r="G3" s="100">
        <f t="shared" ref="G3:G66" si="0">IF(C3-F3-E3&gt;0,C3-F3-E3,0)</f>
        <v>147973.94</v>
      </c>
      <c r="H3" s="100">
        <f t="shared" ref="H3:H66" si="1">IF(C3-F3-E3-D3&gt;0,C3-F3-E3-D3,0)</f>
        <v>0</v>
      </c>
      <c r="K3" s="42">
        <f t="shared" ref="K3:K66" si="2">IF(C3-F3&gt;0,C3-F3,0)</f>
        <v>147973.94</v>
      </c>
      <c r="L3" s="42" t="s">
        <v>389</v>
      </c>
    </row>
    <row r="4" customHeight="1" spans="1:13">
      <c r="A4" s="97" t="s">
        <v>241</v>
      </c>
      <c r="B4" s="42" t="str">
        <f>IFERROR(_xlfn.XLOOKUP('4月份计划'!A4,[5]UNEA!$B:$B,[5]UNEA!$B:$B),IFERROR(_xlfn.XLOOKUP('4月份计划'!A4,[5]MRHK!$B:$B,[5]MRHK!$B:$B),IFERROR(_xlfn.XLOOKUP('4月份计划'!A4,[5]MRHB!$B:$B,[5]MRHB!$B:$B),IFERROR(_xlfn.XLOOKUP('4月份计划'!A4,[5]HA6H!$B:$B,[5]HA6H!$B:$B),IFERROR(_xlfn.XLOOKUP('4月份计划'!A4,[5]HA6H!$B:$B,[5]HA6H!$B:$B)," ")))))</f>
        <v> </v>
      </c>
      <c r="C4" s="98">
        <f>SUMIFS('4月份科目余额表'!O:O,'4月份科目余额表'!D:D,A4)</f>
        <v>43976.22</v>
      </c>
      <c r="D4" s="99">
        <v>12425.53</v>
      </c>
      <c r="E4" s="99">
        <v>12458.85</v>
      </c>
      <c r="F4" s="99">
        <f>SUMIFS('4月份挂账'!Q:Q,'4月份挂账'!S:S,A4)-SUMIFS('4月份挂账'!P:P,'4月份挂账'!S:S,A4)</f>
        <v>0</v>
      </c>
      <c r="G4" s="100">
        <f t="shared" si="0"/>
        <v>31517.37</v>
      </c>
      <c r="H4" s="100">
        <f t="shared" si="1"/>
        <v>19091.84</v>
      </c>
      <c r="I4" s="101">
        <f>G4</f>
        <v>31517.37</v>
      </c>
      <c r="K4" s="42">
        <f t="shared" si="2"/>
        <v>43976.22</v>
      </c>
      <c r="L4" s="42" t="s">
        <v>239</v>
      </c>
      <c r="M4" s="102">
        <v>353</v>
      </c>
    </row>
    <row r="5" customHeight="1" spans="1:13">
      <c r="A5" s="97" t="s">
        <v>242</v>
      </c>
      <c r="B5" s="42" t="str">
        <f>IFERROR(_xlfn.XLOOKUP('4月份计划'!A5,[5]UNEA!$B:$B,[5]UNEA!$B:$B),IFERROR(_xlfn.XLOOKUP('4月份计划'!A5,[5]MRHK!$B:$B,[5]MRHK!$B:$B),IFERROR(_xlfn.XLOOKUP('4月份计划'!A5,[5]MRHB!$B:$B,[5]MRHB!$B:$B),IFERROR(_xlfn.XLOOKUP('4月份计划'!A5,[5]HA6H!$B:$B,[5]HA6H!$B:$B),IFERROR(_xlfn.XLOOKUP('4月份计划'!A5,[5]HA6H!$B:$B,[5]HA6H!$B:$B)," ")))))</f>
        <v> </v>
      </c>
      <c r="C5" s="98">
        <f>SUMIFS('4月份科目余额表'!O:O,'4月份科目余额表'!D:D,A5)</f>
        <v>96001.91</v>
      </c>
      <c r="D5" s="99">
        <v>23825.25</v>
      </c>
      <c r="E5" s="99">
        <v>19709.37</v>
      </c>
      <c r="F5" s="99">
        <f>SUMIFS('4月份挂账'!Q:Q,'4月份挂账'!S:S,A5)-SUMIFS('4月份挂账'!P:P,'4月份挂账'!S:S,A5)</f>
        <v>24472.28</v>
      </c>
      <c r="G5" s="100">
        <f t="shared" si="0"/>
        <v>51820.26</v>
      </c>
      <c r="H5" s="100">
        <f t="shared" si="1"/>
        <v>27995.01</v>
      </c>
      <c r="I5" s="101">
        <f>G5</f>
        <v>51820.26</v>
      </c>
      <c r="K5" s="42">
        <f t="shared" si="2"/>
        <v>71529.63</v>
      </c>
      <c r="L5" s="42" t="s">
        <v>390</v>
      </c>
      <c r="M5" s="102">
        <v>-253</v>
      </c>
    </row>
    <row r="6" customHeight="1" spans="1:13">
      <c r="A6" s="97" t="s">
        <v>243</v>
      </c>
      <c r="B6" s="42" t="str">
        <f>IFERROR(_xlfn.XLOOKUP('4月份计划'!A6,[5]UNEA!$B:$B,[5]UNEA!$B:$B),IFERROR(_xlfn.XLOOKUP('4月份计划'!A6,[5]MRHK!$B:$B,[5]MRHK!$B:$B),IFERROR(_xlfn.XLOOKUP('4月份计划'!A6,[5]MRHB!$B:$B,[5]MRHB!$B:$B),IFERROR(_xlfn.XLOOKUP('4月份计划'!A6,[5]HA6H!$B:$B,[5]HA6H!$B:$B),IFERROR(_xlfn.XLOOKUP('4月份计划'!A6,[5]HA6H!$B:$B,[5]HA6H!$B:$B)," ")))))</f>
        <v> </v>
      </c>
      <c r="C6" s="98">
        <f>SUMIFS('4月份科目余额表'!O:O,'4月份科目余额表'!D:D,A6)</f>
        <v>61502.24</v>
      </c>
      <c r="D6" s="99">
        <v>11650.19</v>
      </c>
      <c r="E6" s="99">
        <v>22332.39</v>
      </c>
      <c r="F6" s="99">
        <f>SUMIFS('4月份挂账'!Q:Q,'4月份挂账'!S:S,A6)-SUMIFS('4月份挂账'!P:P,'4月份挂账'!S:S,A6)</f>
        <v>27519.66</v>
      </c>
      <c r="G6" s="100">
        <f t="shared" si="0"/>
        <v>11650.19</v>
      </c>
      <c r="H6" s="100">
        <f t="shared" si="1"/>
        <v>0</v>
      </c>
      <c r="K6" s="42">
        <f t="shared" si="2"/>
        <v>33982.58</v>
      </c>
      <c r="L6" s="42" t="s">
        <v>346</v>
      </c>
      <c r="M6" s="102">
        <v>40</v>
      </c>
    </row>
    <row r="7" customHeight="1" spans="1:16">
      <c r="A7" s="97" t="s">
        <v>297</v>
      </c>
      <c r="B7" s="42" t="str">
        <f>IFERROR(_xlfn.XLOOKUP('4月份计划'!A7,[5]UNEA!$B:$B,[5]UNEA!$B:$B),IFERROR(_xlfn.XLOOKUP('4月份计划'!A7,[5]MRHK!$B:$B,[5]MRHK!$B:$B),IFERROR(_xlfn.XLOOKUP('4月份计划'!A7,[5]MRHB!$B:$B,[5]MRHB!$B:$B),IFERROR(_xlfn.XLOOKUP('4月份计划'!A7,[5]HA6H!$B:$B,[5]HA6H!$B:$B),IFERROR(_xlfn.XLOOKUP('4月份计划'!A7,[5]HA6H!$B:$B,[5]HA6H!$B:$B)," ")))))</f>
        <v> </v>
      </c>
      <c r="C7" s="98">
        <f>SUMIFS('4月份科目余额表'!O:O,'4月份科目余额表'!D:D,A7)</f>
        <v>13615.37</v>
      </c>
      <c r="D7" s="99">
        <v>0</v>
      </c>
      <c r="E7" s="99">
        <v>0</v>
      </c>
      <c r="F7" s="99">
        <f>SUMIFS('4月份挂账'!Q:Q,'4月份挂账'!S:S,A7)-SUMIFS('4月份挂账'!P:P,'4月份挂账'!S:S,A7)</f>
        <v>17283.35</v>
      </c>
      <c r="G7" s="100">
        <f t="shared" si="0"/>
        <v>0</v>
      </c>
      <c r="H7" s="100">
        <f t="shared" si="1"/>
        <v>0</v>
      </c>
      <c r="K7" s="42">
        <f t="shared" si="2"/>
        <v>0</v>
      </c>
      <c r="L7" s="42" t="s">
        <v>347</v>
      </c>
      <c r="N7" s="42" t="s">
        <v>391</v>
      </c>
      <c r="P7" s="42" t="s">
        <v>392</v>
      </c>
    </row>
    <row r="8" customHeight="1" spans="1:16">
      <c r="A8" s="97" t="s">
        <v>244</v>
      </c>
      <c r="B8" s="42" t="str">
        <f>IFERROR(_xlfn.XLOOKUP('4月份计划'!A8,[5]UNEA!$B:$B,[5]UNEA!$B:$B),IFERROR(_xlfn.XLOOKUP('4月份计划'!A8,[5]MRHK!$B:$B,[5]MRHK!$B:$B),IFERROR(_xlfn.XLOOKUP('4月份计划'!A8,[5]MRHB!$B:$B,[5]MRHB!$B:$B),IFERROR(_xlfn.XLOOKUP('4月份计划'!A8,[5]HA6H!$B:$B,[5]HA6H!$B:$B),IFERROR(_xlfn.XLOOKUP('4月份计划'!A8,[5]HA6H!$B:$B,[5]HA6H!$B:$B)," ")))))</f>
        <v> </v>
      </c>
      <c r="C8" s="98">
        <f>SUMIFS('4月份科目余额表'!O:O,'4月份科目余额表'!D:D,A8)</f>
        <v>96651.5</v>
      </c>
      <c r="D8" s="99">
        <v>45703.19</v>
      </c>
      <c r="E8" s="99">
        <v>19537.7</v>
      </c>
      <c r="F8" s="99">
        <f>SUMIFS('4月份挂账'!Q:Q,'4月份挂账'!S:S,A8)-SUMIFS('4月份挂账'!P:P,'4月份挂账'!S:S,A8)</f>
        <v>31410.61</v>
      </c>
      <c r="G8" s="100">
        <f t="shared" si="0"/>
        <v>45703.19</v>
      </c>
      <c r="H8" s="100">
        <f t="shared" si="1"/>
        <v>0</v>
      </c>
      <c r="K8" s="42">
        <f t="shared" si="2"/>
        <v>65240.89</v>
      </c>
      <c r="L8" s="42" t="s">
        <v>348</v>
      </c>
      <c r="M8" s="102">
        <v>960</v>
      </c>
      <c r="N8" s="42">
        <v>150</v>
      </c>
      <c r="P8" s="42">
        <v>134</v>
      </c>
    </row>
    <row r="9" customHeight="1" spans="1:16">
      <c r="A9" s="97" t="s">
        <v>245</v>
      </c>
      <c r="B9" s="42" t="str">
        <f>IFERROR(_xlfn.XLOOKUP('4月份计划'!A9,[5]UNEA!$B:$B,[5]UNEA!$B:$B),IFERROR(_xlfn.XLOOKUP('4月份计划'!A9,[5]MRHK!$B:$B,[5]MRHK!$B:$B),IFERROR(_xlfn.XLOOKUP('4月份计划'!A9,[5]MRHB!$B:$B,[5]MRHB!$B:$B),IFERROR(_xlfn.XLOOKUP('4月份计划'!A9,[5]HA6H!$B:$B,[5]HA6H!$B:$B),IFERROR(_xlfn.XLOOKUP('4月份计划'!A9,[5]HA6H!$B:$B,[5]HA6H!$B:$B)," ")))))</f>
        <v> </v>
      </c>
      <c r="C9" s="98">
        <f>SUMIFS('4月份科目余额表'!O:O,'4月份科目余额表'!D:D,A9)</f>
        <v>104416.67</v>
      </c>
      <c r="D9" s="99">
        <v>37166.81</v>
      </c>
      <c r="E9" s="99">
        <v>28650.14</v>
      </c>
      <c r="F9" s="99">
        <f>SUMIFS('4月份挂账'!Q:Q,'4月份挂账'!S:S,A9)-SUMIFS('4月份挂账'!P:P,'4月份挂账'!S:S,A9)</f>
        <v>38599.72</v>
      </c>
      <c r="G9" s="100">
        <f t="shared" si="0"/>
        <v>37166.81</v>
      </c>
      <c r="H9" s="100">
        <f t="shared" si="1"/>
        <v>0</v>
      </c>
      <c r="I9" s="101">
        <f>G9</f>
        <v>37166.81</v>
      </c>
      <c r="K9" s="42">
        <f t="shared" si="2"/>
        <v>65816.95</v>
      </c>
      <c r="L9" s="42" t="s">
        <v>349</v>
      </c>
      <c r="M9" s="102">
        <v>104</v>
      </c>
      <c r="P9" s="42">
        <v>278</v>
      </c>
    </row>
    <row r="10" customHeight="1" spans="1:14">
      <c r="A10" s="97" t="s">
        <v>246</v>
      </c>
      <c r="B10" s="42" t="str">
        <f>IFERROR(_xlfn.XLOOKUP('4月份计划'!A10,[5]UNEA!$B:$B,[5]UNEA!$B:$B),IFERROR(_xlfn.XLOOKUP('4月份计划'!A10,[5]MRHK!$B:$B,[5]MRHK!$B:$B),IFERROR(_xlfn.XLOOKUP('4月份计划'!A10,[5]MRHB!$B:$B,[5]MRHB!$B:$B),IFERROR(_xlfn.XLOOKUP('4月份计划'!A10,[5]HA6H!$B:$B,[5]HA6H!$B:$B),IFERROR(_xlfn.XLOOKUP('4月份计划'!A10,[5]HA6H!$B:$B,[5]HA6H!$B:$B)," ")))))</f>
        <v> </v>
      </c>
      <c r="C10" s="98">
        <f>SUMIFS('4月份科目余额表'!O:O,'4月份科目余额表'!D:D,A10)</f>
        <v>88891.78</v>
      </c>
      <c r="D10" s="99">
        <v>26670.03</v>
      </c>
      <c r="E10" s="99">
        <v>26006.5</v>
      </c>
      <c r="F10" s="99">
        <f>SUMIFS('4月份挂账'!Q:Q,'4月份挂账'!S:S,A10)-SUMIFS('4月份挂账'!P:P,'4月份挂账'!S:S,A10)</f>
        <v>36215.25</v>
      </c>
      <c r="G10" s="100">
        <f t="shared" si="0"/>
        <v>26670.03</v>
      </c>
      <c r="H10" s="100">
        <f t="shared" si="1"/>
        <v>0</v>
      </c>
      <c r="I10" s="101">
        <f>G10</f>
        <v>26670.03</v>
      </c>
      <c r="K10" s="42">
        <f t="shared" si="2"/>
        <v>52676.53</v>
      </c>
      <c r="L10" s="42" t="s">
        <v>351</v>
      </c>
      <c r="M10" s="102">
        <v>80</v>
      </c>
      <c r="N10" s="42">
        <v>50</v>
      </c>
    </row>
    <row r="11" customHeight="1" spans="1:16">
      <c r="A11" s="97" t="s">
        <v>247</v>
      </c>
      <c r="B11" s="42" t="str">
        <f>IFERROR(_xlfn.XLOOKUP('4月份计划'!A11,[5]UNEA!$B:$B,[5]UNEA!$B:$B),IFERROR(_xlfn.XLOOKUP('4月份计划'!A11,[5]MRHK!$B:$B,[5]MRHK!$B:$B),IFERROR(_xlfn.XLOOKUP('4月份计划'!A11,[5]MRHB!$B:$B,[5]MRHB!$B:$B),IFERROR(_xlfn.XLOOKUP('4月份计划'!A11,[5]HA6H!$B:$B,[5]HA6H!$B:$B),IFERROR(_xlfn.XLOOKUP('4月份计划'!A11,[5]HA6H!$B:$B,[5]HA6H!$B:$B)," ")))))</f>
        <v>黄骅市汇铭汽车部件有限公司</v>
      </c>
      <c r="C11" s="98">
        <f>SUMIFS('4月份科目余额表'!O:O,'4月份科目余额表'!D:D,A11)</f>
        <v>29435.59</v>
      </c>
      <c r="D11" s="99">
        <v>0</v>
      </c>
      <c r="E11" s="99">
        <v>29435.59</v>
      </c>
      <c r="F11" s="99">
        <f>SUMIFS('4月份挂账'!Q:Q,'4月份挂账'!S:S,A11)-SUMIFS('4月份挂账'!P:P,'4月份挂账'!S:S,A11)</f>
        <v>0</v>
      </c>
      <c r="G11" s="100">
        <f t="shared" si="0"/>
        <v>0</v>
      </c>
      <c r="H11" s="100">
        <f t="shared" si="1"/>
        <v>0</v>
      </c>
      <c r="K11" s="42">
        <f t="shared" si="2"/>
        <v>29435.59</v>
      </c>
      <c r="L11" s="42" t="s">
        <v>352</v>
      </c>
      <c r="M11" s="102">
        <v>35</v>
      </c>
      <c r="N11" s="42">
        <v>78</v>
      </c>
      <c r="P11" s="42">
        <v>30</v>
      </c>
    </row>
    <row r="12" customHeight="1" spans="1:16">
      <c r="A12" s="97" t="s">
        <v>248</v>
      </c>
      <c r="B12" s="42" t="str">
        <f>IFERROR(_xlfn.XLOOKUP('4月份计划'!A12,[5]UNEA!$B:$B,[5]UNEA!$B:$B),IFERROR(_xlfn.XLOOKUP('4月份计划'!A12,[5]MRHK!$B:$B,[5]MRHK!$B:$B),IFERROR(_xlfn.XLOOKUP('4月份计划'!A12,[5]MRHB!$B:$B,[5]MRHB!$B:$B),IFERROR(_xlfn.XLOOKUP('4月份计划'!A12,[5]HA6H!$B:$B,[5]HA6H!$B:$B),IFERROR(_xlfn.XLOOKUP('4月份计划'!A12,[5]HA6H!$B:$B,[5]HA6H!$B:$B)," ")))))</f>
        <v> </v>
      </c>
      <c r="C12" s="98">
        <f>SUMIFS('4月份科目余额表'!O:O,'4月份科目余额表'!D:D,A12)</f>
        <v>364094.14</v>
      </c>
      <c r="D12" s="99">
        <v>78020.18</v>
      </c>
      <c r="E12" s="99">
        <v>156040.34</v>
      </c>
      <c r="F12" s="99">
        <v>156040.34</v>
      </c>
      <c r="G12" s="100">
        <f t="shared" si="0"/>
        <v>52013.46</v>
      </c>
      <c r="H12" s="100">
        <f t="shared" si="1"/>
        <v>0</v>
      </c>
      <c r="I12" s="101">
        <f>G12</f>
        <v>52013.46</v>
      </c>
      <c r="K12" s="42">
        <f t="shared" si="2"/>
        <v>208053.8</v>
      </c>
      <c r="L12" s="42" t="s">
        <v>353</v>
      </c>
      <c r="P12" s="42">
        <v>127</v>
      </c>
    </row>
    <row r="13" customHeight="1" spans="1:11">
      <c r="A13" s="97" t="s">
        <v>249</v>
      </c>
      <c r="B13" s="42" t="str">
        <f>IFERROR(_xlfn.XLOOKUP('4月份计划'!A13,[5]UNEA!$B:$B,[5]UNEA!$B:$B),IFERROR(_xlfn.XLOOKUP('4月份计划'!A13,[5]MRHK!$B:$B,[5]MRHK!$B:$B),IFERROR(_xlfn.XLOOKUP('4月份计划'!A13,[5]MRHB!$B:$B,[5]MRHB!$B:$B),IFERROR(_xlfn.XLOOKUP('4月份计划'!A13,[5]HA6H!$B:$B,[5]HA6H!$B:$B),IFERROR(_xlfn.XLOOKUP('4月份计划'!A13,[5]HA6H!$B:$B,[5]HA6H!$B:$B)," ")))))</f>
        <v> </v>
      </c>
      <c r="C13" s="98">
        <f>SUMIFS('4月份科目余额表'!O:O,'4月份科目余额表'!D:D,A13)</f>
        <v>398238.4</v>
      </c>
      <c r="D13" s="99">
        <v>231977.7</v>
      </c>
      <c r="E13" s="99">
        <v>123779.07</v>
      </c>
      <c r="F13" s="99">
        <f>SUMIFS('4月份挂账'!Q:Q,'4月份挂账'!S:S,A13)-SUMIFS('4月份挂账'!P:P,'4月份挂账'!S:S,A13)</f>
        <v>0</v>
      </c>
      <c r="G13" s="100">
        <f t="shared" si="0"/>
        <v>274459.33</v>
      </c>
      <c r="H13" s="100">
        <f t="shared" si="1"/>
        <v>42481.63</v>
      </c>
      <c r="I13" s="101">
        <f>G13</f>
        <v>274459.33</v>
      </c>
      <c r="K13" s="42">
        <f t="shared" si="2"/>
        <v>398238.4</v>
      </c>
    </row>
    <row r="14" customHeight="1" spans="1:13">
      <c r="A14" s="97" t="s">
        <v>250</v>
      </c>
      <c r="B14" s="42" t="str">
        <f>IFERROR(_xlfn.XLOOKUP('4月份计划'!A14,[5]UNEA!$B:$B,[5]UNEA!$B:$B),IFERROR(_xlfn.XLOOKUP('4月份计划'!A14,[5]MRHK!$B:$B,[5]MRHK!$B:$B),IFERROR(_xlfn.XLOOKUP('4月份计划'!A14,[5]MRHB!$B:$B,[5]MRHB!$B:$B),IFERROR(_xlfn.XLOOKUP('4月份计划'!A14,[5]HA6H!$B:$B,[5]HA6H!$B:$B),IFERROR(_xlfn.XLOOKUP('4月份计划'!A14,[5]HA6H!$B:$B,[5]HA6H!$B:$B)," ")))))</f>
        <v> </v>
      </c>
      <c r="C14" s="98">
        <f>SUMIFS('4月份科目余额表'!O:O,'4月份科目余额表'!D:D,A14)</f>
        <v>469740.74</v>
      </c>
      <c r="D14" s="99">
        <v>154244.97</v>
      </c>
      <c r="E14" s="99">
        <v>129520.69</v>
      </c>
      <c r="F14" s="99">
        <f>SUMIFS('4月份挂账'!Q:Q,'4月份挂账'!S:S,A14)-SUMIFS('4月份挂账'!P:P,'4月份挂账'!S:S,A14)</f>
        <v>153087.15</v>
      </c>
      <c r="G14" s="100">
        <f t="shared" si="0"/>
        <v>187132.9</v>
      </c>
      <c r="H14" s="100">
        <f t="shared" si="1"/>
        <v>32887.93</v>
      </c>
      <c r="I14" s="101">
        <f>G14</f>
        <v>187132.9</v>
      </c>
      <c r="K14" s="42">
        <f t="shared" si="2"/>
        <v>316653.59</v>
      </c>
      <c r="L14" s="42" t="s">
        <v>355</v>
      </c>
      <c r="M14" s="102">
        <v>480</v>
      </c>
    </row>
    <row r="15" customHeight="1" spans="1:11">
      <c r="A15" s="97" t="s">
        <v>298</v>
      </c>
      <c r="B15" s="42" t="str">
        <f>IFERROR(_xlfn.XLOOKUP('4月份计划'!A15,[5]UNEA!$B:$B,[5]UNEA!$B:$B),IFERROR(_xlfn.XLOOKUP('4月份计划'!A15,[5]MRHK!$B:$B,[5]MRHK!$B:$B),IFERROR(_xlfn.XLOOKUP('4月份计划'!A15,[5]MRHB!$B:$B,[5]MRHB!$B:$B),IFERROR(_xlfn.XLOOKUP('4月份计划'!A15,[5]HA6H!$B:$B,[5]HA6H!$B:$B),IFERROR(_xlfn.XLOOKUP('4月份计划'!A15,[5]HA6H!$B:$B,[5]HA6H!$B:$B)," ")))))</f>
        <v> </v>
      </c>
      <c r="C15" s="98">
        <f>SUMIFS('4月份科目余额表'!O:O,'4月份科目余额表'!D:D,A15)</f>
        <v>108480</v>
      </c>
      <c r="D15" s="99">
        <v>65088</v>
      </c>
      <c r="E15" s="99">
        <v>0</v>
      </c>
      <c r="F15" s="99">
        <f>SUMIFS('4月份挂账'!Q:Q,'4月份挂账'!S:S,A15)-SUMIFS('4月份挂账'!P:P,'4月份挂账'!S:S,A15)</f>
        <v>43392</v>
      </c>
      <c r="G15" s="100">
        <f t="shared" si="0"/>
        <v>65088</v>
      </c>
      <c r="H15" s="100">
        <f t="shared" si="1"/>
        <v>0</v>
      </c>
      <c r="I15" s="101">
        <f>G15</f>
        <v>65088</v>
      </c>
      <c r="K15" s="42">
        <f t="shared" si="2"/>
        <v>65088</v>
      </c>
    </row>
    <row r="16" customHeight="1" spans="1:12">
      <c r="A16" s="110" t="s">
        <v>251</v>
      </c>
      <c r="B16" s="42" t="str">
        <f>IFERROR(_xlfn.XLOOKUP('4月份计划'!A16,[5]UNEA!$B:$B,[5]UNEA!$B:$B),IFERROR(_xlfn.XLOOKUP('4月份计划'!A16,[5]MRHK!$B:$B,[5]MRHK!$B:$B),IFERROR(_xlfn.XLOOKUP('4月份计划'!A16,[5]MRHB!$B:$B,[5]MRHB!$B:$B),IFERROR(_xlfn.XLOOKUP('4月份计划'!A16,[5]HA6H!$B:$B,[5]HA6H!$B:$B),IFERROR(_xlfn.XLOOKUP('4月份计划'!A16,[5]HA6H!$B:$B,[5]HA6H!$B:$B)," ")))))</f>
        <v> </v>
      </c>
      <c r="C16" s="98">
        <f>SUMIFS('4月份科目余额表'!O:O,'4月份科目余额表'!D:D,A16)</f>
        <v>1328403.13</v>
      </c>
      <c r="D16" s="99">
        <v>402477.13</v>
      </c>
      <c r="E16" s="99">
        <v>303438</v>
      </c>
      <c r="F16" s="99">
        <f>SUMIFS('4月份挂账'!Q:Q,'4月份挂账'!S:S,A16)-SUMIFS('4月份挂账'!P:P,'4月份挂账'!S:S,A16)</f>
        <v>858814</v>
      </c>
      <c r="G16" s="100">
        <f t="shared" si="0"/>
        <v>166151.13</v>
      </c>
      <c r="H16" s="100">
        <f t="shared" si="1"/>
        <v>0</v>
      </c>
      <c r="I16" s="101">
        <v>400000</v>
      </c>
      <c r="K16" s="42">
        <f t="shared" si="2"/>
        <v>469589.13</v>
      </c>
      <c r="L16" s="42" t="s">
        <v>29</v>
      </c>
    </row>
    <row r="17" customHeight="1" spans="1:12">
      <c r="A17" s="97" t="s">
        <v>252</v>
      </c>
      <c r="B17" s="42" t="str">
        <f>IFERROR(_xlfn.XLOOKUP('4月份计划'!A17,[5]UNEA!$B:$B,[5]UNEA!$B:$B),IFERROR(_xlfn.XLOOKUP('4月份计划'!A17,[5]MRHK!$B:$B,[5]MRHK!$B:$B),IFERROR(_xlfn.XLOOKUP('4月份计划'!A17,[5]MRHB!$B:$B,[5]MRHB!$B:$B),IFERROR(_xlfn.XLOOKUP('4月份计划'!A17,[5]HA6H!$B:$B,[5]HA6H!$B:$B),IFERROR(_xlfn.XLOOKUP('4月份计划'!A17,[5]HA6H!$B:$B,[5]HA6H!$B:$B)," ")))))</f>
        <v> </v>
      </c>
      <c r="C17" s="98">
        <f>SUMIFS('4月份科目余额表'!O:O,'4月份科目余额表'!D:D,A17)</f>
        <v>97720.81</v>
      </c>
      <c r="D17" s="99">
        <v>49654.78</v>
      </c>
      <c r="E17" s="99">
        <v>4169.7</v>
      </c>
      <c r="F17" s="99">
        <f>SUMIFS('4月份挂账'!Q:Q,'4月份挂账'!S:S,A17)-SUMIFS('4月份挂账'!P:P,'4月份挂账'!S:S,A17)</f>
        <v>43896.33</v>
      </c>
      <c r="G17" s="100">
        <f t="shared" si="0"/>
        <v>49654.78</v>
      </c>
      <c r="H17" s="100">
        <f t="shared" si="1"/>
        <v>0</v>
      </c>
      <c r="I17" s="101">
        <f>G17</f>
        <v>49654.78</v>
      </c>
      <c r="K17" s="42">
        <f t="shared" si="2"/>
        <v>53824.48</v>
      </c>
      <c r="L17" s="42" t="s">
        <v>358</v>
      </c>
    </row>
    <row r="18" customHeight="1" spans="1:14">
      <c r="A18" s="97" t="s">
        <v>253</v>
      </c>
      <c r="B18" s="42" t="str">
        <f>IFERROR(_xlfn.XLOOKUP('4月份计划'!A18,[5]UNEA!$B:$B,[5]UNEA!$B:$B),IFERROR(_xlfn.XLOOKUP('4月份计划'!A18,[5]MRHK!$B:$B,[5]MRHK!$B:$B),IFERROR(_xlfn.XLOOKUP('4月份计划'!A18,[5]MRHB!$B:$B,[5]MRHB!$B:$B),IFERROR(_xlfn.XLOOKUP('4月份计划'!A18,[5]HA6H!$B:$B,[5]HA6H!$B:$B),IFERROR(_xlfn.XLOOKUP('4月份计划'!A18,[5]HA6H!$B:$B,[5]HA6H!$B:$B)," ")))))</f>
        <v> </v>
      </c>
      <c r="C18" s="98">
        <f>SUMIFS('4月份科目余额表'!O:O,'4月份科目余额表'!D:D,A18)</f>
        <v>267969.53</v>
      </c>
      <c r="D18" s="99">
        <v>109878.98</v>
      </c>
      <c r="E18" s="99">
        <v>79718</v>
      </c>
      <c r="F18" s="99">
        <f>SUMIFS('4月份挂账'!Q:Q,'4月份挂账'!S:S,A18)-SUMIFS('4月份挂账'!P:P,'4月份挂账'!S:S,A18)</f>
        <v>78372.55</v>
      </c>
      <c r="G18" s="100">
        <f t="shared" si="0"/>
        <v>109878.98</v>
      </c>
      <c r="H18" s="100">
        <f t="shared" si="1"/>
        <v>0</v>
      </c>
      <c r="I18" s="101">
        <f>G18</f>
        <v>109878.98</v>
      </c>
      <c r="K18" s="42">
        <f t="shared" si="2"/>
        <v>189596.98</v>
      </c>
      <c r="L18" s="42" t="s">
        <v>393</v>
      </c>
      <c r="M18" s="102">
        <v>-150</v>
      </c>
      <c r="N18" s="42">
        <v>-150</v>
      </c>
    </row>
    <row r="19" customHeight="1" spans="1:14">
      <c r="A19" s="97" t="s">
        <v>254</v>
      </c>
      <c r="B19" s="42" t="str">
        <f>IFERROR(_xlfn.XLOOKUP('4月份计划'!A19,[5]UNEA!$B:$B,[5]UNEA!$B:$B),IFERROR(_xlfn.XLOOKUP('4月份计划'!A19,[5]MRHK!$B:$B,[5]MRHK!$B:$B),IFERROR(_xlfn.XLOOKUP('4月份计划'!A19,[5]MRHB!$B:$B,[5]MRHB!$B:$B),IFERROR(_xlfn.XLOOKUP('4月份计划'!A19,[5]HA6H!$B:$B,[5]HA6H!$B:$B),IFERROR(_xlfn.XLOOKUP('4月份计划'!A19,[5]HA6H!$B:$B,[5]HA6H!$B:$B)," ")))))</f>
        <v> </v>
      </c>
      <c r="C19" s="98">
        <v>1092564.47</v>
      </c>
      <c r="D19" s="99">
        <v>377110.6</v>
      </c>
      <c r="E19" s="99">
        <v>295077.67</v>
      </c>
      <c r="F19" s="99">
        <f>SUMIFS('4月份挂账'!Q:Q,'4月份挂账'!S:S,A19)-SUMIFS('4月份挂账'!P:P,'4月份挂账'!S:S,A19)</f>
        <v>459871.3</v>
      </c>
      <c r="G19" s="100">
        <f t="shared" si="0"/>
        <v>337615.5</v>
      </c>
      <c r="H19" s="100">
        <f t="shared" si="1"/>
        <v>0</v>
      </c>
      <c r="I19" s="101">
        <v>500000</v>
      </c>
      <c r="K19" s="42">
        <f t="shared" si="2"/>
        <v>632693.17</v>
      </c>
      <c r="L19" s="42" t="s">
        <v>394</v>
      </c>
      <c r="M19" s="102">
        <v>-30</v>
      </c>
      <c r="N19" s="42">
        <v>-30</v>
      </c>
    </row>
    <row r="20" customHeight="1" spans="1:15">
      <c r="A20" s="97" t="s">
        <v>255</v>
      </c>
      <c r="B20" s="42" t="str">
        <f>IFERROR(_xlfn.XLOOKUP('4月份计划'!A20,[5]UNEA!$B:$B,[5]UNEA!$B:$B),IFERROR(_xlfn.XLOOKUP('4月份计划'!A20,[5]MRHK!$B:$B,[5]MRHK!$B:$B),IFERROR(_xlfn.XLOOKUP('4月份计划'!A20,[5]MRHB!$B:$B,[5]MRHB!$B:$B),IFERROR(_xlfn.XLOOKUP('4月份计划'!A20,[5]HA6H!$B:$B,[5]HA6H!$B:$B),IFERROR(_xlfn.XLOOKUP('4月份计划'!A20,[5]HA6H!$B:$B,[5]HA6H!$B:$B)," ")))))</f>
        <v> </v>
      </c>
      <c r="C20" s="98">
        <f>SUMIFS('4月份科目余额表'!O:O,'4月份科目余额表'!D:D,A20)</f>
        <v>94219.62</v>
      </c>
      <c r="D20" s="99">
        <v>35416.01</v>
      </c>
      <c r="E20" s="99">
        <v>32432.94</v>
      </c>
      <c r="F20" s="99">
        <f>SUMIFS('4月份挂账'!Q:Q,'4月份挂账'!S:S,A20)-SUMIFS('4月份挂账'!P:P,'4月份挂账'!S:S,A20)</f>
        <v>26370.67</v>
      </c>
      <c r="G20" s="100">
        <f t="shared" si="0"/>
        <v>35416.01</v>
      </c>
      <c r="H20" s="100">
        <f t="shared" si="1"/>
        <v>0</v>
      </c>
      <c r="I20" s="101">
        <f>G20</f>
        <v>35416.01</v>
      </c>
      <c r="K20" s="42">
        <f t="shared" si="2"/>
        <v>67848.95</v>
      </c>
      <c r="L20" s="42" t="s">
        <v>395</v>
      </c>
      <c r="M20" s="102">
        <f>-J81/10000</f>
        <v>0</v>
      </c>
      <c r="N20" s="42">
        <v>-200</v>
      </c>
      <c r="O20" s="42" t="s">
        <v>396</v>
      </c>
    </row>
    <row r="21" customHeight="1" spans="1:13">
      <c r="A21" s="111" t="s">
        <v>256</v>
      </c>
      <c r="B21" s="42" t="str">
        <f>IFERROR(_xlfn.XLOOKUP('4月份计划'!A21,[5]UNEA!$B:$B,[5]UNEA!$B:$B),IFERROR(_xlfn.XLOOKUP('4月份计划'!A21,[5]MRHK!$B:$B,[5]MRHK!$B:$B),IFERROR(_xlfn.XLOOKUP('4月份计划'!A21,[5]MRHB!$B:$B,[5]MRHB!$B:$B),IFERROR(_xlfn.XLOOKUP('4月份计划'!A21,[5]HA6H!$B:$B,[5]HA6H!$B:$B),IFERROR(_xlfn.XLOOKUP('4月份计划'!A21,[5]HA6H!$B:$B,[5]HA6H!$B:$B)," ")))))</f>
        <v>湘乡简美工贸有限公司</v>
      </c>
      <c r="C21" s="98">
        <f>SUMIFS('4月份科目余额表'!O:O,'4月份科目余额表'!D:D,A21)</f>
        <v>2402188.31</v>
      </c>
      <c r="D21" s="99">
        <v>0</v>
      </c>
      <c r="E21" s="99">
        <v>2016447.95</v>
      </c>
      <c r="F21" s="99">
        <f>SUMIFS('4月份挂账'!Q:Q,'4月份挂账'!S:S,A21)-SUMIFS('4月份挂账'!P:P,'4月份挂账'!S:S,A21)</f>
        <v>2397570.52</v>
      </c>
      <c r="G21" s="100">
        <f t="shared" si="0"/>
        <v>0</v>
      </c>
      <c r="H21" s="100">
        <f t="shared" si="1"/>
        <v>0</v>
      </c>
      <c r="I21" s="101">
        <v>500000</v>
      </c>
      <c r="K21" s="42">
        <f t="shared" si="2"/>
        <v>4617.79000000004</v>
      </c>
      <c r="L21" s="42" t="s">
        <v>367</v>
      </c>
      <c r="M21" s="102">
        <v>-70</v>
      </c>
    </row>
    <row r="22" customHeight="1" spans="1:15">
      <c r="A22" s="97" t="s">
        <v>257</v>
      </c>
      <c r="B22" s="42" t="str">
        <f>IFERROR(_xlfn.XLOOKUP('4月份计划'!A22,[5]UNEA!$B:$B,[5]UNEA!$B:$B),IFERROR(_xlfn.XLOOKUP('4月份计划'!A22,[5]MRHK!$B:$B,[5]MRHK!$B:$B),IFERROR(_xlfn.XLOOKUP('4月份计划'!A22,[5]MRHB!$B:$B,[5]MRHB!$B:$B),IFERROR(_xlfn.XLOOKUP('4月份计划'!A22,[5]HA6H!$B:$B,[5]HA6H!$B:$B),IFERROR(_xlfn.XLOOKUP('4月份计划'!A22,[5]HA6H!$B:$B,[5]HA6H!$B:$B)," ")))))</f>
        <v> </v>
      </c>
      <c r="C22" s="98">
        <f>SUMIFS('4月份科目余额表'!O:O,'4月份科目余额表'!D:D,A22)</f>
        <v>-288171.91</v>
      </c>
      <c r="D22" s="99">
        <v>224472.24</v>
      </c>
      <c r="E22" s="99">
        <v>0</v>
      </c>
      <c r="F22" s="99">
        <f>SUMIFS('4月份挂账'!Q:Q,'4月份挂账'!S:S,A22)-SUMIFS('4月份挂账'!P:P,'4月份挂账'!S:S,A22)</f>
        <v>0</v>
      </c>
      <c r="G22" s="100">
        <f t="shared" si="0"/>
        <v>0</v>
      </c>
      <c r="H22" s="100">
        <f t="shared" si="1"/>
        <v>0</v>
      </c>
      <c r="I22" s="101">
        <f>G22</f>
        <v>0</v>
      </c>
      <c r="K22" s="42">
        <f t="shared" si="2"/>
        <v>0</v>
      </c>
      <c r="L22" s="42" t="s">
        <v>397</v>
      </c>
      <c r="M22" s="102">
        <f>-100-98-40</f>
        <v>-238</v>
      </c>
      <c r="N22" s="42">
        <v>-140</v>
      </c>
      <c r="O22" s="42" t="s">
        <v>398</v>
      </c>
    </row>
    <row r="23" customHeight="1" spans="1:13">
      <c r="A23" s="97" t="s">
        <v>258</v>
      </c>
      <c r="B23" s="42" t="str">
        <f>IFERROR(_xlfn.XLOOKUP('4月份计划'!A23,[5]UNEA!$B:$B,[5]UNEA!$B:$B),IFERROR(_xlfn.XLOOKUP('4月份计划'!A23,[5]MRHK!$B:$B,[5]MRHK!$B:$B),IFERROR(_xlfn.XLOOKUP('4月份计划'!A23,[5]MRHB!$B:$B,[5]MRHB!$B:$B),IFERROR(_xlfn.XLOOKUP('4月份计划'!A23,[5]HA6H!$B:$B,[5]HA6H!$B:$B),IFERROR(_xlfn.XLOOKUP('4月份计划'!A23,[5]HA6H!$B:$B,[5]HA6H!$B:$B)," ")))))</f>
        <v> </v>
      </c>
      <c r="C23" s="98">
        <f>SUMIFS('4月份科目余额表'!O:O,'4月份科目余额表'!D:D,A23)</f>
        <v>350596.84</v>
      </c>
      <c r="D23" s="99">
        <v>55884.93</v>
      </c>
      <c r="E23" s="99">
        <v>142974.79</v>
      </c>
      <c r="F23" s="99">
        <f>SUMIFS('4月份挂账'!Q:Q,'4月份挂账'!S:S,A23)-SUMIFS('4月份挂账'!P:P,'4月份挂账'!S:S,A23)</f>
        <v>151737.12</v>
      </c>
      <c r="G23" s="100">
        <f t="shared" si="0"/>
        <v>55884.93</v>
      </c>
      <c r="H23" s="100">
        <f t="shared" si="1"/>
        <v>0</v>
      </c>
      <c r="I23" s="101">
        <f>G23</f>
        <v>55884.93</v>
      </c>
      <c r="K23" s="42">
        <f t="shared" si="2"/>
        <v>198859.72</v>
      </c>
      <c r="L23" s="42" t="s">
        <v>372</v>
      </c>
      <c r="M23" s="102">
        <f>SUM(M4:M22)</f>
        <v>1311</v>
      </c>
    </row>
    <row r="24" customHeight="1" spans="1:11">
      <c r="A24" s="97" t="s">
        <v>259</v>
      </c>
      <c r="B24" s="42" t="str">
        <f>IFERROR(_xlfn.XLOOKUP('4月份计划'!A24,[5]UNEA!$B:$B,[5]UNEA!$B:$B),IFERROR(_xlfn.XLOOKUP('4月份计划'!A24,[5]MRHK!$B:$B,[5]MRHK!$B:$B),IFERROR(_xlfn.XLOOKUP('4月份计划'!A24,[5]MRHB!$B:$B,[5]MRHB!$B:$B),IFERROR(_xlfn.XLOOKUP('4月份计划'!A24,[5]HA6H!$B:$B,[5]HA6H!$B:$B),IFERROR(_xlfn.XLOOKUP('4月份计划'!A24,[5]HA6H!$B:$B,[5]HA6H!$B:$B)," ")))))</f>
        <v> </v>
      </c>
      <c r="C24" s="98">
        <f>SUMIFS('4月份科目余额表'!O:O,'4月份科目余额表'!D:D,A24)</f>
        <v>879249.8</v>
      </c>
      <c r="D24" s="99">
        <v>245761.44</v>
      </c>
      <c r="E24" s="99">
        <v>31448.35</v>
      </c>
      <c r="F24" s="99">
        <f>SUMIFS('4月份挂账'!Q:Q,'4月份挂账'!S:S,A24)-SUMIFS('4月份挂账'!P:P,'4月份挂账'!S:S,A24)</f>
        <v>602040.01</v>
      </c>
      <c r="G24" s="100">
        <f t="shared" si="0"/>
        <v>245761.44</v>
      </c>
      <c r="H24" s="100">
        <f t="shared" si="1"/>
        <v>0</v>
      </c>
      <c r="I24" s="101">
        <f>G24</f>
        <v>245761.44</v>
      </c>
      <c r="K24" s="42">
        <f t="shared" si="2"/>
        <v>277209.79</v>
      </c>
    </row>
    <row r="25" customHeight="1" spans="1:11">
      <c r="A25" s="97" t="s">
        <v>299</v>
      </c>
      <c r="B25" s="42" t="str">
        <f>IFERROR(_xlfn.XLOOKUP('4月份计划'!A25,[5]UNEA!$B:$B,[5]UNEA!$B:$B),IFERROR(_xlfn.XLOOKUP('4月份计划'!A25,[5]MRHK!$B:$B,[5]MRHK!$B:$B),IFERROR(_xlfn.XLOOKUP('4月份计划'!A25,[5]MRHB!$B:$B,[5]MRHB!$B:$B),IFERROR(_xlfn.XLOOKUP('4月份计划'!A25,[5]HA6H!$B:$B,[5]HA6H!$B:$B),IFERROR(_xlfn.XLOOKUP('4月份计划'!A25,[5]HA6H!$B:$B,[5]HA6H!$B:$B)," ")))))</f>
        <v> </v>
      </c>
      <c r="C25" s="98">
        <f>SUMIFS('4月份科目余额表'!O:O,'4月份科目余额表'!D:D,A25)</f>
        <v>715210.39</v>
      </c>
      <c r="D25" s="99">
        <v>209598.39</v>
      </c>
      <c r="E25" s="99">
        <v>207651.85</v>
      </c>
      <c r="F25" s="99">
        <f>SUMIFS('4月份挂账'!Q:Q,'4月份挂账'!S:S,A25)-SUMIFS('4月份挂账'!P:P,'4月份挂账'!S:S,A25)</f>
        <v>297960.15</v>
      </c>
      <c r="G25" s="100">
        <f t="shared" si="0"/>
        <v>209598.39</v>
      </c>
      <c r="H25" s="100">
        <f t="shared" si="1"/>
        <v>0</v>
      </c>
      <c r="I25" s="101">
        <f>G25</f>
        <v>209598.39</v>
      </c>
      <c r="K25" s="42">
        <f t="shared" si="2"/>
        <v>417250.24</v>
      </c>
    </row>
    <row r="26" customHeight="1" spans="1:11">
      <c r="A26" s="97" t="s">
        <v>260</v>
      </c>
      <c r="B26" s="42" t="str">
        <f>IFERROR(_xlfn.XLOOKUP('4月份计划'!A26,[5]UNEA!$B:$B,[5]UNEA!$B:$B),IFERROR(_xlfn.XLOOKUP('4月份计划'!A26,[5]MRHK!$B:$B,[5]MRHK!$B:$B),IFERROR(_xlfn.XLOOKUP('4月份计划'!A26,[5]MRHB!$B:$B,[5]MRHB!$B:$B),IFERROR(_xlfn.XLOOKUP('4月份计划'!A26,[5]HA6H!$B:$B,[5]HA6H!$B:$B),IFERROR(_xlfn.XLOOKUP('4月份计划'!A26,[5]HA6H!$B:$B,[5]HA6H!$B:$B)," ")))))</f>
        <v> </v>
      </c>
      <c r="C26" s="98">
        <f>SUMIFS('4月份科目余额表'!O:O,'4月份科目余额表'!D:D,A26)</f>
        <v>134938.5</v>
      </c>
      <c r="D26" s="99">
        <v>79305.92</v>
      </c>
      <c r="E26" s="99">
        <v>55632.58</v>
      </c>
      <c r="F26" s="99">
        <f>SUMIFS('4月份挂账'!Q:Q,'4月份挂账'!S:S,A26)-SUMIFS('4月份挂账'!P:P,'4月份挂账'!S:S,A26)</f>
        <v>0</v>
      </c>
      <c r="G26" s="100">
        <f t="shared" si="0"/>
        <v>79305.92</v>
      </c>
      <c r="H26" s="100">
        <f t="shared" si="1"/>
        <v>0</v>
      </c>
      <c r="I26" s="101">
        <v>40000</v>
      </c>
      <c r="K26" s="42">
        <f t="shared" si="2"/>
        <v>134938.5</v>
      </c>
    </row>
    <row r="27" customHeight="1" spans="1:11">
      <c r="A27" s="97" t="s">
        <v>261</v>
      </c>
      <c r="B27" s="42" t="str">
        <f>IFERROR(_xlfn.XLOOKUP('4月份计划'!A27,[5]UNEA!$B:$B,[5]UNEA!$B:$B),IFERROR(_xlfn.XLOOKUP('4月份计划'!A27,[5]MRHK!$B:$B,[5]MRHK!$B:$B),IFERROR(_xlfn.XLOOKUP('4月份计划'!A27,[5]MRHB!$B:$B,[5]MRHB!$B:$B),IFERROR(_xlfn.XLOOKUP('4月份计划'!A27,[5]HA6H!$B:$B,[5]HA6H!$B:$B),IFERROR(_xlfn.XLOOKUP('4月份计划'!A27,[5]HA6H!$B:$B,[5]HA6H!$B:$B)," ")))))</f>
        <v> </v>
      </c>
      <c r="C27" s="98">
        <f>SUMIFS('4月份科目余额表'!O:O,'4月份科目余额表'!D:D,A27)</f>
        <v>477575.61</v>
      </c>
      <c r="D27" s="99">
        <v>0</v>
      </c>
      <c r="E27" s="99">
        <v>373979</v>
      </c>
      <c r="F27" s="99">
        <v>373979</v>
      </c>
      <c r="G27" s="100">
        <f t="shared" si="0"/>
        <v>0</v>
      </c>
      <c r="H27" s="100">
        <f t="shared" si="1"/>
        <v>0</v>
      </c>
      <c r="I27" s="101">
        <v>200000</v>
      </c>
      <c r="K27" s="42">
        <f t="shared" si="2"/>
        <v>103596.61</v>
      </c>
    </row>
    <row r="28" customHeight="1" spans="1:11">
      <c r="A28" s="97" t="s">
        <v>262</v>
      </c>
      <c r="B28" s="42" t="str">
        <f>IFERROR(_xlfn.XLOOKUP('4月份计划'!A28,[5]UNEA!$B:$B,[5]UNEA!$B:$B),IFERROR(_xlfn.XLOOKUP('4月份计划'!A28,[5]MRHK!$B:$B,[5]MRHK!$B:$B),IFERROR(_xlfn.XLOOKUP('4月份计划'!A28,[5]MRHB!$B:$B,[5]MRHB!$B:$B),IFERROR(_xlfn.XLOOKUP('4月份计划'!A28,[5]HA6H!$B:$B,[5]HA6H!$B:$B),IFERROR(_xlfn.XLOOKUP('4月份计划'!A28,[5]HA6H!$B:$B,[5]HA6H!$B:$B)," ")))))</f>
        <v> </v>
      </c>
      <c r="C28" s="98">
        <f>SUMIFS('4月份科目余额表'!O:O,'4月份科目余额表'!D:D,A28)</f>
        <v>472439</v>
      </c>
      <c r="D28" s="99">
        <v>211574.1</v>
      </c>
      <c r="E28" s="99">
        <v>0</v>
      </c>
      <c r="F28" s="99">
        <f>SUMIFS('4月份挂账'!Q:Q,'4月份挂账'!S:S,A28)-SUMIFS('4月份挂账'!P:P,'4月份挂账'!S:S,A28)</f>
        <v>0</v>
      </c>
      <c r="G28" s="100">
        <f t="shared" si="0"/>
        <v>472439</v>
      </c>
      <c r="H28" s="100">
        <f t="shared" si="1"/>
        <v>260864.9</v>
      </c>
      <c r="I28" s="101">
        <v>100000</v>
      </c>
      <c r="K28" s="42">
        <f t="shared" si="2"/>
        <v>472439</v>
      </c>
    </row>
    <row r="29" customHeight="1" spans="1:11">
      <c r="A29" s="97" t="s">
        <v>263</v>
      </c>
      <c r="B29" s="42" t="str">
        <f>IFERROR(_xlfn.XLOOKUP('4月份计划'!A29,[5]UNEA!$B:$B,[5]UNEA!$B:$B),IFERROR(_xlfn.XLOOKUP('4月份计划'!A29,[5]MRHK!$B:$B,[5]MRHK!$B:$B),IFERROR(_xlfn.XLOOKUP('4月份计划'!A29,[5]MRHB!$B:$B,[5]MRHB!$B:$B),IFERROR(_xlfn.XLOOKUP('4月份计划'!A29,[5]HA6H!$B:$B,[5]HA6H!$B:$B),IFERROR(_xlfn.XLOOKUP('4月份计划'!A29,[5]HA6H!$B:$B,[5]HA6H!$B:$B)," ")))))</f>
        <v>武汉德锐隆科技有限公司</v>
      </c>
      <c r="C29" s="98">
        <f>SUMIFS('4月份科目余额表'!O:O,'4月份科目余额表'!D:D,A29)</f>
        <v>411410.89</v>
      </c>
      <c r="D29" s="99">
        <v>201467.66</v>
      </c>
      <c r="E29" s="99">
        <v>101200.14</v>
      </c>
      <c r="F29" s="99">
        <v>108743.09</v>
      </c>
      <c r="G29" s="100">
        <f t="shared" si="0"/>
        <v>201467.66</v>
      </c>
      <c r="H29" s="100">
        <f t="shared" si="1"/>
        <v>0</v>
      </c>
      <c r="I29" s="101">
        <v>200000</v>
      </c>
      <c r="K29" s="42">
        <f t="shared" si="2"/>
        <v>302667.8</v>
      </c>
    </row>
    <row r="30" customHeight="1" spans="1:11">
      <c r="A30" s="97" t="s">
        <v>264</v>
      </c>
      <c r="B30" s="42" t="str">
        <f>IFERROR(_xlfn.XLOOKUP('4月份计划'!A30,[5]UNEA!$B:$B,[5]UNEA!$B:$B),IFERROR(_xlfn.XLOOKUP('4月份计划'!A30,[5]MRHK!$B:$B,[5]MRHK!$B:$B),IFERROR(_xlfn.XLOOKUP('4月份计划'!A30,[5]MRHB!$B:$B,[5]MRHB!$B:$B),IFERROR(_xlfn.XLOOKUP('4月份计划'!A30,[5]HA6H!$B:$B,[5]HA6H!$B:$B),IFERROR(_xlfn.XLOOKUP('4月份计划'!A30,[5]HA6H!$B:$B,[5]HA6H!$B:$B)," ")))))</f>
        <v> </v>
      </c>
      <c r="C30" s="98">
        <f>SUMIFS('4月份科目余额表'!O:O,'4月份科目余额表'!D:D,A30)</f>
        <v>2122050.08</v>
      </c>
      <c r="D30" s="99">
        <v>394216.99</v>
      </c>
      <c r="E30" s="99">
        <v>373082.59</v>
      </c>
      <c r="F30" s="99">
        <f>SUMIFS('4月份挂账'!Q:Q,'4月份挂账'!S:S,A30)-SUMIFS('4月份挂账'!P:P,'4月份挂账'!S:S,A30)</f>
        <v>473708.12</v>
      </c>
      <c r="G30" s="100">
        <f t="shared" si="0"/>
        <v>1275259.37</v>
      </c>
      <c r="H30" s="100">
        <f t="shared" si="1"/>
        <v>881042.38</v>
      </c>
      <c r="I30" s="101">
        <v>580000</v>
      </c>
      <c r="K30" s="42">
        <f t="shared" si="2"/>
        <v>1648341.96</v>
      </c>
    </row>
    <row r="31" customHeight="1" spans="1:11">
      <c r="A31" s="97" t="s">
        <v>265</v>
      </c>
      <c r="B31" s="42" t="str">
        <f>IFERROR(_xlfn.XLOOKUP('4月份计划'!A31,[5]UNEA!$B:$B,[5]UNEA!$B:$B),IFERROR(_xlfn.XLOOKUP('4月份计划'!A31,[5]MRHK!$B:$B,[5]MRHK!$B:$B),IFERROR(_xlfn.XLOOKUP('4月份计划'!A31,[5]MRHB!$B:$B,[5]MRHB!$B:$B),IFERROR(_xlfn.XLOOKUP('4月份计划'!A31,[5]HA6H!$B:$B,[5]HA6H!$B:$B),IFERROR(_xlfn.XLOOKUP('4月份计划'!A31,[5]HA6H!$B:$B,[5]HA6H!$B:$B)," ")))))</f>
        <v> </v>
      </c>
      <c r="C31" s="98">
        <f>SUMIFS('4月份科目余额表'!O:O,'4月份科目余额表'!D:D,A31)</f>
        <v>2965588.26</v>
      </c>
      <c r="D31" s="99">
        <v>1074171.99</v>
      </c>
      <c r="E31" s="99">
        <v>775251.12</v>
      </c>
      <c r="F31" s="99">
        <f>SUMIFS('4月份挂账'!Q:Q,'4月份挂账'!S:S,A31)-SUMIFS('4月份挂账'!P:P,'4月份挂账'!S:S,A31)</f>
        <v>1104886.22</v>
      </c>
      <c r="G31" s="100">
        <f t="shared" si="0"/>
        <v>1085450.92</v>
      </c>
      <c r="H31" s="100">
        <f t="shared" si="1"/>
        <v>11278.9299999999</v>
      </c>
      <c r="I31" s="101">
        <v>500000</v>
      </c>
      <c r="K31" s="42">
        <f t="shared" si="2"/>
        <v>1860702.04</v>
      </c>
    </row>
    <row r="32" customHeight="1" spans="1:11">
      <c r="A32" s="97" t="s">
        <v>267</v>
      </c>
      <c r="B32" s="42" t="str">
        <f>IFERROR(_xlfn.XLOOKUP('4月份计划'!A32,[5]UNEA!$B:$B,[5]UNEA!$B:$B),IFERROR(_xlfn.XLOOKUP('4月份计划'!A32,[5]MRHK!$B:$B,[5]MRHK!$B:$B),IFERROR(_xlfn.XLOOKUP('4月份计划'!A32,[5]MRHB!$B:$B,[5]MRHB!$B:$B),IFERROR(_xlfn.XLOOKUP('4月份计划'!A32,[5]HA6H!$B:$B,[5]HA6H!$B:$B),IFERROR(_xlfn.XLOOKUP('4月份计划'!A32,[5]HA6H!$B:$B,[5]HA6H!$B:$B)," ")))))</f>
        <v> </v>
      </c>
      <c r="C32" s="98">
        <f>SUMIFS('4月份科目余额表'!O:O,'4月份科目余额表'!D:D,A32)</f>
        <v>19861</v>
      </c>
      <c r="D32" s="99">
        <v>6900.35</v>
      </c>
      <c r="E32" s="99">
        <v>6000.3</v>
      </c>
      <c r="F32" s="99">
        <f>SUMIFS('4月份挂账'!Q:Q,'4月份挂账'!S:S,A32)-SUMIFS('4月份挂账'!P:P,'4月份挂账'!S:S,A32)</f>
        <v>6960.35</v>
      </c>
      <c r="G32" s="100">
        <f t="shared" si="0"/>
        <v>6900.35</v>
      </c>
      <c r="H32" s="100">
        <f t="shared" si="1"/>
        <v>0</v>
      </c>
      <c r="I32" s="101">
        <f t="shared" ref="I32:I38" si="3">G32</f>
        <v>6900.35</v>
      </c>
      <c r="K32" s="42">
        <f t="shared" si="2"/>
        <v>12900.65</v>
      </c>
    </row>
    <row r="33" customHeight="1" spans="1:11">
      <c r="A33" s="97" t="s">
        <v>268</v>
      </c>
      <c r="B33" s="42" t="str">
        <f>IFERROR(_xlfn.XLOOKUP('4月份计划'!A33,[5]UNEA!$B:$B,[5]UNEA!$B:$B),IFERROR(_xlfn.XLOOKUP('4月份计划'!A33,[5]MRHK!$B:$B,[5]MRHK!$B:$B),IFERROR(_xlfn.XLOOKUP('4月份计划'!A33,[5]MRHB!$B:$B,[5]MRHB!$B:$B),IFERROR(_xlfn.XLOOKUP('4月份计划'!A33,[5]HA6H!$B:$B,[5]HA6H!$B:$B),IFERROR(_xlfn.XLOOKUP('4月份计划'!A33,[5]HA6H!$B:$B,[5]HA6H!$B:$B)," ")))))</f>
        <v> </v>
      </c>
      <c r="C33" s="98">
        <f>SUMIFS('4月份科目余额表'!O:O,'4月份科目余额表'!D:D,A33)</f>
        <v>25062.5</v>
      </c>
      <c r="D33" s="99">
        <v>25062.5</v>
      </c>
      <c r="E33" s="99">
        <v>0</v>
      </c>
      <c r="F33" s="99">
        <f>SUMIFS('4月份挂账'!Q:Q,'4月份挂账'!S:S,A33)-SUMIFS('4月份挂账'!P:P,'4月份挂账'!S:S,A33)</f>
        <v>0</v>
      </c>
      <c r="G33" s="100">
        <f t="shared" si="0"/>
        <v>25062.5</v>
      </c>
      <c r="H33" s="100">
        <f t="shared" si="1"/>
        <v>0</v>
      </c>
      <c r="I33" s="101">
        <f t="shared" si="3"/>
        <v>25062.5</v>
      </c>
      <c r="K33" s="42">
        <f t="shared" si="2"/>
        <v>25062.5</v>
      </c>
    </row>
    <row r="34" customHeight="1" spans="1:11">
      <c r="A34" s="97" t="s">
        <v>300</v>
      </c>
      <c r="B34" s="42" t="str">
        <f>IFERROR(_xlfn.XLOOKUP('4月份计划'!A34,[5]UNEA!$B:$B,[5]UNEA!$B:$B),IFERROR(_xlfn.XLOOKUP('4月份计划'!A34,[5]MRHK!$B:$B,[5]MRHK!$B:$B),IFERROR(_xlfn.XLOOKUP('4月份计划'!A34,[5]MRHB!$B:$B,[5]MRHB!$B:$B),IFERROR(_xlfn.XLOOKUP('4月份计划'!A34,[5]HA6H!$B:$B,[5]HA6H!$B:$B),IFERROR(_xlfn.XLOOKUP('4月份计划'!A34,[5]HA6H!$B:$B,[5]HA6H!$B:$B)," ")))))</f>
        <v> </v>
      </c>
      <c r="C34" s="98">
        <f>SUMIFS('4月份科目余额表'!O:O,'4月份科目余额表'!D:D,A34)</f>
        <v>399612.59</v>
      </c>
      <c r="D34" s="99">
        <v>286144.77</v>
      </c>
      <c r="E34" s="99">
        <v>18852.92</v>
      </c>
      <c r="F34" s="99">
        <f>SUMIFS('4月份挂账'!Q:Q,'4月份挂账'!S:S,A34)-SUMIFS('4月份挂账'!P:P,'4月份挂账'!S:S,A34)</f>
        <v>94614.9</v>
      </c>
      <c r="G34" s="100">
        <f t="shared" si="0"/>
        <v>286144.77</v>
      </c>
      <c r="H34" s="100">
        <f t="shared" si="1"/>
        <v>0</v>
      </c>
      <c r="I34" s="101">
        <f t="shared" si="3"/>
        <v>286144.77</v>
      </c>
      <c r="K34" s="42">
        <f t="shared" si="2"/>
        <v>304997.69</v>
      </c>
    </row>
    <row r="35" customHeight="1" spans="1:11">
      <c r="A35" s="97" t="s">
        <v>301</v>
      </c>
      <c r="B35" s="42" t="str">
        <f>IFERROR(_xlfn.XLOOKUP('4月份计划'!A35,[5]UNEA!$B:$B,[5]UNEA!$B:$B),IFERROR(_xlfn.XLOOKUP('4月份计划'!A35,[5]MRHK!$B:$B,[5]MRHK!$B:$B),IFERROR(_xlfn.XLOOKUP('4月份计划'!A35,[5]MRHB!$B:$B,[5]MRHB!$B:$B),IFERROR(_xlfn.XLOOKUP('4月份计划'!A35,[5]HA6H!$B:$B,[5]HA6H!$B:$B),IFERROR(_xlfn.XLOOKUP('4月份计划'!A35,[5]HA6H!$B:$B,[5]HA6H!$B:$B)," ")))))</f>
        <v> </v>
      </c>
      <c r="C35" s="98">
        <f>SUMIFS('4月份科目余额表'!O:O,'4月份科目余额表'!D:D,A35)</f>
        <v>3368.22</v>
      </c>
      <c r="D35" s="99">
        <v>0</v>
      </c>
      <c r="E35" s="99">
        <v>3368.22</v>
      </c>
      <c r="F35" s="99">
        <f>SUMIFS('4月份挂账'!Q:Q,'4月份挂账'!S:S,A35)-SUMIFS('4月份挂账'!P:P,'4月份挂账'!S:S,A35)</f>
        <v>0</v>
      </c>
      <c r="G35" s="100">
        <f t="shared" si="0"/>
        <v>0</v>
      </c>
      <c r="H35" s="100">
        <f t="shared" si="1"/>
        <v>0</v>
      </c>
      <c r="I35" s="101">
        <f t="shared" si="3"/>
        <v>0</v>
      </c>
      <c r="K35" s="42">
        <f t="shared" si="2"/>
        <v>3368.22</v>
      </c>
    </row>
    <row r="36" customHeight="1" spans="1:11">
      <c r="A36" s="97" t="s">
        <v>269</v>
      </c>
      <c r="B36" s="42" t="str">
        <f>IFERROR(_xlfn.XLOOKUP('4月份计划'!A36,[5]UNEA!$B:$B,[5]UNEA!$B:$B),IFERROR(_xlfn.XLOOKUP('4月份计划'!A36,[5]MRHK!$B:$B,[5]MRHK!$B:$B),IFERROR(_xlfn.XLOOKUP('4月份计划'!A36,[5]MRHB!$B:$B,[5]MRHB!$B:$B),IFERROR(_xlfn.XLOOKUP('4月份计划'!A36,[5]HA6H!$B:$B,[5]HA6H!$B:$B),IFERROR(_xlfn.XLOOKUP('4月份计划'!A36,[5]HA6H!$B:$B,[5]HA6H!$B:$B)," ")))))</f>
        <v> </v>
      </c>
      <c r="C36" s="98">
        <f>SUMIFS('4月份科目余额表'!O:O,'4月份科目余额表'!D:D,A36)</f>
        <v>-57773.91</v>
      </c>
      <c r="D36" s="99">
        <v>0</v>
      </c>
      <c r="E36" s="99">
        <v>45616.8</v>
      </c>
      <c r="F36" s="99">
        <f>SUMIFS('4月份挂账'!Q:Q,'4月份挂账'!S:S,A36)-SUMIFS('4月份挂账'!P:P,'4月份挂账'!S:S,A36)</f>
        <v>0</v>
      </c>
      <c r="G36" s="100">
        <f t="shared" si="0"/>
        <v>0</v>
      </c>
      <c r="H36" s="100">
        <f t="shared" si="1"/>
        <v>0</v>
      </c>
      <c r="I36" s="101">
        <f t="shared" si="3"/>
        <v>0</v>
      </c>
      <c r="K36" s="42">
        <f t="shared" si="2"/>
        <v>0</v>
      </c>
    </row>
    <row r="37" customHeight="1" spans="1:11">
      <c r="A37" s="97" t="s">
        <v>270</v>
      </c>
      <c r="B37" s="42" t="str">
        <f>IFERROR(_xlfn.XLOOKUP('4月份计划'!A37,[5]UNEA!$B:$B,[5]UNEA!$B:$B),IFERROR(_xlfn.XLOOKUP('4月份计划'!A37,[5]MRHK!$B:$B,[5]MRHK!$B:$B),IFERROR(_xlfn.XLOOKUP('4月份计划'!A37,[5]MRHB!$B:$B,[5]MRHB!$B:$B),IFERROR(_xlfn.XLOOKUP('4月份计划'!A37,[5]HA6H!$B:$B,[5]HA6H!$B:$B),IFERROR(_xlfn.XLOOKUP('4月份计划'!A37,[5]HA6H!$B:$B,[5]HA6H!$B:$B)," ")))))</f>
        <v> </v>
      </c>
      <c r="C37" s="98">
        <f>SUMIFS('4月份科目余额表'!O:O,'4月份科目余额表'!D:D,A37)</f>
        <v>24126.98</v>
      </c>
      <c r="D37" s="99">
        <v>13311.88</v>
      </c>
      <c r="E37" s="99">
        <v>4024.8</v>
      </c>
      <c r="F37" s="99">
        <f>SUMIFS('4月份挂账'!Q:Q,'4月份挂账'!S:S,A37)-SUMIFS('4月份挂账'!P:P,'4月份挂账'!S:S,A37)</f>
        <v>6790.3</v>
      </c>
      <c r="G37" s="100">
        <f t="shared" si="0"/>
        <v>13311.88</v>
      </c>
      <c r="H37" s="100">
        <f t="shared" si="1"/>
        <v>0</v>
      </c>
      <c r="I37" s="101">
        <f t="shared" si="3"/>
        <v>13311.88</v>
      </c>
      <c r="K37" s="42">
        <f t="shared" si="2"/>
        <v>17336.68</v>
      </c>
    </row>
    <row r="38" customHeight="1" spans="1:11">
      <c r="A38" s="97" t="s">
        <v>271</v>
      </c>
      <c r="B38" s="42" t="str">
        <f>IFERROR(_xlfn.XLOOKUP('4月份计划'!A38,[5]UNEA!$B:$B,[5]UNEA!$B:$B),IFERROR(_xlfn.XLOOKUP('4月份计划'!A38,[5]MRHK!$B:$B,[5]MRHK!$B:$B),IFERROR(_xlfn.XLOOKUP('4月份计划'!A38,[5]MRHB!$B:$B,[5]MRHB!$B:$B),IFERROR(_xlfn.XLOOKUP('4月份计划'!A38,[5]HA6H!$B:$B,[5]HA6H!$B:$B),IFERROR(_xlfn.XLOOKUP('4月份计划'!A38,[5]HA6H!$B:$B,[5]HA6H!$B:$B)," ")))))</f>
        <v> </v>
      </c>
      <c r="C38" s="98">
        <f>SUMIFS('4月份科目余额表'!O:O,'4月份科目余额表'!D:D,A38)</f>
        <v>22774.59</v>
      </c>
      <c r="D38" s="99">
        <v>0</v>
      </c>
      <c r="E38" s="99">
        <v>0</v>
      </c>
      <c r="F38" s="99">
        <f>SUMIFS('4月份挂账'!Q:Q,'4月份挂账'!S:S,A38)-SUMIFS('4月份挂账'!P:P,'4月份挂账'!S:S,A38)</f>
        <v>0</v>
      </c>
      <c r="G38" s="100">
        <f t="shared" si="0"/>
        <v>22774.59</v>
      </c>
      <c r="H38" s="100">
        <f t="shared" si="1"/>
        <v>22774.59</v>
      </c>
      <c r="I38" s="101">
        <f t="shared" si="3"/>
        <v>22774.59</v>
      </c>
      <c r="K38" s="42">
        <f t="shared" si="2"/>
        <v>22774.59</v>
      </c>
    </row>
    <row r="39" customHeight="1" spans="1:11">
      <c r="A39" s="97" t="s">
        <v>272</v>
      </c>
      <c r="B39" s="42" t="str">
        <f>IFERROR(_xlfn.XLOOKUP('4月份计划'!A39,[5]UNEA!$B:$B,[5]UNEA!$B:$B),IFERROR(_xlfn.XLOOKUP('4月份计划'!A39,[5]MRHK!$B:$B,[5]MRHK!$B:$B),IFERROR(_xlfn.XLOOKUP('4月份计划'!A39,[5]MRHB!$B:$B,[5]MRHB!$B:$B),IFERROR(_xlfn.XLOOKUP('4月份计划'!A39,[5]HA6H!$B:$B,[5]HA6H!$B:$B),IFERROR(_xlfn.XLOOKUP('4月份计划'!A39,[5]HA6H!$B:$B,[5]HA6H!$B:$B)," ")))))</f>
        <v> </v>
      </c>
      <c r="C39" s="98">
        <f>SUMIFS('4月份科目余额表'!O:O,'4月份科目余额表'!D:D,A39)</f>
        <v>139251.17</v>
      </c>
      <c r="D39" s="99">
        <v>80150.92</v>
      </c>
      <c r="E39" s="99">
        <v>59100.25</v>
      </c>
      <c r="F39" s="99">
        <f>SUMIFS('4月份挂账'!Q:Q,'4月份挂账'!S:S,A39)-SUMIFS('4月份挂账'!P:P,'4月份挂账'!S:S,A39)</f>
        <v>0</v>
      </c>
      <c r="G39" s="100">
        <f t="shared" si="0"/>
        <v>80150.92</v>
      </c>
      <c r="H39" s="100">
        <f t="shared" si="1"/>
        <v>0</v>
      </c>
      <c r="I39" s="101">
        <v>60000</v>
      </c>
      <c r="K39" s="42">
        <f t="shared" si="2"/>
        <v>139251.17</v>
      </c>
    </row>
    <row r="40" customHeight="1" spans="1:11">
      <c r="A40" s="97" t="s">
        <v>273</v>
      </c>
      <c r="B40" s="42" t="str">
        <f>IFERROR(_xlfn.XLOOKUP('4月份计划'!A40,[5]UNEA!$B:$B,[5]UNEA!$B:$B),IFERROR(_xlfn.XLOOKUP('4月份计划'!A40,[5]MRHK!$B:$B,[5]MRHK!$B:$B),IFERROR(_xlfn.XLOOKUP('4月份计划'!A40,[5]MRHB!$B:$B,[5]MRHB!$B:$B),IFERROR(_xlfn.XLOOKUP('4月份计划'!A40,[5]HA6H!$B:$B,[5]HA6H!$B:$B),IFERROR(_xlfn.XLOOKUP('4月份计划'!A40,[5]HA6H!$B:$B,[5]HA6H!$B:$B)," ")))))</f>
        <v>长春超力内饰件有限公司</v>
      </c>
      <c r="C40" s="98">
        <f>SUMIFS('4月份科目余额表'!O:O,'4月份科目余额表'!D:D,A40)</f>
        <v>21652.61</v>
      </c>
      <c r="D40" s="99">
        <v>0</v>
      </c>
      <c r="E40" s="99">
        <v>21652.61</v>
      </c>
      <c r="F40" s="99">
        <f>SUMIFS('4月份挂账'!Q:Q,'4月份挂账'!S:S,A40)-SUMIFS('4月份挂账'!P:P,'4月份挂账'!S:S,A40)</f>
        <v>0</v>
      </c>
      <c r="G40" s="100">
        <f t="shared" si="0"/>
        <v>0</v>
      </c>
      <c r="H40" s="100">
        <f t="shared" si="1"/>
        <v>0</v>
      </c>
      <c r="K40" s="42">
        <f t="shared" si="2"/>
        <v>21652.61</v>
      </c>
    </row>
    <row r="41" customHeight="1" spans="1:11">
      <c r="A41" s="112" t="s">
        <v>302</v>
      </c>
      <c r="B41" s="42" t="str">
        <f>IFERROR(_xlfn.XLOOKUP('4月份计划'!A41,[5]UNEA!$B:$B,[5]UNEA!$B:$B),IFERROR(_xlfn.XLOOKUP('4月份计划'!A41,[5]MRHK!$B:$B,[5]MRHK!$B:$B),IFERROR(_xlfn.XLOOKUP('4月份计划'!A41,[5]MRHB!$B:$B,[5]MRHB!$B:$B),IFERROR(_xlfn.XLOOKUP('4月份计划'!A41,[5]HA6H!$B:$B,[5]HA6H!$B:$B),IFERROR(_xlfn.XLOOKUP('4月份计划'!A41,[5]HA6H!$B:$B,[5]HA6H!$B:$B)," ")))))</f>
        <v> </v>
      </c>
      <c r="C41" s="98">
        <f>SUMIFS('4月份科目余额表'!O:O,'4月份科目余额表'!D:D,A41)</f>
        <v>122571.67</v>
      </c>
      <c r="D41" s="99">
        <v>0</v>
      </c>
      <c r="E41" s="99">
        <v>678</v>
      </c>
      <c r="F41" s="99">
        <f>SUMIFS('4月份挂账'!Q:Q,'4月份挂账'!S:S,A41)-SUMIFS('4月份挂账'!P:P,'4月份挂账'!S:S,A41)</f>
        <v>0</v>
      </c>
      <c r="G41" s="100">
        <f t="shared" si="0"/>
        <v>121893.67</v>
      </c>
      <c r="H41" s="100">
        <f t="shared" si="1"/>
        <v>121893.67</v>
      </c>
      <c r="K41" s="42">
        <f t="shared" si="2"/>
        <v>122571.67</v>
      </c>
    </row>
    <row r="42" customHeight="1" spans="1:11">
      <c r="A42" s="112" t="s">
        <v>274</v>
      </c>
      <c r="B42" s="42" t="str">
        <f>IFERROR(_xlfn.XLOOKUP('4月份计划'!A42,[5]UNEA!$B:$B,[5]UNEA!$B:$B),IFERROR(_xlfn.XLOOKUP('4月份计划'!A42,[5]MRHK!$B:$B,[5]MRHK!$B:$B),IFERROR(_xlfn.XLOOKUP('4月份计划'!A42,[5]MRHB!$B:$B,[5]MRHB!$B:$B),IFERROR(_xlfn.XLOOKUP('4月份计划'!A42,[5]HA6H!$B:$B,[5]HA6H!$B:$B),IFERROR(_xlfn.XLOOKUP('4月份计划'!A42,[5]HA6H!$B:$B,[5]HA6H!$B:$B)," ")))))</f>
        <v> </v>
      </c>
      <c r="C42" s="98">
        <f>SUMIFS('4月份科目余额表'!O:O,'4月份科目余额表'!D:D,A42)</f>
        <v>280465.08</v>
      </c>
      <c r="D42" s="99">
        <v>0</v>
      </c>
      <c r="E42" s="99">
        <v>48300.51</v>
      </c>
      <c r="F42" s="99">
        <f>SUMIFS('4月份挂账'!Q:Q,'4月份挂账'!S:S,A42)-SUMIFS('4月份挂账'!P:P,'4月份挂账'!S:S,A42)</f>
        <v>0</v>
      </c>
      <c r="G42" s="100">
        <f t="shared" si="0"/>
        <v>232164.57</v>
      </c>
      <c r="H42" s="100">
        <f t="shared" si="1"/>
        <v>232164.57</v>
      </c>
      <c r="K42" s="42">
        <f t="shared" si="2"/>
        <v>280465.08</v>
      </c>
    </row>
    <row r="43" customHeight="1" spans="1:11">
      <c r="A43" s="97" t="s">
        <v>275</v>
      </c>
      <c r="B43" s="42" t="str">
        <f>IFERROR(_xlfn.XLOOKUP('4月份计划'!A43,[5]UNEA!$B:$B,[5]UNEA!$B:$B),IFERROR(_xlfn.XLOOKUP('4月份计划'!A43,[5]MRHK!$B:$B,[5]MRHK!$B:$B),IFERROR(_xlfn.XLOOKUP('4月份计划'!A43,[5]MRHB!$B:$B,[5]MRHB!$B:$B),IFERROR(_xlfn.XLOOKUP('4月份计划'!A43,[5]HA6H!$B:$B,[5]HA6H!$B:$B),IFERROR(_xlfn.XLOOKUP('4月份计划'!A43,[5]HA6H!$B:$B,[5]HA6H!$B:$B)," ")))))</f>
        <v> </v>
      </c>
      <c r="C43" s="98">
        <f>SUMIFS('4月份科目余额表'!O:O,'4月份科目余额表'!D:D,A43)</f>
        <v>5326.28</v>
      </c>
      <c r="D43" s="99">
        <v>5326.28</v>
      </c>
      <c r="E43" s="99">
        <v>0</v>
      </c>
      <c r="F43" s="99">
        <f>SUMIFS('4月份挂账'!Q:Q,'4月份挂账'!S:S,A43)-SUMIFS('4月份挂账'!P:P,'4月份挂账'!S:S,A43)</f>
        <v>0</v>
      </c>
      <c r="G43" s="100">
        <f t="shared" si="0"/>
        <v>5326.28</v>
      </c>
      <c r="H43" s="100">
        <f t="shared" si="1"/>
        <v>0</v>
      </c>
      <c r="I43" s="101">
        <f>G43</f>
        <v>5326.28</v>
      </c>
      <c r="K43" s="42">
        <f t="shared" si="2"/>
        <v>5326.28</v>
      </c>
    </row>
    <row r="44" customHeight="1" spans="1:11">
      <c r="A44" s="97" t="s">
        <v>276</v>
      </c>
      <c r="B44" s="42" t="str">
        <f>IFERROR(_xlfn.XLOOKUP('4月份计划'!A44,[5]UNEA!$B:$B,[5]UNEA!$B:$B),IFERROR(_xlfn.XLOOKUP('4月份计划'!A44,[5]MRHK!$B:$B,[5]MRHK!$B:$B),IFERROR(_xlfn.XLOOKUP('4月份计划'!A44,[5]MRHB!$B:$B,[5]MRHB!$B:$B),IFERROR(_xlfn.XLOOKUP('4月份计划'!A44,[5]HA6H!$B:$B,[5]HA6H!$B:$B),IFERROR(_xlfn.XLOOKUP('4月份计划'!A44,[5]HA6H!$B:$B,[5]HA6H!$B:$B)," ")))))</f>
        <v> </v>
      </c>
      <c r="C44" s="98">
        <f>SUMIFS('4月份科目余额表'!O:O,'4月份科目余额表'!D:D,A44)</f>
        <v>38188.24</v>
      </c>
      <c r="D44" s="99">
        <v>0</v>
      </c>
      <c r="E44" s="99">
        <v>0</v>
      </c>
      <c r="F44" s="99">
        <f>SUMIFS('4月份挂账'!Q:Q,'4月份挂账'!S:S,A44)-SUMIFS('4月份挂账'!P:P,'4月份挂账'!S:S,A44)</f>
        <v>0</v>
      </c>
      <c r="G44" s="100">
        <f t="shared" si="0"/>
        <v>38188.24</v>
      </c>
      <c r="H44" s="100">
        <f t="shared" si="1"/>
        <v>38188.24</v>
      </c>
      <c r="K44" s="42">
        <f t="shared" si="2"/>
        <v>38188.24</v>
      </c>
    </row>
    <row r="45" customHeight="1" spans="1:11">
      <c r="A45" s="110" t="s">
        <v>303</v>
      </c>
      <c r="B45" s="42" t="str">
        <f>IFERROR(_xlfn.XLOOKUP('4月份计划'!A45,[5]UNEA!$B:$B,[5]UNEA!$B:$B),IFERROR(_xlfn.XLOOKUP('4月份计划'!A45,[5]MRHK!$B:$B,[5]MRHK!$B:$B),IFERROR(_xlfn.XLOOKUP('4月份计划'!A45,[5]MRHB!$B:$B,[5]MRHB!$B:$B),IFERROR(_xlfn.XLOOKUP('4月份计划'!A45,[5]HA6H!$B:$B,[5]HA6H!$B:$B),IFERROR(_xlfn.XLOOKUP('4月份计划'!A45,[5]HA6H!$B:$B,[5]HA6H!$B:$B)," ")))))</f>
        <v> </v>
      </c>
      <c r="C45" s="98">
        <f>SUMIFS('4月份科目余额表'!O:O,'4月份科目余额表'!D:D,A45)</f>
        <v>391552</v>
      </c>
      <c r="D45" s="99">
        <v>0</v>
      </c>
      <c r="E45" s="99">
        <v>0</v>
      </c>
      <c r="F45" s="99">
        <f>SUMIFS('4月份挂账'!Q:Q,'4月份挂账'!S:S,A45)-SUMIFS('4月份挂账'!P:P,'4月份挂账'!S:S,A45)</f>
        <v>391552</v>
      </c>
      <c r="G45" s="100">
        <f t="shared" si="0"/>
        <v>0</v>
      </c>
      <c r="H45" s="100">
        <f t="shared" si="1"/>
        <v>0</v>
      </c>
      <c r="K45" s="42">
        <f t="shared" si="2"/>
        <v>0</v>
      </c>
    </row>
    <row r="46" customHeight="1" spans="1:11">
      <c r="A46" s="110" t="s">
        <v>277</v>
      </c>
      <c r="B46" s="42" t="str">
        <f>IFERROR(_xlfn.XLOOKUP('4月份计划'!A46,[5]UNEA!$B:$B,[5]UNEA!$B:$B),IFERROR(_xlfn.XLOOKUP('4月份计划'!A46,[5]MRHK!$B:$B,[5]MRHK!$B:$B),IFERROR(_xlfn.XLOOKUP('4月份计划'!A46,[5]MRHB!$B:$B,[5]MRHB!$B:$B),IFERROR(_xlfn.XLOOKUP('4月份计划'!A46,[5]HA6H!$B:$B,[5]HA6H!$B:$B),IFERROR(_xlfn.XLOOKUP('4月份计划'!A46,[5]HA6H!$B:$B,[5]HA6H!$B:$B)," ")))))</f>
        <v> </v>
      </c>
      <c r="C46" s="98">
        <f>SUMIFS('4月份科目余额表'!O:O,'4月份科目余额表'!D:D,A46)</f>
        <v>912912</v>
      </c>
      <c r="D46" s="99">
        <v>983536.47</v>
      </c>
      <c r="E46" s="99">
        <v>0</v>
      </c>
      <c r="F46" s="99">
        <f>SUMIFS('4月份挂账'!Q:Q,'4月份挂账'!S:S,A46)-SUMIFS('4月份挂账'!P:P,'4月份挂账'!S:S,A46)</f>
        <v>912912</v>
      </c>
      <c r="G46" s="100">
        <f t="shared" si="0"/>
        <v>0</v>
      </c>
      <c r="H46" s="100">
        <f t="shared" si="1"/>
        <v>0</v>
      </c>
      <c r="K46" s="42">
        <f t="shared" si="2"/>
        <v>0</v>
      </c>
    </row>
    <row r="47" customHeight="1" spans="1:11">
      <c r="A47" s="97" t="s">
        <v>304</v>
      </c>
      <c r="B47" s="42" t="str">
        <f>IFERROR(_xlfn.XLOOKUP('4月份计划'!A47,[5]UNEA!$B:$B,[5]UNEA!$B:$B),IFERROR(_xlfn.XLOOKUP('4月份计划'!A47,[5]MRHK!$B:$B,[5]MRHK!$B:$B),IFERROR(_xlfn.XLOOKUP('4月份计划'!A47,[5]MRHB!$B:$B,[5]MRHB!$B:$B),IFERROR(_xlfn.XLOOKUP('4月份计划'!A47,[5]HA6H!$B:$B,[5]HA6H!$B:$B),IFERROR(_xlfn.XLOOKUP('4月份计划'!A47,[5]HA6H!$B:$B,[5]HA6H!$B:$B)," ")))))</f>
        <v> </v>
      </c>
      <c r="C47" s="98">
        <f>SUMIFS('4月份科目余额表'!O:O,'4月份科目余额表'!D:D,A47)</f>
        <v>0</v>
      </c>
      <c r="D47" s="99">
        <v>0</v>
      </c>
      <c r="E47" s="99">
        <v>0</v>
      </c>
      <c r="F47" s="99">
        <f>SUMIFS('4月份挂账'!Q:Q,'4月份挂账'!S:S,A47)-SUMIFS('4月份挂账'!P:P,'4月份挂账'!S:S,A47)</f>
        <v>0</v>
      </c>
      <c r="G47" s="100">
        <f t="shared" si="0"/>
        <v>0</v>
      </c>
      <c r="H47" s="100">
        <f t="shared" si="1"/>
        <v>0</v>
      </c>
      <c r="K47" s="42">
        <f t="shared" si="2"/>
        <v>0</v>
      </c>
    </row>
    <row r="48" customHeight="1" spans="1:11">
      <c r="A48" s="97" t="s">
        <v>305</v>
      </c>
      <c r="B48" s="42" t="str">
        <f>IFERROR(_xlfn.XLOOKUP('4月份计划'!A48,[5]UNEA!$B:$B,[5]UNEA!$B:$B),IFERROR(_xlfn.XLOOKUP('4月份计划'!A48,[5]MRHK!$B:$B,[5]MRHK!$B:$B),IFERROR(_xlfn.XLOOKUP('4月份计划'!A48,[5]MRHB!$B:$B,[5]MRHB!$B:$B),IFERROR(_xlfn.XLOOKUP('4月份计划'!A48,[5]HA6H!$B:$B,[5]HA6H!$B:$B),IFERROR(_xlfn.XLOOKUP('4月份计划'!A48,[5]HA6H!$B:$B,[5]HA6H!$B:$B)," ")))))</f>
        <v> </v>
      </c>
      <c r="C48" s="98">
        <f>SUMIFS('4月份科目余额表'!O:O,'4月份科目余额表'!D:D,A48)</f>
        <v>3847.65</v>
      </c>
      <c r="D48" s="99">
        <v>4135.8</v>
      </c>
      <c r="E48" s="99">
        <v>3847.65</v>
      </c>
      <c r="F48" s="99">
        <f>SUMIFS('4月份挂账'!Q:Q,'4月份挂账'!S:S,A48)-SUMIFS('4月份挂账'!P:P,'4月份挂账'!S:S,A48)</f>
        <v>0</v>
      </c>
      <c r="G48" s="100">
        <f t="shared" si="0"/>
        <v>0</v>
      </c>
      <c r="H48" s="100">
        <f t="shared" si="1"/>
        <v>0</v>
      </c>
      <c r="K48" s="42">
        <f t="shared" si="2"/>
        <v>3847.65</v>
      </c>
    </row>
    <row r="49" customHeight="1" spans="1:11">
      <c r="A49" s="97" t="s">
        <v>278</v>
      </c>
      <c r="B49" s="42" t="str">
        <f>IFERROR(_xlfn.XLOOKUP('4月份计划'!A49,[5]UNEA!$B:$B,[5]UNEA!$B:$B),IFERROR(_xlfn.XLOOKUP('4月份计划'!A49,[5]MRHK!$B:$B,[5]MRHK!$B:$B),IFERROR(_xlfn.XLOOKUP('4月份计划'!A49,[5]MRHB!$B:$B,[5]MRHB!$B:$B),IFERROR(_xlfn.XLOOKUP('4月份计划'!A49,[5]HA6H!$B:$B,[5]HA6H!$B:$B),IFERROR(_xlfn.XLOOKUP('4月份计划'!A49,[5]HA6H!$B:$B,[5]HA6H!$B:$B)," ")))))</f>
        <v> </v>
      </c>
      <c r="C49" s="98">
        <f>SUMIFS('4月份科目余额表'!O:O,'4月份科目余额表'!D:D,A49)</f>
        <v>5279.36</v>
      </c>
      <c r="D49" s="99">
        <v>0</v>
      </c>
      <c r="E49" s="99">
        <v>0</v>
      </c>
      <c r="F49" s="99">
        <f>SUMIFS('4月份挂账'!Q:Q,'4月份挂账'!S:S,A49)-SUMIFS('4月份挂账'!P:P,'4月份挂账'!S:S,A49)</f>
        <v>5279.36</v>
      </c>
      <c r="G49" s="100">
        <f t="shared" si="0"/>
        <v>0</v>
      </c>
      <c r="H49" s="100">
        <f t="shared" si="1"/>
        <v>0</v>
      </c>
      <c r="K49" s="42">
        <f t="shared" si="2"/>
        <v>0</v>
      </c>
    </row>
    <row r="50" customHeight="1" spans="1:11">
      <c r="A50" s="97" t="s">
        <v>306</v>
      </c>
      <c r="B50" s="42" t="str">
        <f>IFERROR(_xlfn.XLOOKUP('4月份计划'!A50,[5]UNEA!$B:$B,[5]UNEA!$B:$B),IFERROR(_xlfn.XLOOKUP('4月份计划'!A50,[5]MRHK!$B:$B,[5]MRHK!$B:$B),IFERROR(_xlfn.XLOOKUP('4月份计划'!A50,[5]MRHB!$B:$B,[5]MRHB!$B:$B),IFERROR(_xlfn.XLOOKUP('4月份计划'!A50,[5]HA6H!$B:$B,[5]HA6H!$B:$B),IFERROR(_xlfn.XLOOKUP('4月份计划'!A50,[5]HA6H!$B:$B,[5]HA6H!$B:$B)," ")))))</f>
        <v> </v>
      </c>
      <c r="C50" s="98">
        <f>SUMIFS('4月份科目余额表'!O:O,'4月份科目余额表'!D:D,A50)</f>
        <v>41704.91</v>
      </c>
      <c r="D50" s="99">
        <v>22494.91</v>
      </c>
      <c r="E50" s="99">
        <v>0</v>
      </c>
      <c r="F50" s="99">
        <f>SUMIFS('4月份挂账'!Q:Q,'4月份挂账'!S:S,A50)-SUMIFS('4月份挂账'!P:P,'4月份挂账'!S:S,A50)</f>
        <v>19210</v>
      </c>
      <c r="G50" s="100">
        <f t="shared" si="0"/>
        <v>22494.91</v>
      </c>
      <c r="H50" s="100">
        <f t="shared" si="1"/>
        <v>0</v>
      </c>
      <c r="I50" s="101">
        <f t="shared" ref="I50:I67" si="4">G50</f>
        <v>22494.91</v>
      </c>
      <c r="K50" s="42">
        <f t="shared" si="2"/>
        <v>22494.91</v>
      </c>
    </row>
    <row r="51" customHeight="1" spans="1:11">
      <c r="A51" s="97" t="s">
        <v>279</v>
      </c>
      <c r="B51" s="42" t="str">
        <f>IFERROR(_xlfn.XLOOKUP('4月份计划'!A51,[5]UNEA!$B:$B,[5]UNEA!$B:$B),IFERROR(_xlfn.XLOOKUP('4月份计划'!A51,[5]MRHK!$B:$B,[5]MRHK!$B:$B),IFERROR(_xlfn.XLOOKUP('4月份计划'!A51,[5]MRHB!$B:$B,[5]MRHB!$B:$B),IFERROR(_xlfn.XLOOKUP('4月份计划'!A51,[5]HA6H!$B:$B,[5]HA6H!$B:$B),IFERROR(_xlfn.XLOOKUP('4月份计划'!A51,[5]HA6H!$B:$B,[5]HA6H!$B:$B)," ")))))</f>
        <v> </v>
      </c>
      <c r="C51" s="98">
        <f>SUMIFS('4月份科目余额表'!O:O,'4月份科目余额表'!D:D,A51)</f>
        <v>13932.9</v>
      </c>
      <c r="D51" s="99">
        <v>0</v>
      </c>
      <c r="E51" s="99">
        <v>0</v>
      </c>
      <c r="F51" s="99">
        <f>SUMIFS('4月份挂账'!Q:Q,'4月份挂账'!S:S,A51)-SUMIFS('4月份挂账'!P:P,'4月份挂账'!S:S,A51)</f>
        <v>0</v>
      </c>
      <c r="G51" s="100">
        <f t="shared" si="0"/>
        <v>13932.9</v>
      </c>
      <c r="H51" s="100">
        <f t="shared" si="1"/>
        <v>13932.9</v>
      </c>
      <c r="I51" s="101">
        <f t="shared" si="4"/>
        <v>13932.9</v>
      </c>
      <c r="K51" s="42">
        <f t="shared" si="2"/>
        <v>13932.9</v>
      </c>
    </row>
    <row r="52" customHeight="1" spans="1:11">
      <c r="A52" s="97" t="s">
        <v>280</v>
      </c>
      <c r="B52" s="42" t="str">
        <f>IFERROR(_xlfn.XLOOKUP('4月份计划'!A52,[5]UNEA!$B:$B,[5]UNEA!$B:$B),IFERROR(_xlfn.XLOOKUP('4月份计划'!A52,[5]MRHK!$B:$B,[5]MRHK!$B:$B),IFERROR(_xlfn.XLOOKUP('4月份计划'!A52,[5]MRHB!$B:$B,[5]MRHB!$B:$B),IFERROR(_xlfn.XLOOKUP('4月份计划'!A52,[5]HA6H!$B:$B,[5]HA6H!$B:$B),IFERROR(_xlfn.XLOOKUP('4月份计划'!A52,[5]HA6H!$B:$B,[5]HA6H!$B:$B)," ")))))</f>
        <v> </v>
      </c>
      <c r="C52" s="98">
        <f>SUMIFS('4月份科目余额表'!O:O,'4月份科目余额表'!D:D,A52)</f>
        <v>38370.17</v>
      </c>
      <c r="D52" s="99">
        <v>20165.3</v>
      </c>
      <c r="E52" s="99">
        <v>0</v>
      </c>
      <c r="F52" s="99">
        <f>SUMIFS('4月份挂账'!Q:Q,'4月份挂账'!S:S,A52)-SUMIFS('4月份挂账'!P:P,'4月份挂账'!S:S,A52)</f>
        <v>18204.87</v>
      </c>
      <c r="G52" s="100">
        <f t="shared" si="0"/>
        <v>20165.3</v>
      </c>
      <c r="H52" s="100">
        <f t="shared" si="1"/>
        <v>0</v>
      </c>
      <c r="I52" s="101">
        <f t="shared" si="4"/>
        <v>20165.3</v>
      </c>
      <c r="K52" s="42">
        <f t="shared" si="2"/>
        <v>20165.3</v>
      </c>
    </row>
    <row r="53" customHeight="1" spans="1:11">
      <c r="A53" s="97" t="s">
        <v>307</v>
      </c>
      <c r="B53" s="42" t="str">
        <f>IFERROR(_xlfn.XLOOKUP('4月份计划'!A53,[5]UNEA!$B:$B,[5]UNEA!$B:$B),IFERROR(_xlfn.XLOOKUP('4月份计划'!A53,[5]MRHK!$B:$B,[5]MRHK!$B:$B),IFERROR(_xlfn.XLOOKUP('4月份计划'!A53,[5]MRHB!$B:$B,[5]MRHB!$B:$B),IFERROR(_xlfn.XLOOKUP('4月份计划'!A53,[5]HA6H!$B:$B,[5]HA6H!$B:$B),IFERROR(_xlfn.XLOOKUP('4月份计划'!A53,[5]HA6H!$B:$B,[5]HA6H!$B:$B)," ")))))</f>
        <v> </v>
      </c>
      <c r="C53" s="98">
        <f>SUMIFS('4月份科目余额表'!O:O,'4月份科目余额表'!D:D,A53)</f>
        <v>7275.67</v>
      </c>
      <c r="D53" s="99">
        <v>0</v>
      </c>
      <c r="E53" s="99">
        <v>0</v>
      </c>
      <c r="F53" s="99">
        <f>SUMIFS('4月份挂账'!Q:Q,'4月份挂账'!S:S,A53)-SUMIFS('4月份挂账'!P:P,'4月份挂账'!S:S,A53)</f>
        <v>7275.67</v>
      </c>
      <c r="G53" s="100">
        <f t="shared" si="0"/>
        <v>0</v>
      </c>
      <c r="H53" s="100">
        <f t="shared" si="1"/>
        <v>0</v>
      </c>
      <c r="I53" s="101">
        <f t="shared" si="4"/>
        <v>0</v>
      </c>
      <c r="K53" s="42">
        <f t="shared" si="2"/>
        <v>0</v>
      </c>
    </row>
    <row r="54" customHeight="1" spans="1:11">
      <c r="A54" s="97" t="s">
        <v>308</v>
      </c>
      <c r="B54" s="42" t="str">
        <f>IFERROR(_xlfn.XLOOKUP('4月份计划'!A54,[5]UNEA!$B:$B,[5]UNEA!$B:$B),IFERROR(_xlfn.XLOOKUP('4月份计划'!A54,[5]MRHK!$B:$B,[5]MRHK!$B:$B),IFERROR(_xlfn.XLOOKUP('4月份计划'!A54,[5]MRHB!$B:$B,[5]MRHB!$B:$B),IFERROR(_xlfn.XLOOKUP('4月份计划'!A54,[5]HA6H!$B:$B,[5]HA6H!$B:$B),IFERROR(_xlfn.XLOOKUP('4月份计划'!A54,[5]HA6H!$B:$B,[5]HA6H!$B:$B)," ")))))</f>
        <v> </v>
      </c>
      <c r="C54" s="98">
        <f>SUMIFS('4月份科目余额表'!O:O,'4月份科目余额表'!D:D,A54)</f>
        <v>32067.14</v>
      </c>
      <c r="D54" s="99">
        <v>6644.4</v>
      </c>
      <c r="E54" s="99">
        <v>3478.14</v>
      </c>
      <c r="F54" s="99">
        <f>SUMIFS('4月份挂账'!Q:Q,'4月份挂账'!S:S,A54)-SUMIFS('4月份挂账'!P:P,'4月份挂账'!S:S,A54)</f>
        <v>21944.6</v>
      </c>
      <c r="G54" s="100">
        <f t="shared" si="0"/>
        <v>6644.4</v>
      </c>
      <c r="H54" s="100">
        <f t="shared" si="1"/>
        <v>0</v>
      </c>
      <c r="I54" s="101">
        <f t="shared" si="4"/>
        <v>6644.4</v>
      </c>
      <c r="K54" s="42">
        <f t="shared" si="2"/>
        <v>10122.54</v>
      </c>
    </row>
    <row r="55" customHeight="1" spans="1:11">
      <c r="A55" s="97" t="s">
        <v>309</v>
      </c>
      <c r="B55" s="42" t="str">
        <f>IFERROR(_xlfn.XLOOKUP('4月份计划'!A55,[5]UNEA!$B:$B,[5]UNEA!$B:$B),IFERROR(_xlfn.XLOOKUP('4月份计划'!A55,[5]MRHK!$B:$B,[5]MRHK!$B:$B),IFERROR(_xlfn.XLOOKUP('4月份计划'!A55,[5]MRHB!$B:$B,[5]MRHB!$B:$B),IFERROR(_xlfn.XLOOKUP('4月份计划'!A55,[5]HA6H!$B:$B,[5]HA6H!$B:$B),IFERROR(_xlfn.XLOOKUP('4月份计划'!A55,[5]HA6H!$B:$B,[5]HA6H!$B:$B)," ")))))</f>
        <v> </v>
      </c>
      <c r="C55" s="98">
        <f>SUMIFS('4月份科目余额表'!O:O,'4月份科目余额表'!D:D,A55)</f>
        <v>1622.68</v>
      </c>
      <c r="D55" s="99">
        <v>0</v>
      </c>
      <c r="E55" s="99">
        <v>0</v>
      </c>
      <c r="F55" s="99">
        <f>SUMIFS('4月份挂账'!Q:Q,'4月份挂账'!S:S,A55)-SUMIFS('4月份挂账'!P:P,'4月份挂账'!S:S,A55)</f>
        <v>1622.68</v>
      </c>
      <c r="G55" s="100">
        <f t="shared" si="0"/>
        <v>0</v>
      </c>
      <c r="H55" s="100">
        <f t="shared" si="1"/>
        <v>0</v>
      </c>
      <c r="I55" s="101">
        <f t="shared" si="4"/>
        <v>0</v>
      </c>
      <c r="K55" s="42">
        <f t="shared" si="2"/>
        <v>0</v>
      </c>
    </row>
    <row r="56" customHeight="1" spans="1:11">
      <c r="A56" s="97" t="s">
        <v>281</v>
      </c>
      <c r="B56" s="42" t="str">
        <f>IFERROR(_xlfn.XLOOKUP('4月份计划'!A56,[5]UNEA!$B:$B,[5]UNEA!$B:$B),IFERROR(_xlfn.XLOOKUP('4月份计划'!A56,[5]MRHK!$B:$B,[5]MRHK!$B:$B),IFERROR(_xlfn.XLOOKUP('4月份计划'!A56,[5]MRHB!$B:$B,[5]MRHB!$B:$B),IFERROR(_xlfn.XLOOKUP('4月份计划'!A56,[5]HA6H!$B:$B,[5]HA6H!$B:$B),IFERROR(_xlfn.XLOOKUP('4月份计划'!A56,[5]HA6H!$B:$B,[5]HA6H!$B:$B)," ")))))</f>
        <v> </v>
      </c>
      <c r="C56" s="98">
        <f>SUMIFS('4月份科目余额表'!O:O,'4月份科目余额表'!D:D,A56)</f>
        <v>19152</v>
      </c>
      <c r="D56" s="99">
        <v>0</v>
      </c>
      <c r="E56" s="99">
        <v>9576</v>
      </c>
      <c r="F56" s="99">
        <f>SUMIFS('4月份挂账'!Q:Q,'4月份挂账'!S:S,A56)-SUMIFS('4月份挂账'!P:P,'4月份挂账'!S:S,A56)</f>
        <v>9576</v>
      </c>
      <c r="G56" s="100">
        <f t="shared" si="0"/>
        <v>0</v>
      </c>
      <c r="H56" s="100">
        <f t="shared" si="1"/>
        <v>0</v>
      </c>
      <c r="I56" s="101">
        <f t="shared" si="4"/>
        <v>0</v>
      </c>
      <c r="K56" s="42">
        <f t="shared" si="2"/>
        <v>9576</v>
      </c>
    </row>
    <row r="57" customHeight="1" spans="1:11">
      <c r="A57" s="97" t="s">
        <v>282</v>
      </c>
      <c r="B57" s="42" t="str">
        <f>IFERROR(_xlfn.XLOOKUP('4月份计划'!A57,[5]UNEA!$B:$B,[5]UNEA!$B:$B),IFERROR(_xlfn.XLOOKUP('4月份计划'!A57,[5]MRHK!$B:$B,[5]MRHK!$B:$B),IFERROR(_xlfn.XLOOKUP('4月份计划'!A57,[5]MRHB!$B:$B,[5]MRHB!$B:$B),IFERROR(_xlfn.XLOOKUP('4月份计划'!A57,[5]HA6H!$B:$B,[5]HA6H!$B:$B),IFERROR(_xlfn.XLOOKUP('4月份计划'!A57,[5]HA6H!$B:$B,[5]HA6H!$B:$B)," ")))))</f>
        <v> </v>
      </c>
      <c r="C57" s="98">
        <f>SUMIFS('4月份科目余额表'!O:O,'4月份科目余额表'!D:D,A57)</f>
        <v>158652</v>
      </c>
      <c r="D57" s="99">
        <v>54918</v>
      </c>
      <c r="E57" s="99">
        <v>34578</v>
      </c>
      <c r="F57" s="99">
        <f>SUMIFS('4月份挂账'!Q:Q,'4月份挂账'!S:S,A57)-SUMIFS('4月份挂账'!P:P,'4月份挂账'!S:S,A57)</f>
        <v>69156</v>
      </c>
      <c r="G57" s="100">
        <f t="shared" si="0"/>
        <v>54918</v>
      </c>
      <c r="H57" s="100">
        <f t="shared" si="1"/>
        <v>0</v>
      </c>
      <c r="I57" s="101">
        <f t="shared" si="4"/>
        <v>54918</v>
      </c>
      <c r="K57" s="42">
        <f t="shared" si="2"/>
        <v>89496</v>
      </c>
    </row>
    <row r="58" customHeight="1" spans="1:11">
      <c r="A58" s="97" t="s">
        <v>310</v>
      </c>
      <c r="B58" s="42" t="str">
        <f>IFERROR(_xlfn.XLOOKUP('4月份计划'!A58,[5]UNEA!$B:$B,[5]UNEA!$B:$B),IFERROR(_xlfn.XLOOKUP('4月份计划'!A58,[5]MRHK!$B:$B,[5]MRHK!$B:$B),IFERROR(_xlfn.XLOOKUP('4月份计划'!A58,[5]MRHB!$B:$B,[5]MRHB!$B:$B),IFERROR(_xlfn.XLOOKUP('4月份计划'!A58,[5]HA6H!$B:$B,[5]HA6H!$B:$B),IFERROR(_xlfn.XLOOKUP('4月份计划'!A58,[5]HA6H!$B:$B,[5]HA6H!$B:$B)," ")))))</f>
        <v> </v>
      </c>
      <c r="C58" s="98">
        <f>SUMIFS('4月份科目余额表'!O:O,'4月份科目余额表'!D:D,A58)</f>
        <v>44034.75</v>
      </c>
      <c r="D58" s="99">
        <v>0</v>
      </c>
      <c r="E58" s="99">
        <v>44034.75</v>
      </c>
      <c r="F58" s="99">
        <f>SUMIFS('4月份挂账'!Q:Q,'4月份挂账'!S:S,A58)-SUMIFS('4月份挂账'!P:P,'4月份挂账'!S:S,A58)</f>
        <v>0</v>
      </c>
      <c r="G58" s="100">
        <f t="shared" si="0"/>
        <v>0</v>
      </c>
      <c r="H58" s="100">
        <f t="shared" si="1"/>
        <v>0</v>
      </c>
      <c r="I58" s="101">
        <f t="shared" si="4"/>
        <v>0</v>
      </c>
      <c r="K58" s="42">
        <f t="shared" si="2"/>
        <v>44034.75</v>
      </c>
    </row>
    <row r="59" customHeight="1" spans="1:11">
      <c r="A59" s="97" t="s">
        <v>311</v>
      </c>
      <c r="B59" s="42" t="str">
        <f>IFERROR(_xlfn.XLOOKUP('4月份计划'!A59,[5]UNEA!$B:$B,[5]UNEA!$B:$B),IFERROR(_xlfn.XLOOKUP('4月份计划'!A59,[5]MRHK!$B:$B,[5]MRHK!$B:$B),IFERROR(_xlfn.XLOOKUP('4月份计划'!A59,[5]MRHB!$B:$B,[5]MRHB!$B:$B),IFERROR(_xlfn.XLOOKUP('4月份计划'!A59,[5]HA6H!$B:$B,[5]HA6H!$B:$B),IFERROR(_xlfn.XLOOKUP('4月份计划'!A59,[5]HA6H!$B:$B,[5]HA6H!$B:$B)," ")))))</f>
        <v> </v>
      </c>
      <c r="C59" s="98">
        <f>SUMIFS('4月份科目余额表'!O:O,'4月份科目余额表'!D:D,A59)</f>
        <v>324219.6</v>
      </c>
      <c r="D59" s="99">
        <v>177636</v>
      </c>
      <c r="E59" s="99">
        <v>0</v>
      </c>
      <c r="F59" s="99">
        <f>SUMIFS('4月份挂账'!Q:Q,'4月份挂账'!S:S,A59)-SUMIFS('4月份挂账'!P:P,'4月份挂账'!S:S,A59)</f>
        <v>146583.6</v>
      </c>
      <c r="G59" s="100">
        <f t="shared" si="0"/>
        <v>177636</v>
      </c>
      <c r="H59" s="100">
        <f t="shared" si="1"/>
        <v>0</v>
      </c>
      <c r="I59" s="101">
        <f t="shared" si="4"/>
        <v>177636</v>
      </c>
      <c r="K59" s="42">
        <f t="shared" si="2"/>
        <v>177636</v>
      </c>
    </row>
    <row r="60" customHeight="1" spans="1:11">
      <c r="A60" s="97" t="s">
        <v>283</v>
      </c>
      <c r="B60" s="42" t="str">
        <f>IFERROR(_xlfn.XLOOKUP('4月份计划'!A60,[5]UNEA!$B:$B,[5]UNEA!$B:$B),IFERROR(_xlfn.XLOOKUP('4月份计划'!A60,[5]MRHK!$B:$B,[5]MRHK!$B:$B),IFERROR(_xlfn.XLOOKUP('4月份计划'!A60,[5]MRHB!$B:$B,[5]MRHB!$B:$B),IFERROR(_xlfn.XLOOKUP('4月份计划'!A60,[5]HA6H!$B:$B,[5]HA6H!$B:$B),IFERROR(_xlfn.XLOOKUP('4月份计划'!A60,[5]HA6H!$B:$B,[5]HA6H!$B:$B)," ")))))</f>
        <v> </v>
      </c>
      <c r="C60" s="98">
        <f>SUMIFS('4月份科目余额表'!O:O,'4月份科目余额表'!D:D,A60)</f>
        <v>11526</v>
      </c>
      <c r="D60" s="99">
        <v>5763</v>
      </c>
      <c r="E60" s="99">
        <v>5763</v>
      </c>
      <c r="F60" s="99">
        <f>SUMIFS('4月份挂账'!Q:Q,'4月份挂账'!S:S,A60)-SUMIFS('4月份挂账'!P:P,'4月份挂账'!S:S,A60)</f>
        <v>0</v>
      </c>
      <c r="G60" s="100">
        <f t="shared" si="0"/>
        <v>5763</v>
      </c>
      <c r="H60" s="100">
        <f t="shared" si="1"/>
        <v>0</v>
      </c>
      <c r="I60" s="101">
        <f t="shared" si="4"/>
        <v>5763</v>
      </c>
      <c r="K60" s="42">
        <f t="shared" si="2"/>
        <v>11526</v>
      </c>
    </row>
    <row r="61" customHeight="1" spans="1:11">
      <c r="A61" s="97" t="s">
        <v>312</v>
      </c>
      <c r="B61" s="42" t="str">
        <f>IFERROR(_xlfn.XLOOKUP('4月份计划'!A61,[5]UNEA!$B:$B,[5]UNEA!$B:$B),IFERROR(_xlfn.XLOOKUP('4月份计划'!A61,[5]MRHK!$B:$B,[5]MRHK!$B:$B),IFERROR(_xlfn.XLOOKUP('4月份计划'!A61,[5]MRHB!$B:$B,[5]MRHB!$B:$B),IFERROR(_xlfn.XLOOKUP('4月份计划'!A61,[5]HA6H!$B:$B,[5]HA6H!$B:$B),IFERROR(_xlfn.XLOOKUP('4月份计划'!A61,[5]HA6H!$B:$B,[5]HA6H!$B:$B)," ")))))</f>
        <v> </v>
      </c>
      <c r="C61" s="98">
        <f>SUMIFS('4月份科目余额表'!O:O,'4月份科目余额表'!D:D,A61)</f>
        <v>-5705.37</v>
      </c>
      <c r="D61" s="99">
        <v>6040.98</v>
      </c>
      <c r="E61" s="99">
        <v>0</v>
      </c>
      <c r="F61" s="99">
        <f>SUMIFS('4月份挂账'!Q:Q,'4月份挂账'!S:S,A61)-SUMIFS('4月份挂账'!P:P,'4月份挂账'!S:S,A61)</f>
        <v>0</v>
      </c>
      <c r="G61" s="100">
        <f t="shared" si="0"/>
        <v>0</v>
      </c>
      <c r="H61" s="100">
        <f t="shared" si="1"/>
        <v>0</v>
      </c>
      <c r="I61" s="101">
        <f t="shared" si="4"/>
        <v>0</v>
      </c>
      <c r="K61" s="42">
        <f t="shared" si="2"/>
        <v>0</v>
      </c>
    </row>
    <row r="62" customHeight="1" spans="1:11">
      <c r="A62" s="97" t="s">
        <v>313</v>
      </c>
      <c r="B62" s="42" t="str">
        <f>IFERROR(_xlfn.XLOOKUP('4月份计划'!A62,[5]UNEA!$B:$B,[5]UNEA!$B:$B),IFERROR(_xlfn.XLOOKUP('4月份计划'!A62,[5]MRHK!$B:$B,[5]MRHK!$B:$B),IFERROR(_xlfn.XLOOKUP('4月份计划'!A62,[5]MRHB!$B:$B,[5]MRHB!$B:$B),IFERROR(_xlfn.XLOOKUP('4月份计划'!A62,[5]HA6H!$B:$B,[5]HA6H!$B:$B),IFERROR(_xlfn.XLOOKUP('4月份计划'!A62,[5]HA6H!$B:$B,[5]HA6H!$B:$B)," ")))))</f>
        <v> </v>
      </c>
      <c r="C62" s="98">
        <f>SUMIFS('4月份科目余额表'!O:O,'4月份科目余额表'!D:D,A62)</f>
        <v>6644.4</v>
      </c>
      <c r="D62" s="99">
        <v>6644.4</v>
      </c>
      <c r="E62" s="99">
        <v>0</v>
      </c>
      <c r="F62" s="99">
        <f>SUMIFS('4月份挂账'!Q:Q,'4月份挂账'!S:S,A62)-SUMIFS('4月份挂账'!P:P,'4月份挂账'!S:S,A62)</f>
        <v>0</v>
      </c>
      <c r="G62" s="100">
        <f t="shared" si="0"/>
        <v>6644.4</v>
      </c>
      <c r="H62" s="100">
        <f t="shared" si="1"/>
        <v>0</v>
      </c>
      <c r="I62" s="101">
        <f t="shared" si="4"/>
        <v>6644.4</v>
      </c>
      <c r="K62" s="42">
        <f t="shared" si="2"/>
        <v>6644.4</v>
      </c>
    </row>
    <row r="63" customHeight="1" spans="1:11">
      <c r="A63" s="97" t="s">
        <v>284</v>
      </c>
      <c r="B63" s="42" t="str">
        <f>IFERROR(_xlfn.XLOOKUP('4月份计划'!A63,[5]UNEA!$B:$B,[5]UNEA!$B:$B),IFERROR(_xlfn.XLOOKUP('4月份计划'!A63,[5]MRHK!$B:$B,[5]MRHK!$B:$B),IFERROR(_xlfn.XLOOKUP('4月份计划'!A63,[5]MRHB!$B:$B,[5]MRHB!$B:$B),IFERROR(_xlfn.XLOOKUP('4月份计划'!A63,[5]HA6H!$B:$B,[5]HA6H!$B:$B),IFERROR(_xlfn.XLOOKUP('4月份计划'!A63,[5]HA6H!$B:$B,[5]HA6H!$B:$B)," ")))))</f>
        <v> </v>
      </c>
      <c r="C63" s="98">
        <f>SUMIFS('4月份科目余额表'!O:O,'4月份科目余额表'!D:D,A63)</f>
        <v>153617.16</v>
      </c>
      <c r="D63" s="99">
        <v>88256.16</v>
      </c>
      <c r="E63" s="99">
        <v>27403.71</v>
      </c>
      <c r="F63" s="99">
        <f>SUMIFS('4月份挂账'!Q:Q,'4月份挂账'!S:S,A63)-SUMIFS('4月份挂账'!P:P,'4月份挂账'!S:S,A63)</f>
        <v>37957.29</v>
      </c>
      <c r="G63" s="100">
        <f t="shared" si="0"/>
        <v>88256.16</v>
      </c>
      <c r="H63" s="100">
        <f t="shared" si="1"/>
        <v>0</v>
      </c>
      <c r="I63" s="101">
        <f t="shared" si="4"/>
        <v>88256.16</v>
      </c>
      <c r="K63" s="42">
        <f t="shared" si="2"/>
        <v>115659.87</v>
      </c>
    </row>
    <row r="64" customHeight="1" spans="1:11">
      <c r="A64" s="97" t="s">
        <v>285</v>
      </c>
      <c r="B64" s="42" t="str">
        <f>IFERROR(_xlfn.XLOOKUP('4月份计划'!A64,[5]UNEA!$B:$B,[5]UNEA!$B:$B),IFERROR(_xlfn.XLOOKUP('4月份计划'!A64,[5]MRHK!$B:$B,[5]MRHK!$B:$B),IFERROR(_xlfn.XLOOKUP('4月份计划'!A64,[5]MRHB!$B:$B,[5]MRHB!$B:$B),IFERROR(_xlfn.XLOOKUP('4月份计划'!A64,[5]HA6H!$B:$B,[5]HA6H!$B:$B),IFERROR(_xlfn.XLOOKUP('4月份计划'!A64,[5]HA6H!$B:$B,[5]HA6H!$B:$B)," ")))))</f>
        <v> </v>
      </c>
      <c r="C64" s="98">
        <f>SUMIFS('4月份科目余额表'!O:O,'4月份科目余额表'!D:D,A64)</f>
        <v>146568.91</v>
      </c>
      <c r="D64" s="99">
        <v>68464.44</v>
      </c>
      <c r="E64" s="99">
        <v>7503.2</v>
      </c>
      <c r="F64" s="99">
        <f>SUMIFS('4月份挂账'!Q:Q,'4月份挂账'!S:S,A64)-SUMIFS('4月份挂账'!P:P,'4月份挂账'!S:S,A64)</f>
        <v>70601.27</v>
      </c>
      <c r="G64" s="100">
        <f t="shared" si="0"/>
        <v>68464.44</v>
      </c>
      <c r="H64" s="100">
        <f t="shared" si="1"/>
        <v>0</v>
      </c>
      <c r="I64" s="101">
        <f t="shared" si="4"/>
        <v>68464.44</v>
      </c>
      <c r="K64" s="42">
        <f t="shared" si="2"/>
        <v>75967.64</v>
      </c>
    </row>
    <row r="65" customHeight="1" spans="1:11">
      <c r="A65" s="97" t="s">
        <v>314</v>
      </c>
      <c r="B65" s="42" t="str">
        <f>IFERROR(_xlfn.XLOOKUP('4月份计划'!A65,[5]UNEA!$B:$B,[5]UNEA!$B:$B),IFERROR(_xlfn.XLOOKUP('4月份计划'!A65,[5]MRHK!$B:$B,[5]MRHK!$B:$B),IFERROR(_xlfn.XLOOKUP('4月份计划'!A65,[5]MRHB!$B:$B,[5]MRHB!$B:$B),IFERROR(_xlfn.XLOOKUP('4月份计划'!A65,[5]HA6H!$B:$B,[5]HA6H!$B:$B),IFERROR(_xlfn.XLOOKUP('4月份计划'!A65,[5]HA6H!$B:$B,[5]HA6H!$B:$B)," ")))))</f>
        <v> </v>
      </c>
      <c r="C65" s="98">
        <f>SUMIFS('4月份科目余额表'!O:O,'4月份科目余额表'!D:D,A65)</f>
        <v>60606.59</v>
      </c>
      <c r="D65" s="99">
        <v>22446.89</v>
      </c>
      <c r="E65" s="99">
        <v>0</v>
      </c>
      <c r="F65" s="99">
        <f>SUMIFS('4月份挂账'!Q:Q,'4月份挂账'!S:S,A65)-SUMIFS('4月份挂账'!P:P,'4月份挂账'!S:S,A65)</f>
        <v>38159.7</v>
      </c>
      <c r="G65" s="100">
        <f t="shared" si="0"/>
        <v>22446.89</v>
      </c>
      <c r="H65" s="100">
        <f t="shared" si="1"/>
        <v>0</v>
      </c>
      <c r="I65" s="101">
        <f t="shared" si="4"/>
        <v>22446.89</v>
      </c>
      <c r="K65" s="42">
        <f t="shared" si="2"/>
        <v>22446.89</v>
      </c>
    </row>
    <row r="66" customHeight="1" spans="1:11">
      <c r="A66" s="97" t="s">
        <v>380</v>
      </c>
      <c r="B66" s="42" t="str">
        <f>IFERROR(_xlfn.XLOOKUP('4月份计划'!A66,[5]UNEA!$B:$B,[5]UNEA!$B:$B),IFERROR(_xlfn.XLOOKUP('4月份计划'!A66,[5]MRHK!$B:$B,[5]MRHK!$B:$B),IFERROR(_xlfn.XLOOKUP('4月份计划'!A66,[5]MRHB!$B:$B,[5]MRHB!$B:$B),IFERROR(_xlfn.XLOOKUP('4月份计划'!A66,[5]HA6H!$B:$B,[5]HA6H!$B:$B),IFERROR(_xlfn.XLOOKUP('4月份计划'!A66,[5]HA6H!$B:$B,[5]HA6H!$B:$B)," ")))))</f>
        <v> </v>
      </c>
      <c r="C66" s="98">
        <f>SUMIFS('4月份科目余额表'!O:O,'4月份科目余额表'!D:D,A66)</f>
        <v>15000</v>
      </c>
      <c r="D66" s="99">
        <v>0</v>
      </c>
      <c r="E66" s="99">
        <v>0</v>
      </c>
      <c r="F66" s="99">
        <f>SUMIFS('4月份挂账'!Q:Q,'4月份挂账'!S:S,A66)-SUMIFS('4月份挂账'!P:P,'4月份挂账'!S:S,A66)</f>
        <v>0</v>
      </c>
      <c r="G66" s="100">
        <f t="shared" si="0"/>
        <v>15000</v>
      </c>
      <c r="H66" s="100">
        <f t="shared" si="1"/>
        <v>15000</v>
      </c>
      <c r="I66" s="101">
        <f t="shared" si="4"/>
        <v>15000</v>
      </c>
      <c r="K66" s="42">
        <f t="shared" si="2"/>
        <v>15000</v>
      </c>
    </row>
    <row r="67" customHeight="1" spans="1:11">
      <c r="A67" s="97" t="s">
        <v>315</v>
      </c>
      <c r="B67" s="42" t="str">
        <f>IFERROR(_xlfn.XLOOKUP('4月份计划'!A67,[5]UNEA!$B:$B,[5]UNEA!$B:$B),IFERROR(_xlfn.XLOOKUP('4月份计划'!A67,[5]MRHK!$B:$B,[5]MRHK!$B:$B),IFERROR(_xlfn.XLOOKUP('4月份计划'!A67,[5]MRHB!$B:$B,[5]MRHB!$B:$B),IFERROR(_xlfn.XLOOKUP('4月份计划'!A67,[5]HA6H!$B:$B,[5]HA6H!$B:$B),IFERROR(_xlfn.XLOOKUP('4月份计划'!A67,[5]HA6H!$B:$B,[5]HA6H!$B:$B)," ")))))</f>
        <v> </v>
      </c>
      <c r="C67" s="98">
        <f>SUMIFS('4月份科目余额表'!O:O,'4月份科目余额表'!D:D,A67)</f>
        <v>14543.1</v>
      </c>
      <c r="D67" s="99">
        <v>0</v>
      </c>
      <c r="E67" s="99">
        <v>0</v>
      </c>
      <c r="F67" s="99">
        <f>SUMIFS('4月份挂账'!Q:Q,'4月份挂账'!S:S,A67)-SUMIFS('4月份挂账'!P:P,'4月份挂账'!S:S,A67)</f>
        <v>14543.1</v>
      </c>
      <c r="G67" s="100">
        <f t="shared" ref="G67:G79" si="5">IF(C67-F67-E67&gt;0,C67-F67-E67,0)</f>
        <v>0</v>
      </c>
      <c r="H67" s="100">
        <f t="shared" ref="H67:H79" si="6">IF(C67-F67-E67-D67&gt;0,C67-F67-E67-D67,0)</f>
        <v>0</v>
      </c>
      <c r="I67" s="101">
        <f t="shared" si="4"/>
        <v>0</v>
      </c>
      <c r="K67" s="42">
        <f t="shared" ref="K67:K79" si="7">IF(C67-F67&gt;0,C67-F67,0)</f>
        <v>0</v>
      </c>
    </row>
    <row r="68" customHeight="1" spans="1:11">
      <c r="A68" s="97" t="s">
        <v>316</v>
      </c>
      <c r="B68" s="42" t="str">
        <f>IFERROR(_xlfn.XLOOKUP('4月份计划'!A68,[5]UNEA!$B:$B,[5]UNEA!$B:$B),IFERROR(_xlfn.XLOOKUP('4月份计划'!A68,[5]MRHK!$B:$B,[5]MRHK!$B:$B),IFERROR(_xlfn.XLOOKUP('4月份计划'!A68,[5]MRHB!$B:$B,[5]MRHB!$B:$B),IFERROR(_xlfn.XLOOKUP('4月份计划'!A68,[5]HA6H!$B:$B,[5]HA6H!$B:$B),IFERROR(_xlfn.XLOOKUP('4月份计划'!A68,[5]HA6H!$B:$B,[5]HA6H!$B:$B)," ")))))</f>
        <v>无锡中天汽车部件有限公司</v>
      </c>
      <c r="C68" s="98">
        <f>SUMIFS('4月份科目余额表'!O:O,'4月份科目余额表'!D:D,A68)</f>
        <v>21022.78</v>
      </c>
      <c r="D68" s="99">
        <v>7760.42</v>
      </c>
      <c r="E68" s="99">
        <v>13262.36</v>
      </c>
      <c r="F68" s="99">
        <f>SUMIFS('4月份挂账'!Q:Q,'4月份挂账'!S:S,A68)-SUMIFS('4月份挂账'!P:P,'4月份挂账'!S:S,A68)</f>
        <v>0</v>
      </c>
      <c r="G68" s="100">
        <f t="shared" si="5"/>
        <v>7760.42</v>
      </c>
      <c r="H68" s="100">
        <f t="shared" si="6"/>
        <v>0</v>
      </c>
      <c r="K68" s="42">
        <f t="shared" si="7"/>
        <v>21022.78</v>
      </c>
    </row>
    <row r="69" customHeight="1" spans="1:11">
      <c r="A69" s="97" t="s">
        <v>317</v>
      </c>
      <c r="B69" s="42" t="str">
        <f>IFERROR(_xlfn.XLOOKUP('4月份计划'!A69,[5]UNEA!$B:$B,[5]UNEA!$B:$B),IFERROR(_xlfn.XLOOKUP('4月份计划'!A69,[5]MRHK!$B:$B,[5]MRHK!$B:$B),IFERROR(_xlfn.XLOOKUP('4月份计划'!A69,[5]MRHB!$B:$B,[5]MRHB!$B:$B),IFERROR(_xlfn.XLOOKUP('4月份计划'!A69,[5]HA6H!$B:$B,[5]HA6H!$B:$B),IFERROR(_xlfn.XLOOKUP('4月份计划'!A69,[5]HA6H!$B:$B,[5]HA6H!$B:$B)," ")))))</f>
        <v>天津力登维汽车部件有限公司</v>
      </c>
      <c r="C69" s="98">
        <f>SUMIFS('4月份科目余额表'!O:O,'4月份科目余额表'!D:D,A69)</f>
        <v>240984.72</v>
      </c>
      <c r="D69" s="99">
        <v>119235.69</v>
      </c>
      <c r="E69" s="99">
        <v>106878.23</v>
      </c>
      <c r="F69" s="99">
        <f>SUMIFS('4月份挂账'!Q:Q,'4月份挂账'!S:S,A69)-SUMIFS('4月份挂账'!P:P,'4月份挂账'!S:S,A69)</f>
        <v>21198.8</v>
      </c>
      <c r="G69" s="100">
        <f t="shared" si="5"/>
        <v>112907.69</v>
      </c>
      <c r="H69" s="100">
        <f t="shared" si="6"/>
        <v>0</v>
      </c>
      <c r="K69" s="42">
        <f t="shared" si="7"/>
        <v>219785.92</v>
      </c>
    </row>
    <row r="70" s="60" customFormat="1" customHeight="1" spans="1:13">
      <c r="A70" s="114" t="s">
        <v>318</v>
      </c>
      <c r="B70" s="60" t="str">
        <f>IFERROR(_xlfn.XLOOKUP('4月份计划'!A70,[5]UNEA!$B:$B,[5]UNEA!$B:$B),IFERROR(_xlfn.XLOOKUP('4月份计划'!A70,[5]MRHK!$B:$B,[5]MRHK!$B:$B),IFERROR(_xlfn.XLOOKUP('4月份计划'!A70,[5]MRHB!$B:$B,[5]MRHB!$B:$B),IFERROR(_xlfn.XLOOKUP('4月份计划'!A70,[5]HA6H!$B:$B,[5]HA6H!$B:$B),IFERROR(_xlfn.XLOOKUP('4月份计划'!A70,[5]HA6H!$B:$B,[5]HA6H!$B:$B)," ")))))</f>
        <v> </v>
      </c>
      <c r="C70" s="115">
        <f>SUMIFS('4月份科目余额表'!O:O,'4月份科目余额表'!D:D,A70)</f>
        <v>380871.21</v>
      </c>
      <c r="D70" s="116">
        <v>120063.06</v>
      </c>
      <c r="E70" s="116">
        <v>23061.04</v>
      </c>
      <c r="F70" s="116">
        <f>SUMIFS('4月份挂账'!Q:Q,'4月份挂账'!S:S,A70)-SUMIFS('4月份挂账'!P:P,'4月份挂账'!S:S,A70)</f>
        <v>237747.11</v>
      </c>
      <c r="G70" s="95">
        <f t="shared" si="5"/>
        <v>120063.06</v>
      </c>
      <c r="H70" s="95">
        <f t="shared" si="6"/>
        <v>0</v>
      </c>
      <c r="I70" s="117">
        <f>G70</f>
        <v>120063.06</v>
      </c>
      <c r="K70" s="60">
        <f t="shared" si="7"/>
        <v>143124.1</v>
      </c>
      <c r="M70" s="118"/>
    </row>
    <row r="71" customHeight="1" spans="1:11">
      <c r="A71" s="97" t="s">
        <v>319</v>
      </c>
      <c r="B71" s="42" t="str">
        <f>IFERROR(_xlfn.XLOOKUP('4月份计划'!A71,[5]UNEA!$B:$B,[5]UNEA!$B:$B),IFERROR(_xlfn.XLOOKUP('4月份计划'!A71,[5]MRHK!$B:$B,[5]MRHK!$B:$B),IFERROR(_xlfn.XLOOKUP('4月份计划'!A71,[5]MRHB!$B:$B,[5]MRHB!$B:$B),IFERROR(_xlfn.XLOOKUP('4月份计划'!A71,[5]HA6H!$B:$B,[5]HA6H!$B:$B),IFERROR(_xlfn.XLOOKUP('4月份计划'!A71,[5]HA6H!$B:$B,[5]HA6H!$B:$B)," ")))))</f>
        <v> </v>
      </c>
      <c r="C71" s="98">
        <f>SUMIFS('4月份科目余额表'!O:O,'4月份科目余额表'!D:D,A71)</f>
        <v>5720.63</v>
      </c>
      <c r="D71" s="99">
        <v>5720.63</v>
      </c>
      <c r="E71" s="99">
        <v>0</v>
      </c>
      <c r="F71" s="99">
        <f>SUMIFS('4月份挂账'!Q:Q,'4月份挂账'!S:S,A71)-SUMIFS('4月份挂账'!P:P,'4月份挂账'!S:S,A71)</f>
        <v>0</v>
      </c>
      <c r="G71" s="100">
        <f t="shared" si="5"/>
        <v>5720.63</v>
      </c>
      <c r="H71" s="100">
        <f t="shared" si="6"/>
        <v>0</v>
      </c>
      <c r="I71" s="101">
        <f>G71</f>
        <v>5720.63</v>
      </c>
      <c r="K71" s="42">
        <f t="shared" si="7"/>
        <v>5720.63</v>
      </c>
    </row>
    <row r="72" customHeight="1" spans="1:11">
      <c r="A72" s="97" t="s">
        <v>286</v>
      </c>
      <c r="B72" s="42" t="str">
        <f>IFERROR(_xlfn.XLOOKUP('4月份计划'!A72,[5]UNEA!$B:$B,[5]UNEA!$B:$B),IFERROR(_xlfn.XLOOKUP('4月份计划'!A72,[5]MRHK!$B:$B,[5]MRHK!$B:$B),IFERROR(_xlfn.XLOOKUP('4月份计划'!A72,[5]MRHB!$B:$B,[5]MRHB!$B:$B),IFERROR(_xlfn.XLOOKUP('4月份计划'!A72,[5]HA6H!$B:$B,[5]HA6H!$B:$B),IFERROR(_xlfn.XLOOKUP('4月份计划'!A72,[5]HA6H!$B:$B,[5]HA6H!$B:$B)," ")))))</f>
        <v> </v>
      </c>
      <c r="C72" s="98">
        <f>SUMIFS('4月份科目余额表'!O:O,'4月份科目余额表'!D:D,A72)</f>
        <v>105580.99</v>
      </c>
      <c r="D72" s="99">
        <v>40135.34</v>
      </c>
      <c r="E72" s="99">
        <v>65445.65</v>
      </c>
      <c r="F72" s="99">
        <f>SUMIFS('4月份挂账'!Q:Q,'4月份挂账'!S:S,A72)-SUMIFS('4月份挂账'!P:P,'4月份挂账'!S:S,A72)</f>
        <v>0</v>
      </c>
      <c r="G72" s="100">
        <f t="shared" si="5"/>
        <v>40135.34</v>
      </c>
      <c r="H72" s="100">
        <f t="shared" si="6"/>
        <v>0</v>
      </c>
      <c r="I72" s="101">
        <f>G72</f>
        <v>40135.34</v>
      </c>
      <c r="K72" s="42">
        <f t="shared" si="7"/>
        <v>105580.99</v>
      </c>
    </row>
    <row r="73" customHeight="1" spans="1:11">
      <c r="A73" s="97" t="s">
        <v>287</v>
      </c>
      <c r="B73" s="42" t="str">
        <f>IFERROR(_xlfn.XLOOKUP('4月份计划'!A73,[5]UNEA!$B:$B,[5]UNEA!$B:$B),IFERROR(_xlfn.XLOOKUP('4月份计划'!A73,[5]MRHK!$B:$B,[5]MRHK!$B:$B),IFERROR(_xlfn.XLOOKUP('4月份计划'!A73,[5]MRHB!$B:$B,[5]MRHB!$B:$B),IFERROR(_xlfn.XLOOKUP('4月份计划'!A73,[5]HA6H!$B:$B,[5]HA6H!$B:$B),IFERROR(_xlfn.XLOOKUP('4月份计划'!A73,[5]HA6H!$B:$B,[5]HA6H!$B:$B)," ")))))</f>
        <v>广州自强汽车零部件有限公司</v>
      </c>
      <c r="C73" s="98">
        <f>SUMIFS('4月份科目余额表'!O:O,'4月份科目余额表'!D:D,A73)</f>
        <v>55019.85</v>
      </c>
      <c r="D73" s="99">
        <v>55019.85</v>
      </c>
      <c r="E73" s="99">
        <v>0</v>
      </c>
      <c r="F73" s="99">
        <f>SUMIFS('4月份挂账'!Q:Q,'4月份挂账'!S:S,A73)-SUMIFS('4月份挂账'!P:P,'4月份挂账'!S:S,A73)</f>
        <v>0</v>
      </c>
      <c r="G73" s="100">
        <f t="shared" si="5"/>
        <v>55019.85</v>
      </c>
      <c r="H73" s="100">
        <f t="shared" si="6"/>
        <v>0</v>
      </c>
      <c r="K73" s="42">
        <f t="shared" si="7"/>
        <v>55019.85</v>
      </c>
    </row>
    <row r="74" customHeight="1" spans="1:11">
      <c r="A74" s="97" t="s">
        <v>288</v>
      </c>
      <c r="B74" s="42" t="str">
        <f>IFERROR(_xlfn.XLOOKUP('4月份计划'!A74,[5]UNEA!$B:$B,[5]UNEA!$B:$B),IFERROR(_xlfn.XLOOKUP('4月份计划'!A74,[5]MRHK!$B:$B,[5]MRHK!$B:$B),IFERROR(_xlfn.XLOOKUP('4月份计划'!A74,[5]MRHB!$B:$B,[5]MRHB!$B:$B),IFERROR(_xlfn.XLOOKUP('4月份计划'!A74,[5]HA6H!$B:$B,[5]HA6H!$B:$B),IFERROR(_xlfn.XLOOKUP('4月份计划'!A74,[5]HA6H!$B:$B,[5]HA6H!$B:$B)," ")))))</f>
        <v> </v>
      </c>
      <c r="C74" s="98">
        <f>SUMIFS('4月份科目余额表'!O:O,'4月份科目余额表'!D:D,A74)</f>
        <v>39631.36</v>
      </c>
      <c r="D74" s="99">
        <v>28170.9</v>
      </c>
      <c r="E74" s="99">
        <v>11460.46</v>
      </c>
      <c r="F74" s="99">
        <f>SUMIFS('4月份挂账'!Q:Q,'4月份挂账'!S:S,A74)-SUMIFS('4月份挂账'!P:P,'4月份挂账'!S:S,A74)</f>
        <v>0</v>
      </c>
      <c r="G74" s="100">
        <f t="shared" si="5"/>
        <v>28170.9</v>
      </c>
      <c r="H74" s="100">
        <f t="shared" si="6"/>
        <v>0</v>
      </c>
      <c r="I74" s="101">
        <f t="shared" ref="I74:I79" si="8">G74</f>
        <v>28170.9</v>
      </c>
      <c r="K74" s="42">
        <f t="shared" si="7"/>
        <v>39631.36</v>
      </c>
    </row>
    <row r="75" customHeight="1" spans="1:11">
      <c r="A75" s="97" t="s">
        <v>289</v>
      </c>
      <c r="B75" s="42" t="str">
        <f>IFERROR(_xlfn.XLOOKUP('4月份计划'!A75,[5]UNEA!$B:$B,[5]UNEA!$B:$B),IFERROR(_xlfn.XLOOKUP('4月份计划'!A75,[5]MRHK!$B:$B,[5]MRHK!$B:$B),IFERROR(_xlfn.XLOOKUP('4月份计划'!A75,[5]MRHB!$B:$B,[5]MRHB!$B:$B),IFERROR(_xlfn.XLOOKUP('4月份计划'!A75,[5]HA6H!$B:$B,[5]HA6H!$B:$B),IFERROR(_xlfn.XLOOKUP('4月份计划'!A75,[5]HA6H!$B:$B,[5]HA6H!$B:$B)," ")))))</f>
        <v> </v>
      </c>
      <c r="C75" s="98">
        <f>SUMIFS('4月份科目余额表'!O:O,'4月份科目余额表'!D:D,A75)</f>
        <v>7739.9</v>
      </c>
      <c r="D75" s="99">
        <v>4069.44</v>
      </c>
      <c r="E75" s="99">
        <v>3670.46</v>
      </c>
      <c r="F75" s="99">
        <f>SUMIFS('4月份挂账'!Q:Q,'4月份挂账'!S:S,A75)-SUMIFS('4月份挂账'!P:P,'4月份挂账'!S:S,A75)</f>
        <v>0</v>
      </c>
      <c r="G75" s="100">
        <f t="shared" si="5"/>
        <v>4069.44</v>
      </c>
      <c r="H75" s="100">
        <f t="shared" si="6"/>
        <v>0</v>
      </c>
      <c r="I75" s="101">
        <f t="shared" si="8"/>
        <v>4069.44</v>
      </c>
      <c r="K75" s="42">
        <f t="shared" si="7"/>
        <v>7739.9</v>
      </c>
    </row>
    <row r="76" customHeight="1" spans="1:11">
      <c r="A76" s="97" t="s">
        <v>320</v>
      </c>
      <c r="B76" s="42" t="str">
        <f>IFERROR(_xlfn.XLOOKUP('4月份计划'!A76,[5]UNEA!$B:$B,[5]UNEA!$B:$B),IFERROR(_xlfn.XLOOKUP('4月份计划'!A76,[5]MRHK!$B:$B,[5]MRHK!$B:$B),IFERROR(_xlfn.XLOOKUP('4月份计划'!A76,[5]MRHB!$B:$B,[5]MRHB!$B:$B),IFERROR(_xlfn.XLOOKUP('4月份计划'!A76,[5]HA6H!$B:$B,[5]HA6H!$B:$B),IFERROR(_xlfn.XLOOKUP('4月份计划'!A76,[5]HA6H!$B:$B,[5]HA6H!$B:$B)," ")))))</f>
        <v>武汉凯密科汽车零部件有限公司</v>
      </c>
      <c r="C76" s="98">
        <f>SUMIFS('4月份科目余额表'!O:O,'4月份科目余额表'!D:D,A76)</f>
        <v>76877.75</v>
      </c>
      <c r="D76" s="99">
        <v>0</v>
      </c>
      <c r="E76" s="99">
        <v>76877.75</v>
      </c>
      <c r="F76" s="99">
        <f>SUMIFS('4月份挂账'!Q:Q,'4月份挂账'!S:S,A76)-SUMIFS('4月份挂账'!P:P,'4月份挂账'!S:S,A76)</f>
        <v>0</v>
      </c>
      <c r="G76" s="100">
        <f t="shared" si="5"/>
        <v>0</v>
      </c>
      <c r="H76" s="100">
        <f t="shared" si="6"/>
        <v>0</v>
      </c>
      <c r="I76" s="101">
        <f t="shared" si="8"/>
        <v>0</v>
      </c>
      <c r="K76" s="42">
        <f t="shared" si="7"/>
        <v>76877.75</v>
      </c>
    </row>
    <row r="77" customHeight="1" spans="1:11">
      <c r="A77" s="97" t="s">
        <v>321</v>
      </c>
      <c r="B77" s="42" t="str">
        <f>IFERROR(_xlfn.XLOOKUP('4月份计划'!A77,[5]UNEA!$B:$B,[5]UNEA!$B:$B),IFERROR(_xlfn.XLOOKUP('4月份计划'!A77,[5]MRHK!$B:$B,[5]MRHK!$B:$B),IFERROR(_xlfn.XLOOKUP('4月份计划'!A77,[5]MRHB!$B:$B,[5]MRHB!$B:$B),IFERROR(_xlfn.XLOOKUP('4月份计划'!A77,[5]HA6H!$B:$B,[5]HA6H!$B:$B),IFERROR(_xlfn.XLOOKUP('4月份计划'!A77,[5]HA6H!$B:$B,[5]HA6H!$B:$B)," ")))))</f>
        <v> </v>
      </c>
      <c r="C77" s="98">
        <f>SUMIFS('4月份科目余额表'!O:O,'4月份科目余额表'!D:D,A77)</f>
        <v>3497.49</v>
      </c>
      <c r="D77" s="99">
        <v>0</v>
      </c>
      <c r="E77" s="99">
        <v>2623.12</v>
      </c>
      <c r="F77" s="99">
        <f>SUMIFS('4月份挂账'!Q:Q,'4月份挂账'!S:S,A77)-SUMIFS('4月份挂账'!P:P,'4月份挂账'!S:S,A77)</f>
        <v>874.37</v>
      </c>
      <c r="G77" s="100">
        <f t="shared" si="5"/>
        <v>0</v>
      </c>
      <c r="H77" s="100">
        <f t="shared" si="6"/>
        <v>0</v>
      </c>
      <c r="I77" s="101">
        <f t="shared" si="8"/>
        <v>0</v>
      </c>
      <c r="K77" s="42">
        <f t="shared" si="7"/>
        <v>2623.12</v>
      </c>
    </row>
    <row r="78" customHeight="1" spans="1:11">
      <c r="A78" s="97" t="s">
        <v>290</v>
      </c>
      <c r="B78" s="42" t="str">
        <f>IFERROR(_xlfn.XLOOKUP('4月份计划'!A78,[5]UNEA!$B:$B,[5]UNEA!$B:$B),IFERROR(_xlfn.XLOOKUP('4月份计划'!A78,[5]MRHK!$B:$B,[5]MRHK!$B:$B),IFERROR(_xlfn.XLOOKUP('4月份计划'!A78,[5]MRHB!$B:$B,[5]MRHB!$B:$B),IFERROR(_xlfn.XLOOKUP('4月份计划'!A78,[5]HA6H!$B:$B,[5]HA6H!$B:$B),IFERROR(_xlfn.XLOOKUP('4月份计划'!A78,[5]HA6H!$B:$B,[5]HA6H!$B:$B)," ")))))</f>
        <v>江阴同威科技有限公司</v>
      </c>
      <c r="C78" s="98">
        <f>SUMIFS('4月份科目余额表'!O:O,'4月份科目余额表'!D:D,A78)</f>
        <v>37777.01</v>
      </c>
      <c r="E78" s="99">
        <v>11270.6</v>
      </c>
      <c r="F78" s="99">
        <f>SUMIFS('4月份挂账'!Q:Q,'4月份挂账'!S:S,A78)-SUMIFS('4月份挂账'!P:P,'4月份挂账'!S:S,A78)</f>
        <v>26506.41</v>
      </c>
      <c r="G78" s="100">
        <f t="shared" si="5"/>
        <v>0</v>
      </c>
      <c r="H78" s="100">
        <f t="shared" si="6"/>
        <v>0</v>
      </c>
      <c r="I78" s="101">
        <f t="shared" si="8"/>
        <v>0</v>
      </c>
      <c r="K78" s="42">
        <f t="shared" si="7"/>
        <v>11270.6</v>
      </c>
    </row>
    <row r="79" customHeight="1" spans="1:11">
      <c r="A79" s="97" t="s">
        <v>291</v>
      </c>
      <c r="B79" s="42" t="str">
        <f>IFERROR(_xlfn.XLOOKUP('4月份计划'!A79,[5]UNEA!$B:$B,[5]UNEA!$B:$B),IFERROR(_xlfn.XLOOKUP('4月份计划'!A79,[5]MRHK!$B:$B,[5]MRHK!$B:$B),IFERROR(_xlfn.XLOOKUP('4月份计划'!A79,[5]MRHB!$B:$B,[5]MRHB!$B:$B),IFERROR(_xlfn.XLOOKUP('4月份计划'!A79,[5]HA6H!$B:$B,[5]HA6H!$B:$B),IFERROR(_xlfn.XLOOKUP('4月份计划'!A79,[5]HA6H!$B:$B,[5]HA6H!$B:$B)," ")))))</f>
        <v>深圳市新和荣无纺布有限公司</v>
      </c>
      <c r="C79" s="98">
        <f>SUMIFS('4月份科目余额表'!O:O,'4月份科目余额表'!D:D,A79)</f>
        <v>72279.84</v>
      </c>
      <c r="F79" s="99">
        <f>SUMIFS('4月份挂账'!Q:Q,'4月份挂账'!S:S,A79)-SUMIFS('4月份挂账'!P:P,'4月份挂账'!S:S,A79)</f>
        <v>72279.84</v>
      </c>
      <c r="G79" s="100">
        <f t="shared" si="5"/>
        <v>0</v>
      </c>
      <c r="H79" s="100">
        <f t="shared" si="6"/>
        <v>0</v>
      </c>
      <c r="I79" s="101">
        <f t="shared" si="8"/>
        <v>0</v>
      </c>
      <c r="K79" s="42">
        <f t="shared" si="7"/>
        <v>0</v>
      </c>
    </row>
    <row r="81" customHeight="1" spans="1:11">
      <c r="A81" s="97" t="s">
        <v>29</v>
      </c>
      <c r="C81" s="87">
        <f t="shared" ref="C81:K81" si="9">SUM(C3:C80)</f>
        <v>20123830.28</v>
      </c>
      <c r="D81" s="87">
        <f t="shared" si="9"/>
        <v>6769955.73</v>
      </c>
      <c r="E81" s="87">
        <f t="shared" si="9"/>
        <v>6018303.85</v>
      </c>
      <c r="F81" s="87">
        <f t="shared" si="9"/>
        <v>9825463.93999999</v>
      </c>
      <c r="G81" s="87">
        <f t="shared" si="9"/>
        <v>6963211.01</v>
      </c>
      <c r="H81" s="87">
        <f t="shared" si="9"/>
        <v>1719596.59</v>
      </c>
      <c r="I81" s="87">
        <f t="shared" si="9"/>
        <v>5572108.83</v>
      </c>
      <c r="J81" s="87">
        <f t="shared" si="9"/>
        <v>0</v>
      </c>
      <c r="K81" s="87">
        <f t="shared" si="9"/>
        <v>10653685.51</v>
      </c>
    </row>
    <row r="82" customHeight="1" spans="1:7">
      <c r="A82" s="97" t="s">
        <v>293</v>
      </c>
      <c r="C82" s="87"/>
      <c r="D82" s="89"/>
      <c r="E82" s="89"/>
      <c r="F82" s="89"/>
      <c r="G82" s="88"/>
    </row>
  </sheetData>
  <autoFilter xmlns:etc="http://www.wps.cn/officeDocument/2017/etCustomData" ref="A1:I82" etc:filterBottomFollowUsedRange="0">
    <extLst/>
  </autoFilter>
  <mergeCells count="1">
    <mergeCell ref="A1:I1"/>
  </mergeCells>
  <conditionalFormatting sqref="A$1:A$1048576">
    <cfRule type="duplicateValues" dxfId="0" priority="1"/>
  </conditionalFormatting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32</vt:i4>
      </vt:variant>
    </vt:vector>
  </HeadingPairs>
  <TitlesOfParts>
    <vt:vector size="32" baseType="lpstr">
      <vt:lpstr>资金库存</vt:lpstr>
      <vt:lpstr>汇阅付款计划</vt:lpstr>
      <vt:lpstr>凯平付款计划</vt:lpstr>
      <vt:lpstr>9月份计划</vt:lpstr>
      <vt:lpstr>8月份计划</vt:lpstr>
      <vt:lpstr>7月份计划</vt:lpstr>
      <vt:lpstr>6月份计划</vt:lpstr>
      <vt:lpstr>5月份计划</vt:lpstr>
      <vt:lpstr>4月份计划</vt:lpstr>
      <vt:lpstr>3月份计划</vt:lpstr>
      <vt:lpstr>3月份计划-1</vt:lpstr>
      <vt:lpstr>2月份计划</vt:lpstr>
      <vt:lpstr>2月份科目余额</vt:lpstr>
      <vt:lpstr>3月份科目余额表</vt:lpstr>
      <vt:lpstr>4月份科目余额表</vt:lpstr>
      <vt:lpstr>5月份科目余额表</vt:lpstr>
      <vt:lpstr>6月份科目余额表</vt:lpstr>
      <vt:lpstr>7月份科目余额表</vt:lpstr>
      <vt:lpstr>8月份科目余额表</vt:lpstr>
      <vt:lpstr>9月份科目余额表</vt:lpstr>
      <vt:lpstr>1月份计划</vt:lpstr>
      <vt:lpstr>1月份科目余额（2.25导出）</vt:lpstr>
      <vt:lpstr>1月份挂账</vt:lpstr>
      <vt:lpstr>2月份挂账</vt:lpstr>
      <vt:lpstr>3月份挂账</vt:lpstr>
      <vt:lpstr>4月份挂账</vt:lpstr>
      <vt:lpstr>5月份挂账</vt:lpstr>
      <vt:lpstr>6月份挂账</vt:lpstr>
      <vt:lpstr>7月份挂账</vt:lpstr>
      <vt:lpstr>8月份挂账</vt:lpstr>
      <vt:lpstr>9月份挂账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玲玲</cp:lastModifiedBy>
  <dcterms:created xsi:type="dcterms:W3CDTF">2025-02-04T06:43:00Z</dcterms:created>
  <dcterms:modified xsi:type="dcterms:W3CDTF">2025-10-16T00:01:26Z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31AD7DCCF3DA4A6AA91D2F679F074935_13</vt:lpwstr>
  </property>
  <property fmtid="{D5CDD505-2E9C-101B-9397-08002B2CF9AE}" pid="3" name="KSOProductBuildVer">
    <vt:lpwstr>2052-12.1.0.22529</vt:lpwstr>
  </property>
</Properties>
</file>