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firstSheet="2"/>
  </bookViews>
  <sheets>
    <sheet name="未定价清单" sheetId="5" r:id="rId1"/>
    <sheet name="未定价清单 (2)" sheetId="19" state="hidden" r:id="rId2"/>
    <sheet name="最新核价" sheetId="13" r:id="rId3"/>
    <sheet name="BSP0000047" sheetId="16" r:id="rId4"/>
    <sheet name="安全固定片（不电泳）" sheetId="17" r:id="rId5"/>
    <sheet name="SHT0017396" sheetId="18" r:id="rId6"/>
  </sheets>
  <externalReferences>
    <externalReference r:id="rId7"/>
  </externalReferences>
  <definedNames>
    <definedName name="_xlnm._FilterDatabase" localSheetId="0" hidden="1">未定价清单!$A$1:$K$10</definedName>
    <definedName name="_xlnm._FilterDatabase" localSheetId="1" hidden="1">'未定价清单 (2)'!$A$1:$K$19</definedName>
    <definedName name="_xlnm.Print_Area" localSheetId="0">未定价清单!$A$1:$I$7</definedName>
    <definedName name="_xlnm.Print_Area" localSheetId="1">'未定价清单 (2)'!$A$1:$I$11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<sst xmlns="http://schemas.openxmlformats.org/spreadsheetml/2006/main" count="509" uniqueCount="187">
  <si>
    <t>序号</t>
  </si>
  <si>
    <t>规格型号</t>
  </si>
  <si>
    <t>名称</t>
  </si>
  <si>
    <t>数量</t>
  </si>
  <si>
    <t>材质</t>
  </si>
  <si>
    <t>重量kg</t>
  </si>
  <si>
    <t>图纸</t>
  </si>
  <si>
    <t>吨位价（元/kg）</t>
  </si>
  <si>
    <t>未税单价</t>
  </si>
  <si>
    <t>备注</t>
  </si>
  <si>
    <t>说明</t>
  </si>
  <si>
    <t>核算/商定价</t>
  </si>
  <si>
    <t>A点</t>
  </si>
  <si>
    <t>BSP0000047</t>
  </si>
  <si>
    <t>盘簧1.0平台</t>
  </si>
  <si>
    <t>65Mn</t>
  </si>
  <si>
    <t>有报价单</t>
  </si>
  <si>
    <t>万金</t>
  </si>
  <si>
    <t>SCS0007586</t>
  </si>
  <si>
    <t>螺旋扭簧 L</t>
  </si>
  <si>
    <t>SCS0007587</t>
  </si>
  <si>
    <t>螺旋扭簧 R</t>
  </si>
  <si>
    <t>SHT0001005</t>
  </si>
  <si>
    <t>涡簧H4A/X3000/一汽</t>
  </si>
  <si>
    <t>SHT0002825</t>
  </si>
  <si>
    <t>H4司机安全带外罩壳固定片</t>
  </si>
  <si>
    <t>不电泳</t>
  </si>
  <si>
    <t>电泳核算表面积0.009㎡，按照12.5元/㎡，则应在原价基础上减0.1125元，原价1.1755，毛坯件为1.063元</t>
  </si>
  <si>
    <t>SHT0002826</t>
  </si>
  <si>
    <t>H4副司安全带外罩壳固定片</t>
  </si>
  <si>
    <t>SHT0013421</t>
  </si>
  <si>
    <t>升降主边锁止轴销</t>
  </si>
  <si>
    <t>无图纸</t>
  </si>
  <si>
    <t>SHT0013422</t>
  </si>
  <si>
    <t>升降副边锁止轴销</t>
  </si>
  <si>
    <t>SHT0017769</t>
  </si>
  <si>
    <t>主驾上安全带导向钢丝</t>
  </si>
  <si>
    <t>Q235</t>
  </si>
  <si>
    <t>核算价</t>
  </si>
  <si>
    <t>BFA0000746</t>
  </si>
  <si>
    <t>BWL7500转轴</t>
  </si>
  <si>
    <t>ML20</t>
  </si>
  <si>
    <t>φ4*111mm</t>
  </si>
  <si>
    <t>由后视镜定价</t>
  </si>
  <si>
    <t>BSP0000073</t>
  </si>
  <si>
    <t>B40弹簧L</t>
  </si>
  <si>
    <t>SHT0002744</t>
  </si>
  <si>
    <t>大运靠背支撑钢丝右</t>
  </si>
  <si>
    <t>和SHT0002074为对称件，SHT0002074有价格协议，报价为降5%后单件</t>
  </si>
  <si>
    <t>有协议，见HBZYXY-2024-034-01</t>
  </si>
  <si>
    <t>SHT0002807</t>
  </si>
  <si>
    <t>φ8*108mm直辊</t>
  </si>
  <si>
    <t>SHT0011900</t>
  </si>
  <si>
    <t>肩部支撑钢丝</t>
  </si>
  <si>
    <t>SHT0016478</t>
  </si>
  <si>
    <t>靠背板支撑钢丝</t>
  </si>
  <si>
    <t>SHT0016479</t>
  </si>
  <si>
    <t>安全带上支撑钢丝</t>
  </si>
  <si>
    <t>SHT0017790</t>
  </si>
  <si>
    <t>靠背板支撑钢丝1</t>
  </si>
  <si>
    <t>SHT0017791</t>
  </si>
  <si>
    <t>A6项目钢丝2</t>
  </si>
  <si>
    <t>金蝶号</t>
  </si>
  <si>
    <t>照片</t>
  </si>
  <si>
    <t>耗用量</t>
  </si>
  <si>
    <t>直径</t>
  </si>
  <si>
    <t>下料尺寸mm</t>
  </si>
  <si>
    <t>重量</t>
  </si>
  <si>
    <t>材料费</t>
  </si>
  <si>
    <t>加工成本</t>
  </si>
  <si>
    <t>材料</t>
  </si>
  <si>
    <t>废铁</t>
  </si>
  <si>
    <t>毛重</t>
  </si>
  <si>
    <t>实际称重</t>
  </si>
  <si>
    <t>工序</t>
  </si>
  <si>
    <t>吨位</t>
  </si>
  <si>
    <t>次数</t>
  </si>
  <si>
    <t>工序费</t>
  </si>
  <si>
    <t>总工序费</t>
  </si>
  <si>
    <t>4*12</t>
  </si>
  <si>
    <t>卷制</t>
  </si>
  <si>
    <t>重新核价</t>
  </si>
  <si>
    <t>回火</t>
  </si>
  <si>
    <t>磷化</t>
  </si>
  <si>
    <t>检验</t>
  </si>
  <si>
    <t>60Si2MN</t>
  </si>
  <si>
    <t>卷制成形</t>
  </si>
  <si>
    <t>磨削</t>
  </si>
  <si>
    <t>镀锌</t>
  </si>
  <si>
    <t>螺旋弹簧L</t>
  </si>
  <si>
    <t>分选检验</t>
  </si>
  <si>
    <t>涂防锈油</t>
  </si>
  <si>
    <t>螺旋弹簧R</t>
  </si>
  <si>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</si>
  <si>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</si>
  <si>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</si>
  <si>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</si>
  <si>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</si>
  <si>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</si>
  <si>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</si>
  <si>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</si>
  <si>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</si>
  <si>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</si>
  <si>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</si>
  <si>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</si>
  <si>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</si>
  <si>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产品毛重</t>
  </si>
  <si>
    <t>图    号</t>
  </si>
  <si>
    <t>产品净重</t>
  </si>
  <si>
    <t>0.273Kg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</si>
  <si>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</si>
  <si>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</si>
  <si>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</si>
  <si>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</si>
  <si>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</si>
  <si>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</si>
  <si>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</si>
  <si>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</si>
  <si>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</si>
  <si>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</si>
  <si>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</si>
  <si>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</si>
  <si>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单价</t>
  </si>
  <si>
    <t>名  称</t>
  </si>
  <si>
    <t>单 价</t>
  </si>
  <si>
    <t>耗用数量</t>
  </si>
  <si>
    <t>原 材 料</t>
  </si>
  <si>
    <t>65Mn 4*12</t>
  </si>
  <si>
    <t>Kg</t>
  </si>
  <si>
    <t>电  机</t>
  </si>
  <si>
    <t>30kw.h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</si>
  <si>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</si>
  <si>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</si>
  <si>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</si>
  <si>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</si>
  <si>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</si>
  <si>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</si>
  <si>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</si>
  <si>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</si>
  <si>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</si>
  <si>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</si>
  <si>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</si>
  <si>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</si>
  <si>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</si>
  <si>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</si>
  <si>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</si>
  <si>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</si>
  <si>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</si>
  <si>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</si>
  <si>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</si>
  <si>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</si>
  <si>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</si>
  <si>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</si>
  <si>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</si>
  <si>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</si>
  <si>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</si>
  <si>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(元/小时)</t>
  </si>
  <si>
    <t>总    计</t>
  </si>
  <si>
    <t>工   资</t>
  </si>
  <si>
    <t>利    润</t>
  </si>
  <si>
    <t>主要工序</t>
  </si>
  <si>
    <t>卷制成型</t>
  </si>
  <si>
    <t>不含税价格</t>
  </si>
  <si>
    <t>税    金</t>
  </si>
  <si>
    <t>磷皂化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</si>
  <si>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</si>
  <si>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</si>
  <si>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</si>
  <si>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安全带固定片</t>
  </si>
  <si>
    <t>0.07Kg</t>
  </si>
  <si>
    <t>H4681010024A0
H4681020024A0</t>
  </si>
  <si>
    <t>0.033Kg</t>
  </si>
  <si>
    <t>65Mn T1.0</t>
  </si>
  <si>
    <t>12kw.h</t>
  </si>
  <si>
    <t>淬火</t>
  </si>
  <si>
    <t>激光下料</t>
  </si>
  <si>
    <t>折弯（两次）</t>
  </si>
  <si>
    <t>气袋腰托下固定点焊接总成</t>
  </si>
  <si>
    <t>SHT0017396</t>
  </si>
  <si>
    <t>0.2914Kg</t>
  </si>
  <si>
    <t>Q235/φ8</t>
  </si>
  <si>
    <t>10kw.h</t>
  </si>
  <si>
    <t>Q235/φ5</t>
  </si>
  <si>
    <t>检具</t>
  </si>
  <si>
    <t>绕制成型</t>
  </si>
  <si>
    <t>焊胎</t>
  </si>
  <si>
    <t>焊接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</si>
</sst>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_ "/>
    <numFmt numFmtId="178" formatCode="0.00_ "/>
    <numFmt numFmtId="179" formatCode="0_ "/>
    <numFmt numFmtId="180" formatCode="0.000_ "/>
    <numFmt numFmtId="181" formatCode="0.00_);[Red]\(0.00\)"/>
    <numFmt numFmtId="182" formatCode="0.000_);[Red]\(0.000\)"/>
    <numFmt numFmtId="183" formatCode="0.0000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MS Sans Serif"/>
      <charset val="134"/>
    </font>
    <font>
      <sz val="11"/>
      <name val="굴림체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7" fillId="0" borderId="0">
      <alignment vertical="center"/>
    </xf>
    <xf numFmtId="0" fontId="27" fillId="0" borderId="0"/>
    <xf numFmtId="0" fontId="2" fillId="0" borderId="0">
      <alignment vertical="center"/>
    </xf>
    <xf numFmtId="0" fontId="7" fillId="0" borderId="0"/>
    <xf numFmtId="0" fontId="29" fillId="0" borderId="0"/>
  </cellStyleXfs>
  <cellXfs count="141">
    <xf numFmtId="0" fontId="0" fillId="0" borderId="0" xfId="0">
      <alignment vertical="center"/>
    </xf>
    <xf numFmtId="0" fontId="1" fillId="0" borderId="1" xfId="53" applyFont="1" applyFill="1" applyBorder="1" applyAlignment="1">
      <alignment horizontal="center" vertical="center" shrinkToFit="1"/>
    </xf>
    <xf numFmtId="0" fontId="1" fillId="0" borderId="2" xfId="53" applyFont="1" applyFill="1" applyBorder="1" applyAlignment="1">
      <alignment horizontal="center" vertical="center" shrinkToFit="1"/>
    </xf>
    <xf numFmtId="0" fontId="1" fillId="0" borderId="3" xfId="53" applyFont="1" applyFill="1" applyBorder="1" applyAlignment="1">
      <alignment horizontal="center" vertical="center" shrinkToFit="1"/>
    </xf>
    <xf numFmtId="0" fontId="1" fillId="0" borderId="4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1" fillId="0" borderId="5" xfId="53" applyFont="1" applyFill="1" applyBorder="1" applyAlignment="1">
      <alignment horizontal="center" vertical="center" shrinkToFit="1"/>
    </xf>
    <xf numFmtId="0" fontId="1" fillId="0" borderId="6" xfId="53" applyFont="1" applyFill="1" applyBorder="1" applyAlignment="1">
      <alignment horizontal="center" vertical="center" shrinkToFit="1"/>
    </xf>
    <xf numFmtId="0" fontId="1" fillId="0" borderId="7" xfId="53" applyFont="1" applyFill="1" applyBorder="1" applyAlignment="1">
      <alignment horizontal="center" vertical="center" shrinkToFit="1"/>
    </xf>
    <xf numFmtId="0" fontId="1" fillId="0" borderId="8" xfId="53" applyFont="1" applyFill="1" applyBorder="1" applyAlignment="1">
      <alignment horizontal="center" vertical="center" shrinkToFit="1"/>
    </xf>
    <xf numFmtId="0" fontId="2" fillId="0" borderId="9" xfId="54" applyFill="1" applyBorder="1" applyAlignment="1">
      <alignment vertical="center"/>
    </xf>
    <xf numFmtId="0" fontId="2" fillId="0" borderId="10" xfId="54" applyFill="1" applyBorder="1" applyAlignment="1">
      <alignment horizontal="center" vertical="center"/>
    </xf>
    <xf numFmtId="0" fontId="2" fillId="0" borderId="11" xfId="54" applyFill="1" applyBorder="1" applyAlignment="1">
      <alignment horizontal="center" vertical="center"/>
    </xf>
    <xf numFmtId="0" fontId="2" fillId="0" borderId="12" xfId="54" applyFill="1" applyBorder="1" applyAlignment="1">
      <alignment horizontal="center" vertical="center"/>
    </xf>
    <xf numFmtId="0" fontId="2" fillId="0" borderId="9" xfId="54" applyFill="1" applyBorder="1">
      <alignment vertical="center"/>
    </xf>
    <xf numFmtId="0" fontId="2" fillId="0" borderId="9" xfId="54" applyFill="1" applyBorder="1" applyAlignment="1">
      <alignment horizontal="center" vertical="center"/>
    </xf>
    <xf numFmtId="0" fontId="2" fillId="0" borderId="13" xfId="54" applyFill="1" applyBorder="1" applyAlignment="1">
      <alignment horizontal="center" vertical="center"/>
    </xf>
    <xf numFmtId="0" fontId="2" fillId="0" borderId="7" xfId="54" applyFill="1" applyBorder="1" applyAlignment="1">
      <alignment horizontal="center" vertical="center"/>
    </xf>
    <xf numFmtId="0" fontId="2" fillId="0" borderId="14" xfId="54" applyFill="1" applyBorder="1" applyAlignment="1">
      <alignment horizontal="center" vertical="center"/>
    </xf>
    <xf numFmtId="0" fontId="2" fillId="0" borderId="3" xfId="54" applyFill="1" applyBorder="1" applyAlignment="1">
      <alignment horizontal="center" vertical="center"/>
    </xf>
    <xf numFmtId="0" fontId="2" fillId="0" borderId="5" xfId="54" applyFill="1" applyBorder="1" applyAlignment="1">
      <alignment horizontal="center" vertical="center"/>
    </xf>
    <xf numFmtId="0" fontId="2" fillId="0" borderId="10" xfId="54" applyFont="1" applyFill="1" applyBorder="1" applyAlignment="1">
      <alignment horizontal="center" vertical="center"/>
    </xf>
    <xf numFmtId="0" fontId="2" fillId="0" borderId="8" xfId="54" applyFill="1" applyBorder="1" applyAlignment="1">
      <alignment horizontal="center" vertical="center"/>
    </xf>
    <xf numFmtId="0" fontId="2" fillId="0" borderId="9" xfId="54" applyFont="1" applyFill="1" applyBorder="1" applyAlignment="1">
      <alignment horizontal="center" vertical="center"/>
    </xf>
    <xf numFmtId="176" fontId="2" fillId="2" borderId="9" xfId="54" applyNumberFormat="1" applyFill="1" applyBorder="1">
      <alignment vertical="center"/>
    </xf>
    <xf numFmtId="0" fontId="2" fillId="0" borderId="9" xfId="54" applyFont="1" applyFill="1" applyBorder="1" applyAlignment="1">
      <alignment horizontal="center" vertical="center" wrapText="1"/>
    </xf>
    <xf numFmtId="0" fontId="2" fillId="0" borderId="9" xfId="54" applyFont="1" applyFill="1" applyBorder="1" applyAlignment="1">
      <alignment vertical="center"/>
    </xf>
    <xf numFmtId="177" fontId="2" fillId="0" borderId="9" xfId="54" applyNumberFormat="1" applyFont="1" applyFill="1" applyBorder="1" applyAlignment="1">
      <alignment vertical="center"/>
    </xf>
    <xf numFmtId="178" fontId="2" fillId="0" borderId="9" xfId="54" applyNumberFormat="1" applyFill="1" applyBorder="1">
      <alignment vertical="center"/>
    </xf>
    <xf numFmtId="176" fontId="2" fillId="0" borderId="9" xfId="54" applyNumberFormat="1" applyFill="1" applyBorder="1">
      <alignment vertical="center"/>
    </xf>
    <xf numFmtId="176" fontId="2" fillId="2" borderId="9" xfId="54" applyNumberFormat="1" applyFont="1" applyFill="1" applyBorder="1" applyAlignment="1">
      <alignment vertical="center"/>
    </xf>
    <xf numFmtId="0" fontId="2" fillId="0" borderId="9" xfId="54" applyFont="1" applyFill="1" applyBorder="1" applyAlignment="1">
      <alignment vertical="center" wrapText="1"/>
    </xf>
    <xf numFmtId="176" fontId="2" fillId="0" borderId="9" xfId="54" applyNumberFormat="1" applyFont="1" applyFill="1" applyBorder="1" applyAlignment="1">
      <alignment vertical="center"/>
    </xf>
    <xf numFmtId="0" fontId="2" fillId="0" borderId="6" xfId="54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2" fillId="0" borderId="9" xfId="54" applyNumberFormat="1" applyFill="1" applyBorder="1" applyAlignment="1">
      <alignment vertical="center"/>
    </xf>
    <xf numFmtId="0" fontId="2" fillId="0" borderId="15" xfId="54" applyFill="1" applyBorder="1" applyAlignment="1">
      <alignment horizontal="center" vertical="center"/>
    </xf>
    <xf numFmtId="0" fontId="2" fillId="0" borderId="14" xfId="54" applyFont="1" applyFill="1" applyBorder="1" applyAlignment="1">
      <alignment horizontal="center" vertical="center"/>
    </xf>
    <xf numFmtId="0" fontId="2" fillId="0" borderId="14" xfId="54" applyFill="1" applyBorder="1" applyAlignment="1">
      <alignment vertical="center"/>
    </xf>
    <xf numFmtId="0" fontId="2" fillId="0" borderId="13" xfId="54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2" fillId="0" borderId="0" xfId="54" applyFill="1" applyBorder="1">
      <alignment vertical="center"/>
    </xf>
    <xf numFmtId="0" fontId="2" fillId="0" borderId="0" xfId="54" applyFill="1" applyBorder="1" applyAlignment="1">
      <alignment horizontal="center" vertical="center"/>
    </xf>
    <xf numFmtId="0" fontId="2" fillId="0" borderId="0" xfId="54" applyFont="1" applyFill="1" applyBorder="1">
      <alignment vertical="center"/>
    </xf>
    <xf numFmtId="0" fontId="2" fillId="0" borderId="4" xfId="54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53" applyFont="1" applyFill="1" applyBorder="1" applyAlignment="1">
      <alignment horizontal="center" vertical="center" shrinkToFit="1"/>
    </xf>
    <xf numFmtId="0" fontId="4" fillId="0" borderId="10" xfId="53" applyFont="1" applyFill="1" applyBorder="1" applyAlignment="1">
      <alignment horizontal="center" vertical="center" shrinkToFit="1"/>
    </xf>
    <xf numFmtId="0" fontId="4" fillId="0" borderId="11" xfId="53" applyFont="1" applyFill="1" applyBorder="1" applyAlignment="1">
      <alignment horizontal="center" vertical="center" shrinkToFit="1"/>
    </xf>
    <xf numFmtId="0" fontId="4" fillId="0" borderId="12" xfId="53" applyFont="1" applyFill="1" applyBorder="1" applyAlignment="1">
      <alignment horizontal="center" vertical="center" shrinkToFit="1"/>
    </xf>
    <xf numFmtId="0" fontId="5" fillId="0" borderId="9" xfId="6" applyFont="1" applyFill="1" applyBorder="1" applyAlignment="1" applyProtection="1">
      <alignment horizontal="center" vertical="center" shrinkToFit="1"/>
    </xf>
    <xf numFmtId="0" fontId="5" fillId="0" borderId="10" xfId="6" applyFont="1" applyFill="1" applyBorder="1" applyAlignment="1" applyProtection="1">
      <alignment horizontal="center" vertical="center" shrinkToFit="1"/>
    </xf>
    <xf numFmtId="0" fontId="5" fillId="0" borderId="11" xfId="6" applyFont="1" applyFill="1" applyBorder="1" applyAlignment="1" applyProtection="1">
      <alignment horizontal="center" vertical="center" shrinkToFit="1"/>
    </xf>
    <xf numFmtId="0" fontId="5" fillId="0" borderId="12" xfId="6" applyFont="1" applyFill="1" applyBorder="1" applyAlignment="1" applyProtection="1">
      <alignment horizontal="center" vertical="center" shrinkToFit="1"/>
    </xf>
    <xf numFmtId="0" fontId="2" fillId="0" borderId="15" xfId="54" applyFill="1" applyBorder="1">
      <alignment vertical="center"/>
    </xf>
    <xf numFmtId="0" fontId="2" fillId="0" borderId="12" xfId="54" applyFont="1" applyFill="1" applyBorder="1" applyAlignment="1">
      <alignment horizontal="center" vertical="center"/>
    </xf>
    <xf numFmtId="14" fontId="2" fillId="0" borderId="10" xfId="54" applyNumberFormat="1" applyFont="1" applyFill="1" applyBorder="1" applyAlignment="1">
      <alignment horizontal="center" vertical="center"/>
    </xf>
    <xf numFmtId="0" fontId="2" fillId="0" borderId="9" xfId="54" applyFont="1" applyFill="1" applyBorder="1">
      <alignment vertical="center"/>
    </xf>
    <xf numFmtId="0" fontId="2" fillId="0" borderId="10" xfId="54" applyFont="1" applyFill="1" applyBorder="1" applyAlignment="1">
      <alignment horizontal="center" vertical="center" wrapText="1"/>
    </xf>
    <xf numFmtId="0" fontId="2" fillId="0" borderId="12" xfId="54" applyFont="1" applyFill="1" applyBorder="1" applyAlignment="1">
      <alignment horizontal="center" vertical="center" wrapText="1"/>
    </xf>
    <xf numFmtId="179" fontId="2" fillId="0" borderId="11" xfId="54" applyNumberFormat="1" applyFont="1" applyFill="1" applyBorder="1" applyAlignment="1">
      <alignment horizontal="center" vertical="center" wrapText="1"/>
    </xf>
    <xf numFmtId="179" fontId="2" fillId="0" borderId="12" xfId="54" applyNumberFormat="1" applyFont="1" applyFill="1" applyBorder="1" applyAlignment="1">
      <alignment horizontal="center" vertical="center"/>
    </xf>
    <xf numFmtId="0" fontId="2" fillId="0" borderId="12" xfId="54" applyFont="1" applyFill="1" applyBorder="1" applyAlignment="1">
      <alignment vertical="center"/>
    </xf>
    <xf numFmtId="0" fontId="2" fillId="0" borderId="15" xfId="54" applyFill="1" applyBorder="1" applyAlignment="1">
      <alignment vertical="center"/>
    </xf>
    <xf numFmtId="0" fontId="2" fillId="0" borderId="12" xfId="54" applyFill="1" applyBorder="1">
      <alignment vertical="center"/>
    </xf>
    <xf numFmtId="0" fontId="2" fillId="0" borderId="7" xfId="54" applyFill="1" applyBorder="1" applyAlignment="1">
      <alignment vertical="center"/>
    </xf>
    <xf numFmtId="0" fontId="2" fillId="0" borderId="11" xfId="54" applyFill="1" applyBorder="1">
      <alignment vertical="center"/>
    </xf>
    <xf numFmtId="178" fontId="2" fillId="0" borderId="9" xfId="54" applyNumberFormat="1" applyFont="1" applyFill="1" applyBorder="1" applyAlignment="1">
      <alignment horizontal="center" vertical="center"/>
    </xf>
    <xf numFmtId="180" fontId="2" fillId="0" borderId="9" xfId="54" applyNumberFormat="1" applyFont="1" applyFill="1" applyBorder="1" applyAlignment="1">
      <alignment horizontal="center" vertical="center"/>
    </xf>
    <xf numFmtId="178" fontId="2" fillId="0" borderId="9" xfId="54" applyNumberFormat="1" applyFill="1" applyBorder="1" applyAlignment="1">
      <alignment horizontal="center" vertical="center"/>
    </xf>
    <xf numFmtId="178" fontId="2" fillId="2" borderId="9" xfId="54" applyNumberFormat="1" applyFill="1" applyBorder="1">
      <alignment vertical="center"/>
    </xf>
    <xf numFmtId="180" fontId="2" fillId="2" borderId="9" xfId="54" applyNumberFormat="1" applyFont="1" applyFill="1" applyBorder="1" applyAlignment="1">
      <alignment vertical="center"/>
    </xf>
    <xf numFmtId="178" fontId="2" fillId="0" borderId="9" xfId="54" applyNumberFormat="1" applyFont="1" applyFill="1" applyBorder="1" applyAlignment="1">
      <alignment vertical="center"/>
    </xf>
    <xf numFmtId="180" fontId="2" fillId="0" borderId="9" xfId="54" applyNumberFormat="1" applyFont="1" applyFill="1" applyBorder="1" applyAlignment="1">
      <alignment vertical="center"/>
    </xf>
    <xf numFmtId="0" fontId="2" fillId="0" borderId="0" xfId="54" applyFill="1" applyAlignment="1">
      <alignment horizontal="center" vertical="center"/>
    </xf>
    <xf numFmtId="0" fontId="2" fillId="0" borderId="0" xfId="54" applyFill="1">
      <alignment vertical="center"/>
    </xf>
    <xf numFmtId="0" fontId="2" fillId="0" borderId="9" xfId="54" applyNumberFormat="1" applyFont="1" applyFill="1" applyBorder="1" applyAlignment="1">
      <alignment horizontal="center" vertical="center"/>
    </xf>
    <xf numFmtId="0" fontId="2" fillId="0" borderId="10" xfId="54" applyFill="1" applyBorder="1" applyAlignment="1">
      <alignment horizontal="center" vertical="center" wrapText="1"/>
    </xf>
    <xf numFmtId="179" fontId="2" fillId="0" borderId="11" xfId="5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/>
    </xf>
    <xf numFmtId="182" fontId="6" fillId="0" borderId="9" xfId="0" applyNumberFormat="1" applyFont="1" applyBorder="1" applyAlignment="1">
      <alignment horizontal="center" vertical="center"/>
    </xf>
    <xf numFmtId="182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181" fontId="6" fillId="0" borderId="9" xfId="0" applyNumberFormat="1" applyFont="1" applyBorder="1" applyAlignment="1">
      <alignment vertical="center" wrapText="1"/>
    </xf>
    <xf numFmtId="0" fontId="3" fillId="0" borderId="9" xfId="52" applyFont="1" applyBorder="1" applyAlignment="1">
      <alignment horizontal="center" vertical="center" wrapText="1"/>
    </xf>
    <xf numFmtId="0" fontId="7" fillId="0" borderId="9" xfId="52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 shrinkToFit="1"/>
    </xf>
    <xf numFmtId="178" fontId="3" fillId="0" borderId="9" xfId="0" applyNumberFormat="1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2" fontId="0" fillId="0" borderId="9" xfId="0" applyNumberFormat="1" applyFill="1" applyBorder="1" applyAlignment="1">
      <alignment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183" fontId="0" fillId="4" borderId="9" xfId="0" applyNumberFormat="1" applyFill="1" applyBorder="1" applyAlignment="1">
      <alignment horizontal="center" vertical="center" wrapText="1"/>
    </xf>
    <xf numFmtId="178" fontId="0" fillId="4" borderId="9" xfId="0" applyNumberForma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178" fontId="0" fillId="0" borderId="9" xfId="0" applyNumberFormat="1" applyBorder="1" applyAlignment="1">
      <alignment vertical="center" wrapText="1"/>
    </xf>
    <xf numFmtId="183" fontId="0" fillId="0" borderId="9" xfId="0" applyNumberFormat="1" applyFill="1" applyBorder="1" applyAlignment="1">
      <alignment vertical="center" wrapText="1"/>
    </xf>
    <xf numFmtId="183" fontId="0" fillId="3" borderId="9" xfId="0" applyNumberFormat="1" applyFill="1" applyBorder="1" applyAlignment="1">
      <alignment vertical="center" wrapText="1"/>
    </xf>
    <xf numFmtId="177" fontId="0" fillId="0" borderId="9" xfId="0" applyNumberFormat="1" applyFill="1" applyBorder="1" applyAlignment="1">
      <alignment horizontal="center" vertical="center" wrapText="1"/>
    </xf>
    <xf numFmtId="183" fontId="0" fillId="4" borderId="9" xfId="0" applyNumberFormat="1" applyFill="1" applyBorder="1" applyAlignment="1">
      <alignment vertical="center" wrapText="1"/>
    </xf>
    <xf numFmtId="180" fontId="0" fillId="0" borderId="9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5" xfId="52"/>
    <cellStyle name="常规_TD001物料清单及报价1208" xfId="53"/>
    <cellStyle name="常规_Sheet1" xfId="54"/>
    <cellStyle name="Normal_PCS_KMC_HR TRIM COVER(NYLEX)_070921-2" xfId="55"/>
    <cellStyle name="표준_BH_ENGINEERING_BOM_050224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www.wps.cn/officeDocument/2021/sharedlinks" Target="sharedlinks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7.png"/><Relationship Id="rId10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1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2</xdr:row>
      <xdr:rowOff>30480</xdr:rowOff>
    </xdr:from>
    <xdr:to>
      <xdr:col>6</xdr:col>
      <xdr:colOff>806556</xdr:colOff>
      <xdr:row>2</xdr:row>
      <xdr:rowOff>571500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8475" y="97028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30482</xdr:colOff>
      <xdr:row>3</xdr:row>
      <xdr:rowOff>22860</xdr:rowOff>
    </xdr:from>
    <xdr:to>
      <xdr:col>6</xdr:col>
      <xdr:colOff>742636</xdr:colOff>
      <xdr:row>3</xdr:row>
      <xdr:rowOff>518160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0855" y="154178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1</xdr:row>
      <xdr:rowOff>22225</xdr:rowOff>
    </xdr:from>
    <xdr:to>
      <xdr:col>6</xdr:col>
      <xdr:colOff>726440</xdr:colOff>
      <xdr:row>1</xdr:row>
      <xdr:rowOff>355600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70425" y="492125"/>
          <a:ext cx="3263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</xdr:row>
      <xdr:rowOff>0</xdr:rowOff>
    </xdr:from>
    <xdr:to>
      <xdr:col>6</xdr:col>
      <xdr:colOff>808355</xdr:colOff>
      <xdr:row>2</xdr:row>
      <xdr:rowOff>351790</xdr:rowOff>
    </xdr:to>
    <xdr:pic>
      <xdr:nvPicPr>
        <xdr:cNvPr id="47" name="图片 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0900" y="939800"/>
          <a:ext cx="41783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</xdr:row>
      <xdr:rowOff>94615</xdr:rowOff>
    </xdr:from>
    <xdr:to>
      <xdr:col>6</xdr:col>
      <xdr:colOff>736600</xdr:colOff>
      <xdr:row>4</xdr:row>
      <xdr:rowOff>403225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56125" y="2192655"/>
          <a:ext cx="45085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5</xdr:row>
      <xdr:rowOff>35560</xdr:rowOff>
    </xdr:from>
    <xdr:to>
      <xdr:col>6</xdr:col>
      <xdr:colOff>951865</xdr:colOff>
      <xdr:row>5</xdr:row>
      <xdr:rowOff>448310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60875" y="2712720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6</xdr:row>
      <xdr:rowOff>93345</xdr:rowOff>
    </xdr:from>
    <xdr:to>
      <xdr:col>6</xdr:col>
      <xdr:colOff>951865</xdr:colOff>
      <xdr:row>6</xdr:row>
      <xdr:rowOff>506095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60875" y="3507105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9</xdr:row>
      <xdr:rowOff>134620</xdr:rowOff>
    </xdr:from>
    <xdr:to>
      <xdr:col>6</xdr:col>
      <xdr:colOff>880745</xdr:colOff>
      <xdr:row>9</xdr:row>
      <xdr:rowOff>537210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60875" y="5443220"/>
          <a:ext cx="690245" cy="402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4</xdr:row>
      <xdr:rowOff>30480</xdr:rowOff>
    </xdr:from>
    <xdr:to>
      <xdr:col>6</xdr:col>
      <xdr:colOff>806451</xdr:colOff>
      <xdr:row>4</xdr:row>
      <xdr:rowOff>571500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8475" y="191008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30482</xdr:colOff>
      <xdr:row>5</xdr:row>
      <xdr:rowOff>22860</xdr:rowOff>
    </xdr:from>
    <xdr:to>
      <xdr:col>6</xdr:col>
      <xdr:colOff>742317</xdr:colOff>
      <xdr:row>5</xdr:row>
      <xdr:rowOff>518160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0855" y="248158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</xdr:row>
      <xdr:rowOff>22225</xdr:rowOff>
    </xdr:from>
    <xdr:to>
      <xdr:col>6</xdr:col>
      <xdr:colOff>726440</xdr:colOff>
      <xdr:row>2</xdr:row>
      <xdr:rowOff>355600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70425" y="962025"/>
          <a:ext cx="3263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3</xdr:row>
      <xdr:rowOff>47625</xdr:rowOff>
    </xdr:from>
    <xdr:to>
      <xdr:col>6</xdr:col>
      <xdr:colOff>808355</xdr:colOff>
      <xdr:row>3</xdr:row>
      <xdr:rowOff>399415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0900" y="1457325"/>
          <a:ext cx="41783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272415</xdr:colOff>
      <xdr:row>7</xdr:row>
      <xdr:rowOff>59055</xdr:rowOff>
    </xdr:from>
    <xdr:to>
      <xdr:col>6</xdr:col>
      <xdr:colOff>899795</xdr:colOff>
      <xdr:row>7</xdr:row>
      <xdr:rowOff>410845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680585" y="3538220"/>
          <a:ext cx="35179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6</xdr:row>
      <xdr:rowOff>94615</xdr:rowOff>
    </xdr:from>
    <xdr:to>
      <xdr:col>6</xdr:col>
      <xdr:colOff>736600</xdr:colOff>
      <xdr:row>6</xdr:row>
      <xdr:rowOff>403225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56125" y="3132455"/>
          <a:ext cx="45085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9</xdr:row>
      <xdr:rowOff>35560</xdr:rowOff>
    </xdr:from>
    <xdr:to>
      <xdr:col>6</xdr:col>
      <xdr:colOff>951865</xdr:colOff>
      <xdr:row>9</xdr:row>
      <xdr:rowOff>448310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60875" y="4810760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10</xdr:row>
      <xdr:rowOff>93345</xdr:rowOff>
    </xdr:from>
    <xdr:to>
      <xdr:col>6</xdr:col>
      <xdr:colOff>951865</xdr:colOff>
      <xdr:row>10</xdr:row>
      <xdr:rowOff>506095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60875" y="5605145"/>
          <a:ext cx="76136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11</xdr:row>
      <xdr:rowOff>122555</xdr:rowOff>
    </xdr:from>
    <xdr:to>
      <xdr:col>6</xdr:col>
      <xdr:colOff>762000</xdr:colOff>
      <xdr:row>11</xdr:row>
      <xdr:rowOff>461010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18025" y="6370955"/>
          <a:ext cx="51435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14</xdr:row>
      <xdr:rowOff>177800</xdr:rowOff>
    </xdr:from>
    <xdr:to>
      <xdr:col>7</xdr:col>
      <xdr:colOff>0</xdr:colOff>
      <xdr:row>14</xdr:row>
      <xdr:rowOff>382905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03725" y="8163560"/>
          <a:ext cx="83566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15</xdr:row>
      <xdr:rowOff>131445</xdr:rowOff>
    </xdr:from>
    <xdr:to>
      <xdr:col>6</xdr:col>
      <xdr:colOff>816610</xdr:colOff>
      <xdr:row>15</xdr:row>
      <xdr:rowOff>451485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41825" y="8696325"/>
          <a:ext cx="645160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16</xdr:row>
      <xdr:rowOff>134620</xdr:rowOff>
    </xdr:from>
    <xdr:to>
      <xdr:col>6</xdr:col>
      <xdr:colOff>880745</xdr:colOff>
      <xdr:row>16</xdr:row>
      <xdr:rowOff>537210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60875" y="9278620"/>
          <a:ext cx="69024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17</xdr:row>
      <xdr:rowOff>101600</xdr:rowOff>
    </xdr:from>
    <xdr:to>
      <xdr:col>6</xdr:col>
      <xdr:colOff>695325</xdr:colOff>
      <xdr:row>17</xdr:row>
      <xdr:rowOff>501015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08500" y="9824720"/>
          <a:ext cx="45720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18</xdr:row>
      <xdr:rowOff>32385</xdr:rowOff>
    </xdr:from>
    <xdr:to>
      <xdr:col>7</xdr:col>
      <xdr:colOff>0</xdr:colOff>
      <xdr:row>18</xdr:row>
      <xdr:rowOff>502920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84675" y="10334625"/>
          <a:ext cx="854710" cy="470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411480</xdr:colOff>
      <xdr:row>11</xdr:row>
      <xdr:rowOff>8890</xdr:rowOff>
    </xdr:from>
    <xdr:to>
      <xdr:col>3</xdr:col>
      <xdr:colOff>1179830</xdr:colOff>
      <xdr:row>12</xdr:row>
      <xdr:rowOff>264160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9375" y="2965450"/>
          <a:ext cx="768350" cy="541020"/>
        </a:xfrm>
        <a:prstGeom prst="rect">
          <a:avLst/>
        </a:prstGeom>
      </xdr:spPr>
    </xdr:pic>
    <xdr:clientData/>
  </xdr:twoCellAnchor>
  <xdr:twoCellAnchor editAs="oneCell">
    <xdr:from>
      <xdr:col>3</xdr:col>
      <xdr:colOff>351155</xdr:colOff>
      <xdr:row>14</xdr:row>
      <xdr:rowOff>276860</xdr:rowOff>
    </xdr:from>
    <xdr:to>
      <xdr:col>3</xdr:col>
      <xdr:colOff>1062990</xdr:colOff>
      <xdr:row>16</xdr:row>
      <xdr:rowOff>200660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59050" y="4090670"/>
          <a:ext cx="711835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2</xdr:row>
      <xdr:rowOff>190500</xdr:rowOff>
    </xdr:from>
    <xdr:to>
      <xdr:col>3</xdr:col>
      <xdr:colOff>1247775</xdr:colOff>
      <xdr:row>5</xdr:row>
      <xdr:rowOff>204470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22220" y="495300"/>
          <a:ext cx="933450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6</xdr:row>
      <xdr:rowOff>65405</xdr:rowOff>
    </xdr:from>
    <xdr:to>
      <xdr:col>3</xdr:col>
      <xdr:colOff>1092835</xdr:colOff>
      <xdr:row>9</xdr:row>
      <xdr:rowOff>200025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69845" y="1593215"/>
          <a:ext cx="73088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</xdr:row>
      <xdr:rowOff>179705</xdr:rowOff>
    </xdr:from>
    <xdr:to>
      <xdr:col>4</xdr:col>
      <xdr:colOff>0</xdr:colOff>
      <xdr:row>21</xdr:row>
      <xdr:rowOff>74295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50770" y="5136515"/>
          <a:ext cx="1203325" cy="83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AppData\Roaming\kingsoft\office6\backup\&#21103;&#26412;&#26410;&#23450;&#20215; 2022.1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BSP0010035</v>
          </cell>
          <cell r="C3" t="str">
            <v>靠背回位簧重汽T5-2.0翻折</v>
          </cell>
        </row>
        <row r="3">
          <cell r="E3" t="str">
            <v>65Mn</v>
          </cell>
        </row>
        <row r="4">
          <cell r="B4" t="str">
            <v>REM0003411</v>
          </cell>
          <cell r="C4" t="str">
            <v>奥威弹簧（H6状态）</v>
          </cell>
        </row>
        <row r="4">
          <cell r="E4" t="str">
            <v>65Mn</v>
          </cell>
        </row>
        <row r="5">
          <cell r="B5" t="str">
            <v>RIM0003411
（RIM0000009）</v>
          </cell>
          <cell r="C5" t="str">
            <v>球头弹卡</v>
          </cell>
        </row>
        <row r="5">
          <cell r="E5" t="str">
            <v>50CrVA</v>
          </cell>
        </row>
        <row r="6">
          <cell r="B6" t="str">
            <v>SCS0006414</v>
          </cell>
          <cell r="C6" t="str">
            <v>靠背左侧面套固定钢丝P203</v>
          </cell>
        </row>
        <row r="6">
          <cell r="E6" t="str">
            <v>Q235</v>
          </cell>
        </row>
        <row r="7">
          <cell r="B7" t="str">
            <v>SCS0006416</v>
          </cell>
          <cell r="C7" t="str">
            <v>靠背右侧面套固定钢丝P203</v>
          </cell>
        </row>
        <row r="7">
          <cell r="E7" t="str">
            <v>Q235</v>
          </cell>
        </row>
        <row r="8">
          <cell r="B8" t="str">
            <v>SCS0007057</v>
          </cell>
          <cell r="C8" t="str">
            <v>儿童座椅固定挂钩B40V后排坐垫</v>
          </cell>
        </row>
        <row r="8">
          <cell r="E8" t="str">
            <v>Q235</v>
          </cell>
        </row>
        <row r="9">
          <cell r="B9" t="str">
            <v>SHT0002744</v>
          </cell>
          <cell r="C9" t="str">
            <v>大运背支撑钢丝右</v>
          </cell>
        </row>
        <row r="9">
          <cell r="E9" t="str">
            <v>Q235</v>
          </cell>
        </row>
        <row r="10">
          <cell r="B10" t="str">
            <v>SHT0011054</v>
          </cell>
          <cell r="C10" t="str">
            <v>靠背骨架下支撑钢线一汽</v>
          </cell>
        </row>
        <row r="10">
          <cell r="E10" t="str">
            <v>Q235</v>
          </cell>
        </row>
        <row r="11">
          <cell r="B11" t="str">
            <v>SHT0011809</v>
          </cell>
          <cell r="C11" t="str">
            <v>仰角调节结构扭簧</v>
          </cell>
        </row>
        <row r="11">
          <cell r="E11" t="str">
            <v>65Mn</v>
          </cell>
        </row>
        <row r="12">
          <cell r="B12" t="str">
            <v>SHT0012006</v>
          </cell>
          <cell r="C12" t="str">
            <v>升降锁止安装卡箍</v>
          </cell>
        </row>
        <row r="12">
          <cell r="E12" t="str">
            <v>65Mn</v>
          </cell>
        </row>
        <row r="13">
          <cell r="B13" t="str">
            <v>SHT0012034</v>
          </cell>
          <cell r="C13" t="str">
            <v>气阀固定钢丝</v>
          </cell>
        </row>
        <row r="13">
          <cell r="E13" t="str">
            <v>20#</v>
          </cell>
        </row>
        <row r="14">
          <cell r="B14" t="str">
            <v>SHT0012049</v>
          </cell>
          <cell r="C14" t="str">
            <v>拉簧固定钢丝</v>
          </cell>
        </row>
        <row r="14">
          <cell r="E14" t="str">
            <v>Q235</v>
          </cell>
        </row>
        <row r="15">
          <cell r="B15" t="str">
            <v>SHT0012110</v>
          </cell>
          <cell r="C15" t="str">
            <v>M4主边罩壳固定钢丝</v>
          </cell>
        </row>
        <row r="15">
          <cell r="E15" t="str">
            <v>Q235</v>
          </cell>
        </row>
        <row r="16">
          <cell r="B16" t="str">
            <v>SHT0012112</v>
          </cell>
          <cell r="C16" t="str">
            <v>M3000副边罩壳固定钢丝</v>
          </cell>
        </row>
        <row r="16">
          <cell r="E16" t="str">
            <v>Q235</v>
          </cell>
        </row>
        <row r="17">
          <cell r="B17" t="str">
            <v>SLT0010193</v>
          </cell>
          <cell r="C17" t="str">
            <v>气管线接头固定钢丝</v>
          </cell>
        </row>
        <row r="17">
          <cell r="E17" t="str">
            <v>Q235</v>
          </cell>
        </row>
        <row r="18">
          <cell r="B18" t="str">
            <v>SLT0010335</v>
          </cell>
          <cell r="C18" t="str">
            <v>统帅驾驶员侧翼支撑钢丝</v>
          </cell>
        </row>
        <row r="18">
          <cell r="E18" t="str">
            <v>Q235</v>
          </cell>
        </row>
        <row r="19">
          <cell r="B19" t="str">
            <v>SLT0010355</v>
          </cell>
          <cell r="C19" t="str">
            <v>统帅副驾靠背侧翼支撑钢丝</v>
          </cell>
        </row>
        <row r="19">
          <cell r="E19" t="str">
            <v>Q235</v>
          </cell>
        </row>
        <row r="20">
          <cell r="B20" t="str">
            <v>SLT0010397</v>
          </cell>
          <cell r="C20" t="str">
            <v>统帅2080副驾座垫骨架总成</v>
          </cell>
        </row>
        <row r="20">
          <cell r="E20" t="str">
            <v>ASSY</v>
          </cell>
        </row>
        <row r="21">
          <cell r="B21" t="str">
            <v>SLT0010415</v>
          </cell>
          <cell r="C21" t="str">
            <v>驾驶员左侧护板固定钢丝A</v>
          </cell>
        </row>
        <row r="21">
          <cell r="E21" t="str">
            <v>Q235</v>
          </cell>
        </row>
        <row r="22">
          <cell r="B22" t="str">
            <v>SLT0010416</v>
          </cell>
          <cell r="C22" t="str">
            <v>驾驶员左侧护板固定钢丝B</v>
          </cell>
        </row>
        <row r="22">
          <cell r="E22" t="str">
            <v>Q235</v>
          </cell>
        </row>
        <row r="23">
          <cell r="B23" t="str">
            <v>SLT0010437</v>
          </cell>
          <cell r="C23" t="str">
            <v>统帅副驾靠背头枕支撑杆</v>
          </cell>
        </row>
        <row r="23">
          <cell r="E23" t="str">
            <v>Q235</v>
          </cell>
        </row>
        <row r="24">
          <cell r="B24" t="str">
            <v>SLT0010438</v>
          </cell>
          <cell r="C24" t="str">
            <v>统帅副驾靠背头枕加强钢丝</v>
          </cell>
        </row>
        <row r="24">
          <cell r="E24" t="str">
            <v>Q235</v>
          </cell>
        </row>
        <row r="25">
          <cell r="B25" t="str">
            <v>SHT0012749</v>
          </cell>
          <cell r="C25" t="str">
            <v>靠背中部钢丝</v>
          </cell>
        </row>
        <row r="25">
          <cell r="E25" t="str">
            <v>65#</v>
          </cell>
        </row>
        <row r="26">
          <cell r="B26" t="str">
            <v>SHT0013145</v>
          </cell>
          <cell r="C26" t="str">
            <v>1.0升级前升降拉簧</v>
          </cell>
        </row>
        <row r="26">
          <cell r="E26" t="str">
            <v>65Mn</v>
          </cell>
        </row>
        <row r="27">
          <cell r="B27" t="str">
            <v>SHT0013146</v>
          </cell>
          <cell r="C27" t="str">
            <v>1.0升级后升降拉簧</v>
          </cell>
        </row>
        <row r="27">
          <cell r="E27" t="str">
            <v>65Mn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0" zoomScaleNormal="80" workbookViewId="0">
      <pane ySplit="1" topLeftCell="A2" activePane="bottomLeft" state="frozen"/>
      <selection/>
      <selection pane="bottomLeft" activeCell="L4" sqref="L4"/>
    </sheetView>
  </sheetViews>
  <sheetFormatPr defaultColWidth="9" defaultRowHeight="14.4"/>
  <cols>
    <col min="1" max="1" width="5.12962962962963" style="86" customWidth="1"/>
    <col min="2" max="2" width="14.25" style="86" customWidth="1"/>
    <col min="3" max="3" width="20.3796296296296" style="86" customWidth="1"/>
    <col min="4" max="4" width="7.37962962962963" style="86" customWidth="1"/>
    <col min="5" max="5" width="7.75" style="86" customWidth="1"/>
    <col min="6" max="6" width="7.37962962962963" style="86" customWidth="1"/>
    <col min="7" max="7" width="14.1296296296296" style="86" customWidth="1"/>
    <col min="8" max="8" width="10.6296296296296" style="86" customWidth="1"/>
    <col min="9" max="9" width="8.37962962962963" style="86" customWidth="1"/>
    <col min="10" max="10" width="26.25" style="86" customWidth="1"/>
    <col min="11" max="11" width="31.7777777777778" style="86" customWidth="1"/>
    <col min="12" max="12" width="15.8333333333333" style="115" customWidth="1"/>
    <col min="13" max="16384" width="9" style="86"/>
  </cols>
  <sheetData>
    <row r="1" ht="37" customHeight="1" spans="1:14">
      <c r="A1" s="116" t="s">
        <v>0</v>
      </c>
      <c r="B1" s="116" t="s">
        <v>1</v>
      </c>
      <c r="C1" s="117" t="s">
        <v>2</v>
      </c>
      <c r="D1" s="118" t="s">
        <v>3</v>
      </c>
      <c r="E1" s="116" t="s">
        <v>4</v>
      </c>
      <c r="F1" s="116" t="s">
        <v>5</v>
      </c>
      <c r="G1" s="116" t="s">
        <v>6</v>
      </c>
      <c r="H1" s="116" t="s">
        <v>7</v>
      </c>
      <c r="I1" s="116" t="s">
        <v>8</v>
      </c>
      <c r="J1" s="132" t="s">
        <v>9</v>
      </c>
      <c r="K1" s="132" t="s">
        <v>10</v>
      </c>
      <c r="L1" s="118" t="s">
        <v>11</v>
      </c>
      <c r="M1" s="118" t="s">
        <v>12</v>
      </c>
      <c r="N1" s="118"/>
    </row>
    <row r="2" ht="37" customHeight="1" spans="1:14">
      <c r="A2" s="116">
        <v>1</v>
      </c>
      <c r="B2" s="121" t="s">
        <v>13</v>
      </c>
      <c r="C2" s="117" t="s">
        <v>14</v>
      </c>
      <c r="D2" s="122">
        <v>15587</v>
      </c>
      <c r="E2" s="117" t="s">
        <v>15</v>
      </c>
      <c r="F2" s="123">
        <v>0.273</v>
      </c>
      <c r="G2" s="122"/>
      <c r="H2" s="122"/>
      <c r="I2" s="135">
        <v>3.61</v>
      </c>
      <c r="J2" s="132" t="s">
        <v>16</v>
      </c>
      <c r="K2" s="132"/>
      <c r="L2" s="118">
        <v>2.6</v>
      </c>
      <c r="M2" s="118">
        <v>2.2</v>
      </c>
      <c r="N2" s="118" t="s">
        <v>17</v>
      </c>
    </row>
    <row r="3" s="113" customFormat="1" ht="45.6" customHeight="1" spans="1:14">
      <c r="A3" s="116">
        <v>2</v>
      </c>
      <c r="B3" s="125" t="s">
        <v>18</v>
      </c>
      <c r="C3" s="117" t="s">
        <v>19</v>
      </c>
      <c r="D3" s="122">
        <v>412</v>
      </c>
      <c r="E3" s="117" t="s">
        <v>15</v>
      </c>
      <c r="F3" s="117">
        <v>0.0188</v>
      </c>
      <c r="G3" s="122"/>
      <c r="H3" s="126"/>
      <c r="I3" s="135">
        <v>0.35</v>
      </c>
      <c r="J3" s="122"/>
      <c r="K3" s="122"/>
      <c r="L3" s="137">
        <f>最新核价!T11</f>
        <v>0.352218557264957</v>
      </c>
      <c r="M3" s="117"/>
      <c r="N3" s="117"/>
    </row>
    <row r="4" s="113" customFormat="1" ht="45.6" customHeight="1" spans="1:14">
      <c r="A4" s="116">
        <v>3</v>
      </c>
      <c r="B4" s="122" t="s">
        <v>20</v>
      </c>
      <c r="C4" s="117" t="s">
        <v>21</v>
      </c>
      <c r="D4" s="122">
        <v>418</v>
      </c>
      <c r="E4" s="117" t="s">
        <v>15</v>
      </c>
      <c r="F4" s="117">
        <v>0.0188</v>
      </c>
      <c r="G4" s="122"/>
      <c r="H4" s="126"/>
      <c r="I4" s="135">
        <v>0.35</v>
      </c>
      <c r="J4" s="122"/>
      <c r="K4" s="122"/>
      <c r="L4" s="137">
        <f>最新核价!T15</f>
        <v>0.352218557264957</v>
      </c>
      <c r="M4" s="117"/>
      <c r="N4" s="117"/>
    </row>
    <row r="5" s="113" customFormat="1" ht="45.6" customHeight="1" spans="1:14">
      <c r="A5" s="116">
        <v>4</v>
      </c>
      <c r="B5" s="122" t="s">
        <v>22</v>
      </c>
      <c r="C5" s="117" t="s">
        <v>23</v>
      </c>
      <c r="D5" s="122">
        <v>84978</v>
      </c>
      <c r="E5" s="117" t="s">
        <v>15</v>
      </c>
      <c r="F5" s="117">
        <v>0.257</v>
      </c>
      <c r="G5" s="122"/>
      <c r="H5" s="122"/>
      <c r="I5" s="135">
        <v>3.45</v>
      </c>
      <c r="J5" s="122"/>
      <c r="K5" s="122"/>
      <c r="L5" s="117">
        <v>2.7</v>
      </c>
      <c r="M5" s="118">
        <v>2.4</v>
      </c>
      <c r="N5" s="118" t="s">
        <v>17</v>
      </c>
    </row>
    <row r="6" ht="58" customHeight="1" spans="1:14">
      <c r="A6" s="116">
        <v>5</v>
      </c>
      <c r="B6" s="131" t="s">
        <v>24</v>
      </c>
      <c r="C6" s="116" t="s">
        <v>25</v>
      </c>
      <c r="D6" s="132">
        <v>16674</v>
      </c>
      <c r="E6" s="117" t="s">
        <v>15</v>
      </c>
      <c r="F6" s="118">
        <v>0.033</v>
      </c>
      <c r="G6" s="132"/>
      <c r="H6" s="132"/>
      <c r="I6" s="135">
        <v>1.1</v>
      </c>
      <c r="J6" s="132" t="s">
        <v>26</v>
      </c>
      <c r="K6" s="132" t="s">
        <v>27</v>
      </c>
      <c r="L6" s="118">
        <v>1.063</v>
      </c>
      <c r="M6" s="118"/>
      <c r="N6" s="118"/>
    </row>
    <row r="7" ht="58" customHeight="1" spans="1:14">
      <c r="A7" s="116">
        <v>6</v>
      </c>
      <c r="B7" s="131" t="s">
        <v>28</v>
      </c>
      <c r="C7" s="116" t="s">
        <v>29</v>
      </c>
      <c r="D7" s="132">
        <v>16321</v>
      </c>
      <c r="E7" s="117" t="s">
        <v>15</v>
      </c>
      <c r="F7" s="118">
        <v>0.033</v>
      </c>
      <c r="G7" s="132"/>
      <c r="H7" s="132"/>
      <c r="I7" s="135">
        <v>1.1</v>
      </c>
      <c r="J7" s="132" t="s">
        <v>26</v>
      </c>
      <c r="K7" s="132" t="s">
        <v>27</v>
      </c>
      <c r="L7" s="118">
        <v>1.063</v>
      </c>
      <c r="M7" s="118"/>
      <c r="N7" s="118"/>
    </row>
    <row r="8" ht="45.6" customHeight="1" spans="1:14">
      <c r="A8" s="116">
        <v>7</v>
      </c>
      <c r="B8" s="131" t="s">
        <v>30</v>
      </c>
      <c r="C8" s="132" t="s">
        <v>31</v>
      </c>
      <c r="D8" s="132">
        <v>1000</v>
      </c>
      <c r="E8" s="118"/>
      <c r="F8" s="118"/>
      <c r="G8" s="132"/>
      <c r="H8" s="132"/>
      <c r="I8" s="135">
        <v>0.35</v>
      </c>
      <c r="J8" s="132" t="s">
        <v>32</v>
      </c>
      <c r="K8" s="132" t="s">
        <v>31</v>
      </c>
      <c r="L8" s="139">
        <v>0.35</v>
      </c>
      <c r="M8" s="118"/>
      <c r="N8" s="118"/>
    </row>
    <row r="9" ht="45.6" customHeight="1" spans="1:14">
      <c r="A9" s="116">
        <v>8</v>
      </c>
      <c r="B9" s="131" t="s">
        <v>33</v>
      </c>
      <c r="C9" s="132" t="s">
        <v>34</v>
      </c>
      <c r="D9" s="132">
        <v>100</v>
      </c>
      <c r="E9" s="118"/>
      <c r="F9" s="118"/>
      <c r="G9" s="132"/>
      <c r="H9" s="132"/>
      <c r="I9" s="135">
        <v>0.4</v>
      </c>
      <c r="J9" s="132" t="s">
        <v>32</v>
      </c>
      <c r="K9" s="132" t="s">
        <v>34</v>
      </c>
      <c r="L9" s="139">
        <v>0.4</v>
      </c>
      <c r="M9" s="118"/>
      <c r="N9" s="118"/>
    </row>
    <row r="10" ht="45.6" customHeight="1" spans="1:14">
      <c r="A10" s="116">
        <v>9</v>
      </c>
      <c r="B10" s="131" t="s">
        <v>35</v>
      </c>
      <c r="C10" s="116" t="s">
        <v>36</v>
      </c>
      <c r="D10" s="132">
        <v>800</v>
      </c>
      <c r="E10" s="118" t="s">
        <v>37</v>
      </c>
      <c r="F10" s="118">
        <v>0.164</v>
      </c>
      <c r="G10" s="132"/>
      <c r="H10" s="134">
        <f>8.55/1.13</f>
        <v>7.56637168141593</v>
      </c>
      <c r="I10" s="135">
        <f>F10*H10</f>
        <v>1.24088495575221</v>
      </c>
      <c r="J10" s="132"/>
      <c r="K10" s="132"/>
      <c r="L10" s="140">
        <f>F10*8.55/1.13</f>
        <v>1.24088495575221</v>
      </c>
      <c r="M10" s="118"/>
      <c r="N10" s="118"/>
    </row>
  </sheetData>
  <autoFilter xmlns:etc="http://www.wps.cn/officeDocument/2017/etCustomData" ref="A1:K10" etc:filterBottomFollowUsedRange="0">
    <extLst/>
  </autoFilter>
  <conditionalFormatting sqref="B2">
    <cfRule type="duplicateValues" dxfId="0" priority="23"/>
  </conditionalFormatting>
  <conditionalFormatting sqref="B8">
    <cfRule type="duplicateValues" dxfId="0" priority="19"/>
  </conditionalFormatting>
  <conditionalFormatting sqref="B9">
    <cfRule type="duplicateValues" dxfId="0" priority="18"/>
  </conditionalFormatting>
  <conditionalFormatting sqref="B10">
    <cfRule type="duplicateValues" dxfId="0" priority="14"/>
  </conditionalFormatting>
  <conditionalFormatting sqref="B1 B11:B1048576 B3:B7">
    <cfRule type="duplicateValues" dxfId="0" priority="24"/>
  </conditionalFormatting>
  <pageMargins left="0.275" right="0.156944444444444" top="0.236111111111111" bottom="0" header="0.314583333333333" footer="0.196527777777778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pane ySplit="1" topLeftCell="A3" activePane="bottomLeft" state="frozen"/>
      <selection/>
      <selection pane="bottomLeft" activeCell="A17" sqref="$A17:$XFD17"/>
    </sheetView>
  </sheetViews>
  <sheetFormatPr defaultColWidth="9" defaultRowHeight="14.4"/>
  <cols>
    <col min="1" max="1" width="5.12962962962963" style="86" customWidth="1"/>
    <col min="2" max="2" width="14.25" style="86" customWidth="1"/>
    <col min="3" max="3" width="20.3796296296296" style="86" customWidth="1"/>
    <col min="4" max="4" width="7.37962962962963" style="86" customWidth="1"/>
    <col min="5" max="5" width="7.75" style="86" customWidth="1"/>
    <col min="6" max="6" width="7.37962962962963" style="86" customWidth="1"/>
    <col min="7" max="7" width="14.1296296296296" style="86" customWidth="1"/>
    <col min="8" max="8" width="10.6296296296296" style="86" customWidth="1"/>
    <col min="9" max="9" width="8.37962962962963" style="86" customWidth="1"/>
    <col min="10" max="10" width="26.25" style="86" customWidth="1"/>
    <col min="11" max="11" width="31.7777777777778" style="86" customWidth="1"/>
    <col min="12" max="12" width="15.8333333333333" style="115" customWidth="1"/>
    <col min="13" max="16384" width="9" style="86"/>
  </cols>
  <sheetData>
    <row r="1" ht="37" customHeight="1" spans="1:14">
      <c r="A1" s="116" t="s">
        <v>0</v>
      </c>
      <c r="B1" s="116" t="s">
        <v>1</v>
      </c>
      <c r="C1" s="117" t="s">
        <v>2</v>
      </c>
      <c r="D1" s="118" t="s">
        <v>3</v>
      </c>
      <c r="E1" s="116" t="s">
        <v>4</v>
      </c>
      <c r="F1" s="116" t="s">
        <v>5</v>
      </c>
      <c r="G1" s="116" t="s">
        <v>6</v>
      </c>
      <c r="H1" s="116" t="s">
        <v>7</v>
      </c>
      <c r="I1" s="116" t="s">
        <v>8</v>
      </c>
      <c r="J1" s="132" t="s">
        <v>9</v>
      </c>
      <c r="K1" s="132" t="s">
        <v>10</v>
      </c>
      <c r="L1" s="118" t="s">
        <v>38</v>
      </c>
      <c r="M1" s="118" t="s">
        <v>12</v>
      </c>
      <c r="N1" s="118"/>
    </row>
    <row r="2" s="112" customFormat="1" ht="37" customHeight="1" spans="1:14">
      <c r="A2" s="119">
        <v>1</v>
      </c>
      <c r="B2" s="119" t="s">
        <v>39</v>
      </c>
      <c r="C2" s="120" t="s">
        <v>40</v>
      </c>
      <c r="D2" s="120">
        <v>842</v>
      </c>
      <c r="E2" s="119" t="s">
        <v>41</v>
      </c>
      <c r="F2" s="119"/>
      <c r="G2" s="119"/>
      <c r="H2" s="119"/>
      <c r="I2" s="119"/>
      <c r="J2" s="124" t="s">
        <v>42</v>
      </c>
      <c r="K2" s="124" t="s">
        <v>43</v>
      </c>
      <c r="L2" s="120"/>
      <c r="M2" s="120"/>
      <c r="N2" s="120"/>
    </row>
    <row r="3" ht="37" customHeight="1" spans="1:14">
      <c r="A3" s="116">
        <v>2</v>
      </c>
      <c r="B3" s="121" t="s">
        <v>13</v>
      </c>
      <c r="C3" s="117" t="s">
        <v>14</v>
      </c>
      <c r="D3" s="122">
        <v>15587</v>
      </c>
      <c r="E3" s="117" t="s">
        <v>15</v>
      </c>
      <c r="F3" s="123">
        <v>0.273</v>
      </c>
      <c r="G3" s="122"/>
      <c r="H3" s="122"/>
      <c r="I3" s="135">
        <v>3.61</v>
      </c>
      <c r="J3" s="132" t="s">
        <v>16</v>
      </c>
      <c r="K3" s="132"/>
      <c r="L3" s="118">
        <v>2.6</v>
      </c>
      <c r="M3" s="118">
        <v>2.2</v>
      </c>
      <c r="N3" s="118" t="s">
        <v>17</v>
      </c>
    </row>
    <row r="4" s="112" customFormat="1" ht="37" customHeight="1" spans="1:14">
      <c r="A4" s="119">
        <v>3</v>
      </c>
      <c r="B4" s="119" t="s">
        <v>44</v>
      </c>
      <c r="C4" s="120" t="s">
        <v>45</v>
      </c>
      <c r="D4" s="124">
        <v>2165</v>
      </c>
      <c r="E4" s="120" t="s">
        <v>15</v>
      </c>
      <c r="F4" s="120">
        <v>0.035</v>
      </c>
      <c r="G4" s="124"/>
      <c r="H4" s="124"/>
      <c r="I4" s="136">
        <v>0.62</v>
      </c>
      <c r="J4" s="124"/>
      <c r="K4" s="124" t="s">
        <v>43</v>
      </c>
      <c r="L4" s="120"/>
      <c r="M4" s="120"/>
      <c r="N4" s="120"/>
    </row>
    <row r="5" s="113" customFormat="1" ht="45.6" customHeight="1" spans="1:14">
      <c r="A5" s="116">
        <v>4</v>
      </c>
      <c r="B5" s="125" t="s">
        <v>18</v>
      </c>
      <c r="C5" s="117" t="s">
        <v>19</v>
      </c>
      <c r="D5" s="122">
        <v>412</v>
      </c>
      <c r="E5" s="117" t="s">
        <v>15</v>
      </c>
      <c r="F5" s="117">
        <v>0.0188</v>
      </c>
      <c r="G5" s="122"/>
      <c r="H5" s="126"/>
      <c r="I5" s="135">
        <v>0.35</v>
      </c>
      <c r="J5" s="122"/>
      <c r="K5" s="122"/>
      <c r="L5" s="137">
        <f>最新核价!T11</f>
        <v>0.352218557264957</v>
      </c>
      <c r="M5" s="117"/>
      <c r="N5" s="117"/>
    </row>
    <row r="6" s="113" customFormat="1" ht="45.6" customHeight="1" spans="1:14">
      <c r="A6" s="116">
        <v>5</v>
      </c>
      <c r="B6" s="122" t="s">
        <v>20</v>
      </c>
      <c r="C6" s="117" t="s">
        <v>21</v>
      </c>
      <c r="D6" s="122">
        <v>418</v>
      </c>
      <c r="E6" s="117" t="s">
        <v>15</v>
      </c>
      <c r="F6" s="117">
        <v>0.0188</v>
      </c>
      <c r="G6" s="122"/>
      <c r="H6" s="126"/>
      <c r="I6" s="135">
        <v>0.35</v>
      </c>
      <c r="J6" s="122"/>
      <c r="K6" s="122"/>
      <c r="L6" s="137">
        <f>最新核价!T15</f>
        <v>0.352218557264957</v>
      </c>
      <c r="M6" s="117"/>
      <c r="N6" s="117"/>
    </row>
    <row r="7" s="113" customFormat="1" ht="45.6" customHeight="1" spans="1:14">
      <c r="A7" s="116">
        <v>6</v>
      </c>
      <c r="B7" s="122" t="s">
        <v>22</v>
      </c>
      <c r="C7" s="117" t="s">
        <v>23</v>
      </c>
      <c r="D7" s="122">
        <v>84978</v>
      </c>
      <c r="E7" s="117" t="s">
        <v>15</v>
      </c>
      <c r="F7" s="117">
        <v>0.257</v>
      </c>
      <c r="G7" s="122"/>
      <c r="H7" s="122"/>
      <c r="I7" s="135">
        <v>3.45</v>
      </c>
      <c r="J7" s="122"/>
      <c r="K7" s="122"/>
      <c r="L7" s="117">
        <v>2.7</v>
      </c>
      <c r="M7" s="118">
        <v>2.4</v>
      </c>
      <c r="N7" s="118" t="s">
        <v>17</v>
      </c>
    </row>
    <row r="8" s="114" customFormat="1" ht="45.6" customHeight="1" spans="1:14">
      <c r="A8" s="127">
        <v>7</v>
      </c>
      <c r="B8" s="128" t="s">
        <v>46</v>
      </c>
      <c r="C8" s="123" t="s">
        <v>47</v>
      </c>
      <c r="D8" s="128">
        <v>76670</v>
      </c>
      <c r="E8" s="123" t="str">
        <f>VLOOKUP(B8,[1]Sheet1!$B$3:$E$27,4,0)</f>
        <v>Q235</v>
      </c>
      <c r="F8" s="129"/>
      <c r="G8" s="128"/>
      <c r="H8" s="128"/>
      <c r="I8" s="138">
        <f>1.42*0.95</f>
        <v>1.349</v>
      </c>
      <c r="J8" s="128" t="s">
        <v>48</v>
      </c>
      <c r="K8" s="128" t="s">
        <v>49</v>
      </c>
      <c r="L8" s="123"/>
      <c r="M8" s="123"/>
      <c r="N8" s="123"/>
    </row>
    <row r="9" s="114" customFormat="1" ht="45.6" customHeight="1" spans="1:14">
      <c r="A9" s="127">
        <v>8</v>
      </c>
      <c r="B9" s="128" t="s">
        <v>50</v>
      </c>
      <c r="C9" s="123" t="s">
        <v>51</v>
      </c>
      <c r="D9" s="128">
        <v>5800</v>
      </c>
      <c r="E9" s="123" t="s">
        <v>37</v>
      </c>
      <c r="F9" s="129">
        <v>0.0426</v>
      </c>
      <c r="G9" s="128"/>
      <c r="H9" s="130">
        <f>8.55/1.13</f>
        <v>7.56637168141593</v>
      </c>
      <c r="I9" s="138">
        <f>F9*H9</f>
        <v>0.322327433628319</v>
      </c>
      <c r="J9" s="128"/>
      <c r="K9" s="128" t="s">
        <v>49</v>
      </c>
      <c r="L9" s="123"/>
      <c r="M9" s="123"/>
      <c r="N9" s="123"/>
    </row>
    <row r="10" ht="58" customHeight="1" spans="1:14">
      <c r="A10" s="116">
        <v>9</v>
      </c>
      <c r="B10" s="131" t="s">
        <v>24</v>
      </c>
      <c r="C10" s="116" t="s">
        <v>25</v>
      </c>
      <c r="D10" s="132">
        <v>16674</v>
      </c>
      <c r="E10" s="117" t="s">
        <v>15</v>
      </c>
      <c r="F10" s="118">
        <v>0.033</v>
      </c>
      <c r="G10" s="132"/>
      <c r="H10" s="132"/>
      <c r="I10" s="135">
        <v>1.1</v>
      </c>
      <c r="J10" s="132" t="s">
        <v>26</v>
      </c>
      <c r="K10" s="132" t="s">
        <v>27</v>
      </c>
      <c r="L10" s="118">
        <v>1.063</v>
      </c>
      <c r="M10" s="118"/>
      <c r="N10" s="118"/>
    </row>
    <row r="11" ht="58" customHeight="1" spans="1:14">
      <c r="A11" s="116">
        <v>10</v>
      </c>
      <c r="B11" s="131" t="s">
        <v>28</v>
      </c>
      <c r="C11" s="116" t="s">
        <v>29</v>
      </c>
      <c r="D11" s="132">
        <v>16321</v>
      </c>
      <c r="E11" s="117" t="s">
        <v>15</v>
      </c>
      <c r="F11" s="118">
        <v>0.033</v>
      </c>
      <c r="G11" s="132"/>
      <c r="H11" s="132"/>
      <c r="I11" s="135">
        <v>1.1</v>
      </c>
      <c r="J11" s="132" t="s">
        <v>26</v>
      </c>
      <c r="K11" s="132" t="s">
        <v>27</v>
      </c>
      <c r="L11" s="118">
        <v>1.063</v>
      </c>
      <c r="M11" s="118"/>
      <c r="N11" s="118"/>
    </row>
    <row r="12" s="114" customFormat="1" ht="45.6" customHeight="1" spans="1:14">
      <c r="A12" s="127">
        <v>11</v>
      </c>
      <c r="B12" s="133" t="s">
        <v>52</v>
      </c>
      <c r="C12" s="127" t="s">
        <v>53</v>
      </c>
      <c r="D12" s="128">
        <v>100</v>
      </c>
      <c r="E12" s="123" t="s">
        <v>37</v>
      </c>
      <c r="F12" s="123">
        <v>0.1645</v>
      </c>
      <c r="G12" s="128"/>
      <c r="H12" s="130">
        <f t="shared" ref="H12:H19" si="0">8.55/1.13</f>
        <v>7.56637168141593</v>
      </c>
      <c r="I12" s="138">
        <f t="shared" ref="I12:I19" si="1">F12*H12</f>
        <v>1.24466814159292</v>
      </c>
      <c r="J12" s="128"/>
      <c r="K12" s="128" t="s">
        <v>49</v>
      </c>
      <c r="L12" s="123"/>
      <c r="M12" s="123"/>
      <c r="N12" s="123"/>
    </row>
    <row r="13" ht="45.6" customHeight="1" spans="1:14">
      <c r="A13" s="116">
        <v>12</v>
      </c>
      <c r="B13" s="131" t="s">
        <v>30</v>
      </c>
      <c r="C13" s="132" t="s">
        <v>31</v>
      </c>
      <c r="D13" s="132">
        <v>1000</v>
      </c>
      <c r="E13" s="118"/>
      <c r="F13" s="118"/>
      <c r="G13" s="132"/>
      <c r="H13" s="132"/>
      <c r="I13" s="135">
        <v>0.35</v>
      </c>
      <c r="J13" s="132" t="s">
        <v>32</v>
      </c>
      <c r="K13" s="132" t="s">
        <v>31</v>
      </c>
      <c r="L13" s="139">
        <v>0.35</v>
      </c>
      <c r="M13" s="118"/>
      <c r="N13" s="118"/>
    </row>
    <row r="14" ht="45.6" customHeight="1" spans="1:14">
      <c r="A14" s="116">
        <v>13</v>
      </c>
      <c r="B14" s="131" t="s">
        <v>33</v>
      </c>
      <c r="C14" s="132" t="s">
        <v>34</v>
      </c>
      <c r="D14" s="132">
        <v>100</v>
      </c>
      <c r="E14" s="118"/>
      <c r="F14" s="118"/>
      <c r="G14" s="132"/>
      <c r="H14" s="132"/>
      <c r="I14" s="135">
        <v>0.4</v>
      </c>
      <c r="J14" s="132" t="s">
        <v>32</v>
      </c>
      <c r="K14" s="132" t="s">
        <v>34</v>
      </c>
      <c r="L14" s="139">
        <v>0.4</v>
      </c>
      <c r="M14" s="118"/>
      <c r="N14" s="118"/>
    </row>
    <row r="15" s="114" customFormat="1" ht="45.6" customHeight="1" spans="1:14">
      <c r="A15" s="127">
        <v>14</v>
      </c>
      <c r="B15" s="133" t="s">
        <v>54</v>
      </c>
      <c r="C15" s="127" t="s">
        <v>55</v>
      </c>
      <c r="D15" s="128">
        <v>100</v>
      </c>
      <c r="E15" s="123" t="s">
        <v>37</v>
      </c>
      <c r="F15" s="123">
        <v>0.064</v>
      </c>
      <c r="G15" s="128"/>
      <c r="H15" s="130">
        <f t="shared" si="0"/>
        <v>7.56637168141593</v>
      </c>
      <c r="I15" s="138">
        <f t="shared" si="1"/>
        <v>0.48424778761062</v>
      </c>
      <c r="J15" s="128"/>
      <c r="K15" s="128" t="s">
        <v>49</v>
      </c>
      <c r="L15" s="123"/>
      <c r="M15" s="123"/>
      <c r="N15" s="123"/>
    </row>
    <row r="16" s="114" customFormat="1" ht="45.6" customHeight="1" spans="1:14">
      <c r="A16" s="127">
        <v>15</v>
      </c>
      <c r="B16" s="133" t="s">
        <v>56</v>
      </c>
      <c r="C16" s="127" t="s">
        <v>57</v>
      </c>
      <c r="D16" s="128">
        <v>100</v>
      </c>
      <c r="E16" s="123" t="s">
        <v>37</v>
      </c>
      <c r="F16" s="123">
        <v>0.0462</v>
      </c>
      <c r="G16" s="128"/>
      <c r="H16" s="130">
        <f t="shared" si="0"/>
        <v>7.56637168141593</v>
      </c>
      <c r="I16" s="138">
        <f t="shared" si="1"/>
        <v>0.349566371681416</v>
      </c>
      <c r="J16" s="128"/>
      <c r="K16" s="128" t="s">
        <v>49</v>
      </c>
      <c r="L16" s="123"/>
      <c r="M16" s="123"/>
      <c r="N16" s="123"/>
    </row>
    <row r="17" ht="45.6" customHeight="1" spans="1:14">
      <c r="A17" s="116">
        <v>17</v>
      </c>
      <c r="B17" s="131" t="s">
        <v>35</v>
      </c>
      <c r="C17" s="116" t="s">
        <v>36</v>
      </c>
      <c r="D17" s="132">
        <v>800</v>
      </c>
      <c r="E17" s="118" t="s">
        <v>37</v>
      </c>
      <c r="F17" s="118">
        <v>0.164</v>
      </c>
      <c r="G17" s="132"/>
      <c r="H17" s="134">
        <f t="shared" si="0"/>
        <v>7.56637168141593</v>
      </c>
      <c r="I17" s="135">
        <f t="shared" si="1"/>
        <v>1.24088495575221</v>
      </c>
      <c r="J17" s="132"/>
      <c r="K17" s="132"/>
      <c r="L17" s="140">
        <f>F17*8.55/1.13</f>
        <v>1.24088495575221</v>
      </c>
      <c r="M17" s="118"/>
      <c r="N17" s="118"/>
    </row>
    <row r="18" s="114" customFormat="1" ht="45.6" customHeight="1" spans="1:14">
      <c r="A18" s="127">
        <v>18</v>
      </c>
      <c r="B18" s="133" t="s">
        <v>58</v>
      </c>
      <c r="C18" s="127" t="s">
        <v>59</v>
      </c>
      <c r="D18" s="128">
        <v>1600</v>
      </c>
      <c r="E18" s="123" t="s">
        <v>37</v>
      </c>
      <c r="F18" s="123">
        <v>0.092</v>
      </c>
      <c r="G18" s="128"/>
      <c r="H18" s="130">
        <f t="shared" si="0"/>
        <v>7.56637168141593</v>
      </c>
      <c r="I18" s="138">
        <f t="shared" si="1"/>
        <v>0.696106194690266</v>
      </c>
      <c r="J18" s="128"/>
      <c r="K18" s="128" t="s">
        <v>49</v>
      </c>
      <c r="L18" s="123"/>
      <c r="M18" s="123"/>
      <c r="N18" s="123"/>
    </row>
    <row r="19" s="114" customFormat="1" ht="45.6" customHeight="1" spans="1:14">
      <c r="A19" s="127">
        <v>19</v>
      </c>
      <c r="B19" s="133" t="s">
        <v>60</v>
      </c>
      <c r="C19" s="127" t="s">
        <v>61</v>
      </c>
      <c r="D19" s="128">
        <v>800</v>
      </c>
      <c r="E19" s="123" t="s">
        <v>37</v>
      </c>
      <c r="F19" s="123">
        <v>0.0448</v>
      </c>
      <c r="G19" s="128"/>
      <c r="H19" s="130">
        <f t="shared" si="0"/>
        <v>7.56637168141593</v>
      </c>
      <c r="I19" s="138">
        <f t="shared" si="1"/>
        <v>0.338973451327434</v>
      </c>
      <c r="J19" s="128"/>
      <c r="K19" s="128" t="s">
        <v>49</v>
      </c>
      <c r="L19" s="123"/>
      <c r="M19" s="123"/>
      <c r="N19" s="123"/>
    </row>
  </sheetData>
  <autoFilter xmlns:etc="http://www.wps.cn/officeDocument/2017/etCustomData" ref="A1:K19" etc:filterBottomFollowUsedRange="0">
    <extLst/>
  </autoFilter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3"/>
  </conditionalFormatting>
  <conditionalFormatting sqref="B17">
    <cfRule type="duplicateValues" dxfId="0" priority="4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3:B4">
    <cfRule type="duplicateValues" dxfId="0" priority="10"/>
  </conditionalFormatting>
  <conditionalFormatting sqref="B8:B9">
    <cfRule type="duplicateValues" dxfId="0" priority="9"/>
  </conditionalFormatting>
  <conditionalFormatting sqref="B1:B2 B5:B7 B10:B11 B20:B1048576">
    <cfRule type="duplicateValues" dxfId="0" priority="11"/>
  </conditionalFormatting>
  <pageMargins left="0.275" right="0.156944444444444" top="0.236111111111111" bottom="0" header="0.314583333333333" footer="0.196527777777778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zoomScale="80" zoomScaleNormal="80" workbookViewId="0">
      <pane ySplit="2" topLeftCell="A3" activePane="bottomLeft" state="frozen"/>
      <selection/>
      <selection pane="bottomLeft" activeCell="L4" sqref="L4"/>
    </sheetView>
  </sheetViews>
  <sheetFormatPr defaultColWidth="9" defaultRowHeight="14.4"/>
  <cols>
    <col min="1" max="1" width="9" style="86"/>
    <col min="2" max="2" width="14.1944444444444" style="86" customWidth="1"/>
    <col min="3" max="3" width="9" style="86"/>
    <col min="4" max="4" width="19.6296296296296" style="86" customWidth="1"/>
    <col min="5" max="6" width="9" style="86"/>
    <col min="7" max="7" width="5.5" style="86" customWidth="1"/>
    <col min="8" max="8" width="9" style="86"/>
    <col min="9" max="9" width="11.1296296296296" style="86"/>
    <col min="10" max="10" width="9" style="86"/>
    <col min="11" max="11" width="12.6296296296296" style="86"/>
    <col min="12" max="16384" width="9" style="86"/>
  </cols>
  <sheetData>
    <row r="1" s="84" customFormat="1" ht="12" customHeight="1" spans="1:21">
      <c r="A1" s="87" t="s">
        <v>0</v>
      </c>
      <c r="B1" s="88" t="s">
        <v>62</v>
      </c>
      <c r="C1" s="89" t="s">
        <v>2</v>
      </c>
      <c r="D1" s="90" t="s">
        <v>63</v>
      </c>
      <c r="E1" s="89" t="s">
        <v>64</v>
      </c>
      <c r="F1" s="90" t="s">
        <v>4</v>
      </c>
      <c r="G1" s="88" t="s">
        <v>65</v>
      </c>
      <c r="H1" s="91" t="s">
        <v>66</v>
      </c>
      <c r="I1" s="102" t="s">
        <v>8</v>
      </c>
      <c r="J1" s="102"/>
      <c r="K1" s="103" t="s">
        <v>67</v>
      </c>
      <c r="L1" s="103"/>
      <c r="M1" s="103"/>
      <c r="N1" s="102" t="s">
        <v>68</v>
      </c>
      <c r="O1" s="90" t="s">
        <v>69</v>
      </c>
      <c r="P1" s="90"/>
      <c r="Q1" s="90"/>
      <c r="R1" s="90"/>
      <c r="S1" s="90"/>
      <c r="T1" s="109" t="s">
        <v>8</v>
      </c>
      <c r="U1" s="109" t="s">
        <v>9</v>
      </c>
    </row>
    <row r="2" s="84" customFormat="1" ht="12" spans="1:21">
      <c r="A2" s="87"/>
      <c r="B2" s="92"/>
      <c r="C2" s="89"/>
      <c r="D2" s="90"/>
      <c r="E2" s="89"/>
      <c r="F2" s="90"/>
      <c r="G2" s="92"/>
      <c r="H2" s="93"/>
      <c r="I2" s="102" t="s">
        <v>70</v>
      </c>
      <c r="J2" s="102" t="s">
        <v>71</v>
      </c>
      <c r="K2" s="103" t="s">
        <v>72</v>
      </c>
      <c r="L2" s="104" t="s">
        <v>73</v>
      </c>
      <c r="M2" s="103" t="s">
        <v>71</v>
      </c>
      <c r="N2" s="102"/>
      <c r="O2" s="105" t="s">
        <v>74</v>
      </c>
      <c r="P2" s="105" t="s">
        <v>75</v>
      </c>
      <c r="Q2" s="105" t="s">
        <v>76</v>
      </c>
      <c r="R2" s="110" t="s">
        <v>77</v>
      </c>
      <c r="S2" s="110" t="s">
        <v>78</v>
      </c>
      <c r="T2" s="109"/>
      <c r="U2" s="109"/>
    </row>
    <row r="3" s="85" customFormat="1" ht="28.8" customHeight="1" spans="1:23">
      <c r="A3" s="94">
        <v>2</v>
      </c>
      <c r="B3" s="95" t="s">
        <v>13</v>
      </c>
      <c r="C3" s="95" t="s">
        <v>14</v>
      </c>
      <c r="D3" s="96"/>
      <c r="E3" s="96">
        <v>1</v>
      </c>
      <c r="F3" s="96" t="s">
        <v>15</v>
      </c>
      <c r="G3" s="96" t="s">
        <v>79</v>
      </c>
      <c r="H3" s="96"/>
      <c r="I3" s="99">
        <v>8.5</v>
      </c>
      <c r="J3" s="99"/>
      <c r="K3" s="99">
        <v>0.267</v>
      </c>
      <c r="L3" s="99">
        <v>0.267</v>
      </c>
      <c r="M3" s="99">
        <f>K3-L3</f>
        <v>0</v>
      </c>
      <c r="N3" s="106">
        <f>(I3*K3-J3*M3)*E3</f>
        <v>2.2695</v>
      </c>
      <c r="O3" s="99" t="s">
        <v>80</v>
      </c>
      <c r="P3" s="99"/>
      <c r="Q3" s="99">
        <v>0.005</v>
      </c>
      <c r="R3" s="111">
        <v>25</v>
      </c>
      <c r="S3" s="111">
        <f>R3*Q3</f>
        <v>0.125</v>
      </c>
      <c r="T3" s="109">
        <f>(SUM(S3:S6)+N3)*1.12</f>
        <v>2.96184</v>
      </c>
      <c r="U3" s="109" t="s">
        <v>81</v>
      </c>
      <c r="V3" s="85">
        <f>0.005*3600</f>
        <v>18</v>
      </c>
      <c r="W3" s="85">
        <v>0.24</v>
      </c>
    </row>
    <row r="4" s="85" customFormat="1" ht="22.5" customHeight="1" spans="1:23">
      <c r="A4" s="97"/>
      <c r="B4" s="98"/>
      <c r="C4" s="98"/>
      <c r="D4" s="96"/>
      <c r="E4" s="96"/>
      <c r="F4" s="96"/>
      <c r="G4" s="96"/>
      <c r="H4" s="96"/>
      <c r="I4" s="96"/>
      <c r="J4" s="96"/>
      <c r="K4" s="96"/>
      <c r="L4" s="96"/>
      <c r="M4" s="96"/>
      <c r="N4" s="106"/>
      <c r="O4" s="107" t="s">
        <v>82</v>
      </c>
      <c r="P4" s="108"/>
      <c r="Q4" s="99">
        <v>0.002</v>
      </c>
      <c r="R4" s="111">
        <v>25</v>
      </c>
      <c r="S4" s="111">
        <f>R4*Q4</f>
        <v>0.05</v>
      </c>
      <c r="T4" s="109"/>
      <c r="U4" s="109"/>
      <c r="V4" s="85">
        <f>0.005*3600</f>
        <v>18</v>
      </c>
      <c r="W4" s="85">
        <v>0.06</v>
      </c>
    </row>
    <row r="5" s="85" customFormat="1" ht="22.5" customHeight="1" spans="1:23">
      <c r="A5" s="97"/>
      <c r="B5" s="98"/>
      <c r="C5" s="98"/>
      <c r="D5" s="96"/>
      <c r="E5" s="99"/>
      <c r="F5" s="99"/>
      <c r="G5" s="99"/>
      <c r="H5" s="99"/>
      <c r="I5" s="99"/>
      <c r="J5" s="99"/>
      <c r="K5" s="99"/>
      <c r="L5" s="99"/>
      <c r="M5" s="99"/>
      <c r="N5" s="109"/>
      <c r="O5" s="107" t="s">
        <v>83</v>
      </c>
      <c r="P5" s="108"/>
      <c r="Q5" s="108">
        <v>0.009</v>
      </c>
      <c r="R5" s="111">
        <v>20</v>
      </c>
      <c r="S5" s="111">
        <f>R5*Q5</f>
        <v>0.18</v>
      </c>
      <c r="T5" s="109"/>
      <c r="U5" s="109"/>
      <c r="W5" s="85">
        <v>0.11</v>
      </c>
    </row>
    <row r="6" s="85" customFormat="1" ht="22.5" customHeight="1" spans="1:23">
      <c r="A6" s="100"/>
      <c r="B6" s="101"/>
      <c r="C6" s="101"/>
      <c r="D6" s="96"/>
      <c r="E6" s="99"/>
      <c r="F6" s="99"/>
      <c r="G6" s="99"/>
      <c r="H6" s="99"/>
      <c r="I6" s="99"/>
      <c r="J6" s="99"/>
      <c r="K6" s="99"/>
      <c r="L6" s="99"/>
      <c r="M6" s="99"/>
      <c r="N6" s="109"/>
      <c r="O6" s="107" t="s">
        <v>84</v>
      </c>
      <c r="P6" s="108"/>
      <c r="Q6" s="108">
        <v>1</v>
      </c>
      <c r="R6" s="111">
        <v>0.02</v>
      </c>
      <c r="S6" s="111">
        <f>R6*Q6</f>
        <v>0.02</v>
      </c>
      <c r="T6" s="109"/>
      <c r="U6" s="109"/>
      <c r="W6" s="85">
        <v>0.05</v>
      </c>
    </row>
    <row r="7" s="85" customFormat="1" ht="22.5" customHeight="1" spans="1:21">
      <c r="A7" s="94">
        <v>3</v>
      </c>
      <c r="B7" s="99" t="s">
        <v>44</v>
      </c>
      <c r="C7" s="95" t="s">
        <v>45</v>
      </c>
      <c r="D7" s="99"/>
      <c r="E7" s="96">
        <v>1</v>
      </c>
      <c r="F7" s="96" t="s">
        <v>85</v>
      </c>
      <c r="G7" s="96">
        <v>4</v>
      </c>
      <c r="H7" s="96"/>
      <c r="I7" s="99">
        <v>8.5</v>
      </c>
      <c r="J7" s="96"/>
      <c r="K7" s="99">
        <v>0.035</v>
      </c>
      <c r="L7" s="99">
        <v>0.035</v>
      </c>
      <c r="M7" s="99">
        <f>K7-L7</f>
        <v>0</v>
      </c>
      <c r="N7" s="106">
        <f>(I7*K7-J7*M7)*E7</f>
        <v>0.2975</v>
      </c>
      <c r="O7" s="99" t="s">
        <v>86</v>
      </c>
      <c r="P7" s="99"/>
      <c r="Q7" s="99">
        <v>1</v>
      </c>
      <c r="R7" s="111">
        <v>0.1</v>
      </c>
      <c r="S7" s="111">
        <v>0.1</v>
      </c>
      <c r="T7" s="109">
        <f>(SUM(S7:S10)+N7)*1.12</f>
        <v>0.6244</v>
      </c>
      <c r="U7" s="109" t="s">
        <v>81</v>
      </c>
    </row>
    <row r="8" s="85" customFormat="1" ht="22.5" customHeight="1" spans="1:21">
      <c r="A8" s="97"/>
      <c r="B8" s="99"/>
      <c r="C8" s="98"/>
      <c r="D8" s="99"/>
      <c r="E8" s="96"/>
      <c r="F8" s="96"/>
      <c r="G8" s="96"/>
      <c r="H8" s="96"/>
      <c r="I8" s="96"/>
      <c r="J8" s="96"/>
      <c r="K8" s="96"/>
      <c r="L8" s="96"/>
      <c r="M8" s="96"/>
      <c r="N8" s="106"/>
      <c r="O8" s="107" t="s">
        <v>82</v>
      </c>
      <c r="P8" s="108"/>
      <c r="Q8" s="99">
        <v>1</v>
      </c>
      <c r="R8" s="111">
        <v>0.05</v>
      </c>
      <c r="S8" s="111">
        <v>0.05</v>
      </c>
      <c r="T8" s="109"/>
      <c r="U8" s="109"/>
    </row>
    <row r="9" s="85" customFormat="1" ht="22.5" customHeight="1" spans="1:21">
      <c r="A9" s="97"/>
      <c r="B9" s="99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109"/>
      <c r="O9" s="107" t="s">
        <v>87</v>
      </c>
      <c r="P9" s="108"/>
      <c r="Q9" s="99">
        <v>1</v>
      </c>
      <c r="R9" s="111">
        <v>0.06</v>
      </c>
      <c r="S9" s="111">
        <v>0.06</v>
      </c>
      <c r="T9" s="109"/>
      <c r="U9" s="109"/>
    </row>
    <row r="10" s="85" customFormat="1" ht="22.5" customHeight="1" spans="1:21">
      <c r="A10" s="100"/>
      <c r="B10" s="99"/>
      <c r="C10" s="10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9"/>
      <c r="O10" s="107" t="s">
        <v>88</v>
      </c>
      <c r="P10" s="108"/>
      <c r="Q10" s="99">
        <v>1</v>
      </c>
      <c r="R10" s="111">
        <v>0.05</v>
      </c>
      <c r="S10" s="111">
        <v>0.05</v>
      </c>
      <c r="T10" s="109"/>
      <c r="U10" s="109"/>
    </row>
    <row r="11" s="85" customFormat="1" ht="22.5" customHeight="1" spans="1:21">
      <c r="A11" s="94">
        <v>4</v>
      </c>
      <c r="B11" s="99" t="s">
        <v>18</v>
      </c>
      <c r="C11" s="95" t="s">
        <v>89</v>
      </c>
      <c r="D11" s="99"/>
      <c r="E11" s="96">
        <v>1</v>
      </c>
      <c r="F11" s="96" t="s">
        <v>15</v>
      </c>
      <c r="G11" s="96">
        <v>2</v>
      </c>
      <c r="H11" s="96"/>
      <c r="I11" s="99">
        <v>8.1</v>
      </c>
      <c r="J11" s="96"/>
      <c r="K11" s="99">
        <v>0.0188</v>
      </c>
      <c r="L11" s="99">
        <v>0.0188</v>
      </c>
      <c r="M11" s="99">
        <f>K11-L11</f>
        <v>0</v>
      </c>
      <c r="N11" s="106">
        <f>(I11*K11-J11*M11)*E11</f>
        <v>0.15228</v>
      </c>
      <c r="O11" s="99" t="s">
        <v>86</v>
      </c>
      <c r="P11" s="99"/>
      <c r="Q11" s="99">
        <v>1</v>
      </c>
      <c r="R11" s="111">
        <v>0.1</v>
      </c>
      <c r="S11" s="111">
        <f>R11*Q11</f>
        <v>0.1</v>
      </c>
      <c r="T11" s="109">
        <f>(SUM(S11:S14)+N11)*1.12</f>
        <v>0.352218557264957</v>
      </c>
      <c r="U11" s="109" t="s">
        <v>81</v>
      </c>
    </row>
    <row r="12" s="85" customFormat="1" ht="22.5" customHeight="1" spans="1:21">
      <c r="A12" s="97"/>
      <c r="B12" s="99"/>
      <c r="C12" s="98"/>
      <c r="D12" s="99"/>
      <c r="E12" s="96"/>
      <c r="F12" s="96"/>
      <c r="G12" s="96"/>
      <c r="H12" s="96"/>
      <c r="I12" s="96"/>
      <c r="J12" s="96"/>
      <c r="K12" s="96"/>
      <c r="L12" s="96"/>
      <c r="M12" s="96"/>
      <c r="N12" s="106"/>
      <c r="O12" s="107" t="s">
        <v>82</v>
      </c>
      <c r="P12" s="108"/>
      <c r="Q12" s="99">
        <v>1</v>
      </c>
      <c r="R12" s="111">
        <f>20000/10/12/26/3600*3+4000/26/8/3600*3+5/3600*3</f>
        <v>0.025534188034188</v>
      </c>
      <c r="S12" s="111">
        <f>R12*Q12</f>
        <v>0.025534188034188</v>
      </c>
      <c r="T12" s="109"/>
      <c r="U12" s="109"/>
    </row>
    <row r="13" s="85" customFormat="1" ht="22.5" customHeight="1" spans="1:21">
      <c r="A13" s="97"/>
      <c r="B13" s="99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9"/>
      <c r="O13" s="107" t="s">
        <v>90</v>
      </c>
      <c r="P13" s="108"/>
      <c r="Q13" s="99">
        <v>1</v>
      </c>
      <c r="R13" s="111">
        <f>20/3600*3</f>
        <v>0.0166666666666667</v>
      </c>
      <c r="S13" s="111">
        <f>R13*Q13</f>
        <v>0.0166666666666667</v>
      </c>
      <c r="T13" s="109"/>
      <c r="U13" s="109"/>
    </row>
    <row r="14" s="85" customFormat="1" ht="22.5" customHeight="1" spans="1:21">
      <c r="A14" s="100"/>
      <c r="B14" s="99"/>
      <c r="C14" s="101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9"/>
      <c r="O14" s="107" t="s">
        <v>91</v>
      </c>
      <c r="P14" s="108"/>
      <c r="Q14" s="99">
        <v>1</v>
      </c>
      <c r="R14" s="111">
        <v>0.02</v>
      </c>
      <c r="S14" s="111">
        <v>0.02</v>
      </c>
      <c r="T14" s="109"/>
      <c r="U14" s="109"/>
    </row>
    <row r="15" s="85" customFormat="1" ht="22.5" customHeight="1" spans="1:21">
      <c r="A15" s="94">
        <v>5</v>
      </c>
      <c r="B15" s="99" t="s">
        <v>20</v>
      </c>
      <c r="C15" s="95" t="s">
        <v>92</v>
      </c>
      <c r="D15" s="99"/>
      <c r="E15" s="96">
        <v>1</v>
      </c>
      <c r="F15" s="96" t="s">
        <v>15</v>
      </c>
      <c r="G15" s="96">
        <v>2</v>
      </c>
      <c r="H15" s="96"/>
      <c r="I15" s="99">
        <v>8.1</v>
      </c>
      <c r="J15" s="96"/>
      <c r="K15" s="99">
        <v>0.0188</v>
      </c>
      <c r="L15" s="99">
        <v>0.0188</v>
      </c>
      <c r="M15" s="99">
        <f>K15-L15</f>
        <v>0</v>
      </c>
      <c r="N15" s="106">
        <f>(I15*K15-J15*M15)*E15</f>
        <v>0.15228</v>
      </c>
      <c r="O15" s="99" t="s">
        <v>86</v>
      </c>
      <c r="P15" s="99"/>
      <c r="Q15" s="99">
        <v>1</v>
      </c>
      <c r="R15" s="111">
        <v>0.1</v>
      </c>
      <c r="S15" s="111">
        <f t="shared" ref="S15:S17" si="0">R15*Q15</f>
        <v>0.1</v>
      </c>
      <c r="T15" s="109">
        <f>(SUM(S15:S18)+N15)*1.12</f>
        <v>0.352218557264957</v>
      </c>
      <c r="U15" s="109" t="s">
        <v>81</v>
      </c>
    </row>
    <row r="16" s="85" customFormat="1" ht="22.5" customHeight="1" spans="1:21">
      <c r="A16" s="97"/>
      <c r="B16" s="99"/>
      <c r="C16" s="98"/>
      <c r="D16" s="99"/>
      <c r="E16" s="96"/>
      <c r="F16" s="96"/>
      <c r="G16" s="96"/>
      <c r="H16" s="96"/>
      <c r="I16" s="96"/>
      <c r="J16" s="96"/>
      <c r="K16" s="96"/>
      <c r="L16" s="96"/>
      <c r="M16" s="96"/>
      <c r="N16" s="106"/>
      <c r="O16" s="107" t="s">
        <v>82</v>
      </c>
      <c r="P16" s="108"/>
      <c r="Q16" s="99">
        <v>1</v>
      </c>
      <c r="R16" s="111">
        <f>20000/10/12/26/3600*3+4000/26/8/3600*3+5/3600*3</f>
        <v>0.025534188034188</v>
      </c>
      <c r="S16" s="111">
        <f t="shared" si="0"/>
        <v>0.025534188034188</v>
      </c>
      <c r="T16" s="109"/>
      <c r="U16" s="109"/>
    </row>
    <row r="17" s="85" customFormat="1" ht="22.5" customHeight="1" spans="1:21">
      <c r="A17" s="97"/>
      <c r="B17" s="99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9"/>
      <c r="O17" s="107" t="s">
        <v>90</v>
      </c>
      <c r="P17" s="108"/>
      <c r="Q17" s="99">
        <v>1</v>
      </c>
      <c r="R17" s="111">
        <f>20/3600*3</f>
        <v>0.0166666666666667</v>
      </c>
      <c r="S17" s="111">
        <f t="shared" si="0"/>
        <v>0.0166666666666667</v>
      </c>
      <c r="T17" s="109"/>
      <c r="U17" s="109"/>
    </row>
    <row r="18" s="85" customFormat="1" ht="22.5" customHeight="1" spans="1:21">
      <c r="A18" s="100"/>
      <c r="B18" s="99"/>
      <c r="C18" s="101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9"/>
      <c r="O18" s="107" t="s">
        <v>91</v>
      </c>
      <c r="P18" s="108"/>
      <c r="Q18" s="99">
        <v>1</v>
      </c>
      <c r="R18" s="111">
        <v>0.02</v>
      </c>
      <c r="S18" s="111">
        <v>0.02</v>
      </c>
      <c r="T18" s="109"/>
      <c r="U18" s="109"/>
    </row>
    <row r="19" s="85" customFormat="1" ht="28.8" customHeight="1" spans="1:21">
      <c r="A19" s="94">
        <v>6</v>
      </c>
      <c r="B19" s="95" t="s">
        <v>22</v>
      </c>
      <c r="C19" s="95" t="s">
        <v>23</v>
      </c>
      <c r="D19" s="96"/>
      <c r="E19" s="96">
        <v>1</v>
      </c>
      <c r="F19" s="96" t="s">
        <v>15</v>
      </c>
      <c r="G19" s="96" t="s">
        <v>79</v>
      </c>
      <c r="H19" s="96"/>
      <c r="I19" s="99">
        <v>8.5</v>
      </c>
      <c r="J19" s="99"/>
      <c r="K19" s="99">
        <v>0.257</v>
      </c>
      <c r="L19" s="99">
        <v>0.257</v>
      </c>
      <c r="M19" s="99">
        <f>K19-L19</f>
        <v>0</v>
      </c>
      <c r="N19" s="106">
        <f>(I19*K19-J19*M19)*E19</f>
        <v>2.1845</v>
      </c>
      <c r="O19" s="99" t="s">
        <v>80</v>
      </c>
      <c r="P19" s="99"/>
      <c r="Q19" s="99">
        <v>0.005</v>
      </c>
      <c r="R19" s="111">
        <v>25</v>
      </c>
      <c r="S19" s="111">
        <f t="shared" ref="S19:S22" si="1">R19*Q19</f>
        <v>0.125</v>
      </c>
      <c r="T19" s="109">
        <f>(SUM(S19:S22)+N19)*1.12</f>
        <v>2.86664</v>
      </c>
      <c r="U19" s="109" t="s">
        <v>81</v>
      </c>
    </row>
    <row r="20" s="85" customFormat="1" ht="22.5" customHeight="1" spans="1:21">
      <c r="A20" s="97"/>
      <c r="B20" s="98"/>
      <c r="C20" s="9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106"/>
      <c r="O20" s="107" t="s">
        <v>82</v>
      </c>
      <c r="P20" s="108"/>
      <c r="Q20" s="99">
        <v>0.002</v>
      </c>
      <c r="R20" s="111">
        <v>25</v>
      </c>
      <c r="S20" s="111">
        <f t="shared" si="1"/>
        <v>0.05</v>
      </c>
      <c r="T20" s="109"/>
      <c r="U20" s="109"/>
    </row>
    <row r="21" s="85" customFormat="1" ht="22.5" customHeight="1" spans="1:21">
      <c r="A21" s="97"/>
      <c r="B21" s="98"/>
      <c r="C21" s="98"/>
      <c r="D21" s="96"/>
      <c r="E21" s="99"/>
      <c r="F21" s="99"/>
      <c r="G21" s="99"/>
      <c r="H21" s="99"/>
      <c r="I21" s="99"/>
      <c r="J21" s="99"/>
      <c r="K21" s="99"/>
      <c r="L21" s="99"/>
      <c r="M21" s="99"/>
      <c r="N21" s="109"/>
      <c r="O21" s="107" t="s">
        <v>83</v>
      </c>
      <c r="P21" s="108"/>
      <c r="Q21" s="108">
        <v>0.009</v>
      </c>
      <c r="R21" s="111">
        <v>20</v>
      </c>
      <c r="S21" s="111">
        <f t="shared" si="1"/>
        <v>0.18</v>
      </c>
      <c r="T21" s="109"/>
      <c r="U21" s="109"/>
    </row>
    <row r="22" s="85" customFormat="1" ht="22.5" customHeight="1" spans="1:21">
      <c r="A22" s="100"/>
      <c r="B22" s="101"/>
      <c r="C22" s="101"/>
      <c r="D22" s="96"/>
      <c r="E22" s="99"/>
      <c r="F22" s="99"/>
      <c r="G22" s="99"/>
      <c r="H22" s="99"/>
      <c r="I22" s="99"/>
      <c r="J22" s="99"/>
      <c r="K22" s="99"/>
      <c r="L22" s="99"/>
      <c r="M22" s="99"/>
      <c r="N22" s="109"/>
      <c r="O22" s="107" t="s">
        <v>84</v>
      </c>
      <c r="P22" s="108"/>
      <c r="Q22" s="108">
        <v>1</v>
      </c>
      <c r="R22" s="111">
        <v>0.02</v>
      </c>
      <c r="S22" s="111">
        <f t="shared" si="1"/>
        <v>0.02</v>
      </c>
      <c r="T22" s="109"/>
      <c r="U22" s="109"/>
    </row>
  </sheetData>
  <mergeCells count="42">
    <mergeCell ref="I1:J1"/>
    <mergeCell ref="K1:M1"/>
    <mergeCell ref="O1:S1"/>
    <mergeCell ref="A1:A2"/>
    <mergeCell ref="A3:A6"/>
    <mergeCell ref="A7:A10"/>
    <mergeCell ref="A11:A14"/>
    <mergeCell ref="A15:A18"/>
    <mergeCell ref="A19:A22"/>
    <mergeCell ref="B1:B2"/>
    <mergeCell ref="B3:B6"/>
    <mergeCell ref="B7:B10"/>
    <mergeCell ref="B11:B14"/>
    <mergeCell ref="B15:B18"/>
    <mergeCell ref="B19:B22"/>
    <mergeCell ref="C1:C2"/>
    <mergeCell ref="C3:C6"/>
    <mergeCell ref="C7:C10"/>
    <mergeCell ref="C11:C14"/>
    <mergeCell ref="C15:C18"/>
    <mergeCell ref="C19:C22"/>
    <mergeCell ref="D1:D2"/>
    <mergeCell ref="D7:D10"/>
    <mergeCell ref="D11:D14"/>
    <mergeCell ref="D15:D18"/>
    <mergeCell ref="E1:E2"/>
    <mergeCell ref="F1:F2"/>
    <mergeCell ref="G1:G2"/>
    <mergeCell ref="H1:H2"/>
    <mergeCell ref="N1:N2"/>
    <mergeCell ref="T1:T2"/>
    <mergeCell ref="T3:T6"/>
    <mergeCell ref="T7:T10"/>
    <mergeCell ref="T11:T14"/>
    <mergeCell ref="T15:T18"/>
    <mergeCell ref="T19:T22"/>
    <mergeCell ref="U1:U2"/>
    <mergeCell ref="U3:U6"/>
    <mergeCell ref="U7:U10"/>
    <mergeCell ref="U11:U14"/>
    <mergeCell ref="U15:U18"/>
    <mergeCell ref="U19:U22"/>
  </mergeCells>
  <conditionalFormatting sqref="B3">
    <cfRule type="duplicateValues" dxfId="0" priority="1"/>
  </conditionalFormatting>
  <conditionalFormatting sqref="B19">
    <cfRule type="duplicateValues" dxfId="0" priority="59"/>
  </conditionalFormatting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opLeftCell="A10" workbookViewId="0">
      <selection activeCell="H29" sqref="H29"/>
    </sheetView>
  </sheetViews>
  <sheetFormatPr defaultColWidth="9" defaultRowHeight="14.4"/>
  <cols>
    <col min="3" max="3" width="10.3796296296296"/>
    <col min="8" max="8" width="9.37962962962963"/>
    <col min="12" max="12" width="9.37962962962963"/>
  </cols>
  <sheetData>
    <row r="1" spans="1:15">
      <c r="A1" s="1" t="s">
        <v>93</v>
      </c>
      <c r="B1" s="2"/>
      <c r="C1" s="2"/>
      <c r="D1" s="2"/>
      <c r="E1" s="2"/>
      <c r="F1" s="2"/>
      <c r="G1" s="2"/>
      <c r="H1" s="3"/>
      <c r="I1" s="48" t="s">
        <v>94</v>
      </c>
      <c r="J1" s="49"/>
      <c r="K1" s="49"/>
      <c r="L1" s="49"/>
      <c r="M1" s="49"/>
      <c r="N1" s="49"/>
      <c r="O1" s="50"/>
    </row>
    <row r="2" spans="1:15">
      <c r="A2" s="4"/>
      <c r="B2" s="5"/>
      <c r="C2" s="5"/>
      <c r="D2" s="5"/>
      <c r="E2" s="5"/>
      <c r="F2" s="5"/>
      <c r="G2" s="5"/>
      <c r="H2" s="6"/>
      <c r="I2" s="51" t="s">
        <v>95</v>
      </c>
      <c r="J2" s="52" t="s">
        <v>96</v>
      </c>
      <c r="K2" s="53"/>
      <c r="L2" s="53"/>
      <c r="M2" s="53"/>
      <c r="N2" s="53"/>
      <c r="O2" s="54"/>
    </row>
    <row r="3" spans="1:15">
      <c r="A3" s="4"/>
      <c r="B3" s="5"/>
      <c r="C3" s="5"/>
      <c r="D3" s="5"/>
      <c r="E3" s="5"/>
      <c r="F3" s="5"/>
      <c r="G3" s="5"/>
      <c r="H3" s="6"/>
      <c r="I3" s="51" t="s">
        <v>97</v>
      </c>
      <c r="J3" s="52" t="s">
        <v>98</v>
      </c>
      <c r="K3" s="53"/>
      <c r="L3" s="53"/>
      <c r="M3" s="53"/>
      <c r="N3" s="53"/>
      <c r="O3" s="54"/>
    </row>
    <row r="4" spans="1:15">
      <c r="A4" s="7"/>
      <c r="B4" s="8"/>
      <c r="C4" s="8"/>
      <c r="D4" s="8"/>
      <c r="E4" s="8"/>
      <c r="F4" s="8"/>
      <c r="G4" s="8"/>
      <c r="H4" s="9"/>
      <c r="I4" s="51" t="s">
        <v>99</v>
      </c>
      <c r="J4" s="55" t="s">
        <v>100</v>
      </c>
      <c r="K4" s="55"/>
      <c r="L4" s="51" t="s">
        <v>101</v>
      </c>
      <c r="M4" s="56">
        <v>13313276238</v>
      </c>
      <c r="N4" s="57"/>
      <c r="O4" s="58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59"/>
      <c r="K5" s="60" t="s">
        <v>102</v>
      </c>
      <c r="L5" s="61">
        <v>45390</v>
      </c>
      <c r="M5" s="60"/>
      <c r="N5" s="15" t="s">
        <v>103</v>
      </c>
      <c r="O5" s="62" t="s">
        <v>104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59"/>
      <c r="K6" s="13" t="s">
        <v>105</v>
      </c>
      <c r="L6" s="63" t="s">
        <v>14</v>
      </c>
      <c r="M6" s="64"/>
      <c r="N6" s="23" t="s">
        <v>106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59"/>
      <c r="K7" s="23" t="s">
        <v>107</v>
      </c>
      <c r="L7" s="83" t="s">
        <v>13</v>
      </c>
      <c r="M7" s="66"/>
      <c r="N7" s="23" t="s">
        <v>108</v>
      </c>
      <c r="O7" s="67" t="s">
        <v>109</v>
      </c>
    </row>
    <row r="8" spans="1:15">
      <c r="A8" s="15" t="s">
        <v>0</v>
      </c>
      <c r="B8" s="15" t="s">
        <v>110</v>
      </c>
      <c r="C8" s="16" t="s">
        <v>111</v>
      </c>
      <c r="D8" s="16"/>
      <c r="E8" s="16"/>
      <c r="F8" s="11" t="s">
        <v>112</v>
      </c>
      <c r="G8" s="13"/>
      <c r="H8" s="17" t="s">
        <v>113</v>
      </c>
      <c r="I8" s="22"/>
      <c r="J8" s="68"/>
      <c r="K8" s="18" t="s">
        <v>114</v>
      </c>
      <c r="L8" s="11"/>
      <c r="M8" s="13"/>
      <c r="N8" s="23" t="s">
        <v>115</v>
      </c>
      <c r="O8" s="69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70"/>
      <c r="K9" s="12"/>
      <c r="L9" s="12"/>
      <c r="M9" s="12"/>
      <c r="N9" s="12"/>
      <c r="O9" s="71"/>
    </row>
    <row r="10" spans="1:15">
      <c r="A10" s="18" t="s">
        <v>0</v>
      </c>
      <c r="B10" s="19" t="s">
        <v>116</v>
      </c>
      <c r="C10" s="20" t="s">
        <v>117</v>
      </c>
      <c r="D10" s="20" t="s">
        <v>0</v>
      </c>
      <c r="E10" s="21" t="s">
        <v>118</v>
      </c>
      <c r="F10" s="12"/>
      <c r="G10" s="12"/>
      <c r="H10" s="12"/>
      <c r="I10" s="13"/>
      <c r="J10" s="20" t="s">
        <v>0</v>
      </c>
      <c r="K10" s="21" t="s">
        <v>119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120</v>
      </c>
      <c r="F11" s="15" t="s">
        <v>121</v>
      </c>
      <c r="G11" s="15" t="s">
        <v>64</v>
      </c>
      <c r="H11" s="15" t="s">
        <v>122</v>
      </c>
      <c r="I11" s="15" t="s">
        <v>117</v>
      </c>
      <c r="J11" s="16"/>
      <c r="K11" s="23" t="s">
        <v>123</v>
      </c>
      <c r="L11" s="23" t="s">
        <v>124</v>
      </c>
      <c r="M11" s="15" t="s">
        <v>121</v>
      </c>
      <c r="N11" s="15" t="s">
        <v>125</v>
      </c>
      <c r="O11" s="15" t="s">
        <v>117</v>
      </c>
    </row>
    <row r="12" ht="28.8" spans="1:15">
      <c r="A12" s="15">
        <v>1</v>
      </c>
      <c r="B12" s="23" t="s">
        <v>126</v>
      </c>
      <c r="C12" s="24">
        <f>I12</f>
        <v>2.457</v>
      </c>
      <c r="D12" s="15">
        <v>1</v>
      </c>
      <c r="E12" s="25" t="s">
        <v>127</v>
      </c>
      <c r="F12" s="23" t="s">
        <v>128</v>
      </c>
      <c r="G12" s="26">
        <v>0.273</v>
      </c>
      <c r="H12" s="27">
        <v>9</v>
      </c>
      <c r="I12" s="27">
        <f>G12*H12</f>
        <v>2.457</v>
      </c>
      <c r="J12" s="15">
        <v>1</v>
      </c>
      <c r="K12" s="23" t="s">
        <v>129</v>
      </c>
      <c r="L12" s="72">
        <v>1</v>
      </c>
      <c r="M12" s="23" t="s">
        <v>130</v>
      </c>
      <c r="N12" s="23">
        <f>H27</f>
        <v>0.005</v>
      </c>
      <c r="O12" s="73">
        <f>30*L12/(1/H27)</f>
        <v>0.15</v>
      </c>
    </row>
    <row r="13" spans="1:15">
      <c r="A13" s="15">
        <v>2</v>
      </c>
      <c r="B13" s="15" t="s">
        <v>131</v>
      </c>
      <c r="C13" s="24">
        <f>I22</f>
        <v>0</v>
      </c>
      <c r="D13" s="15">
        <v>2</v>
      </c>
      <c r="E13" s="23"/>
      <c r="F13" s="23"/>
      <c r="G13" s="26"/>
      <c r="H13" s="27"/>
      <c r="I13" s="27"/>
      <c r="J13" s="15">
        <v>2</v>
      </c>
      <c r="K13" s="23" t="s">
        <v>132</v>
      </c>
      <c r="L13" s="74"/>
      <c r="M13" s="15"/>
      <c r="N13" s="15"/>
      <c r="O13" s="74"/>
    </row>
    <row r="14" spans="1:15">
      <c r="A14" s="15">
        <v>3</v>
      </c>
      <c r="B14" s="15" t="s">
        <v>133</v>
      </c>
      <c r="C14" s="24">
        <f>O22</f>
        <v>0.15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134</v>
      </c>
      <c r="L14" s="74"/>
      <c r="M14" s="15"/>
      <c r="N14" s="15"/>
      <c r="O14" s="74"/>
    </row>
    <row r="15" spans="1:15">
      <c r="A15" s="15">
        <v>4</v>
      </c>
      <c r="B15" s="23" t="s">
        <v>135</v>
      </c>
      <c r="C15" s="24">
        <f>I26</f>
        <v>0.4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136</v>
      </c>
      <c r="L15" s="74"/>
      <c r="M15" s="15"/>
      <c r="N15" s="15"/>
      <c r="O15" s="74"/>
    </row>
    <row r="16" spans="1:15">
      <c r="A16" s="15">
        <v>5</v>
      </c>
      <c r="B16" s="15" t="s">
        <v>137</v>
      </c>
      <c r="C16" s="24">
        <f>I36</f>
        <v>0.08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138</v>
      </c>
      <c r="L16" s="74"/>
      <c r="M16" s="15"/>
      <c r="N16" s="15"/>
      <c r="O16" s="74"/>
    </row>
    <row r="17" spans="1:15">
      <c r="A17" s="15">
        <v>6</v>
      </c>
      <c r="B17" s="15" t="s">
        <v>139</v>
      </c>
      <c r="C17" s="24">
        <f>N36</f>
        <v>0</v>
      </c>
      <c r="D17" s="14"/>
      <c r="E17" s="11" t="s">
        <v>140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120</v>
      </c>
      <c r="F18" s="15" t="s">
        <v>121</v>
      </c>
      <c r="G18" s="15" t="s">
        <v>64</v>
      </c>
      <c r="H18" s="15" t="s">
        <v>122</v>
      </c>
      <c r="I18" s="15" t="s">
        <v>117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141</v>
      </c>
      <c r="C19" s="30">
        <f>C12+C13+C14+C15+C16+C17</f>
        <v>3.087</v>
      </c>
      <c r="D19" s="15">
        <v>1</v>
      </c>
      <c r="E19" s="23"/>
      <c r="F19" s="23"/>
      <c r="G19" s="26"/>
      <c r="H19" s="77"/>
      <c r="I19" s="27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142</v>
      </c>
      <c r="C20" s="29">
        <v>0.03</v>
      </c>
      <c r="D20" s="15">
        <v>2</v>
      </c>
      <c r="E20" s="31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143</v>
      </c>
      <c r="C21" s="32">
        <v>0.13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144</v>
      </c>
      <c r="C22" s="32">
        <f>C19*3%</f>
        <v>0.09261</v>
      </c>
      <c r="D22" s="14"/>
      <c r="E22" s="23" t="s">
        <v>145</v>
      </c>
      <c r="F22" s="14"/>
      <c r="G22" s="14"/>
      <c r="H22" s="28"/>
      <c r="I22" s="75">
        <f>I19+I20+I21</f>
        <v>0</v>
      </c>
      <c r="J22" s="14"/>
      <c r="K22" s="15" t="s">
        <v>146</v>
      </c>
      <c r="L22" s="28"/>
      <c r="M22" s="14"/>
      <c r="N22" s="14"/>
      <c r="O22" s="75">
        <f>O12</f>
        <v>0.15</v>
      </c>
    </row>
    <row r="23" spans="1:15">
      <c r="A23" s="15">
        <v>12</v>
      </c>
      <c r="B23" s="18" t="s">
        <v>147</v>
      </c>
      <c r="C23" s="32">
        <f>C19*3%</f>
        <v>0.09261</v>
      </c>
      <c r="D23" s="18" t="s">
        <v>0</v>
      </c>
      <c r="E23" s="33" t="s">
        <v>148</v>
      </c>
      <c r="F23" s="17"/>
      <c r="G23" s="17"/>
      <c r="H23" s="17"/>
      <c r="I23" s="22"/>
      <c r="J23" s="18" t="s">
        <v>0</v>
      </c>
      <c r="K23" s="21" t="s">
        <v>149</v>
      </c>
      <c r="L23" s="12"/>
      <c r="M23" s="12"/>
      <c r="N23" s="12"/>
      <c r="O23" s="13"/>
    </row>
    <row r="24" spans="1:15">
      <c r="A24" s="15">
        <v>13</v>
      </c>
      <c r="B24" s="34"/>
      <c r="C24" s="35"/>
      <c r="D24" s="36"/>
      <c r="E24" s="37" t="s">
        <v>150</v>
      </c>
      <c r="F24" s="38" t="s">
        <v>151</v>
      </c>
      <c r="G24" s="18" t="s">
        <v>152</v>
      </c>
      <c r="H24" s="18" t="s">
        <v>153</v>
      </c>
      <c r="I24" s="18" t="s">
        <v>117</v>
      </c>
      <c r="J24" s="36"/>
      <c r="K24" s="37" t="s">
        <v>154</v>
      </c>
      <c r="L24" s="18" t="s">
        <v>122</v>
      </c>
      <c r="M24" s="18" t="s">
        <v>155</v>
      </c>
      <c r="N24" s="18" t="s">
        <v>117</v>
      </c>
      <c r="O24" s="18" t="s">
        <v>9</v>
      </c>
    </row>
    <row r="25" spans="1:15">
      <c r="A25" s="15">
        <v>14</v>
      </c>
      <c r="B25" s="34"/>
      <c r="C25" s="35"/>
      <c r="D25" s="16"/>
      <c r="E25" s="16"/>
      <c r="F25" s="39" t="s">
        <v>156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157</v>
      </c>
      <c r="C26" s="30">
        <f>C19+C20+C21+C22+C23</f>
        <v>3.43222</v>
      </c>
      <c r="D26" s="15">
        <v>1</v>
      </c>
      <c r="E26" s="23" t="s">
        <v>158</v>
      </c>
      <c r="F26" s="14"/>
      <c r="G26" s="14"/>
      <c r="H26" s="14"/>
      <c r="I26" s="76">
        <f>I27+I28+I29+I30+I31+I32</f>
        <v>0.4</v>
      </c>
      <c r="J26" s="15">
        <v>1</v>
      </c>
      <c r="K26" s="23"/>
      <c r="L26" s="77"/>
      <c r="M26" s="26">
        <v>100000</v>
      </c>
      <c r="N26" s="78">
        <f>L26/M26</f>
        <v>0</v>
      </c>
      <c r="O26" s="14"/>
    </row>
    <row r="27" spans="1:15">
      <c r="A27" s="15">
        <v>16</v>
      </c>
      <c r="B27" s="23" t="s">
        <v>159</v>
      </c>
      <c r="C27" s="32">
        <f>C26*5%</f>
        <v>0.171611</v>
      </c>
      <c r="D27" s="40" t="s">
        <v>160</v>
      </c>
      <c r="E27" s="34" t="s">
        <v>161</v>
      </c>
      <c r="F27" s="26">
        <v>25</v>
      </c>
      <c r="G27" s="26"/>
      <c r="H27" s="26">
        <v>0.005</v>
      </c>
      <c r="I27" s="77">
        <f t="shared" ref="I27:I29" si="0">F27*H27</f>
        <v>0.125</v>
      </c>
      <c r="J27" s="15">
        <v>2</v>
      </c>
      <c r="K27" s="23"/>
      <c r="L27" s="81"/>
      <c r="M27" s="26"/>
      <c r="N27" s="78"/>
      <c r="O27" s="14"/>
    </row>
    <row r="28" spans="1:15">
      <c r="A28" s="15">
        <v>17</v>
      </c>
      <c r="B28" s="23" t="s">
        <v>162</v>
      </c>
      <c r="C28" s="30">
        <f>C26+C27</f>
        <v>3.603831</v>
      </c>
      <c r="D28" s="41"/>
      <c r="E28" s="34" t="s">
        <v>82</v>
      </c>
      <c r="F28" s="26">
        <v>25</v>
      </c>
      <c r="G28" s="26"/>
      <c r="H28" s="26">
        <v>0.002</v>
      </c>
      <c r="I28" s="77">
        <f t="shared" si="0"/>
        <v>0.05</v>
      </c>
      <c r="J28" s="15">
        <v>3</v>
      </c>
      <c r="K28" s="23"/>
      <c r="L28" s="77"/>
      <c r="M28" s="26"/>
      <c r="N28" s="78"/>
      <c r="O28" s="14"/>
    </row>
    <row r="29" spans="1:15">
      <c r="A29" s="15">
        <v>18</v>
      </c>
      <c r="B29" s="23" t="s">
        <v>163</v>
      </c>
      <c r="C29" s="29">
        <f>C28*0.13</f>
        <v>0.46849803</v>
      </c>
      <c r="D29" s="41"/>
      <c r="E29" s="34" t="s">
        <v>164</v>
      </c>
      <c r="F29" s="26">
        <v>25</v>
      </c>
      <c r="G29" s="26"/>
      <c r="H29" s="26">
        <v>0.009</v>
      </c>
      <c r="I29" s="77">
        <f t="shared" si="0"/>
        <v>0.225</v>
      </c>
      <c r="J29" s="15">
        <v>4</v>
      </c>
      <c r="K29" s="23"/>
      <c r="L29" s="28"/>
      <c r="M29" s="14"/>
      <c r="N29" s="28"/>
      <c r="O29" s="14"/>
    </row>
    <row r="30" ht="18" customHeight="1" spans="1:15">
      <c r="A30" s="15"/>
      <c r="B30" s="23"/>
      <c r="C30" s="29"/>
      <c r="D30" s="41"/>
      <c r="E30" s="15"/>
      <c r="F30" s="82"/>
      <c r="G30" s="12"/>
      <c r="H30" s="13"/>
      <c r="I30" s="77"/>
      <c r="J30" s="15"/>
      <c r="K30" s="23"/>
      <c r="L30" s="28"/>
      <c r="M30" s="14"/>
      <c r="N30" s="28"/>
      <c r="O30" s="14"/>
    </row>
    <row r="31" spans="1:15">
      <c r="A31" s="15">
        <v>19</v>
      </c>
      <c r="B31" s="15" t="s">
        <v>115</v>
      </c>
      <c r="C31" s="24">
        <f>C28+C29</f>
        <v>4.07232903</v>
      </c>
      <c r="D31" s="42"/>
      <c r="E31" s="25"/>
      <c r="F31" s="11"/>
      <c r="G31" s="12"/>
      <c r="H31" s="13"/>
      <c r="I31" s="77"/>
      <c r="J31" s="14"/>
      <c r="K31" s="15"/>
      <c r="L31" s="28"/>
      <c r="M31" s="14"/>
      <c r="N31" s="28"/>
      <c r="O31" s="14"/>
    </row>
    <row r="32" spans="1:15">
      <c r="A32" s="43"/>
      <c r="B32" s="34"/>
      <c r="C32" s="28"/>
      <c r="D32" s="16"/>
      <c r="E32" s="23"/>
      <c r="F32" s="26"/>
      <c r="G32" s="26"/>
      <c r="H32" s="26"/>
      <c r="I32" s="77"/>
      <c r="J32" s="14"/>
      <c r="K32" s="15"/>
      <c r="L32" s="28"/>
      <c r="M32" s="14"/>
      <c r="N32" s="28"/>
      <c r="O32" s="14"/>
    </row>
    <row r="33" spans="1:15">
      <c r="A33" s="43"/>
      <c r="B33" s="34"/>
      <c r="C33" s="28"/>
      <c r="D33" s="15">
        <v>2</v>
      </c>
      <c r="E33" s="15" t="s">
        <v>137</v>
      </c>
      <c r="F33" s="26">
        <v>10</v>
      </c>
      <c r="G33" s="26"/>
      <c r="H33" s="26">
        <v>0.008</v>
      </c>
      <c r="I33" s="77">
        <f>F33*H33</f>
        <v>0.08</v>
      </c>
      <c r="J33" s="14"/>
      <c r="K33" s="15"/>
      <c r="L33" s="28"/>
      <c r="M33" s="14"/>
      <c r="N33" s="28"/>
      <c r="O33" s="14"/>
    </row>
    <row r="34" spans="1:15">
      <c r="A34" s="43"/>
      <c r="B34" s="34"/>
      <c r="C34" s="28"/>
      <c r="D34" s="15">
        <v>3</v>
      </c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43"/>
      <c r="B35" s="34"/>
      <c r="C35" s="28"/>
      <c r="D35" s="15"/>
      <c r="E35" s="14"/>
      <c r="F35" s="14"/>
      <c r="G35" s="14"/>
      <c r="H35" s="14"/>
      <c r="I35" s="28"/>
      <c r="J35" s="14"/>
      <c r="K35" s="15"/>
      <c r="L35" s="28"/>
      <c r="M35" s="14"/>
      <c r="N35" s="28"/>
      <c r="O35" s="14"/>
    </row>
    <row r="36" spans="1:15">
      <c r="A36" s="14"/>
      <c r="B36" s="15"/>
      <c r="C36" s="14"/>
      <c r="D36" s="14"/>
      <c r="E36" s="23" t="s">
        <v>145</v>
      </c>
      <c r="F36" s="14"/>
      <c r="G36" s="14"/>
      <c r="H36" s="14"/>
      <c r="I36" s="75">
        <f>I33</f>
        <v>0.08</v>
      </c>
      <c r="J36" s="14"/>
      <c r="K36" s="23" t="s">
        <v>145</v>
      </c>
      <c r="L36" s="28"/>
      <c r="M36" s="14"/>
      <c r="N36" s="75">
        <f>N26+N27+N28</f>
        <v>0</v>
      </c>
      <c r="O36" s="14"/>
    </row>
    <row r="37" spans="1:15">
      <c r="A37" s="44" t="s">
        <v>165</v>
      </c>
      <c r="B37" s="45"/>
      <c r="C37" s="44"/>
      <c r="D37" s="44"/>
      <c r="E37" s="44"/>
      <c r="F37" s="44"/>
      <c r="G37" s="44"/>
      <c r="H37" s="44"/>
      <c r="I37" s="44"/>
      <c r="J37" s="44"/>
      <c r="K37" s="79"/>
      <c r="L37" s="80"/>
      <c r="M37" s="80"/>
      <c r="N37" s="80"/>
      <c r="O37" s="80"/>
    </row>
    <row r="38" spans="1:15">
      <c r="A38" s="46" t="s">
        <v>166</v>
      </c>
      <c r="B38" s="45"/>
      <c r="C38" s="44"/>
      <c r="D38" s="44"/>
      <c r="E38" s="44"/>
      <c r="F38" s="44"/>
      <c r="G38" s="44"/>
      <c r="H38" s="47"/>
      <c r="I38" s="44"/>
      <c r="J38" s="44"/>
      <c r="K38" s="79"/>
      <c r="L38" s="80"/>
      <c r="M38" s="80"/>
      <c r="N38" s="80"/>
      <c r="O38" s="80"/>
    </row>
    <row r="39" spans="1:15">
      <c r="A39" s="46" t="s">
        <v>167</v>
      </c>
      <c r="B39" s="45"/>
      <c r="C39" s="44"/>
      <c r="D39" s="44"/>
      <c r="E39" s="44"/>
      <c r="F39" s="44"/>
      <c r="G39" s="44"/>
      <c r="H39" s="44"/>
      <c r="I39" s="44"/>
      <c r="J39" s="44"/>
      <c r="K39" s="79"/>
      <c r="L39" s="80"/>
      <c r="M39" s="80"/>
      <c r="N39" s="80"/>
      <c r="O39" s="80"/>
    </row>
  </sheetData>
  <mergeCells count="46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30:H30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A1" sqref="$A1:$XFD1048576"/>
    </sheetView>
  </sheetViews>
  <sheetFormatPr defaultColWidth="9" defaultRowHeight="14.4"/>
  <cols>
    <col min="3" max="3" width="10.3796296296296"/>
    <col min="8" max="8" width="9.37962962962963"/>
    <col min="12" max="12" width="9.37962962962963"/>
  </cols>
  <sheetData>
    <row r="1" spans="1:15">
      <c r="A1" s="1" t="s">
        <v>93</v>
      </c>
      <c r="B1" s="2"/>
      <c r="C1" s="2"/>
      <c r="D1" s="2"/>
      <c r="E1" s="2"/>
      <c r="F1" s="2"/>
      <c r="G1" s="2"/>
      <c r="H1" s="3"/>
      <c r="I1" s="48" t="s">
        <v>94</v>
      </c>
      <c r="J1" s="49"/>
      <c r="K1" s="49"/>
      <c r="L1" s="49"/>
      <c r="M1" s="49"/>
      <c r="N1" s="49"/>
      <c r="O1" s="50"/>
    </row>
    <row r="2" spans="1:15">
      <c r="A2" s="4"/>
      <c r="B2" s="5"/>
      <c r="C2" s="5"/>
      <c r="D2" s="5"/>
      <c r="E2" s="5"/>
      <c r="F2" s="5"/>
      <c r="G2" s="5"/>
      <c r="H2" s="6"/>
      <c r="I2" s="51" t="s">
        <v>95</v>
      </c>
      <c r="J2" s="52" t="s">
        <v>96</v>
      </c>
      <c r="K2" s="53"/>
      <c r="L2" s="53"/>
      <c r="M2" s="53"/>
      <c r="N2" s="53"/>
      <c r="O2" s="54"/>
    </row>
    <row r="3" spans="1:15">
      <c r="A3" s="4"/>
      <c r="B3" s="5"/>
      <c r="C3" s="5"/>
      <c r="D3" s="5"/>
      <c r="E3" s="5"/>
      <c r="F3" s="5"/>
      <c r="G3" s="5"/>
      <c r="H3" s="6"/>
      <c r="I3" s="51" t="s">
        <v>97</v>
      </c>
      <c r="J3" s="52" t="s">
        <v>98</v>
      </c>
      <c r="K3" s="53"/>
      <c r="L3" s="53"/>
      <c r="M3" s="53"/>
      <c r="N3" s="53"/>
      <c r="O3" s="54"/>
    </row>
    <row r="4" spans="1:15">
      <c r="A4" s="7"/>
      <c r="B4" s="8"/>
      <c r="C4" s="8"/>
      <c r="D4" s="8"/>
      <c r="E4" s="8"/>
      <c r="F4" s="8"/>
      <c r="G4" s="8"/>
      <c r="H4" s="9"/>
      <c r="I4" s="51" t="s">
        <v>99</v>
      </c>
      <c r="J4" s="55" t="s">
        <v>100</v>
      </c>
      <c r="K4" s="55"/>
      <c r="L4" s="51" t="s">
        <v>101</v>
      </c>
      <c r="M4" s="56">
        <v>13313276238</v>
      </c>
      <c r="N4" s="57"/>
      <c r="O4" s="58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59"/>
      <c r="K5" s="60" t="s">
        <v>102</v>
      </c>
      <c r="L5" s="61">
        <v>45470</v>
      </c>
      <c r="M5" s="60"/>
      <c r="N5" s="15" t="s">
        <v>103</v>
      </c>
      <c r="O5" s="62" t="s">
        <v>104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59"/>
      <c r="K6" s="13" t="s">
        <v>105</v>
      </c>
      <c r="L6" s="63" t="s">
        <v>168</v>
      </c>
      <c r="M6" s="64"/>
      <c r="N6" s="23" t="s">
        <v>106</v>
      </c>
      <c r="O6" s="14" t="s">
        <v>169</v>
      </c>
    </row>
    <row r="7" ht="31" customHeight="1" spans="1:15">
      <c r="A7" s="14"/>
      <c r="B7" s="15"/>
      <c r="C7" s="11"/>
      <c r="D7" s="12"/>
      <c r="E7" s="13"/>
      <c r="F7" s="11"/>
      <c r="G7" s="13"/>
      <c r="H7" s="11"/>
      <c r="I7" s="13"/>
      <c r="J7" s="59"/>
      <c r="K7" s="23" t="s">
        <v>107</v>
      </c>
      <c r="L7" s="65" t="s">
        <v>170</v>
      </c>
      <c r="M7" s="66"/>
      <c r="N7" s="23" t="s">
        <v>108</v>
      </c>
      <c r="O7" s="67" t="s">
        <v>171</v>
      </c>
    </row>
    <row r="8" spans="1:15">
      <c r="A8" s="15" t="s">
        <v>0</v>
      </c>
      <c r="B8" s="15" t="s">
        <v>110</v>
      </c>
      <c r="C8" s="16" t="s">
        <v>111</v>
      </c>
      <c r="D8" s="16"/>
      <c r="E8" s="16"/>
      <c r="F8" s="11" t="s">
        <v>112</v>
      </c>
      <c r="G8" s="13"/>
      <c r="H8" s="17" t="s">
        <v>113</v>
      </c>
      <c r="I8" s="22"/>
      <c r="J8" s="68"/>
      <c r="K8" s="18" t="s">
        <v>114</v>
      </c>
      <c r="L8" s="11"/>
      <c r="M8" s="13"/>
      <c r="N8" s="23" t="s">
        <v>115</v>
      </c>
      <c r="O8" s="69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70"/>
      <c r="K9" s="12"/>
      <c r="L9" s="12"/>
      <c r="M9" s="12"/>
      <c r="N9" s="12"/>
      <c r="O9" s="71"/>
    </row>
    <row r="10" spans="1:15">
      <c r="A10" s="18" t="s">
        <v>0</v>
      </c>
      <c r="B10" s="19" t="s">
        <v>116</v>
      </c>
      <c r="C10" s="20" t="s">
        <v>117</v>
      </c>
      <c r="D10" s="20" t="s">
        <v>0</v>
      </c>
      <c r="E10" s="21" t="s">
        <v>118</v>
      </c>
      <c r="F10" s="12"/>
      <c r="G10" s="12"/>
      <c r="H10" s="12"/>
      <c r="I10" s="13"/>
      <c r="J10" s="20" t="s">
        <v>0</v>
      </c>
      <c r="K10" s="21" t="s">
        <v>119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120</v>
      </c>
      <c r="F11" s="15" t="s">
        <v>121</v>
      </c>
      <c r="G11" s="15" t="s">
        <v>64</v>
      </c>
      <c r="H11" s="15" t="s">
        <v>122</v>
      </c>
      <c r="I11" s="15" t="s">
        <v>117</v>
      </c>
      <c r="J11" s="16"/>
      <c r="K11" s="23" t="s">
        <v>123</v>
      </c>
      <c r="L11" s="23" t="s">
        <v>124</v>
      </c>
      <c r="M11" s="15" t="s">
        <v>121</v>
      </c>
      <c r="N11" s="15" t="s">
        <v>125</v>
      </c>
      <c r="O11" s="15" t="s">
        <v>117</v>
      </c>
    </row>
    <row r="12" ht="28.8" spans="1:15">
      <c r="A12" s="15">
        <v>1</v>
      </c>
      <c r="B12" s="23" t="s">
        <v>126</v>
      </c>
      <c r="C12" s="24">
        <f>I12</f>
        <v>0.3645</v>
      </c>
      <c r="D12" s="15">
        <v>1</v>
      </c>
      <c r="E12" s="25" t="s">
        <v>172</v>
      </c>
      <c r="F12" s="23" t="s">
        <v>128</v>
      </c>
      <c r="G12" s="26">
        <v>0.07</v>
      </c>
      <c r="H12" s="27">
        <v>6</v>
      </c>
      <c r="I12" s="27">
        <f>G12*H12-0.037*1.5</f>
        <v>0.3645</v>
      </c>
      <c r="J12" s="15">
        <v>1</v>
      </c>
      <c r="K12" s="23" t="s">
        <v>129</v>
      </c>
      <c r="L12" s="72">
        <v>1</v>
      </c>
      <c r="M12" s="23" t="s">
        <v>173</v>
      </c>
      <c r="N12" s="23">
        <f>H27</f>
        <v>0.004</v>
      </c>
      <c r="O12" s="73">
        <f>12*L12/(1/H27)</f>
        <v>0.048</v>
      </c>
    </row>
    <row r="13" spans="1:15">
      <c r="A13" s="15">
        <v>2</v>
      </c>
      <c r="B13" s="15" t="s">
        <v>131</v>
      </c>
      <c r="C13" s="24">
        <f>I22</f>
        <v>0.12</v>
      </c>
      <c r="D13" s="15">
        <v>2</v>
      </c>
      <c r="E13" s="23"/>
      <c r="F13" s="23"/>
      <c r="G13" s="26"/>
      <c r="H13" s="27"/>
      <c r="I13" s="27"/>
      <c r="J13" s="15">
        <v>2</v>
      </c>
      <c r="K13" s="23" t="s">
        <v>132</v>
      </c>
      <c r="L13" s="74"/>
      <c r="M13" s="15"/>
      <c r="N13" s="15"/>
      <c r="O13" s="74"/>
    </row>
    <row r="14" spans="1:15">
      <c r="A14" s="15">
        <v>3</v>
      </c>
      <c r="B14" s="15" t="s">
        <v>133</v>
      </c>
      <c r="C14" s="24">
        <f>O22</f>
        <v>0.048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134</v>
      </c>
      <c r="L14" s="74"/>
      <c r="M14" s="15"/>
      <c r="N14" s="15"/>
      <c r="O14" s="74"/>
    </row>
    <row r="15" spans="1:15">
      <c r="A15" s="15">
        <v>4</v>
      </c>
      <c r="B15" s="23" t="s">
        <v>135</v>
      </c>
      <c r="C15" s="24">
        <f>I26</f>
        <v>0.3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136</v>
      </c>
      <c r="L15" s="74"/>
      <c r="M15" s="15"/>
      <c r="N15" s="15"/>
      <c r="O15" s="74"/>
    </row>
    <row r="16" spans="1:15">
      <c r="A16" s="15">
        <v>5</v>
      </c>
      <c r="B16" s="15" t="s">
        <v>137</v>
      </c>
      <c r="C16" s="24">
        <f>I36</f>
        <v>0.12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138</v>
      </c>
      <c r="L16" s="74">
        <f>0</f>
        <v>0</v>
      </c>
      <c r="M16" s="15"/>
      <c r="N16" s="15"/>
      <c r="O16" s="74"/>
    </row>
    <row r="17" spans="1:15">
      <c r="A17" s="15">
        <v>6</v>
      </c>
      <c r="B17" s="15" t="s">
        <v>139</v>
      </c>
      <c r="C17" s="24">
        <f>N36</f>
        <v>0</v>
      </c>
      <c r="D17" s="14"/>
      <c r="E17" s="11" t="s">
        <v>140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120</v>
      </c>
      <c r="F18" s="15" t="s">
        <v>121</v>
      </c>
      <c r="G18" s="15" t="s">
        <v>64</v>
      </c>
      <c r="H18" s="15" t="s">
        <v>122</v>
      </c>
      <c r="I18" s="15" t="s">
        <v>117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141</v>
      </c>
      <c r="C19" s="30">
        <f>C12+C13+C14+C15+C16+C17</f>
        <v>0.9525</v>
      </c>
      <c r="D19" s="15">
        <v>1</v>
      </c>
      <c r="E19" s="23" t="s">
        <v>174</v>
      </c>
      <c r="F19" s="23"/>
      <c r="G19" s="26"/>
      <c r="H19" s="77"/>
      <c r="I19" s="27">
        <v>0.12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142</v>
      </c>
      <c r="C20" s="29">
        <v>0.02</v>
      </c>
      <c r="D20" s="15">
        <v>2</v>
      </c>
      <c r="E20" s="31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143</v>
      </c>
      <c r="C21" s="32">
        <v>0.02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144</v>
      </c>
      <c r="C22" s="32">
        <f>C19*3%</f>
        <v>0.028575</v>
      </c>
      <c r="D22" s="14"/>
      <c r="E22" s="23" t="s">
        <v>145</v>
      </c>
      <c r="F22" s="14"/>
      <c r="G22" s="14"/>
      <c r="H22" s="28"/>
      <c r="I22" s="75">
        <f>I19+I20+I21</f>
        <v>0.12</v>
      </c>
      <c r="J22" s="14"/>
      <c r="K22" s="15" t="s">
        <v>146</v>
      </c>
      <c r="L22" s="28"/>
      <c r="M22" s="14"/>
      <c r="N22" s="14"/>
      <c r="O22" s="75">
        <f>O12</f>
        <v>0.048</v>
      </c>
    </row>
    <row r="23" spans="1:15">
      <c r="A23" s="15">
        <v>12</v>
      </c>
      <c r="B23" s="18" t="s">
        <v>147</v>
      </c>
      <c r="C23" s="32">
        <f>C19*3%</f>
        <v>0.028575</v>
      </c>
      <c r="D23" s="18" t="s">
        <v>0</v>
      </c>
      <c r="E23" s="33" t="s">
        <v>148</v>
      </c>
      <c r="F23" s="17"/>
      <c r="G23" s="17"/>
      <c r="H23" s="17"/>
      <c r="I23" s="22"/>
      <c r="J23" s="18" t="s">
        <v>0</v>
      </c>
      <c r="K23" s="21" t="s">
        <v>149</v>
      </c>
      <c r="L23" s="12"/>
      <c r="M23" s="12"/>
      <c r="N23" s="12"/>
      <c r="O23" s="13"/>
    </row>
    <row r="24" spans="1:15">
      <c r="A24" s="15">
        <v>13</v>
      </c>
      <c r="B24" s="34"/>
      <c r="C24" s="35"/>
      <c r="D24" s="36"/>
      <c r="E24" s="37" t="s">
        <v>150</v>
      </c>
      <c r="F24" s="38" t="s">
        <v>151</v>
      </c>
      <c r="G24" s="18" t="s">
        <v>152</v>
      </c>
      <c r="H24" s="18" t="s">
        <v>153</v>
      </c>
      <c r="I24" s="18" t="s">
        <v>117</v>
      </c>
      <c r="J24" s="36"/>
      <c r="K24" s="37" t="s">
        <v>154</v>
      </c>
      <c r="L24" s="18" t="s">
        <v>122</v>
      </c>
      <c r="M24" s="18" t="s">
        <v>155</v>
      </c>
      <c r="N24" s="18" t="s">
        <v>117</v>
      </c>
      <c r="O24" s="18" t="s">
        <v>9</v>
      </c>
    </row>
    <row r="25" spans="1:15">
      <c r="A25" s="15">
        <v>14</v>
      </c>
      <c r="B25" s="34"/>
      <c r="C25" s="35"/>
      <c r="D25" s="16"/>
      <c r="E25" s="16"/>
      <c r="F25" s="39" t="s">
        <v>156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157</v>
      </c>
      <c r="C26" s="30">
        <f>C19+C20+C21+C22+C23</f>
        <v>1.04965</v>
      </c>
      <c r="D26" s="15">
        <v>1</v>
      </c>
      <c r="E26" s="23" t="s">
        <v>158</v>
      </c>
      <c r="F26" s="14"/>
      <c r="G26" s="14"/>
      <c r="H26" s="14"/>
      <c r="I26" s="76">
        <f>I27+I28+I29+I30+I31+I32</f>
        <v>0.3</v>
      </c>
      <c r="J26" s="15">
        <v>1</v>
      </c>
      <c r="K26" s="23"/>
      <c r="L26" s="77"/>
      <c r="M26" s="26">
        <v>100000</v>
      </c>
      <c r="N26" s="78">
        <f>L26/M26</f>
        <v>0</v>
      </c>
      <c r="O26" s="14"/>
    </row>
    <row r="27" spans="1:15">
      <c r="A27" s="15">
        <v>16</v>
      </c>
      <c r="B27" s="23" t="s">
        <v>159</v>
      </c>
      <c r="C27" s="32">
        <f>C26*5%</f>
        <v>0.0524825</v>
      </c>
      <c r="D27" s="40" t="s">
        <v>160</v>
      </c>
      <c r="E27" s="34" t="s">
        <v>175</v>
      </c>
      <c r="F27" s="26">
        <v>25</v>
      </c>
      <c r="G27" s="26"/>
      <c r="H27" s="26">
        <v>0.004</v>
      </c>
      <c r="I27" s="77">
        <f t="shared" ref="I27:I29" si="0">F27*H27</f>
        <v>0.1</v>
      </c>
      <c r="J27" s="15">
        <v>2</v>
      </c>
      <c r="K27" s="23"/>
      <c r="L27" s="81"/>
      <c r="M27" s="26"/>
      <c r="N27" s="78"/>
      <c r="O27" s="14"/>
    </row>
    <row r="28" spans="1:15">
      <c r="A28" s="15">
        <v>17</v>
      </c>
      <c r="B28" s="23" t="s">
        <v>162</v>
      </c>
      <c r="C28" s="30">
        <f>C26+C27</f>
        <v>1.1021325</v>
      </c>
      <c r="D28" s="41"/>
      <c r="E28" s="34" t="s">
        <v>176</v>
      </c>
      <c r="F28" s="26">
        <v>25</v>
      </c>
      <c r="G28" s="26"/>
      <c r="H28" s="26">
        <v>0.006</v>
      </c>
      <c r="I28" s="77">
        <f t="shared" si="0"/>
        <v>0.15</v>
      </c>
      <c r="J28" s="15">
        <v>3</v>
      </c>
      <c r="K28" s="23"/>
      <c r="L28" s="77"/>
      <c r="M28" s="26"/>
      <c r="N28" s="78"/>
      <c r="O28" s="14"/>
    </row>
    <row r="29" spans="1:15">
      <c r="A29" s="15">
        <v>18</v>
      </c>
      <c r="B29" s="23" t="s">
        <v>163</v>
      </c>
      <c r="C29" s="29">
        <f>C28*0.13</f>
        <v>0.143277225</v>
      </c>
      <c r="D29" s="41"/>
      <c r="E29" s="34" t="s">
        <v>82</v>
      </c>
      <c r="F29" s="26">
        <v>25</v>
      </c>
      <c r="G29" s="26"/>
      <c r="H29" s="26">
        <v>0.002</v>
      </c>
      <c r="I29" s="77">
        <f t="shared" si="0"/>
        <v>0.05</v>
      </c>
      <c r="J29" s="15">
        <v>4</v>
      </c>
      <c r="K29" s="23"/>
      <c r="L29" s="28"/>
      <c r="M29" s="14"/>
      <c r="N29" s="28"/>
      <c r="O29" s="14"/>
    </row>
    <row r="30" ht="18" customHeight="1" spans="1:15">
      <c r="A30" s="15"/>
      <c r="B30" s="23"/>
      <c r="C30" s="29"/>
      <c r="D30" s="41"/>
      <c r="E30" s="34"/>
      <c r="F30" s="26"/>
      <c r="G30" s="26"/>
      <c r="H30" s="26"/>
      <c r="I30" s="77"/>
      <c r="J30" s="15"/>
      <c r="K30" s="23"/>
      <c r="L30" s="28"/>
      <c r="M30" s="14"/>
      <c r="N30" s="28"/>
      <c r="O30" s="14"/>
    </row>
    <row r="31" spans="1:15">
      <c r="A31" s="15">
        <v>19</v>
      </c>
      <c r="B31" s="15" t="s">
        <v>115</v>
      </c>
      <c r="C31" s="24">
        <f>C28+C29</f>
        <v>1.245409725</v>
      </c>
      <c r="D31" s="42"/>
      <c r="E31" s="25"/>
      <c r="F31" s="11"/>
      <c r="G31" s="12"/>
      <c r="H31" s="13"/>
      <c r="I31" s="77"/>
      <c r="J31" s="14"/>
      <c r="K31" s="15"/>
      <c r="L31" s="28"/>
      <c r="M31" s="14"/>
      <c r="N31" s="28"/>
      <c r="O31" s="14"/>
    </row>
    <row r="32" spans="1:15">
      <c r="A32" s="43"/>
      <c r="B32" s="34"/>
      <c r="C32" s="28"/>
      <c r="D32" s="16"/>
      <c r="E32" s="23"/>
      <c r="F32" s="26"/>
      <c r="G32" s="26"/>
      <c r="H32" s="26"/>
      <c r="I32" s="77"/>
      <c r="J32" s="14"/>
      <c r="K32" s="15"/>
      <c r="L32" s="28"/>
      <c r="M32" s="14"/>
      <c r="N32" s="28"/>
      <c r="O32" s="14"/>
    </row>
    <row r="33" spans="1:15">
      <c r="A33" s="43"/>
      <c r="B33" s="34"/>
      <c r="C33" s="28"/>
      <c r="D33" s="15">
        <v>2</v>
      </c>
      <c r="E33" s="15" t="s">
        <v>137</v>
      </c>
      <c r="F33" s="26">
        <v>10</v>
      </c>
      <c r="G33" s="26"/>
      <c r="H33" s="26">
        <f>H27+H28+H29+H30</f>
        <v>0.012</v>
      </c>
      <c r="I33" s="77">
        <f>F33*H33</f>
        <v>0.12</v>
      </c>
      <c r="J33" s="14"/>
      <c r="K33" s="15"/>
      <c r="L33" s="28"/>
      <c r="M33" s="14"/>
      <c r="N33" s="28"/>
      <c r="O33" s="14"/>
    </row>
    <row r="34" spans="1:15">
      <c r="A34" s="43"/>
      <c r="B34" s="34"/>
      <c r="C34" s="28"/>
      <c r="D34" s="15">
        <v>3</v>
      </c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43"/>
      <c r="B35" s="34"/>
      <c r="C35" s="28"/>
      <c r="D35" s="15"/>
      <c r="E35" s="14"/>
      <c r="F35" s="14"/>
      <c r="G35" s="14"/>
      <c r="H35" s="14"/>
      <c r="I35" s="28"/>
      <c r="J35" s="14"/>
      <c r="K35" s="15"/>
      <c r="L35" s="28"/>
      <c r="M35" s="14"/>
      <c r="N35" s="28"/>
      <c r="O35" s="14"/>
    </row>
    <row r="36" spans="1:15">
      <c r="A36" s="14"/>
      <c r="B36" s="15"/>
      <c r="C36" s="14"/>
      <c r="D36" s="14"/>
      <c r="E36" s="23" t="s">
        <v>145</v>
      </c>
      <c r="F36" s="14"/>
      <c r="G36" s="14"/>
      <c r="H36" s="14"/>
      <c r="I36" s="75">
        <f>I33</f>
        <v>0.12</v>
      </c>
      <c r="J36" s="14"/>
      <c r="K36" s="23" t="s">
        <v>145</v>
      </c>
      <c r="L36" s="28"/>
      <c r="M36" s="14"/>
      <c r="N36" s="75">
        <f>N26+N27+N28</f>
        <v>0</v>
      </c>
      <c r="O36" s="14"/>
    </row>
    <row r="37" spans="1:15">
      <c r="A37" s="44" t="s">
        <v>165</v>
      </c>
      <c r="B37" s="45"/>
      <c r="C37" s="44"/>
      <c r="D37" s="44"/>
      <c r="E37" s="44"/>
      <c r="F37" s="44"/>
      <c r="G37" s="44"/>
      <c r="H37" s="44"/>
      <c r="I37" s="44"/>
      <c r="J37" s="44"/>
      <c r="K37" s="79"/>
      <c r="L37" s="80"/>
      <c r="M37" s="80"/>
      <c r="N37" s="80"/>
      <c r="O37" s="80"/>
    </row>
    <row r="38" spans="1:15">
      <c r="A38" s="46" t="s">
        <v>166</v>
      </c>
      <c r="B38" s="45"/>
      <c r="C38" s="44"/>
      <c r="D38" s="44"/>
      <c r="E38" s="44"/>
      <c r="F38" s="44"/>
      <c r="G38" s="44"/>
      <c r="H38" s="47"/>
      <c r="I38" s="44"/>
      <c r="J38" s="44"/>
      <c r="K38" s="79"/>
      <c r="L38" s="80"/>
      <c r="M38" s="80"/>
      <c r="N38" s="80"/>
      <c r="O38" s="80"/>
    </row>
    <row r="39" spans="1:15">
      <c r="A39" s="46" t="s">
        <v>167</v>
      </c>
      <c r="B39" s="45"/>
      <c r="C39" s="44"/>
      <c r="D39" s="44"/>
      <c r="E39" s="44"/>
      <c r="F39" s="44"/>
      <c r="G39" s="44"/>
      <c r="H39" s="44"/>
      <c r="I39" s="44"/>
      <c r="J39" s="44"/>
      <c r="K39" s="79"/>
      <c r="L39" s="80"/>
      <c r="M39" s="80"/>
      <c r="N39" s="80"/>
      <c r="O39" s="80"/>
    </row>
  </sheetData>
  <mergeCells count="45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opLeftCell="A4" workbookViewId="0">
      <selection activeCell="C28" sqref="C28"/>
    </sheetView>
  </sheetViews>
  <sheetFormatPr defaultColWidth="9" defaultRowHeight="14.4"/>
  <cols>
    <col min="3" max="3" width="10.3796296296296"/>
    <col min="8" max="8" width="9.37962962962963"/>
    <col min="12" max="12" width="9.37962962962963"/>
    <col min="16" max="16" width="12.6296296296296"/>
  </cols>
  <sheetData>
    <row r="1" spans="1:15">
      <c r="A1" s="1" t="s">
        <v>93</v>
      </c>
      <c r="B1" s="2"/>
      <c r="C1" s="2"/>
      <c r="D1" s="2"/>
      <c r="E1" s="2"/>
      <c r="F1" s="2"/>
      <c r="G1" s="2"/>
      <c r="H1" s="3"/>
      <c r="I1" s="48" t="s">
        <v>94</v>
      </c>
      <c r="J1" s="49"/>
      <c r="K1" s="49"/>
      <c r="L1" s="49"/>
      <c r="M1" s="49"/>
      <c r="N1" s="49"/>
      <c r="O1" s="50"/>
    </row>
    <row r="2" spans="1:15">
      <c r="A2" s="4"/>
      <c r="B2" s="5"/>
      <c r="C2" s="5"/>
      <c r="D2" s="5"/>
      <c r="E2" s="5"/>
      <c r="F2" s="5"/>
      <c r="G2" s="5"/>
      <c r="H2" s="6"/>
      <c r="I2" s="51" t="s">
        <v>95</v>
      </c>
      <c r="J2" s="52" t="s">
        <v>96</v>
      </c>
      <c r="K2" s="53"/>
      <c r="L2" s="53"/>
      <c r="M2" s="53"/>
      <c r="N2" s="53"/>
      <c r="O2" s="54"/>
    </row>
    <row r="3" spans="1:15">
      <c r="A3" s="4"/>
      <c r="B3" s="5"/>
      <c r="C3" s="5"/>
      <c r="D3" s="5"/>
      <c r="E3" s="5"/>
      <c r="F3" s="5"/>
      <c r="G3" s="5"/>
      <c r="H3" s="6"/>
      <c r="I3" s="51" t="s">
        <v>97</v>
      </c>
      <c r="J3" s="52" t="s">
        <v>98</v>
      </c>
      <c r="K3" s="53"/>
      <c r="L3" s="53"/>
      <c r="M3" s="53"/>
      <c r="N3" s="53"/>
      <c r="O3" s="54"/>
    </row>
    <row r="4" spans="1:15">
      <c r="A4" s="7"/>
      <c r="B4" s="8"/>
      <c r="C4" s="8"/>
      <c r="D4" s="8"/>
      <c r="E4" s="8"/>
      <c r="F4" s="8"/>
      <c r="G4" s="8"/>
      <c r="H4" s="9"/>
      <c r="I4" s="51" t="s">
        <v>99</v>
      </c>
      <c r="J4" s="55" t="s">
        <v>100</v>
      </c>
      <c r="K4" s="55"/>
      <c r="L4" s="51" t="s">
        <v>101</v>
      </c>
      <c r="M4" s="56">
        <v>13313276238</v>
      </c>
      <c r="N4" s="57"/>
      <c r="O4" s="58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59"/>
      <c r="K5" s="60" t="s">
        <v>102</v>
      </c>
      <c r="L5" s="61">
        <v>45531</v>
      </c>
      <c r="M5" s="60"/>
      <c r="N5" s="15" t="s">
        <v>103</v>
      </c>
      <c r="O5" s="62" t="s">
        <v>104</v>
      </c>
    </row>
    <row r="6" ht="24" customHeight="1" spans="1:15">
      <c r="A6" s="14"/>
      <c r="B6" s="15"/>
      <c r="C6" s="11"/>
      <c r="D6" s="12"/>
      <c r="E6" s="13"/>
      <c r="F6" s="11"/>
      <c r="G6" s="13"/>
      <c r="H6" s="11"/>
      <c r="I6" s="13"/>
      <c r="J6" s="59"/>
      <c r="K6" s="13" t="s">
        <v>105</v>
      </c>
      <c r="L6" s="63" t="s">
        <v>177</v>
      </c>
      <c r="M6" s="64"/>
      <c r="N6" s="23" t="s">
        <v>106</v>
      </c>
      <c r="O6" s="14"/>
    </row>
    <row r="7" ht="24" customHeight="1" spans="1:15">
      <c r="A7" s="14"/>
      <c r="B7" s="15"/>
      <c r="C7" s="11"/>
      <c r="D7" s="12"/>
      <c r="E7" s="13"/>
      <c r="F7" s="11"/>
      <c r="G7" s="13"/>
      <c r="H7" s="11"/>
      <c r="I7" s="13"/>
      <c r="J7" s="59"/>
      <c r="K7" s="23" t="s">
        <v>107</v>
      </c>
      <c r="L7" s="65" t="s">
        <v>178</v>
      </c>
      <c r="M7" s="66"/>
      <c r="N7" s="23" t="s">
        <v>108</v>
      </c>
      <c r="O7" s="67" t="s">
        <v>179</v>
      </c>
    </row>
    <row r="8" spans="1:15">
      <c r="A8" s="15" t="s">
        <v>0</v>
      </c>
      <c r="B8" s="15" t="s">
        <v>110</v>
      </c>
      <c r="C8" s="16" t="s">
        <v>111</v>
      </c>
      <c r="D8" s="16"/>
      <c r="E8" s="16"/>
      <c r="F8" s="11" t="s">
        <v>112</v>
      </c>
      <c r="G8" s="13"/>
      <c r="H8" s="17" t="s">
        <v>113</v>
      </c>
      <c r="I8" s="22"/>
      <c r="J8" s="68"/>
      <c r="K8" s="18" t="s">
        <v>114</v>
      </c>
      <c r="L8" s="11"/>
      <c r="M8" s="13"/>
      <c r="N8" s="23" t="s">
        <v>115</v>
      </c>
      <c r="O8" s="69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70"/>
      <c r="K9" s="12"/>
      <c r="L9" s="12"/>
      <c r="M9" s="12"/>
      <c r="N9" s="12"/>
      <c r="O9" s="71"/>
    </row>
    <row r="10" spans="1:15">
      <c r="A10" s="18" t="s">
        <v>0</v>
      </c>
      <c r="B10" s="19" t="s">
        <v>116</v>
      </c>
      <c r="C10" s="20" t="s">
        <v>117</v>
      </c>
      <c r="D10" s="20" t="s">
        <v>0</v>
      </c>
      <c r="E10" s="21" t="s">
        <v>118</v>
      </c>
      <c r="F10" s="12"/>
      <c r="G10" s="12"/>
      <c r="H10" s="12"/>
      <c r="I10" s="13"/>
      <c r="J10" s="20" t="s">
        <v>0</v>
      </c>
      <c r="K10" s="21" t="s">
        <v>119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120</v>
      </c>
      <c r="F11" s="15" t="s">
        <v>121</v>
      </c>
      <c r="G11" s="15" t="s">
        <v>64</v>
      </c>
      <c r="H11" s="15" t="s">
        <v>122</v>
      </c>
      <c r="I11" s="15" t="s">
        <v>117</v>
      </c>
      <c r="J11" s="16"/>
      <c r="K11" s="23" t="s">
        <v>123</v>
      </c>
      <c r="L11" s="23" t="s">
        <v>124</v>
      </c>
      <c r="M11" s="15" t="s">
        <v>121</v>
      </c>
      <c r="N11" s="15" t="s">
        <v>125</v>
      </c>
      <c r="O11" s="15" t="s">
        <v>117</v>
      </c>
    </row>
    <row r="12" spans="1:15">
      <c r="A12" s="15">
        <v>1</v>
      </c>
      <c r="B12" s="23" t="s">
        <v>126</v>
      </c>
      <c r="C12" s="24">
        <f>I12+I13</f>
        <v>1.457</v>
      </c>
      <c r="D12" s="15">
        <v>1</v>
      </c>
      <c r="E12" s="25" t="s">
        <v>180</v>
      </c>
      <c r="F12" s="23" t="s">
        <v>128</v>
      </c>
      <c r="G12" s="26">
        <v>0.2374</v>
      </c>
      <c r="H12" s="27">
        <v>5</v>
      </c>
      <c r="I12" s="27">
        <f>G12*H12</f>
        <v>1.187</v>
      </c>
      <c r="J12" s="15">
        <v>1</v>
      </c>
      <c r="K12" s="23" t="s">
        <v>129</v>
      </c>
      <c r="L12" s="72">
        <v>1</v>
      </c>
      <c r="M12" s="23" t="s">
        <v>181</v>
      </c>
      <c r="N12" s="23">
        <f>H27</f>
        <v>0.005</v>
      </c>
      <c r="O12" s="73">
        <f>10*L12/(1/H27)</f>
        <v>0.05</v>
      </c>
    </row>
    <row r="13" spans="1:15">
      <c r="A13" s="15">
        <v>2</v>
      </c>
      <c r="B13" s="15" t="s">
        <v>131</v>
      </c>
      <c r="C13" s="24">
        <f>I22</f>
        <v>0</v>
      </c>
      <c r="D13" s="15">
        <v>2</v>
      </c>
      <c r="E13" s="25" t="s">
        <v>182</v>
      </c>
      <c r="F13" s="23" t="s">
        <v>128</v>
      </c>
      <c r="G13" s="26">
        <v>0.054</v>
      </c>
      <c r="H13" s="27">
        <v>5</v>
      </c>
      <c r="I13" s="27">
        <f>G13*H13</f>
        <v>0.27</v>
      </c>
      <c r="J13" s="15">
        <v>2</v>
      </c>
      <c r="K13" s="23" t="s">
        <v>132</v>
      </c>
      <c r="L13" s="74"/>
      <c r="M13" s="15"/>
      <c r="N13" s="15"/>
      <c r="O13" s="74"/>
    </row>
    <row r="14" spans="1:15">
      <c r="A14" s="15">
        <v>3</v>
      </c>
      <c r="B14" s="15" t="s">
        <v>133</v>
      </c>
      <c r="C14" s="24">
        <f>O22</f>
        <v>0.05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134</v>
      </c>
      <c r="L14" s="74"/>
      <c r="M14" s="15"/>
      <c r="N14" s="15"/>
      <c r="O14" s="74"/>
    </row>
    <row r="15" spans="1:15">
      <c r="A15" s="15">
        <v>4</v>
      </c>
      <c r="B15" s="23" t="s">
        <v>135</v>
      </c>
      <c r="C15" s="24">
        <f>I26</f>
        <v>0.325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136</v>
      </c>
      <c r="L15" s="74"/>
      <c r="M15" s="15"/>
      <c r="N15" s="15"/>
      <c r="O15" s="74"/>
    </row>
    <row r="16" spans="1:15">
      <c r="A16" s="15">
        <v>5</v>
      </c>
      <c r="B16" s="15" t="s">
        <v>137</v>
      </c>
      <c r="C16" s="24">
        <f>I36</f>
        <v>0.13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138</v>
      </c>
      <c r="L16" s="74">
        <f>0</f>
        <v>0</v>
      </c>
      <c r="M16" s="15"/>
      <c r="N16" s="15"/>
      <c r="O16" s="74"/>
    </row>
    <row r="17" spans="1:15">
      <c r="A17" s="15">
        <v>6</v>
      </c>
      <c r="B17" s="15" t="s">
        <v>139</v>
      </c>
      <c r="C17" s="24">
        <f>N36</f>
        <v>0.05</v>
      </c>
      <c r="D17" s="14"/>
      <c r="E17" s="11" t="s">
        <v>140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120</v>
      </c>
      <c r="F18" s="15" t="s">
        <v>121</v>
      </c>
      <c r="G18" s="15" t="s">
        <v>64</v>
      </c>
      <c r="H18" s="15" t="s">
        <v>122</v>
      </c>
      <c r="I18" s="15" t="s">
        <v>117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141</v>
      </c>
      <c r="C19" s="30">
        <f>C12+C13+C14+C15+C16+C17</f>
        <v>2.012</v>
      </c>
      <c r="D19" s="15">
        <v>1</v>
      </c>
      <c r="E19" s="31"/>
      <c r="F19" s="14"/>
      <c r="G19" s="14"/>
      <c r="H19" s="28"/>
      <c r="I19" s="28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142</v>
      </c>
      <c r="C20" s="29">
        <v>0.14</v>
      </c>
      <c r="D20" s="15">
        <v>2</v>
      </c>
      <c r="E20" s="31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143</v>
      </c>
      <c r="C21" s="32">
        <v>0.15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144</v>
      </c>
      <c r="C22" s="32">
        <f>C19*3%</f>
        <v>0.06036</v>
      </c>
      <c r="D22" s="14"/>
      <c r="E22" s="23" t="s">
        <v>145</v>
      </c>
      <c r="F22" s="14"/>
      <c r="G22" s="14"/>
      <c r="H22" s="28"/>
      <c r="I22" s="75">
        <f>I19+I20+I21</f>
        <v>0</v>
      </c>
      <c r="J22" s="14"/>
      <c r="K22" s="15" t="s">
        <v>146</v>
      </c>
      <c r="L22" s="28"/>
      <c r="M22" s="14"/>
      <c r="N22" s="14"/>
      <c r="O22" s="75">
        <f>O12</f>
        <v>0.05</v>
      </c>
    </row>
    <row r="23" spans="1:15">
      <c r="A23" s="15">
        <v>12</v>
      </c>
      <c r="B23" s="18" t="s">
        <v>147</v>
      </c>
      <c r="C23" s="32">
        <f>C19*3%</f>
        <v>0.06036</v>
      </c>
      <c r="D23" s="18" t="s">
        <v>0</v>
      </c>
      <c r="E23" s="33" t="s">
        <v>148</v>
      </c>
      <c r="F23" s="17"/>
      <c r="G23" s="17"/>
      <c r="H23" s="17"/>
      <c r="I23" s="22"/>
      <c r="J23" s="18" t="s">
        <v>0</v>
      </c>
      <c r="K23" s="21" t="s">
        <v>149</v>
      </c>
      <c r="L23" s="12"/>
      <c r="M23" s="12"/>
      <c r="N23" s="12"/>
      <c r="O23" s="13"/>
    </row>
    <row r="24" spans="1:15">
      <c r="A24" s="15">
        <v>13</v>
      </c>
      <c r="B24" s="34"/>
      <c r="C24" s="35"/>
      <c r="D24" s="36"/>
      <c r="E24" s="37" t="s">
        <v>150</v>
      </c>
      <c r="F24" s="38" t="s">
        <v>151</v>
      </c>
      <c r="G24" s="18" t="s">
        <v>152</v>
      </c>
      <c r="H24" s="18" t="s">
        <v>153</v>
      </c>
      <c r="I24" s="18" t="s">
        <v>117</v>
      </c>
      <c r="J24" s="36"/>
      <c r="K24" s="37" t="s">
        <v>154</v>
      </c>
      <c r="L24" s="18" t="s">
        <v>122</v>
      </c>
      <c r="M24" s="18" t="s">
        <v>155</v>
      </c>
      <c r="N24" s="18" t="s">
        <v>117</v>
      </c>
      <c r="O24" s="18" t="s">
        <v>9</v>
      </c>
    </row>
    <row r="25" spans="1:15">
      <c r="A25" s="15">
        <v>14</v>
      </c>
      <c r="B25" s="34"/>
      <c r="C25" s="35"/>
      <c r="D25" s="16"/>
      <c r="E25" s="16"/>
      <c r="F25" s="39" t="s">
        <v>156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157</v>
      </c>
      <c r="C26" s="30">
        <f>C19+C20+C21+C22+C23</f>
        <v>2.42272</v>
      </c>
      <c r="D26" s="15">
        <v>1</v>
      </c>
      <c r="E26" s="23" t="s">
        <v>158</v>
      </c>
      <c r="F26" s="14"/>
      <c r="G26" s="14"/>
      <c r="H26" s="14"/>
      <c r="I26" s="76">
        <f>I27+I28+I29+I30+I31+I32</f>
        <v>0.325</v>
      </c>
      <c r="J26" s="15">
        <v>1</v>
      </c>
      <c r="K26" s="23" t="s">
        <v>183</v>
      </c>
      <c r="L26" s="77">
        <v>3000</v>
      </c>
      <c r="M26" s="26">
        <v>100000</v>
      </c>
      <c r="N26" s="78">
        <f>L26/M26</f>
        <v>0.03</v>
      </c>
      <c r="O26" s="14"/>
    </row>
    <row r="27" spans="1:15">
      <c r="A27" s="15">
        <v>16</v>
      </c>
      <c r="B27" s="23" t="s">
        <v>159</v>
      </c>
      <c r="C27" s="32">
        <f>C26*5%</f>
        <v>0.121136</v>
      </c>
      <c r="D27" s="40" t="s">
        <v>160</v>
      </c>
      <c r="E27" s="34" t="s">
        <v>184</v>
      </c>
      <c r="F27" s="26">
        <v>25</v>
      </c>
      <c r="G27" s="26"/>
      <c r="H27" s="26">
        <v>0.005</v>
      </c>
      <c r="I27" s="77">
        <f t="shared" ref="I27:I30" si="0">F27*H27</f>
        <v>0.125</v>
      </c>
      <c r="J27" s="15">
        <v>2</v>
      </c>
      <c r="K27" s="23" t="s">
        <v>185</v>
      </c>
      <c r="L27" s="77">
        <v>2000</v>
      </c>
      <c r="M27" s="26">
        <v>100000</v>
      </c>
      <c r="N27" s="78">
        <f>L27/M27</f>
        <v>0.02</v>
      </c>
      <c r="O27" s="14"/>
    </row>
    <row r="28" spans="1:15">
      <c r="A28" s="15">
        <v>17</v>
      </c>
      <c r="B28" s="23" t="s">
        <v>162</v>
      </c>
      <c r="C28" s="30">
        <f>C26+C27</f>
        <v>2.543856</v>
      </c>
      <c r="D28" s="41"/>
      <c r="E28" s="34" t="s">
        <v>186</v>
      </c>
      <c r="F28" s="26">
        <v>25</v>
      </c>
      <c r="G28" s="26"/>
      <c r="H28" s="26">
        <v>0.008</v>
      </c>
      <c r="I28" s="77">
        <f t="shared" si="0"/>
        <v>0.2</v>
      </c>
      <c r="J28" s="15">
        <v>3</v>
      </c>
      <c r="K28" s="23"/>
      <c r="L28" s="77"/>
      <c r="M28" s="26"/>
      <c r="N28" s="78"/>
      <c r="O28" s="14"/>
    </row>
    <row r="29" spans="1:15">
      <c r="A29" s="15">
        <v>18</v>
      </c>
      <c r="B29" s="23" t="s">
        <v>163</v>
      </c>
      <c r="C29" s="29">
        <f>C28*0.13</f>
        <v>0.33070128</v>
      </c>
      <c r="D29" s="41"/>
      <c r="E29" s="34"/>
      <c r="F29" s="26"/>
      <c r="G29" s="26"/>
      <c r="H29" s="26"/>
      <c r="I29" s="77">
        <f t="shared" si="0"/>
        <v>0</v>
      </c>
      <c r="J29" s="15">
        <v>4</v>
      </c>
      <c r="K29" s="23"/>
      <c r="L29" s="28"/>
      <c r="M29" s="14"/>
      <c r="N29" s="28"/>
      <c r="O29" s="14"/>
    </row>
    <row r="30" ht="18" customHeight="1" spans="1:15">
      <c r="A30" s="15"/>
      <c r="B30" s="23"/>
      <c r="C30" s="29"/>
      <c r="D30" s="41"/>
      <c r="E30" s="15"/>
      <c r="F30" s="26"/>
      <c r="G30" s="26"/>
      <c r="H30" s="26"/>
      <c r="I30" s="77">
        <f t="shared" si="0"/>
        <v>0</v>
      </c>
      <c r="J30" s="15"/>
      <c r="K30" s="23"/>
      <c r="L30" s="28"/>
      <c r="M30" s="14"/>
      <c r="N30" s="28"/>
      <c r="O30" s="14"/>
    </row>
    <row r="31" spans="1:15">
      <c r="A31" s="15">
        <v>19</v>
      </c>
      <c r="B31" s="15" t="s">
        <v>115</v>
      </c>
      <c r="C31" s="24">
        <f>C28+C29</f>
        <v>2.87455728</v>
      </c>
      <c r="D31" s="42"/>
      <c r="E31" s="25"/>
      <c r="F31" s="11"/>
      <c r="G31" s="12"/>
      <c r="H31" s="13"/>
      <c r="I31" s="77"/>
      <c r="J31" s="14"/>
      <c r="K31" s="15"/>
      <c r="L31" s="28"/>
      <c r="M31" s="14"/>
      <c r="N31" s="28"/>
      <c r="O31" s="14"/>
    </row>
    <row r="32" spans="1:15">
      <c r="A32" s="43"/>
      <c r="B32" s="34"/>
      <c r="C32" s="28"/>
      <c r="D32" s="16"/>
      <c r="E32" s="23"/>
      <c r="F32" s="26"/>
      <c r="G32" s="26"/>
      <c r="H32" s="26"/>
      <c r="I32" s="77"/>
      <c r="J32" s="14"/>
      <c r="K32" s="15"/>
      <c r="L32" s="28"/>
      <c r="M32" s="14"/>
      <c r="N32" s="28"/>
      <c r="O32" s="14"/>
    </row>
    <row r="33" spans="1:15">
      <c r="A33" s="43"/>
      <c r="B33" s="34"/>
      <c r="C33" s="28"/>
      <c r="D33" s="15">
        <v>2</v>
      </c>
      <c r="E33" s="15" t="s">
        <v>137</v>
      </c>
      <c r="F33" s="26">
        <v>10</v>
      </c>
      <c r="G33" s="26"/>
      <c r="H33" s="26">
        <f>H27+H28+H29+H30</f>
        <v>0.013</v>
      </c>
      <c r="I33" s="77">
        <f>F33*H33</f>
        <v>0.13</v>
      </c>
      <c r="J33" s="14"/>
      <c r="K33" s="15"/>
      <c r="L33" s="28"/>
      <c r="M33" s="14"/>
      <c r="N33" s="28"/>
      <c r="O33" s="14"/>
    </row>
    <row r="34" spans="1:15">
      <c r="A34" s="43"/>
      <c r="B34" s="34"/>
      <c r="C34" s="28"/>
      <c r="D34" s="15">
        <v>3</v>
      </c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43"/>
      <c r="B35" s="34"/>
      <c r="C35" s="28"/>
      <c r="D35" s="15"/>
      <c r="E35" s="14"/>
      <c r="F35" s="14"/>
      <c r="G35" s="14"/>
      <c r="H35" s="14"/>
      <c r="I35" s="28"/>
      <c r="J35" s="14"/>
      <c r="K35" s="15"/>
      <c r="L35" s="28"/>
      <c r="M35" s="14"/>
      <c r="N35" s="28"/>
      <c r="O35" s="14"/>
    </row>
    <row r="36" spans="1:15">
      <c r="A36" s="14"/>
      <c r="B36" s="15"/>
      <c r="C36" s="14"/>
      <c r="D36" s="14"/>
      <c r="E36" s="23" t="s">
        <v>145</v>
      </c>
      <c r="F36" s="14"/>
      <c r="G36" s="14"/>
      <c r="H36" s="14"/>
      <c r="I36" s="75">
        <f>I33</f>
        <v>0.13</v>
      </c>
      <c r="J36" s="14"/>
      <c r="K36" s="23" t="s">
        <v>145</v>
      </c>
      <c r="L36" s="28"/>
      <c r="M36" s="14"/>
      <c r="N36" s="75">
        <f>N26+N27+N28</f>
        <v>0.05</v>
      </c>
      <c r="O36" s="14"/>
    </row>
    <row r="37" spans="1:15">
      <c r="A37" s="44" t="s">
        <v>165</v>
      </c>
      <c r="B37" s="45"/>
      <c r="C37" s="44"/>
      <c r="D37" s="44"/>
      <c r="E37" s="44"/>
      <c r="F37" s="44"/>
      <c r="G37" s="44"/>
      <c r="H37" s="44"/>
      <c r="I37" s="44"/>
      <c r="J37" s="44"/>
      <c r="K37" s="79"/>
      <c r="L37" s="80"/>
      <c r="M37" s="80"/>
      <c r="N37" s="80"/>
      <c r="O37" s="80"/>
    </row>
    <row r="38" spans="1:15">
      <c r="A38" s="46" t="s">
        <v>166</v>
      </c>
      <c r="B38" s="45"/>
      <c r="C38" s="44"/>
      <c r="D38" s="44"/>
      <c r="E38" s="44"/>
      <c r="F38" s="44"/>
      <c r="G38" s="44"/>
      <c r="H38" s="47"/>
      <c r="I38" s="44"/>
      <c r="J38" s="44"/>
      <c r="K38" s="79"/>
      <c r="L38" s="80"/>
      <c r="M38" s="80"/>
      <c r="N38" s="80"/>
      <c r="O38" s="80"/>
    </row>
    <row r="39" spans="1:15">
      <c r="A39" s="46" t="s">
        <v>167</v>
      </c>
      <c r="B39" s="45"/>
      <c r="C39" s="44"/>
      <c r="D39" s="44"/>
      <c r="E39" s="44"/>
      <c r="F39" s="44"/>
      <c r="G39" s="44"/>
      <c r="H39" s="44"/>
      <c r="I39" s="44"/>
      <c r="J39" s="44"/>
      <c r="K39" s="79"/>
      <c r="L39" s="80"/>
      <c r="M39" s="80"/>
      <c r="N39" s="80"/>
      <c r="O39" s="80"/>
    </row>
  </sheetData>
  <mergeCells count="45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未定价清单</vt:lpstr>
      <vt:lpstr>未定价清单 (2)</vt:lpstr>
      <vt:lpstr>最新核价</vt:lpstr>
      <vt:lpstr>BSP0000047</vt:lpstr>
      <vt:lpstr>安全固定片（不电泳）</vt:lpstr>
      <vt:lpstr>SHT0017396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吴英格</cp:lastModifiedBy>
  <dcterms:created xsi:type="dcterms:W3CDTF">2023-12-19T01:24:00Z</dcterms:created>
  <dcterms:modified xsi:type="dcterms:W3CDTF">2025-10-20T03:28:49Z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0ABA6D20C2C947A4A4BB9F33726D9CD3_13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